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/>
  </bookViews>
  <sheets>
    <sheet name="2021" sheetId="1" r:id="rId1"/>
  </sheets>
  <calcPr calcId="144525" iterateDelta="1E-4"/>
</workbook>
</file>

<file path=xl/calcChain.xml><?xml version="1.0" encoding="utf-8"?>
<calcChain xmlns="http://schemas.openxmlformats.org/spreadsheetml/2006/main">
  <c r="G52" i="1" l="1"/>
  <c r="M52" i="1" s="1"/>
  <c r="H52" i="1"/>
  <c r="Q52" i="1" s="1"/>
  <c r="I52" i="1"/>
  <c r="J52" i="1"/>
  <c r="K52" i="1"/>
  <c r="L52" i="1"/>
  <c r="O52" i="1"/>
  <c r="P52" i="1"/>
  <c r="R52" i="1"/>
  <c r="G53" i="1"/>
  <c r="M53" i="1" s="1"/>
  <c r="H53" i="1"/>
  <c r="Q53" i="1" s="1"/>
  <c r="I53" i="1"/>
  <c r="R53" i="1" s="1"/>
  <c r="J53" i="1"/>
  <c r="K53" i="1"/>
  <c r="L53" i="1"/>
  <c r="O53" i="1"/>
  <c r="P53" i="1"/>
  <c r="G56" i="1"/>
  <c r="P56" i="1" s="1"/>
  <c r="H56" i="1"/>
  <c r="N56" i="1" s="1"/>
  <c r="I56" i="1"/>
  <c r="O56" i="1" s="1"/>
  <c r="J56" i="1"/>
  <c r="K56" i="1"/>
  <c r="L56" i="1"/>
  <c r="R56" i="1"/>
  <c r="G59" i="1"/>
  <c r="M59" i="1" s="1"/>
  <c r="H59" i="1"/>
  <c r="N59" i="1" s="1"/>
  <c r="I59" i="1"/>
  <c r="O59" i="1" s="1"/>
  <c r="J59" i="1"/>
  <c r="K59" i="1"/>
  <c r="L59" i="1"/>
  <c r="G62" i="1"/>
  <c r="P62" i="1" s="1"/>
  <c r="H62" i="1"/>
  <c r="N62" i="1" s="1"/>
  <c r="I62" i="1"/>
  <c r="R62" i="1" s="1"/>
  <c r="J62" i="1"/>
  <c r="K62" i="1"/>
  <c r="L62" i="1"/>
  <c r="O62" i="1"/>
  <c r="G71" i="1"/>
  <c r="M71" i="1" s="1"/>
  <c r="H71" i="1"/>
  <c r="N71" i="1" s="1"/>
  <c r="I71" i="1"/>
  <c r="R71" i="1" s="1"/>
  <c r="J71" i="1"/>
  <c r="K71" i="1"/>
  <c r="L71" i="1"/>
  <c r="G72" i="1"/>
  <c r="M72" i="1" s="1"/>
  <c r="H72" i="1"/>
  <c r="Q72" i="1" s="1"/>
  <c r="I72" i="1"/>
  <c r="R72" i="1" s="1"/>
  <c r="J72" i="1"/>
  <c r="K72" i="1"/>
  <c r="L72" i="1"/>
  <c r="G153" i="1"/>
  <c r="P153" i="1" s="1"/>
  <c r="H153" i="1"/>
  <c r="N153" i="1" s="1"/>
  <c r="I153" i="1"/>
  <c r="R153" i="1" s="1"/>
  <c r="J153" i="1"/>
  <c r="K153" i="1"/>
  <c r="L153" i="1"/>
  <c r="G154" i="1"/>
  <c r="P154" i="1" s="1"/>
  <c r="H154" i="1"/>
  <c r="N154" i="1" s="1"/>
  <c r="I154" i="1"/>
  <c r="R154" i="1" s="1"/>
  <c r="J154" i="1"/>
  <c r="K154" i="1"/>
  <c r="L154" i="1"/>
  <c r="G155" i="1"/>
  <c r="P155" i="1" s="1"/>
  <c r="H155" i="1"/>
  <c r="Q155" i="1" s="1"/>
  <c r="I155" i="1"/>
  <c r="R155" i="1" s="1"/>
  <c r="J155" i="1"/>
  <c r="K155" i="1"/>
  <c r="L155" i="1"/>
  <c r="G98" i="1"/>
  <c r="M98" i="1" s="1"/>
  <c r="H98" i="1"/>
  <c r="Q98" i="1" s="1"/>
  <c r="I98" i="1"/>
  <c r="R98" i="1" s="1"/>
  <c r="J98" i="1"/>
  <c r="K98" i="1"/>
  <c r="L98" i="1"/>
  <c r="O98" i="1"/>
  <c r="G99" i="1"/>
  <c r="M99" i="1" s="1"/>
  <c r="H99" i="1"/>
  <c r="Q99" i="1" s="1"/>
  <c r="I99" i="1"/>
  <c r="R99" i="1" s="1"/>
  <c r="J99" i="1"/>
  <c r="K99" i="1"/>
  <c r="L99" i="1"/>
  <c r="O99" i="1"/>
  <c r="G100" i="1"/>
  <c r="M100" i="1" s="1"/>
  <c r="H100" i="1"/>
  <c r="Q100" i="1" s="1"/>
  <c r="I100" i="1"/>
  <c r="R100" i="1" s="1"/>
  <c r="J100" i="1"/>
  <c r="K100" i="1"/>
  <c r="L100" i="1"/>
  <c r="O100" i="1"/>
  <c r="G108" i="1"/>
  <c r="M108" i="1" s="1"/>
  <c r="H108" i="1"/>
  <c r="N108" i="1" s="1"/>
  <c r="I108" i="1"/>
  <c r="R108" i="1" s="1"/>
  <c r="J108" i="1"/>
  <c r="K108" i="1"/>
  <c r="L108" i="1"/>
  <c r="O108" i="1"/>
  <c r="G109" i="1"/>
  <c r="M109" i="1" s="1"/>
  <c r="H109" i="1"/>
  <c r="Q109" i="1" s="1"/>
  <c r="I109" i="1"/>
  <c r="R109" i="1" s="1"/>
  <c r="J109" i="1"/>
  <c r="K109" i="1"/>
  <c r="L109" i="1"/>
  <c r="O109" i="1"/>
  <c r="G110" i="1"/>
  <c r="M110" i="1" s="1"/>
  <c r="H110" i="1"/>
  <c r="Q110" i="1" s="1"/>
  <c r="I110" i="1"/>
  <c r="R110" i="1" s="1"/>
  <c r="J110" i="1"/>
  <c r="K110" i="1"/>
  <c r="L110" i="1"/>
  <c r="O110" i="1"/>
  <c r="G111" i="1"/>
  <c r="M111" i="1" s="1"/>
  <c r="H111" i="1"/>
  <c r="Q111" i="1" s="1"/>
  <c r="I111" i="1"/>
  <c r="R111" i="1" s="1"/>
  <c r="J111" i="1"/>
  <c r="K111" i="1"/>
  <c r="L111" i="1"/>
  <c r="O111" i="1"/>
  <c r="W158" i="1"/>
  <c r="W157" i="1" s="1"/>
  <c r="L158" i="1"/>
  <c r="J158" i="1"/>
  <c r="I158" i="1"/>
  <c r="R158" i="1" s="1"/>
  <c r="G158" i="1"/>
  <c r="M158" i="1" s="1"/>
  <c r="D158" i="1"/>
  <c r="D157" i="1" s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V157" i="1"/>
  <c r="U157" i="1"/>
  <c r="T157" i="1"/>
  <c r="S157" i="1"/>
  <c r="F157" i="1"/>
  <c r="C157" i="1"/>
  <c r="AV156" i="1"/>
  <c r="L156" i="1" s="1"/>
  <c r="K156" i="1"/>
  <c r="J156" i="1"/>
  <c r="H156" i="1"/>
  <c r="N156" i="1" s="1"/>
  <c r="G156" i="1"/>
  <c r="P156" i="1" s="1"/>
  <c r="F156" i="1"/>
  <c r="F150" i="1" s="1"/>
  <c r="L152" i="1"/>
  <c r="K152" i="1"/>
  <c r="J152" i="1"/>
  <c r="I152" i="1"/>
  <c r="R152" i="1" s="1"/>
  <c r="H152" i="1"/>
  <c r="N152" i="1" s="1"/>
  <c r="G152" i="1"/>
  <c r="L151" i="1"/>
  <c r="K151" i="1"/>
  <c r="J151" i="1"/>
  <c r="I151" i="1"/>
  <c r="R151" i="1" s="1"/>
  <c r="H151" i="1"/>
  <c r="Q151" i="1" s="1"/>
  <c r="G151" i="1"/>
  <c r="M151" i="1" s="1"/>
  <c r="BE150" i="1"/>
  <c r="BD150" i="1"/>
  <c r="BC150" i="1"/>
  <c r="BB150" i="1"/>
  <c r="BA150" i="1"/>
  <c r="AZ150" i="1"/>
  <c r="AY150" i="1"/>
  <c r="AX150" i="1"/>
  <c r="AW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D150" i="1"/>
  <c r="C150" i="1"/>
  <c r="L149" i="1"/>
  <c r="K149" i="1"/>
  <c r="J149" i="1"/>
  <c r="I149" i="1"/>
  <c r="O149" i="1" s="1"/>
  <c r="H149" i="1"/>
  <c r="G149" i="1"/>
  <c r="P149" i="1" s="1"/>
  <c r="D149" i="1"/>
  <c r="D143" i="1" s="1"/>
  <c r="AH148" i="1"/>
  <c r="J148" i="1" s="1"/>
  <c r="L148" i="1"/>
  <c r="K148" i="1"/>
  <c r="I148" i="1"/>
  <c r="O148" i="1" s="1"/>
  <c r="H148" i="1"/>
  <c r="Q148" i="1" s="1"/>
  <c r="AE147" i="1"/>
  <c r="J147" i="1" s="1"/>
  <c r="L147" i="1"/>
  <c r="K147" i="1"/>
  <c r="I147" i="1"/>
  <c r="O147" i="1" s="1"/>
  <c r="H147" i="1"/>
  <c r="N147" i="1" s="1"/>
  <c r="C147" i="1"/>
  <c r="L146" i="1"/>
  <c r="K146" i="1"/>
  <c r="J146" i="1"/>
  <c r="I146" i="1"/>
  <c r="R146" i="1" s="1"/>
  <c r="H146" i="1"/>
  <c r="Q146" i="1" s="1"/>
  <c r="G146" i="1"/>
  <c r="M146" i="1" s="1"/>
  <c r="C145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G143" i="1"/>
  <c r="AF143" i="1"/>
  <c r="AD143" i="1"/>
  <c r="AC143" i="1"/>
  <c r="AC142" i="1" s="1"/>
  <c r="AB143" i="1"/>
  <c r="AA143" i="1"/>
  <c r="Z143" i="1"/>
  <c r="Y143" i="1"/>
  <c r="Y142" i="1" s="1"/>
  <c r="X143" i="1"/>
  <c r="W143" i="1"/>
  <c r="V143" i="1"/>
  <c r="U143" i="1"/>
  <c r="U142" i="1" s="1"/>
  <c r="T143" i="1"/>
  <c r="S143" i="1"/>
  <c r="F143" i="1"/>
  <c r="E143" i="1"/>
  <c r="E142" i="1" s="1"/>
  <c r="P141" i="1"/>
  <c r="M141" i="1"/>
  <c r="L141" i="1"/>
  <c r="K141" i="1"/>
  <c r="J141" i="1"/>
  <c r="I141" i="1"/>
  <c r="O141" i="1" s="1"/>
  <c r="H141" i="1"/>
  <c r="L140" i="1"/>
  <c r="K140" i="1"/>
  <c r="J140" i="1"/>
  <c r="I140" i="1"/>
  <c r="R140" i="1" s="1"/>
  <c r="H140" i="1"/>
  <c r="N140" i="1" s="1"/>
  <c r="G140" i="1"/>
  <c r="P140" i="1" s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F139" i="1"/>
  <c r="E139" i="1"/>
  <c r="E134" i="1" s="1"/>
  <c r="D139" i="1"/>
  <c r="C139" i="1"/>
  <c r="L138" i="1"/>
  <c r="K138" i="1"/>
  <c r="J138" i="1"/>
  <c r="I138" i="1"/>
  <c r="R138" i="1" s="1"/>
  <c r="H138" i="1"/>
  <c r="G138" i="1"/>
  <c r="M138" i="1" s="1"/>
  <c r="L137" i="1"/>
  <c r="K137" i="1"/>
  <c r="J137" i="1"/>
  <c r="I137" i="1"/>
  <c r="O137" i="1" s="1"/>
  <c r="H137" i="1"/>
  <c r="Q137" i="1" s="1"/>
  <c r="G137" i="1"/>
  <c r="P137" i="1" s="1"/>
  <c r="L136" i="1"/>
  <c r="K136" i="1"/>
  <c r="J136" i="1"/>
  <c r="I136" i="1"/>
  <c r="O136" i="1" s="1"/>
  <c r="H136" i="1"/>
  <c r="N136" i="1" s="1"/>
  <c r="G136" i="1"/>
  <c r="P136" i="1" s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F135" i="1"/>
  <c r="D135" i="1"/>
  <c r="C135" i="1"/>
  <c r="R132" i="1"/>
  <c r="O132" i="1"/>
  <c r="K132" i="1"/>
  <c r="J132" i="1"/>
  <c r="H132" i="1"/>
  <c r="N132" i="1" s="1"/>
  <c r="G132" i="1"/>
  <c r="M132" i="1" s="1"/>
  <c r="L131" i="1"/>
  <c r="K131" i="1"/>
  <c r="J131" i="1"/>
  <c r="I131" i="1"/>
  <c r="H131" i="1"/>
  <c r="N131" i="1" s="1"/>
  <c r="G131" i="1"/>
  <c r="M131" i="1" s="1"/>
  <c r="F131" i="1"/>
  <c r="F128" i="1" s="1"/>
  <c r="Z130" i="1"/>
  <c r="K130" i="1" s="1"/>
  <c r="L130" i="1"/>
  <c r="J130" i="1"/>
  <c r="I130" i="1"/>
  <c r="O130" i="1" s="1"/>
  <c r="H130" i="1"/>
  <c r="G130" i="1"/>
  <c r="M130" i="1" s="1"/>
  <c r="D130" i="1"/>
  <c r="D128" i="1" s="1"/>
  <c r="L129" i="1"/>
  <c r="K129" i="1"/>
  <c r="J129" i="1"/>
  <c r="I129" i="1"/>
  <c r="O129" i="1" s="1"/>
  <c r="H129" i="1"/>
  <c r="N129" i="1" s="1"/>
  <c r="G129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C128" i="1"/>
  <c r="L127" i="1"/>
  <c r="K127" i="1"/>
  <c r="J127" i="1"/>
  <c r="I127" i="1"/>
  <c r="O127" i="1" s="1"/>
  <c r="H127" i="1"/>
  <c r="Q127" i="1" s="1"/>
  <c r="G127" i="1"/>
  <c r="M127" i="1" s="1"/>
  <c r="L126" i="1"/>
  <c r="K126" i="1"/>
  <c r="J126" i="1"/>
  <c r="I126" i="1"/>
  <c r="H126" i="1"/>
  <c r="N126" i="1" s="1"/>
  <c r="G126" i="1"/>
  <c r="P126" i="1" s="1"/>
  <c r="AL125" i="1"/>
  <c r="AL124" i="1" s="1"/>
  <c r="AF125" i="1"/>
  <c r="AF124" i="1" s="1"/>
  <c r="Z125" i="1"/>
  <c r="Z124" i="1" s="1"/>
  <c r="W125" i="1"/>
  <c r="W124" i="1" s="1"/>
  <c r="L125" i="1"/>
  <c r="J125" i="1"/>
  <c r="I125" i="1"/>
  <c r="O125" i="1" s="1"/>
  <c r="G125" i="1"/>
  <c r="P125" i="1" s="1"/>
  <c r="BE124" i="1"/>
  <c r="BD124" i="1"/>
  <c r="BC124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K124" i="1"/>
  <c r="AJ124" i="1"/>
  <c r="AI124" i="1"/>
  <c r="AH124" i="1"/>
  <c r="AG124" i="1"/>
  <c r="AE124" i="1"/>
  <c r="AD124" i="1"/>
  <c r="AC124" i="1"/>
  <c r="AB124" i="1"/>
  <c r="AA124" i="1"/>
  <c r="Y124" i="1"/>
  <c r="X124" i="1"/>
  <c r="V124" i="1"/>
  <c r="U124" i="1"/>
  <c r="T124" i="1"/>
  <c r="S124" i="1"/>
  <c r="F124" i="1"/>
  <c r="D124" i="1"/>
  <c r="C124" i="1"/>
  <c r="L123" i="1"/>
  <c r="K123" i="1"/>
  <c r="J123" i="1"/>
  <c r="I123" i="1"/>
  <c r="O123" i="1" s="1"/>
  <c r="H123" i="1"/>
  <c r="G123" i="1"/>
  <c r="P123" i="1" s="1"/>
  <c r="L122" i="1"/>
  <c r="K122" i="1"/>
  <c r="J122" i="1"/>
  <c r="I122" i="1"/>
  <c r="O122" i="1" s="1"/>
  <c r="H122" i="1"/>
  <c r="N122" i="1" s="1"/>
  <c r="G122" i="1"/>
  <c r="P122" i="1" s="1"/>
  <c r="L121" i="1"/>
  <c r="K121" i="1"/>
  <c r="J121" i="1"/>
  <c r="I121" i="1"/>
  <c r="R121" i="1" s="1"/>
  <c r="H121" i="1"/>
  <c r="N121" i="1" s="1"/>
  <c r="G121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F120" i="1"/>
  <c r="D120" i="1"/>
  <c r="C120" i="1"/>
  <c r="L119" i="1"/>
  <c r="K119" i="1"/>
  <c r="J119" i="1"/>
  <c r="I119" i="1"/>
  <c r="O119" i="1" s="1"/>
  <c r="H119" i="1"/>
  <c r="Q119" i="1" s="1"/>
  <c r="G119" i="1"/>
  <c r="M119" i="1" s="1"/>
  <c r="L118" i="1"/>
  <c r="K118" i="1"/>
  <c r="J118" i="1"/>
  <c r="I118" i="1"/>
  <c r="H118" i="1"/>
  <c r="N118" i="1" s="1"/>
  <c r="G118" i="1"/>
  <c r="P118" i="1" s="1"/>
  <c r="F118" i="1"/>
  <c r="F116" i="1" s="1"/>
  <c r="L117" i="1"/>
  <c r="K117" i="1"/>
  <c r="J117" i="1"/>
  <c r="I117" i="1"/>
  <c r="O117" i="1" s="1"/>
  <c r="H117" i="1"/>
  <c r="N117" i="1" s="1"/>
  <c r="G117" i="1"/>
  <c r="P117" i="1" s="1"/>
  <c r="P116" i="1" s="1"/>
  <c r="BE116" i="1"/>
  <c r="BD116" i="1"/>
  <c r="BC116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D116" i="1"/>
  <c r="C116" i="1"/>
  <c r="L115" i="1"/>
  <c r="K115" i="1"/>
  <c r="J115" i="1"/>
  <c r="I115" i="1"/>
  <c r="R115" i="1" s="1"/>
  <c r="H115" i="1"/>
  <c r="N115" i="1" s="1"/>
  <c r="G115" i="1"/>
  <c r="L114" i="1"/>
  <c r="K114" i="1"/>
  <c r="J114" i="1"/>
  <c r="I114" i="1"/>
  <c r="R114" i="1" s="1"/>
  <c r="H114" i="1"/>
  <c r="N114" i="1" s="1"/>
  <c r="G114" i="1"/>
  <c r="L113" i="1"/>
  <c r="K113" i="1"/>
  <c r="J113" i="1"/>
  <c r="I113" i="1"/>
  <c r="R113" i="1" s="1"/>
  <c r="R112" i="1" s="1"/>
  <c r="H113" i="1"/>
  <c r="N113" i="1" s="1"/>
  <c r="G113" i="1"/>
  <c r="BE112" i="1"/>
  <c r="BD112" i="1"/>
  <c r="BC112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F112" i="1"/>
  <c r="D112" i="1"/>
  <c r="C112" i="1"/>
  <c r="AG107" i="1"/>
  <c r="AG106" i="1" s="1"/>
  <c r="AD107" i="1"/>
  <c r="AD106" i="1" s="1"/>
  <c r="K107" i="1"/>
  <c r="J107" i="1"/>
  <c r="H107" i="1"/>
  <c r="N107" i="1" s="1"/>
  <c r="G107" i="1"/>
  <c r="M107" i="1" s="1"/>
  <c r="F107" i="1"/>
  <c r="F106" i="1" s="1"/>
  <c r="BE106" i="1"/>
  <c r="BD106" i="1"/>
  <c r="BC106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F106" i="1"/>
  <c r="AE106" i="1"/>
  <c r="AC106" i="1"/>
  <c r="AB106" i="1"/>
  <c r="AA106" i="1"/>
  <c r="Z106" i="1"/>
  <c r="Y106" i="1"/>
  <c r="X106" i="1"/>
  <c r="W106" i="1"/>
  <c r="V106" i="1"/>
  <c r="U106" i="1"/>
  <c r="T106" i="1"/>
  <c r="S106" i="1"/>
  <c r="D106" i="1"/>
  <c r="C106" i="1"/>
  <c r="L105" i="1"/>
  <c r="K105" i="1"/>
  <c r="J105" i="1"/>
  <c r="I105" i="1"/>
  <c r="O105" i="1" s="1"/>
  <c r="H105" i="1"/>
  <c r="Q105" i="1" s="1"/>
  <c r="G105" i="1"/>
  <c r="M105" i="1" s="1"/>
  <c r="L104" i="1"/>
  <c r="K104" i="1"/>
  <c r="J104" i="1"/>
  <c r="I104" i="1"/>
  <c r="O104" i="1" s="1"/>
  <c r="H104" i="1"/>
  <c r="N104" i="1" s="1"/>
  <c r="G104" i="1"/>
  <c r="P104" i="1" s="1"/>
  <c r="L103" i="1"/>
  <c r="K103" i="1"/>
  <c r="J103" i="1"/>
  <c r="I103" i="1"/>
  <c r="O103" i="1" s="1"/>
  <c r="H103" i="1"/>
  <c r="N103" i="1" s="1"/>
  <c r="G103" i="1"/>
  <c r="AR102" i="1"/>
  <c r="AR97" i="1" s="1"/>
  <c r="AF102" i="1"/>
  <c r="AF97" i="1" s="1"/>
  <c r="Z102" i="1"/>
  <c r="Z97" i="1" s="1"/>
  <c r="W102" i="1"/>
  <c r="W97" i="1" s="1"/>
  <c r="L102" i="1"/>
  <c r="J102" i="1"/>
  <c r="I102" i="1"/>
  <c r="O102" i="1" s="1"/>
  <c r="G102" i="1"/>
  <c r="P102" i="1" s="1"/>
  <c r="D102" i="1"/>
  <c r="L101" i="1"/>
  <c r="K101" i="1"/>
  <c r="J101" i="1"/>
  <c r="I101" i="1"/>
  <c r="H101" i="1"/>
  <c r="G101" i="1"/>
  <c r="P101" i="1" s="1"/>
  <c r="D101" i="1"/>
  <c r="BE97" i="1"/>
  <c r="BD97" i="1"/>
  <c r="BC97" i="1"/>
  <c r="BB97" i="1"/>
  <c r="BA97" i="1"/>
  <c r="AZ97" i="1"/>
  <c r="AY97" i="1"/>
  <c r="AX97" i="1"/>
  <c r="AW97" i="1"/>
  <c r="AV97" i="1"/>
  <c r="AU97" i="1"/>
  <c r="AT97" i="1"/>
  <c r="AS97" i="1"/>
  <c r="AQ97" i="1"/>
  <c r="AP97" i="1"/>
  <c r="AO97" i="1"/>
  <c r="AN97" i="1"/>
  <c r="AM97" i="1"/>
  <c r="AL97" i="1"/>
  <c r="AK97" i="1"/>
  <c r="AJ97" i="1"/>
  <c r="AI97" i="1"/>
  <c r="AH97" i="1"/>
  <c r="AG97" i="1"/>
  <c r="AE97" i="1"/>
  <c r="AD97" i="1"/>
  <c r="AC97" i="1"/>
  <c r="AB97" i="1"/>
  <c r="AA97" i="1"/>
  <c r="Y97" i="1"/>
  <c r="X97" i="1"/>
  <c r="V97" i="1"/>
  <c r="U97" i="1"/>
  <c r="T97" i="1"/>
  <c r="S97" i="1"/>
  <c r="F97" i="1"/>
  <c r="C97" i="1"/>
  <c r="L95" i="1"/>
  <c r="K95" i="1"/>
  <c r="J95" i="1"/>
  <c r="I95" i="1"/>
  <c r="R95" i="1" s="1"/>
  <c r="H95" i="1"/>
  <c r="N95" i="1" s="1"/>
  <c r="G95" i="1"/>
  <c r="M95" i="1" s="1"/>
  <c r="K94" i="1"/>
  <c r="J94" i="1"/>
  <c r="I94" i="1"/>
  <c r="H94" i="1"/>
  <c r="G94" i="1"/>
  <c r="L93" i="1"/>
  <c r="K93" i="1"/>
  <c r="J93" i="1"/>
  <c r="I93" i="1"/>
  <c r="O93" i="1" s="1"/>
  <c r="H93" i="1"/>
  <c r="N93" i="1" s="1"/>
  <c r="G93" i="1"/>
  <c r="P93" i="1" s="1"/>
  <c r="L92" i="1"/>
  <c r="K92" i="1"/>
  <c r="J92" i="1"/>
  <c r="I92" i="1"/>
  <c r="O92" i="1" s="1"/>
  <c r="H92" i="1"/>
  <c r="Q92" i="1" s="1"/>
  <c r="G92" i="1"/>
  <c r="M92" i="1" s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F91" i="1"/>
  <c r="D91" i="1"/>
  <c r="C91" i="1"/>
  <c r="L90" i="1"/>
  <c r="K90" i="1"/>
  <c r="J90" i="1"/>
  <c r="I90" i="1"/>
  <c r="H90" i="1"/>
  <c r="N90" i="1" s="1"/>
  <c r="G90" i="1"/>
  <c r="P90" i="1" s="1"/>
  <c r="L89" i="1"/>
  <c r="K89" i="1"/>
  <c r="J89" i="1"/>
  <c r="I89" i="1"/>
  <c r="O89" i="1" s="1"/>
  <c r="H89" i="1"/>
  <c r="N89" i="1" s="1"/>
  <c r="G89" i="1"/>
  <c r="P89" i="1" s="1"/>
  <c r="L88" i="1"/>
  <c r="K88" i="1"/>
  <c r="J88" i="1"/>
  <c r="I88" i="1"/>
  <c r="R88" i="1" s="1"/>
  <c r="H88" i="1"/>
  <c r="N88" i="1" s="1"/>
  <c r="G88" i="1"/>
  <c r="L87" i="1"/>
  <c r="K87" i="1"/>
  <c r="J87" i="1"/>
  <c r="I87" i="1"/>
  <c r="O87" i="1" s="1"/>
  <c r="H87" i="1"/>
  <c r="Q87" i="1" s="1"/>
  <c r="G87" i="1"/>
  <c r="M87" i="1" s="1"/>
  <c r="L86" i="1"/>
  <c r="K86" i="1"/>
  <c r="J86" i="1"/>
  <c r="I86" i="1"/>
  <c r="R86" i="1" s="1"/>
  <c r="H86" i="1"/>
  <c r="N86" i="1" s="1"/>
  <c r="G86" i="1"/>
  <c r="P86" i="1" s="1"/>
  <c r="L85" i="1"/>
  <c r="K85" i="1"/>
  <c r="J85" i="1"/>
  <c r="I85" i="1"/>
  <c r="O85" i="1" s="1"/>
  <c r="H85" i="1"/>
  <c r="Q85" i="1" s="1"/>
  <c r="G85" i="1"/>
  <c r="P85" i="1" s="1"/>
  <c r="L84" i="1"/>
  <c r="K84" i="1"/>
  <c r="J84" i="1"/>
  <c r="I84" i="1"/>
  <c r="O84" i="1" s="1"/>
  <c r="H84" i="1"/>
  <c r="Q84" i="1" s="1"/>
  <c r="G84" i="1"/>
  <c r="P84" i="1" s="1"/>
  <c r="L83" i="1"/>
  <c r="K83" i="1"/>
  <c r="J83" i="1"/>
  <c r="I83" i="1"/>
  <c r="R83" i="1" s="1"/>
  <c r="H83" i="1"/>
  <c r="N83" i="1" s="1"/>
  <c r="G83" i="1"/>
  <c r="P83" i="1" s="1"/>
  <c r="L82" i="1"/>
  <c r="K82" i="1"/>
  <c r="J82" i="1"/>
  <c r="I82" i="1"/>
  <c r="O82" i="1" s="1"/>
  <c r="H82" i="1"/>
  <c r="Q82" i="1" s="1"/>
  <c r="G82" i="1"/>
  <c r="M82" i="1" s="1"/>
  <c r="L81" i="1"/>
  <c r="K81" i="1"/>
  <c r="J81" i="1"/>
  <c r="I81" i="1"/>
  <c r="R81" i="1" s="1"/>
  <c r="H81" i="1"/>
  <c r="N81" i="1" s="1"/>
  <c r="G81" i="1"/>
  <c r="L80" i="1"/>
  <c r="K80" i="1"/>
  <c r="J80" i="1"/>
  <c r="I80" i="1"/>
  <c r="O80" i="1" s="1"/>
  <c r="H80" i="1"/>
  <c r="Q80" i="1" s="1"/>
  <c r="G80" i="1"/>
  <c r="M80" i="1" s="1"/>
  <c r="L79" i="1"/>
  <c r="K79" i="1"/>
  <c r="J79" i="1"/>
  <c r="I79" i="1"/>
  <c r="R79" i="1" s="1"/>
  <c r="H79" i="1"/>
  <c r="N79" i="1" s="1"/>
  <c r="G79" i="1"/>
  <c r="P79" i="1" s="1"/>
  <c r="L78" i="1"/>
  <c r="K78" i="1"/>
  <c r="J78" i="1"/>
  <c r="I78" i="1"/>
  <c r="O78" i="1" s="1"/>
  <c r="H78" i="1"/>
  <c r="N78" i="1" s="1"/>
  <c r="G78" i="1"/>
  <c r="P78" i="1" s="1"/>
  <c r="L77" i="1"/>
  <c r="K77" i="1"/>
  <c r="J77" i="1"/>
  <c r="I77" i="1"/>
  <c r="H77" i="1"/>
  <c r="G77" i="1"/>
  <c r="L76" i="1"/>
  <c r="K76" i="1"/>
  <c r="J76" i="1"/>
  <c r="I76" i="1"/>
  <c r="H76" i="1"/>
  <c r="G76" i="1"/>
  <c r="P76" i="1" s="1"/>
  <c r="L75" i="1"/>
  <c r="K75" i="1"/>
  <c r="J75" i="1"/>
  <c r="I75" i="1"/>
  <c r="O75" i="1" s="1"/>
  <c r="H75" i="1"/>
  <c r="N75" i="1" s="1"/>
  <c r="G75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F74" i="1"/>
  <c r="E74" i="1"/>
  <c r="E73" i="1" s="1"/>
  <c r="D74" i="1"/>
  <c r="C74" i="1"/>
  <c r="Z68" i="1"/>
  <c r="H68" i="1" s="1"/>
  <c r="L68" i="1"/>
  <c r="J68" i="1"/>
  <c r="I68" i="1"/>
  <c r="R68" i="1" s="1"/>
  <c r="G68" i="1"/>
  <c r="M68" i="1" s="1"/>
  <c r="D68" i="1"/>
  <c r="D66" i="1" s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Y66" i="1"/>
  <c r="X66" i="1"/>
  <c r="W66" i="1"/>
  <c r="V66" i="1"/>
  <c r="U66" i="1"/>
  <c r="T66" i="1"/>
  <c r="S66" i="1"/>
  <c r="F66" i="1"/>
  <c r="C66" i="1"/>
  <c r="L65" i="1"/>
  <c r="K65" i="1"/>
  <c r="J65" i="1"/>
  <c r="I65" i="1"/>
  <c r="O65" i="1" s="1"/>
  <c r="H65" i="1"/>
  <c r="N65" i="1" s="1"/>
  <c r="G65" i="1"/>
  <c r="M65" i="1" s="1"/>
  <c r="AW64" i="1"/>
  <c r="AW61" i="1" s="1"/>
  <c r="AQ64" i="1"/>
  <c r="AQ61" i="1" s="1"/>
  <c r="AI64" i="1"/>
  <c r="AI61" i="1" s="1"/>
  <c r="AH64" i="1"/>
  <c r="AH61" i="1" s="1"/>
  <c r="AC64" i="1"/>
  <c r="AC61" i="1" s="1"/>
  <c r="Z64" i="1"/>
  <c r="Z61" i="1" s="1"/>
  <c r="W64" i="1"/>
  <c r="W61" i="1" s="1"/>
  <c r="L64" i="1"/>
  <c r="I64" i="1"/>
  <c r="R64" i="1" s="1"/>
  <c r="D64" i="1"/>
  <c r="D61" i="1" s="1"/>
  <c r="C64" i="1"/>
  <c r="L63" i="1"/>
  <c r="K63" i="1"/>
  <c r="J63" i="1"/>
  <c r="I63" i="1"/>
  <c r="R63" i="1" s="1"/>
  <c r="H63" i="1"/>
  <c r="N63" i="1" s="1"/>
  <c r="G63" i="1"/>
  <c r="C63" i="1"/>
  <c r="BE61" i="1"/>
  <c r="BD61" i="1"/>
  <c r="BC61" i="1"/>
  <c r="BB61" i="1"/>
  <c r="BA61" i="1"/>
  <c r="AZ61" i="1"/>
  <c r="AY61" i="1"/>
  <c r="AX61" i="1"/>
  <c r="AV61" i="1"/>
  <c r="AU61" i="1"/>
  <c r="AT61" i="1"/>
  <c r="AS61" i="1"/>
  <c r="AR61" i="1"/>
  <c r="AP61" i="1"/>
  <c r="AO61" i="1"/>
  <c r="AN61" i="1"/>
  <c r="AM61" i="1"/>
  <c r="AL61" i="1"/>
  <c r="AK61" i="1"/>
  <c r="AJ61" i="1"/>
  <c r="AG61" i="1"/>
  <c r="AF61" i="1"/>
  <c r="AE61" i="1"/>
  <c r="AD61" i="1"/>
  <c r="AB61" i="1"/>
  <c r="AA61" i="1"/>
  <c r="Y61" i="1"/>
  <c r="X61" i="1"/>
  <c r="V61" i="1"/>
  <c r="U61" i="1"/>
  <c r="T61" i="1"/>
  <c r="S61" i="1"/>
  <c r="F61" i="1"/>
  <c r="L60" i="1"/>
  <c r="K60" i="1"/>
  <c r="J60" i="1"/>
  <c r="I60" i="1"/>
  <c r="O60" i="1" s="1"/>
  <c r="H60" i="1"/>
  <c r="N60" i="1" s="1"/>
  <c r="G60" i="1"/>
  <c r="L58" i="1"/>
  <c r="K58" i="1"/>
  <c r="J58" i="1"/>
  <c r="I58" i="1"/>
  <c r="O58" i="1" s="1"/>
  <c r="H58" i="1"/>
  <c r="Q58" i="1" s="1"/>
  <c r="G58" i="1"/>
  <c r="C58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F57" i="1"/>
  <c r="D57" i="1"/>
  <c r="L55" i="1"/>
  <c r="K55" i="1"/>
  <c r="J55" i="1"/>
  <c r="I55" i="1"/>
  <c r="O55" i="1" s="1"/>
  <c r="H55" i="1"/>
  <c r="N55" i="1" s="1"/>
  <c r="G55" i="1"/>
  <c r="P55" i="1" s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F54" i="1"/>
  <c r="D54" i="1"/>
  <c r="C54" i="1"/>
  <c r="L51" i="1"/>
  <c r="K51" i="1"/>
  <c r="J51" i="1"/>
  <c r="I51" i="1"/>
  <c r="O51" i="1" s="1"/>
  <c r="H51" i="1"/>
  <c r="Q51" i="1" s="1"/>
  <c r="G51" i="1"/>
  <c r="M51" i="1" s="1"/>
  <c r="L50" i="1"/>
  <c r="K50" i="1"/>
  <c r="J50" i="1"/>
  <c r="I50" i="1"/>
  <c r="O50" i="1" s="1"/>
  <c r="H50" i="1"/>
  <c r="G50" i="1"/>
  <c r="M50" i="1" s="1"/>
  <c r="AO49" i="1"/>
  <c r="AO44" i="1" s="1"/>
  <c r="Z49" i="1"/>
  <c r="Z44" i="1" s="1"/>
  <c r="L49" i="1"/>
  <c r="J49" i="1"/>
  <c r="I49" i="1"/>
  <c r="O49" i="1" s="1"/>
  <c r="G49" i="1"/>
  <c r="M49" i="1" s="1"/>
  <c r="L48" i="1"/>
  <c r="K48" i="1"/>
  <c r="J48" i="1"/>
  <c r="I48" i="1"/>
  <c r="O48" i="1" s="1"/>
  <c r="H48" i="1"/>
  <c r="Q48" i="1" s="1"/>
  <c r="G48" i="1"/>
  <c r="M48" i="1" s="1"/>
  <c r="AW47" i="1"/>
  <c r="AN47" i="1"/>
  <c r="AE47" i="1"/>
  <c r="Y47" i="1"/>
  <c r="L47" i="1"/>
  <c r="I47" i="1"/>
  <c r="R47" i="1" s="1"/>
  <c r="H47" i="1"/>
  <c r="N47" i="1" s="1"/>
  <c r="C47" i="1"/>
  <c r="AE46" i="1"/>
  <c r="Y46" i="1"/>
  <c r="L46" i="1"/>
  <c r="K46" i="1"/>
  <c r="I46" i="1"/>
  <c r="O46" i="1" s="1"/>
  <c r="H46" i="1"/>
  <c r="N46" i="1" s="1"/>
  <c r="C46" i="1"/>
  <c r="AW45" i="1"/>
  <c r="AL45" i="1"/>
  <c r="H45" i="1" s="1"/>
  <c r="AH45" i="1"/>
  <c r="AH44" i="1" s="1"/>
  <c r="L45" i="1"/>
  <c r="I45" i="1"/>
  <c r="O45" i="1" s="1"/>
  <c r="D45" i="1"/>
  <c r="D44" i="1" s="1"/>
  <c r="C45" i="1"/>
  <c r="BE44" i="1"/>
  <c r="BD44" i="1"/>
  <c r="BC44" i="1"/>
  <c r="BB44" i="1"/>
  <c r="BA44" i="1"/>
  <c r="AZ44" i="1"/>
  <c r="AY44" i="1"/>
  <c r="AX44" i="1"/>
  <c r="AV44" i="1"/>
  <c r="AU44" i="1"/>
  <c r="AT44" i="1"/>
  <c r="AS44" i="1"/>
  <c r="AR44" i="1"/>
  <c r="AQ44" i="1"/>
  <c r="AP44" i="1"/>
  <c r="AM44" i="1"/>
  <c r="AK44" i="1"/>
  <c r="AJ44" i="1"/>
  <c r="AI44" i="1"/>
  <c r="AG44" i="1"/>
  <c r="AF44" i="1"/>
  <c r="AD44" i="1"/>
  <c r="AC44" i="1"/>
  <c r="AB44" i="1"/>
  <c r="AA44" i="1"/>
  <c r="X44" i="1"/>
  <c r="W44" i="1"/>
  <c r="V44" i="1"/>
  <c r="U44" i="1"/>
  <c r="T44" i="1"/>
  <c r="S44" i="1"/>
  <c r="F44" i="1"/>
  <c r="E43" i="1"/>
  <c r="L42" i="1"/>
  <c r="K42" i="1"/>
  <c r="J42" i="1"/>
  <c r="I42" i="1"/>
  <c r="O42" i="1" s="1"/>
  <c r="H42" i="1"/>
  <c r="N42" i="1" s="1"/>
  <c r="G42" i="1"/>
  <c r="P42" i="1" s="1"/>
  <c r="AQ41" i="1"/>
  <c r="AQ6" i="1" s="1"/>
  <c r="AH41" i="1"/>
  <c r="AB41" i="1"/>
  <c r="S41" i="1"/>
  <c r="S6" i="1" s="1"/>
  <c r="L41" i="1"/>
  <c r="K41" i="1"/>
  <c r="I41" i="1"/>
  <c r="O41" i="1" s="1"/>
  <c r="H41" i="1"/>
  <c r="N41" i="1" s="1"/>
  <c r="C41" i="1"/>
  <c r="L40" i="1"/>
  <c r="K40" i="1"/>
  <c r="J40" i="1"/>
  <c r="I40" i="1"/>
  <c r="O40" i="1" s="1"/>
  <c r="H40" i="1"/>
  <c r="N40" i="1" s="1"/>
  <c r="G40" i="1"/>
  <c r="P40" i="1" s="1"/>
  <c r="L39" i="1"/>
  <c r="K39" i="1"/>
  <c r="J39" i="1"/>
  <c r="I39" i="1"/>
  <c r="O39" i="1" s="1"/>
  <c r="H39" i="1"/>
  <c r="Q39" i="1" s="1"/>
  <c r="G39" i="1"/>
  <c r="M39" i="1" s="1"/>
  <c r="AX37" i="1"/>
  <c r="AX6" i="1" s="1"/>
  <c r="AR37" i="1"/>
  <c r="AO37" i="1"/>
  <c r="AO6" i="1" s="1"/>
  <c r="AC37" i="1"/>
  <c r="Z37" i="1"/>
  <c r="L37" i="1"/>
  <c r="J37" i="1"/>
  <c r="I37" i="1"/>
  <c r="G37" i="1"/>
  <c r="F37" i="1"/>
  <c r="C37" i="1"/>
  <c r="AV35" i="1"/>
  <c r="I35" i="1" s="1"/>
  <c r="AF35" i="1"/>
  <c r="AC35" i="1"/>
  <c r="J35" i="1"/>
  <c r="G35" i="1"/>
  <c r="F35" i="1"/>
  <c r="L33" i="1"/>
  <c r="K33" i="1"/>
  <c r="J33" i="1"/>
  <c r="I33" i="1"/>
  <c r="R33" i="1" s="1"/>
  <c r="H33" i="1"/>
  <c r="N33" i="1" s="1"/>
  <c r="G33" i="1"/>
  <c r="M33" i="1" s="1"/>
  <c r="AT32" i="1"/>
  <c r="AT6" i="1" s="1"/>
  <c r="AN32" i="1"/>
  <c r="AK32" i="1"/>
  <c r="AK6" i="1" s="1"/>
  <c r="AH32" i="1"/>
  <c r="L32" i="1"/>
  <c r="K32" i="1"/>
  <c r="I32" i="1"/>
  <c r="R32" i="1" s="1"/>
  <c r="H32" i="1"/>
  <c r="D32" i="1"/>
  <c r="C32" i="1"/>
  <c r="L31" i="1"/>
  <c r="K31" i="1"/>
  <c r="J31" i="1"/>
  <c r="I31" i="1"/>
  <c r="R31" i="1" s="1"/>
  <c r="H31" i="1"/>
  <c r="Q31" i="1" s="1"/>
  <c r="G31" i="1"/>
  <c r="C31" i="1"/>
  <c r="Z30" i="1"/>
  <c r="W30" i="1"/>
  <c r="T30" i="1"/>
  <c r="L30" i="1"/>
  <c r="J30" i="1"/>
  <c r="I30" i="1"/>
  <c r="R30" i="1" s="1"/>
  <c r="G30" i="1"/>
  <c r="D30" i="1"/>
  <c r="C30" i="1"/>
  <c r="L29" i="1"/>
  <c r="K29" i="1"/>
  <c r="J29" i="1"/>
  <c r="I29" i="1"/>
  <c r="R29" i="1" s="1"/>
  <c r="H29" i="1"/>
  <c r="N29" i="1" s="1"/>
  <c r="G29" i="1"/>
  <c r="C29" i="1"/>
  <c r="L28" i="1"/>
  <c r="K28" i="1"/>
  <c r="J28" i="1"/>
  <c r="I28" i="1"/>
  <c r="O28" i="1" s="1"/>
  <c r="H28" i="1"/>
  <c r="G28" i="1"/>
  <c r="M28" i="1" s="1"/>
  <c r="AH27" i="1"/>
  <c r="V27" i="1"/>
  <c r="L27" i="1"/>
  <c r="K27" i="1"/>
  <c r="I27" i="1"/>
  <c r="O27" i="1" s="1"/>
  <c r="H27" i="1"/>
  <c r="D27" i="1"/>
  <c r="C27" i="1"/>
  <c r="P65" i="1" s="1"/>
  <c r="L26" i="1"/>
  <c r="K26" i="1"/>
  <c r="J26" i="1"/>
  <c r="I26" i="1"/>
  <c r="O26" i="1" s="1"/>
  <c r="H26" i="1"/>
  <c r="N26" i="1" s="1"/>
  <c r="G26" i="1"/>
  <c r="AE25" i="1"/>
  <c r="J25" i="1" s="1"/>
  <c r="L25" i="1"/>
  <c r="K25" i="1"/>
  <c r="I25" i="1"/>
  <c r="O25" i="1" s="1"/>
  <c r="H25" i="1"/>
  <c r="C25" i="1"/>
  <c r="L24" i="1"/>
  <c r="K24" i="1"/>
  <c r="J24" i="1"/>
  <c r="I24" i="1"/>
  <c r="O24" i="1" s="1"/>
  <c r="H24" i="1"/>
  <c r="G24" i="1"/>
  <c r="P24" i="1" s="1"/>
  <c r="D24" i="1"/>
  <c r="W23" i="1"/>
  <c r="H23" i="1" s="1"/>
  <c r="L23" i="1"/>
  <c r="J23" i="1"/>
  <c r="I23" i="1"/>
  <c r="O23" i="1" s="1"/>
  <c r="G23" i="1"/>
  <c r="P23" i="1" s="1"/>
  <c r="D23" i="1"/>
  <c r="L22" i="1"/>
  <c r="K22" i="1"/>
  <c r="J22" i="1"/>
  <c r="I22" i="1"/>
  <c r="O22" i="1" s="1"/>
  <c r="H22" i="1"/>
  <c r="G22" i="1"/>
  <c r="P22" i="1" s="1"/>
  <c r="L21" i="1"/>
  <c r="K21" i="1"/>
  <c r="J21" i="1"/>
  <c r="I21" i="1"/>
  <c r="R21" i="1" s="1"/>
  <c r="H21" i="1"/>
  <c r="N21" i="1" s="1"/>
  <c r="G21" i="1"/>
  <c r="C21" i="1"/>
  <c r="L20" i="1"/>
  <c r="K20" i="1"/>
  <c r="J20" i="1"/>
  <c r="I20" i="1"/>
  <c r="O20" i="1" s="1"/>
  <c r="H20" i="1"/>
  <c r="G20" i="1"/>
  <c r="P20" i="1" s="1"/>
  <c r="L19" i="1"/>
  <c r="K19" i="1"/>
  <c r="J19" i="1"/>
  <c r="I19" i="1"/>
  <c r="O19" i="1" s="1"/>
  <c r="H19" i="1"/>
  <c r="G19" i="1"/>
  <c r="P19" i="1" s="1"/>
  <c r="L18" i="1"/>
  <c r="K18" i="1"/>
  <c r="J18" i="1"/>
  <c r="I18" i="1"/>
  <c r="R18" i="1" s="1"/>
  <c r="H18" i="1"/>
  <c r="N18" i="1" s="1"/>
  <c r="G18" i="1"/>
  <c r="L17" i="1"/>
  <c r="K17" i="1"/>
  <c r="J17" i="1"/>
  <c r="I17" i="1"/>
  <c r="O17" i="1" s="1"/>
  <c r="H17" i="1"/>
  <c r="N17" i="1" s="1"/>
  <c r="G17" i="1"/>
  <c r="L16" i="1"/>
  <c r="K16" i="1"/>
  <c r="J16" i="1"/>
  <c r="I16" i="1"/>
  <c r="O16" i="1" s="1"/>
  <c r="H16" i="1"/>
  <c r="Q16" i="1" s="1"/>
  <c r="G16" i="1"/>
  <c r="M16" i="1" s="1"/>
  <c r="L15" i="1"/>
  <c r="K15" i="1"/>
  <c r="J15" i="1"/>
  <c r="I15" i="1"/>
  <c r="R15" i="1" s="1"/>
  <c r="H15" i="1"/>
  <c r="G15" i="1"/>
  <c r="L14" i="1"/>
  <c r="K14" i="1"/>
  <c r="J14" i="1"/>
  <c r="I14" i="1"/>
  <c r="O14" i="1" s="1"/>
  <c r="H14" i="1"/>
  <c r="N14" i="1" s="1"/>
  <c r="G14" i="1"/>
  <c r="C14" i="1"/>
  <c r="AW13" i="1"/>
  <c r="AW6" i="1" s="1"/>
  <c r="AE13" i="1"/>
  <c r="T13" i="1"/>
  <c r="K13" i="1" s="1"/>
  <c r="L13" i="1"/>
  <c r="I13" i="1"/>
  <c r="C13" i="1"/>
  <c r="L12" i="1"/>
  <c r="K12" i="1"/>
  <c r="J12" i="1"/>
  <c r="I12" i="1"/>
  <c r="O12" i="1" s="1"/>
  <c r="H12" i="1"/>
  <c r="Q12" i="1" s="1"/>
  <c r="G12" i="1"/>
  <c r="C12" i="1"/>
  <c r="AE11" i="1"/>
  <c r="J11" i="1" s="1"/>
  <c r="L11" i="1"/>
  <c r="K11" i="1"/>
  <c r="I11" i="1"/>
  <c r="O11" i="1" s="1"/>
  <c r="H11" i="1"/>
  <c r="N11" i="1" s="1"/>
  <c r="C11" i="1"/>
  <c r="AH10" i="1"/>
  <c r="AE10" i="1"/>
  <c r="T10" i="1"/>
  <c r="K10" i="1" s="1"/>
  <c r="L10" i="1"/>
  <c r="I10" i="1"/>
  <c r="O10" i="1" s="1"/>
  <c r="C10" i="1"/>
  <c r="AH9" i="1"/>
  <c r="AE9" i="1"/>
  <c r="W9" i="1"/>
  <c r="H9" i="1" s="1"/>
  <c r="Q9" i="1" s="1"/>
  <c r="L9" i="1"/>
  <c r="I9" i="1"/>
  <c r="O9" i="1" s="1"/>
  <c r="C9" i="1"/>
  <c r="AI8" i="1"/>
  <c r="AI6" i="1" s="1"/>
  <c r="Z8" i="1"/>
  <c r="W8" i="1"/>
  <c r="L8" i="1"/>
  <c r="J8" i="1"/>
  <c r="I8" i="1"/>
  <c r="O8" i="1" s="1"/>
  <c r="G8" i="1"/>
  <c r="M8" i="1" s="1"/>
  <c r="D8" i="1"/>
  <c r="AH7" i="1"/>
  <c r="AB7" i="1"/>
  <c r="V7" i="1"/>
  <c r="L7" i="1"/>
  <c r="K7" i="1"/>
  <c r="I7" i="1"/>
  <c r="O7" i="1" s="1"/>
  <c r="H7" i="1"/>
  <c r="Q7" i="1" s="1"/>
  <c r="C7" i="1"/>
  <c r="BE6" i="1"/>
  <c r="BD6" i="1"/>
  <c r="BC6" i="1"/>
  <c r="BB6" i="1"/>
  <c r="BA6" i="1"/>
  <c r="AZ6" i="1"/>
  <c r="AY6" i="1"/>
  <c r="AU6" i="1"/>
  <c r="AS6" i="1"/>
  <c r="AR6" i="1"/>
  <c r="AP6" i="1"/>
  <c r="AN6" i="1"/>
  <c r="AM6" i="1"/>
  <c r="AL6" i="1"/>
  <c r="AJ6" i="1"/>
  <c r="AG6" i="1"/>
  <c r="AD6" i="1"/>
  <c r="AA6" i="1"/>
  <c r="Y6" i="1"/>
  <c r="X6" i="1"/>
  <c r="U6" i="1"/>
  <c r="E6" i="1"/>
  <c r="AH5" i="1"/>
  <c r="G5" i="1" s="1"/>
  <c r="M5" i="1" s="1"/>
  <c r="L5" i="1"/>
  <c r="K5" i="1"/>
  <c r="I5" i="1"/>
  <c r="O5" i="1" s="1"/>
  <c r="H5" i="1"/>
  <c r="H4" i="1" s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F4" i="1"/>
  <c r="D4" i="1"/>
  <c r="C4" i="1"/>
  <c r="N52" i="1" l="1"/>
  <c r="N53" i="1"/>
  <c r="O153" i="1"/>
  <c r="P59" i="1"/>
  <c r="AC6" i="1"/>
  <c r="V6" i="1"/>
  <c r="O72" i="1"/>
  <c r="W43" i="1"/>
  <c r="AV6" i="1"/>
  <c r="P71" i="1"/>
  <c r="M56" i="1"/>
  <c r="F6" i="1"/>
  <c r="Q56" i="1"/>
  <c r="Q59" i="1"/>
  <c r="Q154" i="1"/>
  <c r="Q153" i="1"/>
  <c r="AB6" i="1"/>
  <c r="Q71" i="1"/>
  <c r="Q62" i="1"/>
  <c r="R59" i="1"/>
  <c r="N155" i="1"/>
  <c r="O71" i="1"/>
  <c r="M62" i="1"/>
  <c r="O155" i="1"/>
  <c r="P72" i="1"/>
  <c r="N72" i="1"/>
  <c r="M153" i="1"/>
  <c r="O154" i="1"/>
  <c r="AG142" i="1"/>
  <c r="M155" i="1"/>
  <c r="M154" i="1"/>
  <c r="P100" i="1"/>
  <c r="P99" i="1"/>
  <c r="P98" i="1"/>
  <c r="N100" i="1"/>
  <c r="N99" i="1"/>
  <c r="N98" i="1"/>
  <c r="AP142" i="1"/>
  <c r="AV150" i="1"/>
  <c r="AV142" i="1" s="1"/>
  <c r="P111" i="1"/>
  <c r="P110" i="1"/>
  <c r="P109" i="1"/>
  <c r="Q108" i="1"/>
  <c r="AI142" i="1"/>
  <c r="AQ142" i="1"/>
  <c r="P108" i="1"/>
  <c r="N111" i="1"/>
  <c r="N110" i="1"/>
  <c r="N109" i="1"/>
  <c r="AR43" i="1"/>
  <c r="AV43" i="1"/>
  <c r="V43" i="1"/>
  <c r="AB43" i="1"/>
  <c r="AX43" i="1"/>
  <c r="BB43" i="1"/>
  <c r="AF142" i="1"/>
  <c r="AU43" i="1"/>
  <c r="AZ96" i="1"/>
  <c r="AZ73" i="1" s="1"/>
  <c r="W96" i="1"/>
  <c r="W73" i="1" s="1"/>
  <c r="AS96" i="1"/>
  <c r="AS73" i="1" s="1"/>
  <c r="I44" i="1"/>
  <c r="R44" i="1" s="1"/>
  <c r="AH134" i="1"/>
  <c r="J9" i="1"/>
  <c r="J45" i="1"/>
  <c r="G45" i="1"/>
  <c r="P45" i="1" s="1"/>
  <c r="AD96" i="1"/>
  <c r="AD73" i="1" s="1"/>
  <c r="S142" i="1"/>
  <c r="AA142" i="1"/>
  <c r="AE143" i="1"/>
  <c r="AE142" i="1" s="1"/>
  <c r="AJ142" i="1"/>
  <c r="AN142" i="1"/>
  <c r="AR142" i="1"/>
  <c r="AZ142" i="1"/>
  <c r="BD142" i="1"/>
  <c r="G46" i="1"/>
  <c r="M46" i="1" s="1"/>
  <c r="AO43" i="1"/>
  <c r="AY142" i="1"/>
  <c r="G57" i="1"/>
  <c r="V96" i="1"/>
  <c r="V73" i="1" s="1"/>
  <c r="AF96" i="1"/>
  <c r="AF73" i="1" s="1"/>
  <c r="K23" i="1"/>
  <c r="AC43" i="1"/>
  <c r="K158" i="1"/>
  <c r="AA134" i="1"/>
  <c r="AQ134" i="1"/>
  <c r="G112" i="1"/>
  <c r="AD134" i="1"/>
  <c r="AX134" i="1"/>
  <c r="T142" i="1"/>
  <c r="X142" i="1"/>
  <c r="AB142" i="1"/>
  <c r="AK142" i="1"/>
  <c r="AO142" i="1"/>
  <c r="AS142" i="1"/>
  <c r="AW142" i="1"/>
  <c r="BA142" i="1"/>
  <c r="BE142" i="1"/>
  <c r="D6" i="1"/>
  <c r="N32" i="1"/>
  <c r="AX142" i="1"/>
  <c r="AF43" i="1"/>
  <c r="AK43" i="1"/>
  <c r="G116" i="1"/>
  <c r="K135" i="1"/>
  <c r="X134" i="1"/>
  <c r="AB134" i="1"/>
  <c r="AF134" i="1"/>
  <c r="AJ134" i="1"/>
  <c r="AN134" i="1"/>
  <c r="AR134" i="1"/>
  <c r="AV134" i="1"/>
  <c r="AZ134" i="1"/>
  <c r="BD134" i="1"/>
  <c r="V142" i="1"/>
  <c r="Z142" i="1"/>
  <c r="AD142" i="1"/>
  <c r="AH143" i="1"/>
  <c r="AH142" i="1" s="1"/>
  <c r="AL142" i="1"/>
  <c r="AT142" i="1"/>
  <c r="BB142" i="1"/>
  <c r="G147" i="1"/>
  <c r="P147" i="1" s="1"/>
  <c r="J5" i="1"/>
  <c r="AH4" i="1"/>
  <c r="J4" i="1" s="1"/>
  <c r="D97" i="1"/>
  <c r="D96" i="1" s="1"/>
  <c r="D73" i="1" s="1"/>
  <c r="Q104" i="1"/>
  <c r="AR96" i="1"/>
  <c r="AR73" i="1" s="1"/>
  <c r="G128" i="1"/>
  <c r="P128" i="1" s="1"/>
  <c r="AT134" i="1"/>
  <c r="Z96" i="1"/>
  <c r="Z73" i="1" s="1"/>
  <c r="K97" i="1"/>
  <c r="G11" i="1"/>
  <c r="P11" i="1" s="1"/>
  <c r="M30" i="1"/>
  <c r="AA43" i="1"/>
  <c r="AQ43" i="1"/>
  <c r="AZ43" i="1"/>
  <c r="BD43" i="1"/>
  <c r="Z66" i="1"/>
  <c r="Z43" i="1" s="1"/>
  <c r="M84" i="1"/>
  <c r="AU96" i="1"/>
  <c r="AU73" i="1" s="1"/>
  <c r="AY96" i="1"/>
  <c r="AY73" i="1" s="1"/>
  <c r="BC96" i="1"/>
  <c r="BC73" i="1" s="1"/>
  <c r="F134" i="1"/>
  <c r="V134" i="1"/>
  <c r="Z134" i="1"/>
  <c r="AL134" i="1"/>
  <c r="AP134" i="1"/>
  <c r="AP133" i="1" s="1"/>
  <c r="BB134" i="1"/>
  <c r="G148" i="1"/>
  <c r="M148" i="1" s="1"/>
  <c r="S134" i="1"/>
  <c r="AE134" i="1"/>
  <c r="AI134" i="1"/>
  <c r="AU134" i="1"/>
  <c r="AY134" i="1"/>
  <c r="K9" i="1"/>
  <c r="H13" i="1"/>
  <c r="Q13" i="1" s="1"/>
  <c r="L35" i="1"/>
  <c r="AJ43" i="1"/>
  <c r="AP43" i="1"/>
  <c r="AT43" i="1"/>
  <c r="P50" i="1"/>
  <c r="M78" i="1"/>
  <c r="P5" i="1"/>
  <c r="H8" i="1"/>
  <c r="Q8" i="1" s="1"/>
  <c r="R9" i="1"/>
  <c r="M20" i="1"/>
  <c r="Q21" i="1"/>
  <c r="Q33" i="1"/>
  <c r="AH43" i="1"/>
  <c r="P49" i="1"/>
  <c r="S43" i="1"/>
  <c r="K64" i="1"/>
  <c r="K68" i="1"/>
  <c r="M85" i="1"/>
  <c r="Q90" i="1"/>
  <c r="G91" i="1"/>
  <c r="P91" i="1" s="1"/>
  <c r="P95" i="1"/>
  <c r="AW96" i="1"/>
  <c r="AW73" i="1" s="1"/>
  <c r="AN96" i="1"/>
  <c r="AN73" i="1" s="1"/>
  <c r="M117" i="1"/>
  <c r="R118" i="1"/>
  <c r="M118" i="1"/>
  <c r="L120" i="1"/>
  <c r="H125" i="1"/>
  <c r="N125" i="1" s="1"/>
  <c r="M125" i="1"/>
  <c r="Q126" i="1"/>
  <c r="W134" i="1"/>
  <c r="AM134" i="1"/>
  <c r="BC134" i="1"/>
  <c r="L139" i="1"/>
  <c r="J139" i="1"/>
  <c r="F142" i="1"/>
  <c r="I157" i="1"/>
  <c r="R157" i="1" s="1"/>
  <c r="L6" i="1"/>
  <c r="Q27" i="1"/>
  <c r="O79" i="1"/>
  <c r="AV96" i="1"/>
  <c r="AV73" i="1" s="1"/>
  <c r="BD96" i="1"/>
  <c r="BD73" i="1" s="1"/>
  <c r="R16" i="1"/>
  <c r="M24" i="1"/>
  <c r="K35" i="1"/>
  <c r="H49" i="1"/>
  <c r="N49" i="1" s="1"/>
  <c r="O83" i="1"/>
  <c r="K112" i="1"/>
  <c r="W142" i="1"/>
  <c r="AM142" i="1"/>
  <c r="AU142" i="1"/>
  <c r="BC142" i="1"/>
  <c r="P14" i="1"/>
  <c r="Q18" i="1"/>
  <c r="R22" i="1"/>
  <c r="R45" i="1"/>
  <c r="G54" i="1"/>
  <c r="P54" i="1" s="1"/>
  <c r="AG43" i="1"/>
  <c r="BA43" i="1"/>
  <c r="K106" i="1"/>
  <c r="AB96" i="1"/>
  <c r="AB73" i="1" s="1"/>
  <c r="AH96" i="1"/>
  <c r="AH73" i="1" s="1"/>
  <c r="AX96" i="1"/>
  <c r="AX73" i="1" s="1"/>
  <c r="F96" i="1"/>
  <c r="F73" i="1" s="1"/>
  <c r="R119" i="1"/>
  <c r="M126" i="1"/>
  <c r="R127" i="1"/>
  <c r="J128" i="1"/>
  <c r="N137" i="1"/>
  <c r="K143" i="1"/>
  <c r="Q149" i="1"/>
  <c r="R58" i="1"/>
  <c r="R75" i="1"/>
  <c r="AF6" i="1"/>
  <c r="J7" i="1"/>
  <c r="P8" i="1"/>
  <c r="H10" i="1"/>
  <c r="Q10" i="1" s="1"/>
  <c r="G10" i="1"/>
  <c r="P10" i="1" s="1"/>
  <c r="P16" i="1"/>
  <c r="R17" i="1"/>
  <c r="R25" i="1"/>
  <c r="R26" i="1"/>
  <c r="M29" i="1"/>
  <c r="O32" i="1"/>
  <c r="Q50" i="1"/>
  <c r="N50" i="1"/>
  <c r="N54" i="1"/>
  <c r="R90" i="1"/>
  <c r="O90" i="1"/>
  <c r="AL96" i="1"/>
  <c r="AL73" i="1" s="1"/>
  <c r="AP96" i="1"/>
  <c r="AP73" i="1" s="1"/>
  <c r="N123" i="1"/>
  <c r="N120" i="1" s="1"/>
  <c r="H120" i="1"/>
  <c r="Q120" i="1" s="1"/>
  <c r="O126" i="1"/>
  <c r="O124" i="1" s="1"/>
  <c r="I124" i="1"/>
  <c r="R124" i="1" s="1"/>
  <c r="Q138" i="1"/>
  <c r="H135" i="1"/>
  <c r="Q135" i="1" s="1"/>
  <c r="R23" i="1"/>
  <c r="K120" i="1"/>
  <c r="G4" i="1"/>
  <c r="N12" i="1"/>
  <c r="R19" i="1"/>
  <c r="N23" i="1"/>
  <c r="K30" i="1"/>
  <c r="AM43" i="1"/>
  <c r="G47" i="1"/>
  <c r="M47" i="1" s="1"/>
  <c r="AN44" i="1"/>
  <c r="AN43" i="1" s="1"/>
  <c r="R48" i="1"/>
  <c r="N24" i="1"/>
  <c r="M40" i="1"/>
  <c r="M42" i="1"/>
  <c r="X43" i="1"/>
  <c r="AI43" i="1"/>
  <c r="AS43" i="1"/>
  <c r="K45" i="1"/>
  <c r="AL44" i="1"/>
  <c r="AL43" i="1" s="1"/>
  <c r="BE43" i="1"/>
  <c r="R60" i="1"/>
  <c r="R82" i="1"/>
  <c r="O86" i="1"/>
  <c r="K91" i="1"/>
  <c r="R92" i="1"/>
  <c r="G120" i="1"/>
  <c r="P120" i="1" s="1"/>
  <c r="Q141" i="1"/>
  <c r="N141" i="1"/>
  <c r="N139" i="1" s="1"/>
  <c r="D142" i="1"/>
  <c r="K37" i="1"/>
  <c r="AY43" i="1"/>
  <c r="BC43" i="1"/>
  <c r="O47" i="1"/>
  <c r="O44" i="1" s="1"/>
  <c r="I66" i="1"/>
  <c r="R66" i="1" s="1"/>
  <c r="Q79" i="1"/>
  <c r="Q83" i="1"/>
  <c r="N84" i="1"/>
  <c r="N85" i="1"/>
  <c r="Q86" i="1"/>
  <c r="M89" i="1"/>
  <c r="Q93" i="1"/>
  <c r="S96" i="1"/>
  <c r="S73" i="1" s="1"/>
  <c r="AA96" i="1"/>
  <c r="AA73" i="1" s="1"/>
  <c r="AE96" i="1"/>
  <c r="AE73" i="1" s="1"/>
  <c r="AI96" i="1"/>
  <c r="AI73" i="1" s="1"/>
  <c r="AM96" i="1"/>
  <c r="AM73" i="1" s="1"/>
  <c r="AQ96" i="1"/>
  <c r="AQ73" i="1" s="1"/>
  <c r="J106" i="1"/>
  <c r="L116" i="1"/>
  <c r="M123" i="1"/>
  <c r="L128" i="1"/>
  <c r="K128" i="1"/>
  <c r="G135" i="1"/>
  <c r="P135" i="1" s="1"/>
  <c r="U134" i="1"/>
  <c r="U133" i="1" s="1"/>
  <c r="Y134" i="1"/>
  <c r="Y133" i="1" s="1"/>
  <c r="AC134" i="1"/>
  <c r="AC133" i="1" s="1"/>
  <c r="AG134" i="1"/>
  <c r="AK134" i="1"/>
  <c r="AO134" i="1"/>
  <c r="AS134" i="1"/>
  <c r="AW134" i="1"/>
  <c r="BA134" i="1"/>
  <c r="BE134" i="1"/>
  <c r="BE133" i="1" s="1"/>
  <c r="I139" i="1"/>
  <c r="R139" i="1" s="1"/>
  <c r="T96" i="1"/>
  <c r="T73" i="1" s="1"/>
  <c r="X96" i="1"/>
  <c r="X73" i="1" s="1"/>
  <c r="AJ96" i="1"/>
  <c r="AJ73" i="1" s="1"/>
  <c r="BA96" i="1"/>
  <c r="BA73" i="1" s="1"/>
  <c r="L97" i="1"/>
  <c r="M102" i="1"/>
  <c r="J124" i="1"/>
  <c r="Q130" i="1"/>
  <c r="R39" i="1"/>
  <c r="U43" i="1"/>
  <c r="R51" i="1"/>
  <c r="T43" i="1"/>
  <c r="K54" i="1"/>
  <c r="K57" i="1"/>
  <c r="J64" i="1"/>
  <c r="I74" i="1"/>
  <c r="R74" i="1" s="1"/>
  <c r="L91" i="1"/>
  <c r="I91" i="1"/>
  <c r="R91" i="1" s="1"/>
  <c r="H91" i="1"/>
  <c r="Q91" i="1" s="1"/>
  <c r="U96" i="1"/>
  <c r="U73" i="1" s="1"/>
  <c r="Y96" i="1"/>
  <c r="Y73" i="1" s="1"/>
  <c r="AC96" i="1"/>
  <c r="AC73" i="1" s="1"/>
  <c r="AK96" i="1"/>
  <c r="AK73" i="1" s="1"/>
  <c r="AO96" i="1"/>
  <c r="AO73" i="1" s="1"/>
  <c r="AT96" i="1"/>
  <c r="AT73" i="1" s="1"/>
  <c r="BB96" i="1"/>
  <c r="BB73" i="1" s="1"/>
  <c r="R105" i="1"/>
  <c r="I107" i="1"/>
  <c r="R107" i="1" s="1"/>
  <c r="E133" i="1"/>
  <c r="E3" i="1" s="1"/>
  <c r="I143" i="1"/>
  <c r="R143" i="1" s="1"/>
  <c r="K150" i="1"/>
  <c r="I4" i="1"/>
  <c r="K4" i="1"/>
  <c r="M4" i="1"/>
  <c r="T6" i="1"/>
  <c r="N7" i="1"/>
  <c r="J10" i="1"/>
  <c r="R14" i="1"/>
  <c r="O15" i="1"/>
  <c r="Z6" i="1"/>
  <c r="K8" i="1"/>
  <c r="N9" i="1"/>
  <c r="AE6" i="1"/>
  <c r="R10" i="1"/>
  <c r="M12" i="1"/>
  <c r="O13" i="1"/>
  <c r="R13" i="1"/>
  <c r="G13" i="1"/>
  <c r="M13" i="1" s="1"/>
  <c r="J13" i="1"/>
  <c r="M17" i="1"/>
  <c r="P17" i="1"/>
  <c r="M22" i="1"/>
  <c r="G25" i="1"/>
  <c r="M25" i="1" s="1"/>
  <c r="M26" i="1"/>
  <c r="P26" i="1"/>
  <c r="N31" i="1"/>
  <c r="P37" i="1"/>
  <c r="M19" i="1"/>
  <c r="O21" i="1"/>
  <c r="Q22" i="1"/>
  <c r="N22" i="1"/>
  <c r="Q24" i="1"/>
  <c r="Q25" i="1"/>
  <c r="N25" i="1"/>
  <c r="L4" i="1"/>
  <c r="R8" i="1"/>
  <c r="R11" i="1"/>
  <c r="N15" i="1"/>
  <c r="Q15" i="1"/>
  <c r="O18" i="1"/>
  <c r="Q19" i="1"/>
  <c r="N19" i="1"/>
  <c r="M23" i="1"/>
  <c r="J27" i="1"/>
  <c r="G27" i="1"/>
  <c r="P27" i="1" s="1"/>
  <c r="Q28" i="1"/>
  <c r="N28" i="1"/>
  <c r="H35" i="1"/>
  <c r="Q35" i="1" s="1"/>
  <c r="M37" i="1"/>
  <c r="O4" i="1"/>
  <c r="G7" i="1"/>
  <c r="P7" i="1" s="1"/>
  <c r="W6" i="1"/>
  <c r="M14" i="1"/>
  <c r="N20" i="1"/>
  <c r="Q20" i="1"/>
  <c r="M35" i="1"/>
  <c r="P35" i="1"/>
  <c r="N16" i="1"/>
  <c r="P31" i="1"/>
  <c r="J32" i="1"/>
  <c r="H37" i="1"/>
  <c r="N37" i="1" s="1"/>
  <c r="Q40" i="1"/>
  <c r="G41" i="1"/>
  <c r="M41" i="1" s="1"/>
  <c r="F43" i="1"/>
  <c r="Q45" i="1"/>
  <c r="R46" i="1"/>
  <c r="K47" i="1"/>
  <c r="J47" i="1"/>
  <c r="N48" i="1"/>
  <c r="K49" i="1"/>
  <c r="N51" i="1"/>
  <c r="Q55" i="1"/>
  <c r="O57" i="1"/>
  <c r="N58" i="1"/>
  <c r="N57" i="1" s="1"/>
  <c r="P60" i="1"/>
  <c r="C61" i="1"/>
  <c r="I61" i="1"/>
  <c r="R61" i="1" s="1"/>
  <c r="P63" i="1"/>
  <c r="Q63" i="1"/>
  <c r="O64" i="1"/>
  <c r="G64" i="1"/>
  <c r="P64" i="1" s="1"/>
  <c r="R76" i="1"/>
  <c r="M77" i="1"/>
  <c r="P81" i="1"/>
  <c r="R87" i="1"/>
  <c r="M88" i="1"/>
  <c r="R93" i="1"/>
  <c r="G97" i="1"/>
  <c r="P97" i="1" s="1"/>
  <c r="I97" i="1"/>
  <c r="R97" i="1" s="1"/>
  <c r="H102" i="1"/>
  <c r="N102" i="1" s="1"/>
  <c r="J112" i="1"/>
  <c r="K116" i="1"/>
  <c r="K124" i="1"/>
  <c r="L44" i="1"/>
  <c r="P48" i="1"/>
  <c r="P51" i="1"/>
  <c r="J54" i="1"/>
  <c r="J57" i="1"/>
  <c r="M58" i="1"/>
  <c r="J61" i="1"/>
  <c r="H64" i="1"/>
  <c r="Q64" i="1" s="1"/>
  <c r="J66" i="1"/>
  <c r="Q75" i="1"/>
  <c r="P77" i="1"/>
  <c r="Q78" i="1"/>
  <c r="P88" i="1"/>
  <c r="Q89" i="1"/>
  <c r="C96" i="1"/>
  <c r="C73" i="1" s="1"/>
  <c r="L107" i="1"/>
  <c r="G106" i="1"/>
  <c r="D43" i="1"/>
  <c r="R49" i="1"/>
  <c r="O76" i="1"/>
  <c r="J91" i="1"/>
  <c r="P12" i="1"/>
  <c r="M21" i="1"/>
  <c r="Q23" i="1"/>
  <c r="N27" i="1"/>
  <c r="H30" i="1"/>
  <c r="Q30" i="1" s="1"/>
  <c r="N39" i="1"/>
  <c r="J41" i="1"/>
  <c r="C44" i="1"/>
  <c r="AW44" i="1"/>
  <c r="AW43" i="1" s="1"/>
  <c r="Q47" i="1"/>
  <c r="R50" i="1"/>
  <c r="H54" i="1"/>
  <c r="Q54" i="1" s="1"/>
  <c r="L54" i="1"/>
  <c r="M55" i="1"/>
  <c r="I57" i="1"/>
  <c r="R57" i="1" s="1"/>
  <c r="L57" i="1"/>
  <c r="K61" i="1"/>
  <c r="L61" i="1"/>
  <c r="O63" i="1"/>
  <c r="O68" i="1"/>
  <c r="M81" i="1"/>
  <c r="BE96" i="1"/>
  <c r="BE73" i="1" s="1"/>
  <c r="M103" i="1"/>
  <c r="P103" i="1"/>
  <c r="H106" i="1"/>
  <c r="K102" i="1"/>
  <c r="I112" i="1"/>
  <c r="L112" i="1"/>
  <c r="Q117" i="1"/>
  <c r="Q116" i="1" s="1"/>
  <c r="Q118" i="1"/>
  <c r="N119" i="1"/>
  <c r="N116" i="1" s="1"/>
  <c r="O121" i="1"/>
  <c r="O120" i="1" s="1"/>
  <c r="M122" i="1"/>
  <c r="Q123" i="1"/>
  <c r="G124" i="1"/>
  <c r="L124" i="1"/>
  <c r="K125" i="1"/>
  <c r="N127" i="1"/>
  <c r="I128" i="1"/>
  <c r="R128" i="1" s="1"/>
  <c r="O131" i="1"/>
  <c r="O128" i="1" s="1"/>
  <c r="T134" i="1"/>
  <c r="Q136" i="1"/>
  <c r="G139" i="1"/>
  <c r="R141" i="1"/>
  <c r="H143" i="1"/>
  <c r="Q147" i="1"/>
  <c r="R148" i="1"/>
  <c r="N149" i="1"/>
  <c r="I156" i="1"/>
  <c r="R156" i="1" s="1"/>
  <c r="M156" i="1"/>
  <c r="O146" i="1"/>
  <c r="O143" i="1" s="1"/>
  <c r="Q156" i="1"/>
  <c r="J120" i="1"/>
  <c r="P132" i="1"/>
  <c r="R137" i="1"/>
  <c r="O138" i="1"/>
  <c r="O135" i="1" s="1"/>
  <c r="K139" i="1"/>
  <c r="H112" i="1"/>
  <c r="O114" i="1"/>
  <c r="O115" i="1"/>
  <c r="H116" i="1"/>
  <c r="J116" i="1"/>
  <c r="O118" i="1"/>
  <c r="O116" i="1" s="1"/>
  <c r="I120" i="1"/>
  <c r="R120" i="1" s="1"/>
  <c r="H128" i="1"/>
  <c r="Q128" i="1" s="1"/>
  <c r="N130" i="1"/>
  <c r="N128" i="1" s="1"/>
  <c r="C134" i="1"/>
  <c r="D134" i="1"/>
  <c r="I135" i="1"/>
  <c r="M136" i="1"/>
  <c r="C143" i="1"/>
  <c r="L143" i="1"/>
  <c r="M147" i="1"/>
  <c r="N148" i="1"/>
  <c r="M149" i="1"/>
  <c r="H150" i="1"/>
  <c r="Q150" i="1" s="1"/>
  <c r="J150" i="1"/>
  <c r="O151" i="1"/>
  <c r="P152" i="1"/>
  <c r="J157" i="1"/>
  <c r="L157" i="1"/>
  <c r="O158" i="1"/>
  <c r="Q4" i="1"/>
  <c r="P28" i="1"/>
  <c r="P29" i="1"/>
  <c r="O31" i="1"/>
  <c r="O35" i="1"/>
  <c r="R35" i="1"/>
  <c r="Q5" i="1"/>
  <c r="I6" i="1"/>
  <c r="R6" i="1" s="1"/>
  <c r="R7" i="1"/>
  <c r="G9" i="1"/>
  <c r="M9" i="1" s="1"/>
  <c r="Q11" i="1"/>
  <c r="R12" i="1"/>
  <c r="Q14" i="1"/>
  <c r="P15" i="1"/>
  <c r="Q17" i="1"/>
  <c r="P18" i="1"/>
  <c r="R20" i="1"/>
  <c r="P21" i="1"/>
  <c r="R24" i="1"/>
  <c r="Q26" i="1"/>
  <c r="R27" i="1"/>
  <c r="R28" i="1"/>
  <c r="Q29" i="1"/>
  <c r="P30" i="1"/>
  <c r="Q32" i="1"/>
  <c r="O37" i="1"/>
  <c r="R37" i="1"/>
  <c r="H66" i="1"/>
  <c r="Q66" i="1" s="1"/>
  <c r="Q68" i="1"/>
  <c r="N5" i="1"/>
  <c r="N4" i="1" s="1"/>
  <c r="AH6" i="1"/>
  <c r="M15" i="1"/>
  <c r="M18" i="1"/>
  <c r="M31" i="1"/>
  <c r="P33" i="1"/>
  <c r="O33" i="1"/>
  <c r="O54" i="1"/>
  <c r="R5" i="1"/>
  <c r="C6" i="1"/>
  <c r="O29" i="1"/>
  <c r="O30" i="1"/>
  <c r="G32" i="1"/>
  <c r="N45" i="1"/>
  <c r="Q65" i="1"/>
  <c r="L66" i="1"/>
  <c r="P68" i="1"/>
  <c r="Q76" i="1"/>
  <c r="N76" i="1"/>
  <c r="R77" i="1"/>
  <c r="O77" i="1"/>
  <c r="R40" i="1"/>
  <c r="Q41" i="1"/>
  <c r="Q42" i="1"/>
  <c r="AE44" i="1"/>
  <c r="AE43" i="1" s="1"/>
  <c r="Q46" i="1"/>
  <c r="R55" i="1"/>
  <c r="C57" i="1"/>
  <c r="H57" i="1"/>
  <c r="M60" i="1"/>
  <c r="Q60" i="1"/>
  <c r="R65" i="1"/>
  <c r="G66" i="1"/>
  <c r="L74" i="1"/>
  <c r="J74" i="1"/>
  <c r="L106" i="1"/>
  <c r="AG96" i="1"/>
  <c r="AG73" i="1" s="1"/>
  <c r="P39" i="1"/>
  <c r="R41" i="1"/>
  <c r="R42" i="1"/>
  <c r="AD43" i="1"/>
  <c r="J46" i="1"/>
  <c r="I54" i="1"/>
  <c r="P58" i="1"/>
  <c r="M63" i="1"/>
  <c r="M66" i="1"/>
  <c r="K74" i="1"/>
  <c r="Y44" i="1"/>
  <c r="N68" i="1"/>
  <c r="N66" i="1" s="1"/>
  <c r="H74" i="1"/>
  <c r="P75" i="1"/>
  <c r="M75" i="1"/>
  <c r="G74" i="1"/>
  <c r="M76" i="1"/>
  <c r="N77" i="1"/>
  <c r="Q77" i="1"/>
  <c r="N112" i="1"/>
  <c r="M79" i="1"/>
  <c r="N80" i="1"/>
  <c r="O81" i="1"/>
  <c r="N82" i="1"/>
  <c r="M83" i="1"/>
  <c r="M86" i="1"/>
  <c r="N87" i="1"/>
  <c r="O88" i="1"/>
  <c r="M90" i="1"/>
  <c r="N92" i="1"/>
  <c r="N91" i="1" s="1"/>
  <c r="M93" i="1"/>
  <c r="M91" i="1" s="1"/>
  <c r="O95" i="1"/>
  <c r="O91" i="1" s="1"/>
  <c r="J97" i="1"/>
  <c r="M101" i="1"/>
  <c r="Q101" i="1"/>
  <c r="M104" i="1"/>
  <c r="N105" i="1"/>
  <c r="O113" i="1"/>
  <c r="P129" i="1"/>
  <c r="P130" i="1"/>
  <c r="N101" i="1"/>
  <c r="R101" i="1"/>
  <c r="Q103" i="1"/>
  <c r="R104" i="1"/>
  <c r="P107" i="1"/>
  <c r="P106" i="1" s="1"/>
  <c r="P113" i="1"/>
  <c r="P112" i="1" s="1"/>
  <c r="P114" i="1"/>
  <c r="P115" i="1"/>
  <c r="R117" i="1"/>
  <c r="R116" i="1" s="1"/>
  <c r="P121" i="1"/>
  <c r="Q122" i="1"/>
  <c r="R123" i="1"/>
  <c r="R126" i="1"/>
  <c r="M129" i="1"/>
  <c r="M128" i="1" s="1"/>
  <c r="Q129" i="1"/>
  <c r="R78" i="1"/>
  <c r="P80" i="1"/>
  <c r="Q81" i="1"/>
  <c r="P82" i="1"/>
  <c r="R84" i="1"/>
  <c r="R85" i="1"/>
  <c r="P87" i="1"/>
  <c r="Q88" i="1"/>
  <c r="R89" i="1"/>
  <c r="P92" i="1"/>
  <c r="Q95" i="1"/>
  <c r="O101" i="1"/>
  <c r="R102" i="1"/>
  <c r="R103" i="1"/>
  <c r="P105" i="1"/>
  <c r="Q107" i="1"/>
  <c r="Q106" i="1" s="1"/>
  <c r="M113" i="1"/>
  <c r="Q113" i="1"/>
  <c r="Q112" i="1" s="1"/>
  <c r="M114" i="1"/>
  <c r="Q114" i="1"/>
  <c r="M115" i="1"/>
  <c r="Q115" i="1"/>
  <c r="I116" i="1"/>
  <c r="P119" i="1"/>
  <c r="M121" i="1"/>
  <c r="Q121" i="1"/>
  <c r="R122" i="1"/>
  <c r="R125" i="1"/>
  <c r="P127" i="1"/>
  <c r="R129" i="1"/>
  <c r="R130" i="1"/>
  <c r="Q132" i="1"/>
  <c r="K157" i="1"/>
  <c r="L135" i="1"/>
  <c r="M137" i="1"/>
  <c r="N138" i="1"/>
  <c r="O140" i="1"/>
  <c r="O139" i="1" s="1"/>
  <c r="N146" i="1"/>
  <c r="N151" i="1"/>
  <c r="O152" i="1"/>
  <c r="J135" i="1"/>
  <c r="R136" i="1"/>
  <c r="P138" i="1"/>
  <c r="M140" i="1"/>
  <c r="M139" i="1" s="1"/>
  <c r="Q140" i="1"/>
  <c r="P146" i="1"/>
  <c r="R147" i="1"/>
  <c r="R149" i="1"/>
  <c r="P151" i="1"/>
  <c r="M152" i="1"/>
  <c r="Q152" i="1"/>
  <c r="H158" i="1"/>
  <c r="P158" i="1"/>
  <c r="H139" i="1"/>
  <c r="G150" i="1"/>
  <c r="G157" i="1"/>
  <c r="L150" i="1" l="1"/>
  <c r="AS133" i="1"/>
  <c r="AS3" i="1" s="1"/>
  <c r="M116" i="1"/>
  <c r="AG133" i="1"/>
  <c r="AG3" i="1" s="1"/>
  <c r="P46" i="1"/>
  <c r="AI133" i="1"/>
  <c r="AI3" i="1" s="1"/>
  <c r="AF133" i="1"/>
  <c r="AF3" i="1" s="1"/>
  <c r="R4" i="1"/>
  <c r="P4" i="1"/>
  <c r="L142" i="1"/>
  <c r="M10" i="1"/>
  <c r="D133" i="1"/>
  <c r="AQ133" i="1"/>
  <c r="AQ3" i="1" s="1"/>
  <c r="M124" i="1"/>
  <c r="AU133" i="1"/>
  <c r="AU3" i="1" s="1"/>
  <c r="X133" i="1"/>
  <c r="X3" i="1" s="1"/>
  <c r="AL133" i="1"/>
  <c r="AL3" i="1" s="1"/>
  <c r="BD133" i="1"/>
  <c r="BD3" i="1" s="1"/>
  <c r="AN133" i="1"/>
  <c r="AN3" i="1" s="1"/>
  <c r="K66" i="1"/>
  <c r="AT133" i="1"/>
  <c r="AT3" i="1" s="1"/>
  <c r="AA133" i="1"/>
  <c r="AA3" i="1" s="1"/>
  <c r="N135" i="1"/>
  <c r="N134" i="1" s="1"/>
  <c r="G44" i="1"/>
  <c r="P44" i="1" s="1"/>
  <c r="G134" i="1"/>
  <c r="P134" i="1" s="1"/>
  <c r="K96" i="1"/>
  <c r="AP3" i="1"/>
  <c r="AR133" i="1"/>
  <c r="AR3" i="1" s="1"/>
  <c r="AZ133" i="1"/>
  <c r="AZ3" i="1" s="1"/>
  <c r="N124" i="1"/>
  <c r="BB133" i="1"/>
  <c r="BB3" i="1" s="1"/>
  <c r="AV133" i="1"/>
  <c r="AV3" i="1" s="1"/>
  <c r="AE133" i="1"/>
  <c r="AE3" i="1" s="1"/>
  <c r="J134" i="1"/>
  <c r="AJ133" i="1"/>
  <c r="AJ3" i="1" s="1"/>
  <c r="N35" i="1"/>
  <c r="K142" i="1"/>
  <c r="AO133" i="1"/>
  <c r="AO3" i="1" s="1"/>
  <c r="T133" i="1"/>
  <c r="T3" i="1" s="1"/>
  <c r="M45" i="1"/>
  <c r="M44" i="1" s="1"/>
  <c r="K44" i="1"/>
  <c r="BC133" i="1"/>
  <c r="BC3" i="1" s="1"/>
  <c r="H124" i="1"/>
  <c r="Q124" i="1" s="1"/>
  <c r="Q125" i="1"/>
  <c r="M64" i="1"/>
  <c r="M61" i="1" s="1"/>
  <c r="W133" i="1"/>
  <c r="W3" i="1" s="1"/>
  <c r="J142" i="1"/>
  <c r="P47" i="1"/>
  <c r="J143" i="1"/>
  <c r="I134" i="1"/>
  <c r="R134" i="1" s="1"/>
  <c r="BA133" i="1"/>
  <c r="AK133" i="1"/>
  <c r="AK3" i="1" s="1"/>
  <c r="AY133" i="1"/>
  <c r="AY3" i="1" s="1"/>
  <c r="S133" i="1"/>
  <c r="S3" i="1" s="1"/>
  <c r="Q49" i="1"/>
  <c r="I106" i="1"/>
  <c r="I96" i="1" s="1"/>
  <c r="I73" i="1" s="1"/>
  <c r="R73" i="1" s="1"/>
  <c r="AW133" i="1"/>
  <c r="AW3" i="1" s="1"/>
  <c r="AH133" i="1"/>
  <c r="AH3" i="1" s="1"/>
  <c r="BA3" i="1"/>
  <c r="N13" i="1"/>
  <c r="AD133" i="1"/>
  <c r="AD3" i="1" s="1"/>
  <c r="O107" i="1"/>
  <c r="O106" i="1" s="1"/>
  <c r="N8" i="1"/>
  <c r="P41" i="1"/>
  <c r="P13" i="1"/>
  <c r="O66" i="1"/>
  <c r="O61" i="1"/>
  <c r="AB133" i="1"/>
  <c r="AB3" i="1" s="1"/>
  <c r="P25" i="1"/>
  <c r="AX133" i="1"/>
  <c r="AX3" i="1" s="1"/>
  <c r="V133" i="1"/>
  <c r="M135" i="1"/>
  <c r="M134" i="1" s="1"/>
  <c r="M120" i="1"/>
  <c r="L96" i="1"/>
  <c r="L134" i="1"/>
  <c r="Z133" i="1"/>
  <c r="Z3" i="1" s="1"/>
  <c r="O157" i="1"/>
  <c r="F133" i="1"/>
  <c r="F3" i="1" s="1"/>
  <c r="N64" i="1"/>
  <c r="N61" i="1" s="1"/>
  <c r="N143" i="1"/>
  <c r="M106" i="1"/>
  <c r="G61" i="1"/>
  <c r="N44" i="1"/>
  <c r="Q37" i="1"/>
  <c r="M7" i="1"/>
  <c r="M11" i="1"/>
  <c r="P148" i="1"/>
  <c r="G143" i="1"/>
  <c r="P143" i="1" s="1"/>
  <c r="M150" i="1"/>
  <c r="N106" i="1"/>
  <c r="M57" i="1"/>
  <c r="N150" i="1"/>
  <c r="O97" i="1"/>
  <c r="O112" i="1"/>
  <c r="M27" i="1"/>
  <c r="K134" i="1"/>
  <c r="M54" i="1"/>
  <c r="K6" i="1"/>
  <c r="H44" i="1"/>
  <c r="Q44" i="1" s="1"/>
  <c r="AM133" i="1"/>
  <c r="O74" i="1"/>
  <c r="R106" i="1"/>
  <c r="H6" i="1"/>
  <c r="N10" i="1"/>
  <c r="K73" i="1"/>
  <c r="N30" i="1"/>
  <c r="J73" i="1"/>
  <c r="U3" i="1"/>
  <c r="O156" i="1"/>
  <c r="O150" i="1" s="1"/>
  <c r="O142" i="1" s="1"/>
  <c r="I150" i="1"/>
  <c r="P124" i="1"/>
  <c r="R135" i="1"/>
  <c r="M143" i="1"/>
  <c r="O134" i="1"/>
  <c r="M97" i="1"/>
  <c r="J96" i="1"/>
  <c r="O6" i="1"/>
  <c r="Q143" i="1"/>
  <c r="H142" i="1"/>
  <c r="Q142" i="1" s="1"/>
  <c r="K43" i="1"/>
  <c r="C142" i="1"/>
  <c r="Q102" i="1"/>
  <c r="H97" i="1"/>
  <c r="AC3" i="1"/>
  <c r="M157" i="1"/>
  <c r="H61" i="1"/>
  <c r="Q61" i="1" s="1"/>
  <c r="N74" i="1"/>
  <c r="P139" i="1"/>
  <c r="G96" i="1"/>
  <c r="H134" i="1"/>
  <c r="Q139" i="1"/>
  <c r="P74" i="1"/>
  <c r="Q74" i="1"/>
  <c r="R54" i="1"/>
  <c r="I43" i="1"/>
  <c r="C43" i="1"/>
  <c r="BE3" i="1"/>
  <c r="N97" i="1"/>
  <c r="M74" i="1"/>
  <c r="P66" i="1"/>
  <c r="P32" i="1"/>
  <c r="L73" i="1"/>
  <c r="J6" i="1"/>
  <c r="Q158" i="1"/>
  <c r="H157" i="1"/>
  <c r="Q157" i="1" s="1"/>
  <c r="M112" i="1"/>
  <c r="N158" i="1"/>
  <c r="N157" i="1" s="1"/>
  <c r="Y43" i="1"/>
  <c r="J44" i="1"/>
  <c r="M32" i="1"/>
  <c r="P57" i="1"/>
  <c r="P157" i="1"/>
  <c r="P150" i="1"/>
  <c r="L43" i="1"/>
  <c r="Q57" i="1"/>
  <c r="P9" i="1"/>
  <c r="G6" i="1"/>
  <c r="D3" i="1" l="1"/>
  <c r="Q6" i="1"/>
  <c r="G43" i="1"/>
  <c r="P43" i="1" s="1"/>
  <c r="L133" i="1"/>
  <c r="P61" i="1"/>
  <c r="J133" i="1"/>
  <c r="O43" i="1"/>
  <c r="N96" i="1"/>
  <c r="N73" i="1" s="1"/>
  <c r="M6" i="1"/>
  <c r="K133" i="1"/>
  <c r="N142" i="1"/>
  <c r="N133" i="1" s="1"/>
  <c r="V3" i="1"/>
  <c r="N6" i="1"/>
  <c r="R96" i="1"/>
  <c r="M142" i="1"/>
  <c r="M133" i="1" s="1"/>
  <c r="M43" i="1"/>
  <c r="AM3" i="1"/>
  <c r="L3" i="1" s="1"/>
  <c r="N43" i="1"/>
  <c r="G142" i="1"/>
  <c r="G133" i="1" s="1"/>
  <c r="O96" i="1"/>
  <c r="O73" i="1" s="1"/>
  <c r="O133" i="1"/>
  <c r="M96" i="1"/>
  <c r="M73" i="1" s="1"/>
  <c r="P96" i="1"/>
  <c r="R150" i="1"/>
  <c r="I142" i="1"/>
  <c r="G73" i="1"/>
  <c r="P73" i="1" s="1"/>
  <c r="H96" i="1"/>
  <c r="Q97" i="1"/>
  <c r="K3" i="1"/>
  <c r="C133" i="1"/>
  <c r="H43" i="1"/>
  <c r="Q43" i="1" s="1"/>
  <c r="Y3" i="1"/>
  <c r="J3" i="1" s="1"/>
  <c r="J43" i="1"/>
  <c r="R43" i="1"/>
  <c r="P6" i="1"/>
  <c r="Q134" i="1"/>
  <c r="H133" i="1"/>
  <c r="Q133" i="1" s="1"/>
  <c r="G3" i="1" l="1"/>
  <c r="N3" i="1"/>
  <c r="P142" i="1"/>
  <c r="M3" i="1"/>
  <c r="O3" i="1"/>
  <c r="C3" i="1"/>
  <c r="Q96" i="1"/>
  <c r="H73" i="1"/>
  <c r="Q73" i="1" s="1"/>
  <c r="R142" i="1"/>
  <c r="I133" i="1"/>
  <c r="P133" i="1"/>
  <c r="H3" i="1" l="1"/>
  <c r="Q3" i="1" s="1"/>
  <c r="R133" i="1"/>
  <c r="I3" i="1"/>
  <c r="R3" i="1" s="1"/>
  <c r="P3" i="1"/>
</calcChain>
</file>

<file path=xl/comments1.xml><?xml version="1.0" encoding="utf-8"?>
<comments xmlns="http://schemas.openxmlformats.org/spreadsheetml/2006/main">
  <authors>
    <author>Setor Contabil</author>
    <author/>
  </authors>
  <commentList>
    <comment ref="F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OUTRAS FONTES</t>
        </r>
      </text>
    </comment>
    <comment ref="B3" authorId="1">
      <text>
        <r>
          <rPr>
            <sz val="11"/>
            <color rgb="FF000000"/>
            <rFont val="Calibri"/>
            <family val="2"/>
          </rPr>
          <t>Incluir o valor da MATRIZ PREVISTO PARA O CAMPUS
======</t>
        </r>
      </text>
    </comment>
    <comment ref="C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FECHADO
descontar valores descontados/empenhados na reitoria - L66 e L71</t>
        </r>
      </text>
    </comment>
    <comment ref="D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RAP2020= 2.334.448,14
RAP2019= 3578,54 EBC
RAP2019=412,50 W&amp;V
T.2.338.439,18-FECHADO</t>
        </r>
      </text>
    </comment>
    <comment ref="M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622920101=115932,60 (maio/21) - empenho 21NE000018=880,00(fonte 0100)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6311000000 - rap2019=4.865,14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empenhado até setembro-contrato até 08/09</t>
        </r>
      </text>
    </comment>
    <comment ref="AQ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comp.agosto/21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período de ago a dez empenhado R$ 40.040,12 p/mês = 10 postos
</t>
        </r>
      </text>
    </comment>
    <comment ref="T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COMP.11-2021 E 12-2021-Juliano estava de férias e atestou somente em janeiro2021
</t>
        </r>
      </text>
    </comment>
    <comment ref="Z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COMP.01-2021
</t>
        </r>
      </text>
    </comment>
    <comment ref="AB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COMP.02-2021</t>
        </r>
      </text>
    </comment>
    <comment ref="AE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COMP.03-2021 E 04/2021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339039-79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reitoria</t>
        </r>
      </text>
    </comment>
    <comment ref="AE2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desc.até maio/21 na reitoria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Laboratórios de Ensino, Pesquisa, Extensão e Produção (LEPEPs)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09-PARA REITORIA-Empenhar ref.aquisição de 10totens p/alcool gel</t>
        </r>
      </text>
    </comment>
    <comment ref="C34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enviado NC para Reitoria
</t>
        </r>
      </text>
    </comment>
    <comment ref="F3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TED SETEC para empenhar o reequelibrio Prédio D e Aditivo Predio D</t>
        </r>
      </text>
    </comment>
    <comment ref="AH4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MULTA E JUROS S/FATURA DA ENERGIA ELETRICA</t>
        </r>
      </text>
    </comment>
    <comment ref="B4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</t>
        </r>
      </text>
    </comment>
    <comment ref="C4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
</t>
        </r>
      </text>
    </comment>
    <comment ref="A4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339039-83</t>
        </r>
      </text>
    </comment>
    <comment ref="B50" authorId="1">
      <text>
        <r>
          <rPr>
            <sz val="11"/>
            <color rgb="FF000000"/>
            <rFont val="Calibri"/>
            <family val="2"/>
          </rPr>
          <t>======
ID#AAAAL2MisYI
Reitoria desconta do orçamento.
(Reserva Institucional 1%)
(até maio R$8.764,11)</t>
        </r>
      </text>
    </comment>
    <comment ref="B51" authorId="1">
      <text>
        <r>
          <rPr>
            <sz val="11"/>
            <color rgb="FF000000"/>
            <rFont val="Calibri"/>
            <family val="2"/>
          </rPr>
          <t>======
ID#AAAAL2MisYQ
Gilson Parodes    (2021-03-26 01:22:38)
(Reitoria) 
(Reserva Institucional 1%)
(R$ X,XX)</t>
        </r>
      </text>
    </comment>
    <comment ref="B54" authorId="1">
      <text>
        <r>
          <rPr>
            <sz val="11"/>
            <color rgb="FF000000"/>
            <rFont val="Calibri"/>
            <family val="2"/>
          </rPr>
          <t>======
descontado do orçamento na reitoria
(Reserva Institucional 1%)
(até maio R$8.764,11)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NC10-PARA REITORIA-REFERENTE CURSO APOSENTADORIA PARA ANA LORENZON</t>
        </r>
      </text>
    </comment>
    <comment ref="C6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RECEBIDO 8.400,00 DE RECURSO DE OUTROS CAMPUS- Total pago 10.800,00
</t>
        </r>
      </text>
    </comment>
    <comment ref="AT6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2.400,00 IFFAR SANTO AUGUSTO</t>
        </r>
      </text>
    </comment>
    <comment ref="B67" authorId="1">
      <text>
        <r>
          <rPr>
            <sz val="11"/>
            <color rgb="FF000000"/>
            <rFont val="Calibri"/>
            <family val="2"/>
          </rPr>
          <t>======
ID#AAAAL2Miso8
Gilson Parodes    (2021-03-26 01:33:15)
(Reitoria) 
(Reserva Institucional 2,5%)
(R$ X,XX) 
(Despesa de capital)</t>
        </r>
      </text>
    </comment>
    <comment ref="B8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na reitoria, até maio/21=</t>
        </r>
      </text>
    </comment>
    <comment ref="B91" authorId="1">
      <text>
        <r>
          <rPr>
            <sz val="11"/>
            <color rgb="FF000000"/>
            <rFont val="Calibri"/>
            <family val="2"/>
          </rPr>
          <t>======
ID#AAAAL2Mispc
Gilson Parodes    (2021-03-26 01:35:50)
(Reserva Institucional 1%)
(R$ X,XX)</t>
        </r>
      </text>
    </comment>
    <comment ref="B9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MATERIAL DE CONSUMO
</t>
        </r>
      </text>
    </comment>
    <comment ref="AD10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RP03</t>
        </r>
      </text>
    </comment>
    <comment ref="B120" authorId="1">
      <text>
        <r>
          <rPr>
            <sz val="11"/>
            <color rgb="FF000000"/>
            <rFont val="Calibri"/>
            <family val="2"/>
          </rPr>
          <t>======
ID#AAAAL2MisqI
Gilson Parodes    (2021-03-26 01:40:31)
(Reserva Institucional 1,5%)
(R$ X,XX)</t>
        </r>
      </text>
    </comment>
    <comment ref="B135" authorId="1">
      <text>
        <r>
          <rPr>
            <sz val="11"/>
            <color rgb="FF000000"/>
            <rFont val="Calibri"/>
            <family val="2"/>
          </rPr>
          <t>======
ID#AAAAL2Misqw
Gilson Parodes    (2021-03-26 01:45:44)
(Reserva Institucional 1,5%)
(R$ X,XX)</t>
        </r>
      </text>
    </comment>
    <comment ref="C13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10- PARA REITORIA - EDITAL 224-2021-DPPGI</t>
        </r>
      </text>
    </comment>
    <comment ref="B14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ref. estagiária Giorgia e Karen- até maio R$ 5.254,16, correto R$ 12.478,68</t>
        </r>
      </text>
    </comment>
    <comment ref="C14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FALTOU DESCONTAR 7224,52 DE UMA ESTAGIARIA</t>
        </r>
      </text>
    </comment>
    <comment ref="Z14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EMPENHOS ANULADOS
</t>
        </r>
      </text>
    </comment>
  </commentList>
</comments>
</file>

<file path=xl/sharedStrings.xml><?xml version="1.0" encoding="utf-8"?>
<sst xmlns="http://schemas.openxmlformats.org/spreadsheetml/2006/main" count="342" uniqueCount="224">
  <si>
    <t>PLANILHA DE PLANEJAMENTO E CONTROLE DA EXECUÇÃO ORÇAMENTÁRIA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</si>
  <si>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</si>
  <si>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</si>
  <si>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</si>
  <si>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</si>
  <si>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</si>
  <si>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</si>
  <si>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</si>
  <si>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</si>
  <si>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</si>
  <si>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</si>
  <si>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</si>
  <si>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</si>
  <si>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</si>
  <si>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</si>
  <si>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</si>
  <si>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</si>
  <si>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</si>
  <si>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</si>
  <si>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2021</t>
  </si>
  <si>
    <t>DESCRIÇÃO DA AÇÃO</t>
  </si>
  <si>
    <t>OUTROS</t>
  </si>
  <si>
    <t>MATRIZ</t>
  </si>
  <si>
    <t>RAP</t>
  </si>
  <si>
    <t>RAP ANULADO</t>
  </si>
  <si>
    <t>MATRIZ
(empenhado)</t>
  </si>
  <si>
    <t>OUTROS 
(empenhado)</t>
  </si>
  <si>
    <t>MATRIZ
(emp)</t>
  </si>
  <si>
    <t>OUTROS 
(emp.)</t>
  </si>
  <si>
    <t>RUBRICA</t>
  </si>
  <si>
    <t>TOTAL</t>
  </si>
  <si>
    <t>DG - DIREÇÃO GERAL</t>
  </si>
  <si>
    <t>33.90.14-14</t>
  </si>
  <si>
    <t>Deslocamento - Diárias a servidores</t>
  </si>
  <si>
    <t>33.90.33-01</t>
  </si>
  <si>
    <t>Reembolso de Passagens (terrestres, aéreas, ...)</t>
  </si>
  <si>
    <t>33.90.39-12</t>
  </si>
  <si>
    <t>DAD - DIRETORIA DE ADMINISTRAÇÃO</t>
  </si>
  <si>
    <t>33.90.39-43</t>
  </si>
  <si>
    <t>33.90.39-47</t>
  </si>
  <si>
    <t>33.90.37-03</t>
  </si>
  <si>
    <t>33.90.37-02</t>
  </si>
  <si>
    <t>33.90.37-01</t>
  </si>
  <si>
    <t>33.90.39-78</t>
  </si>
  <si>
    <t>33.90.39-17</t>
  </si>
  <si>
    <t>33.90.39-16</t>
  </si>
  <si>
    <t>33.90.39-20</t>
  </si>
  <si>
    <t>Manutenção persianas e cortinas</t>
  </si>
  <si>
    <t>Manutenção de ar condicionado</t>
  </si>
  <si>
    <t>Manutenção e conservação de bens móveis- hidráulica-reparos</t>
  </si>
  <si>
    <t>Manutenção do serviço de detetização</t>
  </si>
  <si>
    <t>44.90.52-99</t>
  </si>
  <si>
    <t>Aquisição de equipamentos de uso geral</t>
  </si>
  <si>
    <t>44.90.52-42</t>
  </si>
  <si>
    <t>Aquisição de mobiliário</t>
  </si>
  <si>
    <t>33.90.30-01</t>
  </si>
  <si>
    <t>Manutenção de frotas - Combustível</t>
  </si>
  <si>
    <t>33.90.39-19</t>
  </si>
  <si>
    <t>Manutenção frota prestação de serviços</t>
  </si>
  <si>
    <t>33.90.47-10</t>
  </si>
  <si>
    <t>Obrigações tributárias</t>
  </si>
  <si>
    <t>33.90.39-69</t>
  </si>
  <si>
    <t>33.90.30-99</t>
  </si>
  <si>
    <t>Material consumo LEPEPs  Produção</t>
  </si>
  <si>
    <t>33.90.30-16</t>
  </si>
  <si>
    <t>Almoxarifado Virtual - alocar 75.000,00</t>
  </si>
  <si>
    <t>44.90.51-91</t>
  </si>
  <si>
    <t>33.90.39-05</t>
  </si>
  <si>
    <t>Serv.Tec.Profissionais-Projeto de Plano de Prevenção contra incêndio</t>
  </si>
  <si>
    <t>33.90.47-16</t>
  </si>
  <si>
    <t>Juros e Multa / taxa e afins (isbn- art)</t>
  </si>
  <si>
    <t>33.90.33-99</t>
  </si>
  <si>
    <t>Reembolso</t>
  </si>
  <si>
    <t>DPDI - DIRETORIA DE PLANEJ E DESENV INSTITUCIONAL</t>
  </si>
  <si>
    <t>GERAL</t>
  </si>
  <si>
    <t>33.90.39-58</t>
  </si>
  <si>
    <t>33.90.40-13</t>
  </si>
  <si>
    <t>33.90.39-56</t>
  </si>
  <si>
    <t>Manutenção de Hardware</t>
  </si>
  <si>
    <t>33.90.40-16</t>
  </si>
  <si>
    <t>PIIQP (reserva institucional  1%=21.187,92)</t>
  </si>
  <si>
    <t>PIIQPPE (reserva institucional  1%=21.187,92)</t>
  </si>
  <si>
    <t>PID (reserva Institucional 1%= R$ 21.187,92)</t>
  </si>
  <si>
    <t>Material de consumo</t>
  </si>
  <si>
    <t>33.90.36-28</t>
  </si>
  <si>
    <t>Horas Curso/Concurso</t>
  </si>
  <si>
    <t>CAPACITAÇÃO DE SERVIDORES</t>
  </si>
  <si>
    <t>Diárias a servidores</t>
  </si>
  <si>
    <t>Inscrições</t>
  </si>
  <si>
    <t>PROCESSO SELETIVO</t>
  </si>
  <si>
    <t>Processo Seletivo - serviços de seleção e treinamento</t>
  </si>
  <si>
    <t>33.90.39-63</t>
  </si>
  <si>
    <t>Processo Seletivo - serviços gráficos</t>
  </si>
  <si>
    <t>33.90.39-90</t>
  </si>
  <si>
    <t>EBC</t>
  </si>
  <si>
    <t xml:space="preserve">Processo Seletivo - Carro de Som </t>
  </si>
  <si>
    <t>TI</t>
  </si>
  <si>
    <t>FUNDO DE TI (reserva instit. 2,5%= 44.219,80) + 10.000,00 INVESTIMENTO</t>
  </si>
  <si>
    <t>44.90.52</t>
  </si>
  <si>
    <r>
      <rPr>
        <sz val="12"/>
        <color theme="1"/>
        <rFont val="Calibri"/>
        <family val="2"/>
      </rPr>
      <t xml:space="preserve">Locação e Manutenção Impressoras </t>
    </r>
    <r>
      <rPr>
        <b/>
        <sz val="12"/>
        <color theme="1"/>
        <rFont val="Calibri"/>
        <family val="2"/>
      </rPr>
      <t xml:space="preserve"> </t>
    </r>
  </si>
  <si>
    <t xml:space="preserve">Manutenção de Equipamentos de Informática </t>
  </si>
  <si>
    <t>33.90.39-11</t>
  </si>
  <si>
    <t xml:space="preserve">Licença de softwares </t>
  </si>
  <si>
    <t>33.90.30</t>
  </si>
  <si>
    <t>DE - DIRETORIA DE ENSINO</t>
  </si>
  <si>
    <t>33.90.36-02</t>
  </si>
  <si>
    <t>Diárias a colaboradores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</si>
  <si>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</si>
  <si>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(DJ Serviços- elp - mega)</t>
    </r>
  </si>
  <si>
    <t>Locação de software</t>
  </si>
  <si>
    <t>33.90.40-21</t>
  </si>
  <si>
    <t xml:space="preserve">Outros Serviços de Terceiros P.J. </t>
  </si>
  <si>
    <t>Seguro de vida estudantes</t>
  </si>
  <si>
    <t>Ações inclusivas - (cuidadores,...)</t>
  </si>
  <si>
    <t>Pagamento horas a palestrantes</t>
  </si>
  <si>
    <t>33.90.33-09</t>
  </si>
  <si>
    <t>Fretamento de ônibus</t>
  </si>
  <si>
    <t>44.90.52-35</t>
  </si>
  <si>
    <t>33.90.47</t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</si>
  <si>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</si>
  <si>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– Laboratorista, Palestrante, Seleção e Treinamento, Arbitragem de Jogos (I</t>
    </r>
    <r>
      <rPr>
        <b/>
        <sz val="12"/>
        <color rgb="FF000000"/>
        <rFont val="Calibri"/>
        <family val="2"/>
      </rPr>
      <t>guaçu Desenvolvimento-marceneiro)</t>
    </r>
  </si>
  <si>
    <t>33.90.33</t>
  </si>
  <si>
    <t xml:space="preserve">Transporte - Visitas técnicas </t>
  </si>
  <si>
    <t>33.90.36-69</t>
  </si>
  <si>
    <t>Seguro alunos (Reitoria)</t>
  </si>
  <si>
    <t>PROJETOS DE ENSINO (reserva institucional 1%=21.187,92)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</si>
  <si>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</si>
  <si>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</si>
  <si>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</si>
  <si>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</si>
  <si>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</si>
  <si>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</si>
  <si>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</si>
  <si>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</si>
  <si>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Reserva Assistência Estudantil</t>
  </si>
  <si>
    <t xml:space="preserve">Monitor de Aluno Especial </t>
  </si>
  <si>
    <t>33.90.47-18</t>
  </si>
  <si>
    <t>Patronal Monitores</t>
  </si>
  <si>
    <t xml:space="preserve">Material Saúde Consumo </t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</si>
  <si>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</si>
  <si>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t>44.90.52.35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</si>
  <si>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</si>
  <si>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</si>
  <si>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</si>
  <si>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</si>
  <si>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</si>
  <si>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</si>
  <si>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</si>
  <si>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</si>
  <si>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</si>
  <si>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</si>
  <si>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Fornecimento Alimentação (orçamento)</t>
  </si>
  <si>
    <t>Fornecimento Alimentação (extraorçamentário)</t>
  </si>
  <si>
    <t>FNDE</t>
  </si>
  <si>
    <t xml:space="preserve">Alimentação Escolar </t>
  </si>
  <si>
    <t>Alimentação Escolar (Agricultura Familiar) -chamada Pública</t>
  </si>
  <si>
    <t>Chamada Pública (agricultura Familiar )</t>
  </si>
  <si>
    <t xml:space="preserve">AÇÕES INCLUSIVAS </t>
  </si>
  <si>
    <t xml:space="preserve">Patronal </t>
  </si>
  <si>
    <t>Serviços de seleção e treinamento</t>
  </si>
  <si>
    <t>BIBLIOTECA</t>
  </si>
  <si>
    <t>44.90.52-18</t>
  </si>
  <si>
    <t>Material Permanente (móveis / livros)</t>
  </si>
  <si>
    <t>Biblioteca- Etiquetas RFD</t>
  </si>
  <si>
    <t>33.90.39</t>
  </si>
  <si>
    <t>Biblioteca -Etiquetas</t>
  </si>
  <si>
    <t>COORDENAÇÕES EIXOS/CURSOS</t>
  </si>
  <si>
    <t>Material de Consumo</t>
  </si>
  <si>
    <t>Material permanente (equipamentos para laboratório) (NUGEDI, NUGEA)</t>
  </si>
  <si>
    <t>Material permanente (equipamentos) (NUGEDI, NUGEA)</t>
  </si>
  <si>
    <t xml:space="preserve">Material Permanente (Aquisição Bibliográfica) </t>
  </si>
  <si>
    <t>,</t>
  </si>
  <si>
    <t>DPEP - DIRETORIA DE PESQUISA, EXTENSÃO E PRODUÇÃO</t>
  </si>
  <si>
    <t xml:space="preserve">PESQUISA </t>
  </si>
  <si>
    <t>PROJETOS DE PESQUISA (reserva 1,5% = 31.781,88)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</si>
  <si>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</si>
  <si>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</si>
  <si>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</si>
  <si>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</si>
  <si>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</si>
  <si>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</si>
  <si>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</si>
  <si>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</si>
  <si>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</si>
  <si>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Serviços Gráficos</t>
  </si>
  <si>
    <t>OUTRAS DESPESAS COM EXTENSÃO</t>
  </si>
  <si>
    <t xml:space="preserve">Nugedis </t>
  </si>
  <si>
    <t>NUGEA</t>
  </si>
  <si>
    <t>NIT</t>
  </si>
  <si>
    <t>33.90.36-99</t>
  </si>
  <si>
    <t>PRODUÇÃO</t>
  </si>
  <si>
    <t>Material de Construção</t>
  </si>
  <si>
    <t xml:space="preserve">Energia elétrica </t>
  </si>
  <si>
    <t xml:space="preserve">Serviços postais, Correios </t>
  </si>
  <si>
    <t>Vigilância Predial</t>
  </si>
  <si>
    <t xml:space="preserve">Limpeza </t>
  </si>
  <si>
    <t xml:space="preserve">Jardinagem </t>
  </si>
  <si>
    <t>Coleta de Resíduos</t>
  </si>
  <si>
    <t xml:space="preserve">Manutenção predial Infra </t>
  </si>
  <si>
    <t>Manutenção Agropecuária</t>
  </si>
  <si>
    <t xml:space="preserve">Manutenção extintores e mangueiras </t>
  </si>
  <si>
    <t>Manutenção elétrica</t>
  </si>
  <si>
    <t>Manutenção de equipamentos de laboratório</t>
  </si>
  <si>
    <t>Manutenção de maquinários agrícolas</t>
  </si>
  <si>
    <t>Publicidade legal em jornais</t>
  </si>
  <si>
    <t xml:space="preserve">Seguro veicular e IPVA </t>
  </si>
  <si>
    <t>Material de Consumo conservação infraestrutura</t>
  </si>
  <si>
    <t>Material consumo LEPEPs Ensino</t>
  </si>
  <si>
    <t>Material de expediente</t>
  </si>
  <si>
    <t xml:space="preserve">Ampliação do Prédio Administrativo - Prédio D </t>
  </si>
  <si>
    <t>Ampliação do Prédio Administrativo - Prédio D</t>
  </si>
  <si>
    <t xml:space="preserve">Reforma do refeitório e rede de gás </t>
  </si>
  <si>
    <t>Reforma do refeitório e rede de gás</t>
  </si>
  <si>
    <t>Serv.Tec.Profissionais-Adequação do lab.de Alimentos</t>
  </si>
  <si>
    <t>Telefonia e Internet - Telefonia Fixa</t>
  </si>
  <si>
    <t xml:space="preserve">Telefonia e Internet - Link Internet </t>
  </si>
  <si>
    <t>Telefonia e Internet - Manutenção central telefônica</t>
  </si>
  <si>
    <t xml:space="preserve">Manutenção de Impressoras/Outsourcing de Impressão </t>
  </si>
  <si>
    <t xml:space="preserve">Material de Tic Permanente </t>
  </si>
  <si>
    <t>Equipamentos para Áudio-Projetor Multimidia</t>
  </si>
  <si>
    <t xml:space="preserve">Material Saúde Permanente </t>
  </si>
  <si>
    <t>Bolsa Coordenação Pós</t>
  </si>
  <si>
    <t>Gráfica</t>
  </si>
  <si>
    <r>
      <t xml:space="preserve">Equipamentos e Material Permanente </t>
    </r>
    <r>
      <rPr>
        <b/>
        <sz val="12"/>
        <rFont val="Calibri"/>
        <family val="2"/>
      </rPr>
      <t>(Despesa de capital)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</si>
</sst>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  <numFmt numFmtId="165" formatCode="[$R$ -416]#,##0.00"/>
  </numFmts>
  <fonts count="35" x14ac:knownFonts="1">
    <font>
      <sz val="11"/>
      <color rgb="FF000000"/>
      <name val="Calibri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9900FF"/>
      <name val="Calibri"/>
      <family val="2"/>
    </font>
    <font>
      <sz val="12"/>
      <name val="Calibri"/>
      <family val="2"/>
    </font>
    <font>
      <sz val="11"/>
      <color rgb="FF444444"/>
      <name val="Calibri"/>
      <family val="2"/>
    </font>
    <font>
      <b/>
      <sz val="12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FF"/>
      <name val="Calibri"/>
      <family val="2"/>
    </font>
    <font>
      <i/>
      <sz val="12"/>
      <color rgb="FF000000"/>
      <name val="Calibri"/>
      <family val="2"/>
    </font>
    <font>
      <b/>
      <sz val="12"/>
      <color rgb="FFA64D79"/>
      <name val="Calibri"/>
      <family val="2"/>
    </font>
    <font>
      <sz val="12"/>
      <color rgb="FF0000FF"/>
      <name val="Calibri"/>
      <family val="2"/>
    </font>
    <font>
      <b/>
      <sz val="12"/>
      <color rgb="FFF1C232"/>
      <name val="Calibri"/>
      <family val="2"/>
    </font>
    <font>
      <b/>
      <sz val="12"/>
      <color rgb="FFE69138"/>
      <name val="Calibri"/>
      <family val="2"/>
    </font>
    <font>
      <sz val="12"/>
      <color rgb="FFA64D79"/>
      <name val="Calibri"/>
      <family val="2"/>
    </font>
    <font>
      <b/>
      <sz val="12"/>
      <color rgb="FF3D85C6"/>
      <name val="Calibri"/>
      <family val="2"/>
    </font>
    <font>
      <sz val="12"/>
      <color rgb="FF93C47D"/>
      <name val="Calibri"/>
      <family val="2"/>
    </font>
    <font>
      <b/>
      <i/>
      <sz val="12"/>
      <color rgb="FF0000FF"/>
      <name val="Calibri"/>
      <family val="2"/>
    </font>
    <font>
      <b/>
      <sz val="12"/>
      <color rgb="FF4A86E8"/>
      <name val="Calibri"/>
      <family val="2"/>
    </font>
    <font>
      <b/>
      <sz val="12"/>
      <color rgb="FF1155CC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89C765"/>
      </patternFill>
    </fill>
    <fill>
      <patternFill patternType="solid">
        <fgColor rgb="FFD5A6BD"/>
        <bgColor rgb="FFD5A6BD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rgb="FF89C765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theme="0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3" fillId="0" borderId="0"/>
    <xf numFmtId="0" fontId="3" fillId="0" borderId="0"/>
    <xf numFmtId="0" fontId="34" fillId="0" borderId="0"/>
    <xf numFmtId="0" fontId="33" fillId="0" borderId="0"/>
    <xf numFmtId="43" fontId="33" fillId="0" borderId="0" applyFont="0" applyFill="0" applyBorder="0" applyAlignment="0" applyProtection="0"/>
  </cellStyleXfs>
  <cellXfs count="179">
    <xf numFmtId="0" fontId="0" fillId="0" borderId="0" xfId="0"/>
    <xf numFmtId="0" fontId="2" fillId="0" borderId="1" xfId="0" applyFont="1" applyBorder="1"/>
    <xf numFmtId="164" fontId="4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164" fontId="4" fillId="2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0" fontId="4" fillId="3" borderId="1" xfId="0" applyNumberFormat="1" applyFont="1" applyFill="1" applyBorder="1" applyAlignment="1">
      <alignment horizontal="center" vertical="center"/>
    </xf>
    <xf numFmtId="44" fontId="4" fillId="4" borderId="1" xfId="1" applyFont="1" applyFill="1" applyBorder="1" applyAlignment="1">
      <alignment horizontal="center" vertical="center"/>
    </xf>
    <xf numFmtId="44" fontId="4" fillId="3" borderId="1" xfId="1" applyFont="1" applyFill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44" fontId="6" fillId="0" borderId="0" xfId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7" borderId="1" xfId="1" applyFont="1" applyFill="1" applyBorder="1" applyAlignment="1">
      <alignment horizontal="center" vertical="center"/>
    </xf>
    <xf numFmtId="10" fontId="4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/>
    </xf>
    <xf numFmtId="0" fontId="8" fillId="9" borderId="1" xfId="3" applyFont="1" applyFill="1" applyBorder="1" applyAlignment="1">
      <alignment vertical="center" wrapText="1"/>
    </xf>
    <xf numFmtId="10" fontId="8" fillId="3" borderId="1" xfId="0" applyNumberFormat="1" applyFont="1" applyFill="1" applyBorder="1" applyAlignment="1">
      <alignment horizontal="center" vertical="center" wrapText="1"/>
    </xf>
    <xf numFmtId="44" fontId="8" fillId="0" borderId="1" xfId="1" applyFont="1" applyBorder="1" applyAlignment="1">
      <alignment horizontal="center" vertical="center"/>
    </xf>
    <xf numFmtId="44" fontId="8" fillId="10" borderId="1" xfId="1" applyFont="1" applyFill="1" applyBorder="1" applyAlignment="1">
      <alignment horizontal="center" vertical="center"/>
    </xf>
    <xf numFmtId="44" fontId="8" fillId="3" borderId="1" xfId="1" applyFont="1" applyFill="1" applyBorder="1" applyAlignment="1">
      <alignment horizontal="center" vertical="center"/>
    </xf>
    <xf numFmtId="9" fontId="8" fillId="3" borderId="1" xfId="2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44" fontId="8" fillId="0" borderId="0" xfId="1" applyFont="1" applyAlignment="1">
      <alignment horizontal="center"/>
    </xf>
    <xf numFmtId="10" fontId="8" fillId="0" borderId="0" xfId="0" applyNumberFormat="1" applyFont="1" applyAlignment="1">
      <alignment horizontal="center"/>
    </xf>
    <xf numFmtId="3" fontId="8" fillId="9" borderId="1" xfId="3" applyNumberFormat="1" applyFont="1" applyFill="1" applyBorder="1" applyAlignment="1">
      <alignment horizontal="left" vertical="center" wrapText="1"/>
    </xf>
    <xf numFmtId="0" fontId="9" fillId="9" borderId="1" xfId="3" applyFont="1" applyFill="1" applyBorder="1" applyAlignment="1">
      <alignment vertical="center" wrapText="1"/>
    </xf>
    <xf numFmtId="164" fontId="7" fillId="7" borderId="1" xfId="0" applyNumberFormat="1" applyFont="1" applyFill="1" applyBorder="1" applyAlignment="1">
      <alignment horizontal="left" vertical="center"/>
    </xf>
    <xf numFmtId="164" fontId="7" fillId="7" borderId="1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44" fontId="7" fillId="0" borderId="0" xfId="1" applyFont="1" applyAlignment="1">
      <alignment horizontal="center"/>
    </xf>
    <xf numFmtId="164" fontId="7" fillId="0" borderId="0" xfId="0" applyNumberFormat="1" applyFont="1" applyAlignment="1">
      <alignment horizontal="center"/>
    </xf>
    <xf numFmtId="44" fontId="13" fillId="0" borderId="1" xfId="1" applyFont="1" applyBorder="1" applyAlignment="1">
      <alignment horizontal="center" vertical="center"/>
    </xf>
    <xf numFmtId="44" fontId="14" fillId="11" borderId="1" xfId="1" applyFont="1" applyFill="1" applyBorder="1" applyAlignment="1"/>
    <xf numFmtId="44" fontId="0" fillId="0" borderId="1" xfId="1" applyFont="1" applyBorder="1" applyAlignment="1"/>
    <xf numFmtId="44" fontId="0" fillId="12" borderId="1" xfId="1" applyFont="1" applyFill="1" applyBorder="1" applyAlignment="1"/>
    <xf numFmtId="44" fontId="8" fillId="12" borderId="1" xfId="1" applyFont="1" applyFill="1" applyBorder="1" applyAlignment="1">
      <alignment horizontal="center" vertical="center"/>
    </xf>
    <xf numFmtId="44" fontId="8" fillId="11" borderId="1" xfId="1" applyFont="1" applyFill="1" applyBorder="1" applyAlignment="1">
      <alignment horizontal="center" vertical="center"/>
    </xf>
    <xf numFmtId="44" fontId="10" fillId="0" borderId="1" xfId="1" applyFont="1" applyBorder="1" applyAlignment="1">
      <alignment horizontal="center" vertical="center"/>
    </xf>
    <xf numFmtId="44" fontId="8" fillId="13" borderId="1" xfId="1" applyFont="1" applyFill="1" applyBorder="1" applyAlignment="1">
      <alignment horizontal="center" vertical="center"/>
    </xf>
    <xf numFmtId="44" fontId="8" fillId="14" borderId="1" xfId="1" applyFont="1" applyFill="1" applyBorder="1" applyAlignment="1">
      <alignment horizontal="center" vertical="center"/>
    </xf>
    <xf numFmtId="44" fontId="13" fillId="0" borderId="1" xfId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44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4" fillId="16" borderId="1" xfId="0" applyFont="1" applyFill="1" applyBorder="1" applyAlignment="1">
      <alignment horizontal="left" vertical="center" wrapText="1"/>
    </xf>
    <xf numFmtId="0" fontId="4" fillId="16" borderId="1" xfId="0" applyFont="1" applyFill="1" applyBorder="1" applyAlignment="1">
      <alignment vertical="center" wrapText="1"/>
    </xf>
    <xf numFmtId="44" fontId="4" fillId="16" borderId="1" xfId="1" applyFont="1" applyFill="1" applyBorder="1" applyAlignment="1">
      <alignment horizontal="center" vertical="center" wrapText="1"/>
    </xf>
    <xf numFmtId="10" fontId="4" fillId="16" borderId="1" xfId="0" applyNumberFormat="1" applyFont="1" applyFill="1" applyBorder="1" applyAlignment="1">
      <alignment horizontal="center" vertical="center"/>
    </xf>
    <xf numFmtId="44" fontId="4" fillId="0" borderId="0" xfId="1" applyFont="1" applyAlignment="1">
      <alignment horizontal="center"/>
    </xf>
    <xf numFmtId="10" fontId="4" fillId="0" borderId="0" xfId="0" applyNumberFormat="1" applyFont="1" applyAlignment="1">
      <alignment horizontal="center"/>
    </xf>
    <xf numFmtId="44" fontId="8" fillId="0" borderId="1" xfId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/>
    </xf>
    <xf numFmtId="0" fontId="17" fillId="17" borderId="1" xfId="0" applyFont="1" applyFill="1" applyBorder="1" applyAlignment="1">
      <alignment horizontal="left" vertical="center" wrapText="1"/>
    </xf>
    <xf numFmtId="0" fontId="17" fillId="17" borderId="1" xfId="0" applyFont="1" applyFill="1" applyBorder="1" applyAlignment="1">
      <alignment vertical="center" wrapText="1"/>
    </xf>
    <xf numFmtId="44" fontId="17" fillId="17" borderId="1" xfId="1" applyFont="1" applyFill="1" applyBorder="1" applyAlignment="1">
      <alignment horizontal="center" vertical="center" wrapText="1"/>
    </xf>
    <xf numFmtId="44" fontId="16" fillId="17" borderId="1" xfId="1" applyFont="1" applyFill="1" applyBorder="1" applyAlignment="1">
      <alignment vertical="center" wrapText="1"/>
    </xf>
    <xf numFmtId="44" fontId="16" fillId="17" borderId="1" xfId="1" applyFont="1" applyFill="1" applyBorder="1" applyAlignment="1">
      <alignment horizontal="center" vertical="center"/>
    </xf>
    <xf numFmtId="44" fontId="16" fillId="3" borderId="1" xfId="1" applyFont="1" applyFill="1" applyBorder="1" applyAlignment="1">
      <alignment horizontal="center" vertical="center"/>
    </xf>
    <xf numFmtId="10" fontId="17" fillId="3" borderId="1" xfId="0" applyNumberFormat="1" applyFont="1" applyFill="1" applyBorder="1" applyAlignment="1">
      <alignment horizontal="center" vertical="center" wrapText="1"/>
    </xf>
    <xf numFmtId="44" fontId="15" fillId="17" borderId="1" xfId="1" applyFont="1" applyFill="1" applyBorder="1" applyAlignment="1">
      <alignment horizontal="center" vertical="center" wrapText="1"/>
    </xf>
    <xf numFmtId="44" fontId="17" fillId="14" borderId="1" xfId="1" applyFont="1" applyFill="1" applyBorder="1" applyAlignment="1">
      <alignment horizontal="center" vertical="center" wrapText="1"/>
    </xf>
    <xf numFmtId="44" fontId="16" fillId="14" borderId="1" xfId="1" applyFont="1" applyFill="1" applyBorder="1" applyAlignment="1">
      <alignment horizontal="center" vertical="center" wrapText="1"/>
    </xf>
    <xf numFmtId="44" fontId="18" fillId="14" borderId="0" xfId="1" applyFont="1" applyFill="1" applyAlignment="1">
      <alignment horizontal="center"/>
    </xf>
    <xf numFmtId="164" fontId="18" fillId="14" borderId="0" xfId="0" applyNumberFormat="1" applyFont="1" applyFill="1" applyAlignment="1">
      <alignment horizontal="center"/>
    </xf>
    <xf numFmtId="0" fontId="4" fillId="15" borderId="1" xfId="0" applyFont="1" applyFill="1" applyBorder="1" applyAlignment="1">
      <alignment horizontal="left" vertical="center" wrapText="1"/>
    </xf>
    <xf numFmtId="0" fontId="0" fillId="8" borderId="0" xfId="0" applyFont="1" applyFill="1" applyAlignment="1"/>
    <xf numFmtId="44" fontId="19" fillId="17" borderId="1" xfId="1" applyFont="1" applyFill="1" applyBorder="1" applyAlignment="1">
      <alignment horizontal="center" vertical="center" wrapText="1"/>
    </xf>
    <xf numFmtId="44" fontId="19" fillId="14" borderId="1" xfId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vertical="center" wrapText="1"/>
    </xf>
    <xf numFmtId="44" fontId="4" fillId="14" borderId="1" xfId="1" applyFont="1" applyFill="1" applyBorder="1" applyAlignment="1">
      <alignment horizontal="center" vertical="center"/>
    </xf>
    <xf numFmtId="44" fontId="20" fillId="14" borderId="1" xfId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17" fillId="16" borderId="1" xfId="0" applyFont="1" applyFill="1" applyBorder="1" applyAlignment="1">
      <alignment vertical="center" wrapText="1"/>
    </xf>
    <xf numFmtId="44" fontId="17" fillId="16" borderId="1" xfId="1" applyFont="1" applyFill="1" applyBorder="1" applyAlignment="1">
      <alignment horizontal="center" vertical="center" wrapText="1"/>
    </xf>
    <xf numFmtId="10" fontId="21" fillId="2" borderId="1" xfId="0" applyNumberFormat="1" applyFont="1" applyFill="1" applyBorder="1" applyAlignment="1">
      <alignment horizontal="center" vertical="center" wrapText="1"/>
    </xf>
    <xf numFmtId="10" fontId="17" fillId="16" borderId="1" xfId="0" applyNumberFormat="1" applyFont="1" applyFill="1" applyBorder="1" applyAlignment="1">
      <alignment horizontal="center" vertical="center" wrapText="1"/>
    </xf>
    <xf numFmtId="44" fontId="4" fillId="10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10" fontId="4" fillId="16" borderId="1" xfId="0" applyNumberFormat="1" applyFont="1" applyFill="1" applyBorder="1" applyAlignment="1">
      <alignment horizontal="center" vertical="center" wrapText="1"/>
    </xf>
    <xf numFmtId="164" fontId="8" fillId="3" borderId="1" xfId="1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vertical="center" wrapText="1"/>
    </xf>
    <xf numFmtId="44" fontId="19" fillId="0" borderId="1" xfId="1" applyFont="1" applyBorder="1" applyAlignment="1">
      <alignment horizontal="center" vertical="center"/>
    </xf>
    <xf numFmtId="44" fontId="22" fillId="0" borderId="1" xfId="1" applyFont="1" applyBorder="1" applyAlignment="1">
      <alignment horizontal="right" vertical="center"/>
    </xf>
    <xf numFmtId="44" fontId="22" fillId="0" borderId="1" xfId="1" applyFont="1" applyBorder="1" applyAlignment="1">
      <alignment horizontal="center" vertical="center"/>
    </xf>
    <xf numFmtId="0" fontId="22" fillId="8" borderId="1" xfId="0" applyFont="1" applyFill="1" applyBorder="1" applyAlignment="1">
      <alignment vertical="center" wrapText="1"/>
    </xf>
    <xf numFmtId="44" fontId="22" fillId="10" borderId="1" xfId="1" applyFont="1" applyFill="1" applyBorder="1" applyAlignment="1">
      <alignment horizontal="center" vertical="center"/>
    </xf>
    <xf numFmtId="3" fontId="8" fillId="9" borderId="1" xfId="4" applyNumberFormat="1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vertical="center" wrapText="1"/>
    </xf>
    <xf numFmtId="44" fontId="23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4" fillId="14" borderId="1" xfId="1" applyFont="1" applyFill="1" applyBorder="1" applyAlignment="1">
      <alignment horizontal="center" vertical="center" wrapText="1"/>
    </xf>
    <xf numFmtId="44" fontId="4" fillId="14" borderId="0" xfId="1" applyFont="1" applyFill="1" applyAlignment="1">
      <alignment horizontal="center"/>
    </xf>
    <xf numFmtId="10" fontId="4" fillId="14" borderId="0" xfId="0" applyNumberFormat="1" applyFont="1" applyFill="1" applyAlignment="1">
      <alignment horizontal="center"/>
    </xf>
    <xf numFmtId="0" fontId="17" fillId="16" borderId="1" xfId="0" applyFont="1" applyFill="1" applyBorder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vertical="center" wrapText="1"/>
    </xf>
    <xf numFmtId="44" fontId="21" fillId="2" borderId="1" xfId="1" applyFont="1" applyFill="1" applyBorder="1" applyAlignment="1">
      <alignment horizontal="center" vertical="center" wrapText="1"/>
    </xf>
    <xf numFmtId="44" fontId="21" fillId="3" borderId="1" xfId="1" applyFont="1" applyFill="1" applyBorder="1" applyAlignment="1">
      <alignment horizontal="center" vertical="center"/>
    </xf>
    <xf numFmtId="44" fontId="21" fillId="0" borderId="0" xfId="1" applyFont="1" applyAlignment="1">
      <alignment horizontal="center"/>
    </xf>
    <xf numFmtId="10" fontId="21" fillId="0" borderId="0" xfId="0" applyNumberFormat="1" applyFont="1" applyAlignment="1">
      <alignment horizontal="center"/>
    </xf>
    <xf numFmtId="44" fontId="21" fillId="4" borderId="1" xfId="1" applyFont="1" applyFill="1" applyBorder="1" applyAlignment="1">
      <alignment horizontal="center" vertical="center"/>
    </xf>
    <xf numFmtId="44" fontId="24" fillId="0" borderId="1" xfId="1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 wrapText="1"/>
    </xf>
    <xf numFmtId="44" fontId="21" fillId="3" borderId="1" xfId="1" applyFont="1" applyFill="1" applyBorder="1" applyAlignment="1">
      <alignment horizontal="center" vertical="center" wrapText="1"/>
    </xf>
    <xf numFmtId="44" fontId="25" fillId="4" borderId="1" xfId="1" applyFont="1" applyFill="1" applyBorder="1" applyAlignment="1">
      <alignment horizontal="center" vertical="center"/>
    </xf>
    <xf numFmtId="44" fontId="26" fillId="0" borderId="1" xfId="1" applyFont="1" applyBorder="1" applyAlignment="1">
      <alignment horizontal="center" vertical="center"/>
    </xf>
    <xf numFmtId="44" fontId="8" fillId="4" borderId="1" xfId="1" applyFont="1" applyFill="1" applyBorder="1" applyAlignment="1">
      <alignment horizontal="center" vertical="center"/>
    </xf>
    <xf numFmtId="0" fontId="21" fillId="16" borderId="1" xfId="0" applyFont="1" applyFill="1" applyBorder="1" applyAlignment="1">
      <alignment horizontal="left" vertical="center" wrapText="1"/>
    </xf>
    <xf numFmtId="0" fontId="21" fillId="16" borderId="1" xfId="0" applyFont="1" applyFill="1" applyBorder="1" applyAlignment="1">
      <alignment vertical="center" wrapText="1"/>
    </xf>
    <xf numFmtId="44" fontId="21" fillId="16" borderId="1" xfId="1" applyFont="1" applyFill="1" applyBorder="1" applyAlignment="1">
      <alignment horizontal="center" vertical="center" wrapText="1"/>
    </xf>
    <xf numFmtId="10" fontId="21" fillId="16" borderId="1" xfId="0" applyNumberFormat="1" applyFont="1" applyFill="1" applyBorder="1" applyAlignment="1">
      <alignment horizontal="center" vertical="center" wrapText="1"/>
    </xf>
    <xf numFmtId="44" fontId="27" fillId="0" borderId="1" xfId="1" applyFont="1" applyBorder="1" applyAlignment="1">
      <alignment horizontal="center" vertical="center"/>
    </xf>
    <xf numFmtId="0" fontId="17" fillId="4" borderId="1" xfId="0" applyFont="1" applyFill="1" applyBorder="1" applyAlignment="1">
      <alignment vertical="center" wrapText="1"/>
    </xf>
    <xf numFmtId="44" fontId="17" fillId="4" borderId="1" xfId="1" applyFont="1" applyFill="1" applyBorder="1" applyAlignment="1">
      <alignment horizontal="center" vertical="center" wrapText="1"/>
    </xf>
    <xf numFmtId="10" fontId="17" fillId="4" borderId="1" xfId="0" applyNumberFormat="1" applyFont="1" applyFill="1" applyBorder="1" applyAlignment="1">
      <alignment horizontal="center" vertical="center" wrapText="1"/>
    </xf>
    <xf numFmtId="44" fontId="25" fillId="3" borderId="1" xfId="1" applyFont="1" applyFill="1" applyBorder="1" applyAlignment="1">
      <alignment horizontal="center" vertical="center"/>
    </xf>
    <xf numFmtId="10" fontId="21" fillId="2" borderId="1" xfId="0" applyNumberFormat="1" applyFont="1" applyFill="1" applyBorder="1" applyAlignment="1">
      <alignment horizontal="center" vertical="center"/>
    </xf>
    <xf numFmtId="44" fontId="28" fillId="10" borderId="1" xfId="1" applyFont="1" applyFill="1" applyBorder="1" applyAlignment="1">
      <alignment horizontal="center" vertical="center"/>
    </xf>
    <xf numFmtId="0" fontId="8" fillId="9" borderId="1" xfId="4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vertical="center" wrapText="1"/>
    </xf>
    <xf numFmtId="44" fontId="21" fillId="4" borderId="1" xfId="1" applyFont="1" applyFill="1" applyBorder="1" applyAlignment="1">
      <alignment horizontal="center" vertical="center" wrapText="1"/>
    </xf>
    <xf numFmtId="10" fontId="21" fillId="4" borderId="1" xfId="0" applyNumberFormat="1" applyFont="1" applyFill="1" applyBorder="1" applyAlignment="1">
      <alignment horizontal="center" vertical="center"/>
    </xf>
    <xf numFmtId="10" fontId="11" fillId="0" borderId="0" xfId="0" applyNumberFormat="1" applyFont="1"/>
    <xf numFmtId="0" fontId="0" fillId="0" borderId="0" xfId="0" applyFont="1" applyAlignment="1">
      <alignment horizontal="left"/>
    </xf>
    <xf numFmtId="0" fontId="4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4" fontId="8" fillId="18" borderId="1" xfId="1" applyFont="1" applyFill="1" applyBorder="1" applyAlignment="1">
      <alignment horizontal="center" vertical="center"/>
    </xf>
    <xf numFmtId="44" fontId="8" fillId="18" borderId="1" xfId="1" applyFont="1" applyFill="1" applyBorder="1" applyAlignment="1">
      <alignment horizontal="right" vertical="center"/>
    </xf>
    <xf numFmtId="44" fontId="12" fillId="18" borderId="1" xfId="1" applyFont="1" applyFill="1" applyBorder="1" applyAlignment="1">
      <alignment horizontal="center" vertical="center"/>
    </xf>
    <xf numFmtId="44" fontId="0" fillId="18" borderId="1" xfId="1" applyFont="1" applyFill="1" applyBorder="1" applyAlignment="1"/>
    <xf numFmtId="44" fontId="8" fillId="18" borderId="1" xfId="1" applyFont="1" applyFill="1" applyBorder="1" applyAlignment="1">
      <alignment horizontal="center" vertical="center" wrapText="1"/>
    </xf>
    <xf numFmtId="44" fontId="4" fillId="19" borderId="1" xfId="1" applyFont="1" applyFill="1" applyBorder="1" applyAlignment="1">
      <alignment horizontal="center" vertical="center"/>
    </xf>
    <xf numFmtId="44" fontId="8" fillId="19" borderId="1" xfId="1" applyFont="1" applyFill="1" applyBorder="1" applyAlignment="1">
      <alignment horizontal="center" vertical="center"/>
    </xf>
    <xf numFmtId="44" fontId="10" fillId="18" borderId="1" xfId="1" applyFont="1" applyFill="1" applyBorder="1" applyAlignment="1">
      <alignment horizontal="center" vertical="center"/>
    </xf>
    <xf numFmtId="44" fontId="19" fillId="18" borderId="1" xfId="1" applyFont="1" applyFill="1" applyBorder="1" applyAlignment="1">
      <alignment horizontal="center" vertical="center"/>
    </xf>
    <xf numFmtId="44" fontId="22" fillId="18" borderId="1" xfId="1" applyFont="1" applyFill="1" applyBorder="1" applyAlignment="1">
      <alignment horizontal="center" vertical="center"/>
    </xf>
    <xf numFmtId="44" fontId="29" fillId="18" borderId="1" xfId="1" applyFont="1" applyFill="1" applyBorder="1" applyAlignment="1">
      <alignment horizontal="center" vertical="center"/>
    </xf>
    <xf numFmtId="44" fontId="8" fillId="19" borderId="1" xfId="1" applyFont="1" applyFill="1" applyBorder="1" applyAlignment="1">
      <alignment horizontal="right" vertical="center"/>
    </xf>
    <xf numFmtId="44" fontId="13" fillId="18" borderId="1" xfId="1" applyFont="1" applyFill="1" applyBorder="1" applyAlignment="1">
      <alignment horizontal="center" vertical="center"/>
    </xf>
    <xf numFmtId="44" fontId="30" fillId="18" borderId="1" xfId="1" applyFont="1" applyFill="1" applyBorder="1" applyAlignment="1">
      <alignment horizontal="center" vertical="center"/>
    </xf>
    <xf numFmtId="0" fontId="2" fillId="12" borderId="1" xfId="0" applyFont="1" applyFill="1" applyBorder="1"/>
    <xf numFmtId="164" fontId="4" fillId="3" borderId="2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20" borderId="1" xfId="0" applyNumberFormat="1" applyFont="1" applyFill="1" applyBorder="1" applyAlignment="1">
      <alignment horizontal="center" vertical="center"/>
    </xf>
    <xf numFmtId="164" fontId="4" fillId="20" borderId="1" xfId="0" applyNumberFormat="1" applyFont="1" applyFill="1" applyBorder="1" applyAlignment="1">
      <alignment horizontal="center" vertical="center"/>
    </xf>
    <xf numFmtId="44" fontId="4" fillId="20" borderId="1" xfId="1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left" vertical="center" wrapText="1"/>
    </xf>
    <xf numFmtId="0" fontId="8" fillId="21" borderId="1" xfId="3" applyFont="1" applyFill="1" applyBorder="1" applyAlignment="1">
      <alignment vertical="center" wrapText="1"/>
    </xf>
    <xf numFmtId="3" fontId="8" fillId="21" borderId="1" xfId="3" applyNumberFormat="1" applyFont="1" applyFill="1" applyBorder="1" applyAlignment="1">
      <alignment horizontal="left" vertical="center" wrapText="1"/>
    </xf>
    <xf numFmtId="0" fontId="10" fillId="21" borderId="1" xfId="3" applyFont="1" applyFill="1" applyBorder="1" applyAlignment="1">
      <alignment horizontal="left" vertical="center" wrapText="1"/>
    </xf>
    <xf numFmtId="0" fontId="10" fillId="21" borderId="1" xfId="3" applyFont="1" applyFill="1" applyBorder="1" applyAlignment="1">
      <alignment vertical="center" wrapText="1"/>
    </xf>
    <xf numFmtId="0" fontId="13" fillId="21" borderId="1" xfId="3" applyFont="1" applyFill="1" applyBorder="1" applyAlignment="1">
      <alignment vertical="center" wrapText="1"/>
    </xf>
    <xf numFmtId="0" fontId="8" fillId="12" borderId="1" xfId="3" applyFont="1" applyFill="1" applyBorder="1" applyAlignment="1">
      <alignment horizontal="left" vertical="center" wrapText="1"/>
    </xf>
    <xf numFmtId="0" fontId="8" fillId="12" borderId="1" xfId="3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0" fontId="8" fillId="21" borderId="1" xfId="0" applyFont="1" applyFill="1" applyBorder="1" applyAlignment="1">
      <alignment vertical="center" wrapText="1"/>
    </xf>
    <xf numFmtId="3" fontId="8" fillId="21" borderId="1" xfId="4" applyNumberFormat="1" applyFont="1" applyFill="1" applyBorder="1" applyAlignment="1">
      <alignment horizontal="left" vertical="center" wrapText="1"/>
    </xf>
    <xf numFmtId="0" fontId="9" fillId="21" borderId="1" xfId="4" applyFont="1" applyFill="1" applyBorder="1" applyAlignment="1">
      <alignment vertical="center" wrapText="1"/>
    </xf>
    <xf numFmtId="0" fontId="8" fillId="22" borderId="1" xfId="3" applyFont="1" applyFill="1" applyBorder="1" applyAlignment="1">
      <alignment horizontal="left" vertical="center" wrapText="1"/>
    </xf>
    <xf numFmtId="0" fontId="11" fillId="12" borderId="1" xfId="3" applyFont="1" applyFill="1" applyBorder="1" applyAlignment="1"/>
    <xf numFmtId="0" fontId="10" fillId="12" borderId="1" xfId="0" applyFont="1" applyFill="1" applyBorder="1" applyAlignment="1">
      <alignment vertical="center" wrapText="1"/>
    </xf>
    <xf numFmtId="0" fontId="8" fillId="21" borderId="1" xfId="4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 wrapText="1"/>
    </xf>
  </cellXfs>
  <cellStyles count="10">
    <cellStyle name="Moeda" xfId="1" builtinId="4"/>
    <cellStyle name="Normal" xfId="0" builtinId="0"/>
    <cellStyle name="Normal 2" xfId="3"/>
    <cellStyle name="Normal 2 2" xfId="4"/>
    <cellStyle name="Normal 3" xfId="5"/>
    <cellStyle name="Normal 4" xfId="6"/>
    <cellStyle name="Normal 5" xfId="7"/>
    <cellStyle name="Normal 6" xfId="8"/>
    <cellStyle name="Porcentagem" xfId="2" builtinId="5"/>
    <cellStyle name="Vírgula 2" xfId="9"/>
  </cellStyles>
  <dxfs count="1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922"/>
  <sheetViews>
    <sheetView showGridLines="0" tabSelected="1" workbookViewId="0">
      <pane xSplit="2" ySplit="3" topLeftCell="C127" activePane="bottomRight" state="frozen"/>
      <selection pane="topRight" activeCell="E1" sqref="E1"/>
      <selection pane="bottomLeft" activeCell="A4" sqref="A4"/>
      <selection pane="bottomRight" activeCell="B83" sqref="B83"/>
    </sheetView>
  </sheetViews>
  <sheetFormatPr defaultColWidth="14.42578125" defaultRowHeight="15" customHeight="1" x14ac:dyDescent="0.25"/>
  <cols>
    <col min="1" max="1" width="14.85546875" style="137" customWidth="1"/>
    <col min="2" max="2" width="66.140625" style="7" customWidth="1"/>
    <col min="3" max="3" width="19.7109375" style="7" customWidth="1"/>
    <col min="4" max="4" width="17.5703125" style="7" customWidth="1"/>
    <col min="5" max="5" width="15" style="7" customWidth="1"/>
    <col min="6" max="6" width="18.28515625" style="7" customWidth="1"/>
    <col min="7" max="7" width="17.42578125" style="7" customWidth="1"/>
    <col min="8" max="8" width="18.42578125" style="7" customWidth="1"/>
    <col min="9" max="9" width="16.7109375" style="7" customWidth="1"/>
    <col min="10" max="10" width="15.5703125" style="7" customWidth="1"/>
    <col min="11" max="11" width="19.140625" style="7" customWidth="1"/>
    <col min="12" max="12" width="15.5703125" style="7" customWidth="1"/>
    <col min="13" max="13" width="23.5703125" style="7" hidden="1" customWidth="1"/>
    <col min="14" max="14" width="18.140625" style="7" hidden="1" customWidth="1"/>
    <col min="15" max="15" width="16.7109375" style="7" hidden="1" customWidth="1"/>
    <col min="16" max="16" width="12.28515625" style="7" hidden="1" customWidth="1"/>
    <col min="17" max="17" width="11.42578125" style="7" hidden="1" customWidth="1"/>
    <col min="18" max="18" width="12.140625" style="7" hidden="1" customWidth="1"/>
    <col min="19" max="19" width="16" style="7" hidden="1" customWidth="1"/>
    <col min="20" max="23" width="15.7109375" style="7" hidden="1" customWidth="1"/>
    <col min="24" max="24" width="16.85546875" style="7" hidden="1" customWidth="1"/>
    <col min="25" max="26" width="15.7109375" style="7" hidden="1" customWidth="1"/>
    <col min="27" max="27" width="16.42578125" style="7" hidden="1" customWidth="1"/>
    <col min="28" max="29" width="15.7109375" style="7" hidden="1" customWidth="1"/>
    <col min="30" max="30" width="17.7109375" style="7" hidden="1" customWidth="1"/>
    <col min="31" max="32" width="15.7109375" style="7" hidden="1" customWidth="1"/>
    <col min="33" max="33" width="14.7109375" style="7" hidden="1" customWidth="1"/>
    <col min="34" max="57" width="15.7109375" style="7" hidden="1" customWidth="1"/>
    <col min="58" max="16384" width="14.42578125" style="7"/>
  </cols>
  <sheetData>
    <row r="1" spans="1:62" ht="18.75" customHeight="1" x14ac:dyDescent="0.25">
      <c r="A1" s="139" t="s">
        <v>0</v>
      </c>
      <c r="B1" s="140"/>
      <c r="C1" s="159" t="s">
        <v>1</v>
      </c>
      <c r="D1" s="155"/>
      <c r="E1" s="155"/>
      <c r="F1" s="155"/>
      <c r="G1" s="2" t="s">
        <v>2</v>
      </c>
      <c r="H1" s="1"/>
      <c r="I1" s="1"/>
      <c r="J1" s="156" t="s">
        <v>3</v>
      </c>
      <c r="K1" s="157"/>
      <c r="L1" s="158"/>
      <c r="M1" s="2" t="s">
        <v>4</v>
      </c>
      <c r="N1" s="1"/>
      <c r="O1" s="1"/>
      <c r="P1" s="4" t="s">
        <v>5</v>
      </c>
      <c r="Q1" s="1"/>
      <c r="R1" s="1"/>
      <c r="S1" s="5" t="s">
        <v>6</v>
      </c>
      <c r="T1" s="3"/>
      <c r="U1" s="3"/>
      <c r="V1" s="5" t="s">
        <v>7</v>
      </c>
      <c r="W1" s="3"/>
      <c r="X1" s="3"/>
      <c r="Y1" s="5" t="s">
        <v>8</v>
      </c>
      <c r="Z1" s="3"/>
      <c r="AA1" s="3"/>
      <c r="AB1" s="5" t="s">
        <v>9</v>
      </c>
      <c r="AC1" s="3"/>
      <c r="AD1" s="3"/>
      <c r="AE1" s="5" t="s">
        <v>10</v>
      </c>
      <c r="AF1" s="3"/>
      <c r="AG1" s="3"/>
      <c r="AH1" s="5" t="s">
        <v>11</v>
      </c>
      <c r="AI1" s="3"/>
      <c r="AJ1" s="3"/>
      <c r="AK1" s="5" t="s">
        <v>12</v>
      </c>
      <c r="AL1" s="3"/>
      <c r="AM1" s="3"/>
      <c r="AN1" s="5" t="s">
        <v>13</v>
      </c>
      <c r="AO1" s="3"/>
      <c r="AP1" s="3"/>
      <c r="AQ1" s="5" t="s">
        <v>14</v>
      </c>
      <c r="AR1" s="3"/>
      <c r="AS1" s="3"/>
      <c r="AT1" s="5" t="s">
        <v>15</v>
      </c>
      <c r="AU1" s="3"/>
      <c r="AV1" s="3"/>
      <c r="AW1" s="5" t="s">
        <v>16</v>
      </c>
      <c r="AX1" s="3"/>
      <c r="AY1" s="3"/>
      <c r="AZ1" s="5" t="s">
        <v>17</v>
      </c>
      <c r="BA1" s="3"/>
      <c r="BB1" s="3"/>
      <c r="BC1" s="5" t="s">
        <v>18</v>
      </c>
      <c r="BD1" s="3"/>
      <c r="BE1" s="3"/>
      <c r="BF1" s="6"/>
      <c r="BG1" s="6"/>
      <c r="BH1" s="6"/>
      <c r="BI1" s="6"/>
      <c r="BJ1" s="6"/>
    </row>
    <row r="2" spans="1:62" ht="45.75" customHeight="1" x14ac:dyDescent="0.25">
      <c r="A2" s="138" t="s">
        <v>19</v>
      </c>
      <c r="B2" s="8" t="s">
        <v>20</v>
      </c>
      <c r="C2" s="160" t="s">
        <v>22</v>
      </c>
      <c r="D2" s="160" t="s">
        <v>23</v>
      </c>
      <c r="E2" s="160" t="s">
        <v>24</v>
      </c>
      <c r="F2" s="160" t="s">
        <v>21</v>
      </c>
      <c r="G2" s="10" t="s">
        <v>22</v>
      </c>
      <c r="H2" s="10" t="s">
        <v>23</v>
      </c>
      <c r="I2" s="10" t="s">
        <v>21</v>
      </c>
      <c r="J2" s="9" t="s">
        <v>22</v>
      </c>
      <c r="K2" s="9" t="s">
        <v>23</v>
      </c>
      <c r="L2" s="9" t="s">
        <v>21</v>
      </c>
      <c r="M2" s="10" t="s">
        <v>25</v>
      </c>
      <c r="N2" s="10" t="s">
        <v>23</v>
      </c>
      <c r="O2" s="10" t="s">
        <v>26</v>
      </c>
      <c r="P2" s="11" t="s">
        <v>27</v>
      </c>
      <c r="Q2" s="12" t="s">
        <v>23</v>
      </c>
      <c r="R2" s="11" t="s">
        <v>28</v>
      </c>
      <c r="S2" s="13" t="s">
        <v>22</v>
      </c>
      <c r="T2" s="13" t="s">
        <v>23</v>
      </c>
      <c r="U2" s="13" t="s">
        <v>21</v>
      </c>
      <c r="V2" s="13" t="s">
        <v>22</v>
      </c>
      <c r="W2" s="13" t="s">
        <v>23</v>
      </c>
      <c r="X2" s="13" t="s">
        <v>21</v>
      </c>
      <c r="Y2" s="13" t="s">
        <v>22</v>
      </c>
      <c r="Z2" s="13" t="s">
        <v>23</v>
      </c>
      <c r="AA2" s="13" t="s">
        <v>21</v>
      </c>
      <c r="AB2" s="13" t="s">
        <v>22</v>
      </c>
      <c r="AC2" s="13" t="s">
        <v>23</v>
      </c>
      <c r="AD2" s="13" t="s">
        <v>21</v>
      </c>
      <c r="AE2" s="13" t="s">
        <v>22</v>
      </c>
      <c r="AF2" s="13" t="s">
        <v>23</v>
      </c>
      <c r="AG2" s="13" t="s">
        <v>21</v>
      </c>
      <c r="AH2" s="13" t="s">
        <v>22</v>
      </c>
      <c r="AI2" s="13" t="s">
        <v>23</v>
      </c>
      <c r="AJ2" s="13" t="s">
        <v>21</v>
      </c>
      <c r="AK2" s="13" t="s">
        <v>22</v>
      </c>
      <c r="AL2" s="13" t="s">
        <v>23</v>
      </c>
      <c r="AM2" s="13" t="s">
        <v>21</v>
      </c>
      <c r="AN2" s="13" t="s">
        <v>22</v>
      </c>
      <c r="AO2" s="13" t="s">
        <v>23</v>
      </c>
      <c r="AP2" s="13" t="s">
        <v>21</v>
      </c>
      <c r="AQ2" s="13" t="s">
        <v>22</v>
      </c>
      <c r="AR2" s="13" t="s">
        <v>23</v>
      </c>
      <c r="AS2" s="13" t="s">
        <v>21</v>
      </c>
      <c r="AT2" s="13" t="s">
        <v>22</v>
      </c>
      <c r="AU2" s="13" t="s">
        <v>23</v>
      </c>
      <c r="AV2" s="13" t="s">
        <v>21</v>
      </c>
      <c r="AW2" s="13" t="s">
        <v>22</v>
      </c>
      <c r="AX2" s="13" t="s">
        <v>23</v>
      </c>
      <c r="AY2" s="13" t="s">
        <v>21</v>
      </c>
      <c r="AZ2" s="13" t="s">
        <v>22</v>
      </c>
      <c r="BA2" s="13" t="s">
        <v>23</v>
      </c>
      <c r="BB2" s="13" t="s">
        <v>21</v>
      </c>
      <c r="BC2" s="13" t="s">
        <v>22</v>
      </c>
      <c r="BD2" s="13" t="s">
        <v>23</v>
      </c>
      <c r="BE2" s="13" t="s">
        <v>21</v>
      </c>
      <c r="BF2" s="6"/>
      <c r="BG2" s="6"/>
      <c r="BH2" s="6"/>
      <c r="BI2" s="6"/>
      <c r="BJ2" s="6"/>
    </row>
    <row r="3" spans="1:62" ht="21" x14ac:dyDescent="0.25">
      <c r="A3" s="15" t="s">
        <v>29</v>
      </c>
      <c r="B3" s="14" t="s">
        <v>30</v>
      </c>
      <c r="C3" s="161">
        <f>C4+C6+C43+C73+C133</f>
        <v>1817942.0899999999</v>
      </c>
      <c r="D3" s="161">
        <f>D4+D6+D43+D73+D133</f>
        <v>2340309.29</v>
      </c>
      <c r="E3" s="161">
        <f>E4+E6+E43+E73+E133</f>
        <v>6706.7800000000007</v>
      </c>
      <c r="F3" s="161">
        <f>F4+F6+F43+F73+F133</f>
        <v>593178.31999999995</v>
      </c>
      <c r="G3" s="17">
        <f>G4+G6+G43+G73+G133</f>
        <v>749284.81</v>
      </c>
      <c r="H3" s="17">
        <f>H4+H6+H43+H73+H133</f>
        <v>2202712.77</v>
      </c>
      <c r="I3" s="17">
        <f>I4+I6+I43+I73+I133</f>
        <v>174426.18</v>
      </c>
      <c r="J3" s="18">
        <f t="shared" ref="J3:L5" si="0">IF(BC3=0,SUM(S3+V3+Y3+AB3+AE3+AH3+AK3+AN3+AQ3+AT3+AW3+AZ3),BC3)</f>
        <v>748431.35</v>
      </c>
      <c r="K3" s="18">
        <f t="shared" si="0"/>
        <v>2202589.83</v>
      </c>
      <c r="L3" s="9">
        <f t="shared" si="0"/>
        <v>174426.18</v>
      </c>
      <c r="M3" s="10">
        <f>M4+M6+M43+M73+M133</f>
        <v>1016757.28</v>
      </c>
      <c r="N3" s="10">
        <f>N4+N6+N43+N73+N133</f>
        <v>130889.73999999996</v>
      </c>
      <c r="O3" s="10">
        <f>O4+O6+O43+O73+O133</f>
        <v>349161.35</v>
      </c>
      <c r="P3" s="12">
        <f t="shared" ref="P3:Q9" si="1">G3/C3</f>
        <v>0.41216098913249766</v>
      </c>
      <c r="Q3" s="12">
        <f t="shared" si="1"/>
        <v>0.94120583950679437</v>
      </c>
      <c r="R3" s="12">
        <f t="shared" ref="R3:R37" si="2">I3/F3</f>
        <v>0.29405353182833793</v>
      </c>
      <c r="S3" s="19">
        <f>S4+S6+S43+S73+S133</f>
        <v>27.08</v>
      </c>
      <c r="T3" s="19">
        <f>T4+T6+T43+T73+T133</f>
        <v>82979.189999999988</v>
      </c>
      <c r="U3" s="19">
        <f>U4+U6+U43+U73+U133</f>
        <v>0</v>
      </c>
      <c r="V3" s="19">
        <f>V4+V6+V43+V73+V133</f>
        <v>3450.05</v>
      </c>
      <c r="W3" s="19">
        <f>W4+W6+W43+W73+W133</f>
        <v>139830.27000000002</v>
      </c>
      <c r="X3" s="19">
        <f>X4+X6+X43+X73+X133</f>
        <v>0</v>
      </c>
      <c r="Y3" s="19">
        <f>Y4+Y6+Y43+Y73+Y133</f>
        <v>57131.609999999993</v>
      </c>
      <c r="Z3" s="19">
        <f>Z4+Z6+Z43+Z73+Z133</f>
        <v>344883.05</v>
      </c>
      <c r="AA3" s="19">
        <f>AA4+AA6+AA43+AA73+AA133</f>
        <v>0</v>
      </c>
      <c r="AB3" s="19">
        <f>AB4+AB6+AB43+AB73+AB133</f>
        <v>54225.499999999993</v>
      </c>
      <c r="AC3" s="19">
        <f>AC4+AC6+AC43+AC73+AC133</f>
        <v>470977.24</v>
      </c>
      <c r="AD3" s="19">
        <f>AD4+AD6+AD43+AD73+AD133</f>
        <v>11360</v>
      </c>
      <c r="AE3" s="19">
        <f>AE4+AE6+AE43+AE73+AE133</f>
        <v>118041.46</v>
      </c>
      <c r="AF3" s="19">
        <f>AF4+AF6+AF43+AF73+AF133</f>
        <v>176628.82</v>
      </c>
      <c r="AG3" s="19">
        <f>AG4+AG6+AG43+AG73+AG133</f>
        <v>13760</v>
      </c>
      <c r="AH3" s="19">
        <f>AH4+AH6+AH43+AH73+AH133</f>
        <v>101219.86</v>
      </c>
      <c r="AI3" s="19">
        <f>AI4+AI6+AI43+AI73+AI133</f>
        <v>301272.18</v>
      </c>
      <c r="AJ3" s="19">
        <f>AJ4+AJ6+AJ43+AJ73+AJ133</f>
        <v>14800</v>
      </c>
      <c r="AK3" s="19">
        <f>AK4+AK6+AK43+AK73+AK133</f>
        <v>84319.670000000013</v>
      </c>
      <c r="AL3" s="19">
        <f>AL4+AL6+AL43+AL73+AL133</f>
        <v>240449.38</v>
      </c>
      <c r="AM3" s="19">
        <f>AM4+AM6+AM43+AM73+AM133</f>
        <v>0</v>
      </c>
      <c r="AN3" s="19">
        <f>AN4+AN6+AN43+AN73+AN133</f>
        <v>85354.409999999989</v>
      </c>
      <c r="AO3" s="19">
        <f>AO4+AO6+AO43+AO73+AO133</f>
        <v>160079.74</v>
      </c>
      <c r="AP3" s="19">
        <f>AP4+AP6+AP43+AP73+AP133</f>
        <v>0</v>
      </c>
      <c r="AQ3" s="19">
        <f>AQ4+AQ6+AQ43+AQ73+AQ133</f>
        <v>79612.109999999986</v>
      </c>
      <c r="AR3" s="19">
        <f>AR4+AR6+AR43+AR73+AR133</f>
        <v>167417.74</v>
      </c>
      <c r="AS3" s="19">
        <f>AS4+AS6+AS43+AS73+AS133</f>
        <v>0</v>
      </c>
      <c r="AT3" s="19">
        <f>AT4+AT6+AT43+AT73+AT133</f>
        <v>80006.00999999998</v>
      </c>
      <c r="AU3" s="19">
        <f>AU4+AU6+AU43+AU73+AU133</f>
        <v>2173.61</v>
      </c>
      <c r="AV3" s="19">
        <f>AV4+AV6+AV43+AV73+AV133</f>
        <v>131748.38</v>
      </c>
      <c r="AW3" s="19">
        <f>AW4+AW6+AW43+AW73+AW133</f>
        <v>85043.59</v>
      </c>
      <c r="AX3" s="19">
        <f>AX4+AX6+AX43+AX73+AX133</f>
        <v>115898.61000000002</v>
      </c>
      <c r="AY3" s="19">
        <f>AY4+AY6+AY43+AY73+AY133</f>
        <v>2757.8</v>
      </c>
      <c r="AZ3" s="19">
        <f>AZ4+AZ6+AZ43+AZ73+AZ133</f>
        <v>0</v>
      </c>
      <c r="BA3" s="19">
        <f>BA4+BA6+BA43+BA73+BA133</f>
        <v>0</v>
      </c>
      <c r="BB3" s="19">
        <f>BB4+BB6+BB43+BB73+BB133</f>
        <v>0</v>
      </c>
      <c r="BC3" s="19">
        <f>BC4+BC6+BC43+BC73+BC133</f>
        <v>0</v>
      </c>
      <c r="BD3" s="19">
        <f>BD4+BD6+BD43+BD73+BD133</f>
        <v>0</v>
      </c>
      <c r="BE3" s="19">
        <f>BE4+BE6+BE43+BE73+BE133</f>
        <v>0</v>
      </c>
      <c r="BF3" s="20"/>
      <c r="BG3" s="21"/>
      <c r="BH3" s="21"/>
      <c r="BI3" s="21"/>
      <c r="BJ3" s="21"/>
    </row>
    <row r="4" spans="1:62" ht="21" x14ac:dyDescent="0.25">
      <c r="A4" s="22" t="s">
        <v>31</v>
      </c>
      <c r="B4" s="22"/>
      <c r="C4" s="23">
        <f>SUM(C5:C5)</f>
        <v>1000</v>
      </c>
      <c r="D4" s="23">
        <f>SUM(D5:D5)</f>
        <v>0</v>
      </c>
      <c r="E4" s="23"/>
      <c r="F4" s="23">
        <f>SUM(F5:F5)</f>
        <v>0</v>
      </c>
      <c r="G4" s="23">
        <f>SUM(G5:G5)</f>
        <v>344.64</v>
      </c>
      <c r="H4" s="23">
        <f>SUM(H5:H5)</f>
        <v>0</v>
      </c>
      <c r="I4" s="23">
        <f>SUM(I5:I5)</f>
        <v>0</v>
      </c>
      <c r="J4" s="23">
        <f t="shared" si="0"/>
        <v>344.64</v>
      </c>
      <c r="K4" s="23">
        <f t="shared" si="0"/>
        <v>0</v>
      </c>
      <c r="L4" s="23">
        <f t="shared" si="0"/>
        <v>0</v>
      </c>
      <c r="M4" s="23">
        <f>SUM(M5:M5)</f>
        <v>655.36</v>
      </c>
      <c r="N4" s="23">
        <f>SUM(N5:N5)</f>
        <v>0</v>
      </c>
      <c r="O4" s="23">
        <f>SUM(O5:O5)</f>
        <v>0</v>
      </c>
      <c r="P4" s="23">
        <f t="shared" si="1"/>
        <v>0.34464</v>
      </c>
      <c r="Q4" s="24" t="e">
        <f t="shared" si="1"/>
        <v>#DIV/0!</v>
      </c>
      <c r="R4" s="24" t="e">
        <f t="shared" si="2"/>
        <v>#DIV/0!</v>
      </c>
      <c r="S4" s="23">
        <f>SUM(S5:S5)</f>
        <v>0</v>
      </c>
      <c r="T4" s="23">
        <f>SUM(T5:T5)</f>
        <v>0</v>
      </c>
      <c r="U4" s="23">
        <f>SUM(U5:U5)</f>
        <v>0</v>
      </c>
      <c r="V4" s="23">
        <f>SUM(V5:V5)</f>
        <v>0</v>
      </c>
      <c r="W4" s="23">
        <f>SUM(W5:W5)</f>
        <v>0</v>
      </c>
      <c r="X4" s="23">
        <f>SUM(X5:X5)</f>
        <v>0</v>
      </c>
      <c r="Y4" s="23">
        <f>SUM(Y5:Y5)</f>
        <v>0</v>
      </c>
      <c r="Z4" s="23">
        <f>SUM(Z5:Z5)</f>
        <v>0</v>
      </c>
      <c r="AA4" s="23">
        <f>SUM(AA5:AA5)</f>
        <v>0</v>
      </c>
      <c r="AB4" s="23">
        <f>SUM(AB5:AB5)</f>
        <v>0</v>
      </c>
      <c r="AC4" s="23">
        <f>SUM(AC5:AC5)</f>
        <v>0</v>
      </c>
      <c r="AD4" s="23">
        <f>SUM(AD5:AD5)</f>
        <v>0</v>
      </c>
      <c r="AE4" s="23">
        <f>SUM(AE5:AE5)</f>
        <v>0</v>
      </c>
      <c r="AF4" s="23">
        <f>SUM(AF5:AF5)</f>
        <v>0</v>
      </c>
      <c r="AG4" s="23">
        <f>SUM(AG5:AG5)</f>
        <v>0</v>
      </c>
      <c r="AH4" s="23">
        <f>SUM(AH5:AH5)</f>
        <v>344.64</v>
      </c>
      <c r="AI4" s="23">
        <f>SUM(AI5:AI5)</f>
        <v>0</v>
      </c>
      <c r="AJ4" s="23">
        <f>SUM(AJ5:AJ5)</f>
        <v>0</v>
      </c>
      <c r="AK4" s="23">
        <f>SUM(AK5:AK5)</f>
        <v>0</v>
      </c>
      <c r="AL4" s="23">
        <f>SUM(AL5:AL5)</f>
        <v>0</v>
      </c>
      <c r="AM4" s="23">
        <f>SUM(AM5:AM5)</f>
        <v>0</v>
      </c>
      <c r="AN4" s="23">
        <f>SUM(AN5:AN5)</f>
        <v>0</v>
      </c>
      <c r="AO4" s="23">
        <f>SUM(AO5:AO5)</f>
        <v>0</v>
      </c>
      <c r="AP4" s="23">
        <f>SUM(AP5:AP5)</f>
        <v>0</v>
      </c>
      <c r="AQ4" s="23">
        <f>SUM(AQ5:AQ5)</f>
        <v>0</v>
      </c>
      <c r="AR4" s="23">
        <f>SUM(AR5:AR5)</f>
        <v>0</v>
      </c>
      <c r="AS4" s="23">
        <f>SUM(AS5:AS5)</f>
        <v>0</v>
      </c>
      <c r="AT4" s="23">
        <f>SUM(AT5:AT5)</f>
        <v>0</v>
      </c>
      <c r="AU4" s="23">
        <f>SUM(AU5:AU5)</f>
        <v>0</v>
      </c>
      <c r="AV4" s="23">
        <f>SUM(AV5:AV5)</f>
        <v>0</v>
      </c>
      <c r="AW4" s="23">
        <f>SUM(AW5:AW5)</f>
        <v>0</v>
      </c>
      <c r="AX4" s="23">
        <f>SUM(AX5:AX5)</f>
        <v>0</v>
      </c>
      <c r="AY4" s="23">
        <f>SUM(AY5:AY5)</f>
        <v>0</v>
      </c>
      <c r="AZ4" s="23">
        <f>SUM(AZ5:AZ5)</f>
        <v>0</v>
      </c>
      <c r="BA4" s="23">
        <f>SUM(BA5:BA5)</f>
        <v>0</v>
      </c>
      <c r="BB4" s="23">
        <f>SUM(BB5:BB5)</f>
        <v>0</v>
      </c>
      <c r="BC4" s="23">
        <f>SUM(BC5:BC5)</f>
        <v>0</v>
      </c>
      <c r="BD4" s="23">
        <f>SUM(BD5:BD5)</f>
        <v>0</v>
      </c>
      <c r="BE4" s="23">
        <f>SUM(BE5:BE5)</f>
        <v>0</v>
      </c>
      <c r="BF4" s="20"/>
      <c r="BG4" s="21"/>
      <c r="BH4" s="21"/>
      <c r="BI4" s="21"/>
      <c r="BJ4" s="21"/>
    </row>
    <row r="5" spans="1:62" ht="15.75" x14ac:dyDescent="0.25">
      <c r="A5" s="162" t="s">
        <v>32</v>
      </c>
      <c r="B5" s="163" t="s">
        <v>33</v>
      </c>
      <c r="C5" s="141">
        <v>1000</v>
      </c>
      <c r="D5" s="141"/>
      <c r="E5" s="141"/>
      <c r="F5" s="141"/>
      <c r="G5" s="30">
        <f t="shared" ref="G5:I5" si="3">S5+V5+Y5+AB5+AE5+AH5+AK5+AN5+AQ5+AT5+AW5+AZ5</f>
        <v>344.64</v>
      </c>
      <c r="H5" s="30">
        <f t="shared" si="3"/>
        <v>0</v>
      </c>
      <c r="I5" s="30">
        <f t="shared" si="3"/>
        <v>0</v>
      </c>
      <c r="J5" s="18">
        <f t="shared" si="0"/>
        <v>344.64</v>
      </c>
      <c r="K5" s="18">
        <f t="shared" si="0"/>
        <v>0</v>
      </c>
      <c r="L5" s="18">
        <f t="shared" si="0"/>
        <v>0</v>
      </c>
      <c r="M5" s="30">
        <f>C5-G5</f>
        <v>655.36</v>
      </c>
      <c r="N5" s="30">
        <f>D5-H5</f>
        <v>0</v>
      </c>
      <c r="O5" s="30">
        <f t="shared" ref="O5" si="4">F5-I5</f>
        <v>0</v>
      </c>
      <c r="P5" s="31">
        <f t="shared" si="1"/>
        <v>0.34464</v>
      </c>
      <c r="Q5" s="32" t="e">
        <f t="shared" si="1"/>
        <v>#DIV/0!</v>
      </c>
      <c r="R5" s="32" t="e">
        <f t="shared" si="2"/>
        <v>#DIV/0!</v>
      </c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>
        <f>67.68+276.96</f>
        <v>344.64</v>
      </c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33"/>
      <c r="BG5" s="34"/>
      <c r="BH5" s="34"/>
      <c r="BI5" s="34"/>
      <c r="BJ5" s="34"/>
    </row>
    <row r="6" spans="1:62" ht="21" x14ac:dyDescent="0.35">
      <c r="A6" s="37" t="s">
        <v>37</v>
      </c>
      <c r="B6" s="38"/>
      <c r="C6" s="23">
        <f>SUM(C7:C42)</f>
        <v>1661096.1899999997</v>
      </c>
      <c r="D6" s="23">
        <f>SUM(D7:D42)</f>
        <v>1553537.26</v>
      </c>
      <c r="E6" s="23">
        <f>SUM(E7:E42)</f>
        <v>0</v>
      </c>
      <c r="F6" s="23">
        <f>SUM(F7:F39)</f>
        <v>355865.93999999994</v>
      </c>
      <c r="G6" s="23">
        <f>SUM(G7:G42)</f>
        <v>654740.55999999994</v>
      </c>
      <c r="H6" s="23">
        <f>SUM(H7:H42)</f>
        <v>1442206.2</v>
      </c>
      <c r="I6" s="39">
        <f>SUM(I7:I39)</f>
        <v>125861.28</v>
      </c>
      <c r="J6" s="23">
        <f>IF(BC6=0,SUM(S6+V6+Y6+AB6+AE6+AH6+AK6+AN6+AQ6+AT6+AW6+AZ6),BC6)</f>
        <v>654740.55999999994</v>
      </c>
      <c r="K6" s="23">
        <f t="shared" ref="K6:L32" si="5">IF(BD6=0,SUM(T6+W6+Z6+AC6+AF6+AI6+AL6+AO6+AR6+AU6+AX6+BA6),BD6)</f>
        <v>1442206.2000000002</v>
      </c>
      <c r="L6" s="39">
        <f t="shared" si="5"/>
        <v>125861.28</v>
      </c>
      <c r="M6" s="23">
        <f>SUM(M7:M42)</f>
        <v>976355.63</v>
      </c>
      <c r="N6" s="23">
        <f>SUM(N7:N42)</f>
        <v>111331.05999999994</v>
      </c>
      <c r="O6" s="39">
        <f>SUM(O7:O42)</f>
        <v>160413.86999999997</v>
      </c>
      <c r="P6" s="24">
        <f t="shared" si="1"/>
        <v>0.39416173725616699</v>
      </c>
      <c r="Q6" s="24">
        <f t="shared" si="1"/>
        <v>0.92833705192239802</v>
      </c>
      <c r="R6" s="24">
        <f t="shared" si="2"/>
        <v>0.35367610623258866</v>
      </c>
      <c r="S6" s="23">
        <f>SUM(S7:S42)</f>
        <v>27.08</v>
      </c>
      <c r="T6" s="23">
        <f>SUM(T7:T41)</f>
        <v>75551.12</v>
      </c>
      <c r="U6" s="23">
        <f>SUM(U7:U42)</f>
        <v>0</v>
      </c>
      <c r="V6" s="23">
        <f>SUM(V7:V42)</f>
        <v>1828.43</v>
      </c>
      <c r="W6" s="23">
        <f>SUM(W7:W42)</f>
        <v>89502.900000000009</v>
      </c>
      <c r="X6" s="23">
        <f>SUM(X7:X39)</f>
        <v>0</v>
      </c>
      <c r="Y6" s="23">
        <f>SUM(Y7:Y42)</f>
        <v>54213.289999999994</v>
      </c>
      <c r="Z6" s="23">
        <f>SUM(Z7:Z41)</f>
        <v>182708.91</v>
      </c>
      <c r="AA6" s="23">
        <f>SUM(AA7:AA39)</f>
        <v>0</v>
      </c>
      <c r="AB6" s="23">
        <f>SUM(AB7:AB42)</f>
        <v>50496.369999999995</v>
      </c>
      <c r="AC6" s="23">
        <f>SUM(AC7:AC42)</f>
        <v>159260.24</v>
      </c>
      <c r="AD6" s="23">
        <f>SUM(AD7:AD39)</f>
        <v>0</v>
      </c>
      <c r="AE6" s="23">
        <f>SUM(AE7:AE42)</f>
        <v>84305.43</v>
      </c>
      <c r="AF6" s="23">
        <f>SUM(AF7:AF42)</f>
        <v>116175.06999999999</v>
      </c>
      <c r="AG6" s="23">
        <f>SUM(AG7:AG39)</f>
        <v>0</v>
      </c>
      <c r="AH6" s="23">
        <f>SUM(AH7:AH42)</f>
        <v>94979.49</v>
      </c>
      <c r="AI6" s="23">
        <f>SUM(AI7:AI42)</f>
        <v>144107.38</v>
      </c>
      <c r="AJ6" s="23">
        <f>SUM(AJ7:AJ39)</f>
        <v>0</v>
      </c>
      <c r="AK6" s="23">
        <f>SUM(AK7:AK42)</f>
        <v>74410.820000000007</v>
      </c>
      <c r="AL6" s="23">
        <f>SUM(AL7:AL42)</f>
        <v>234237.12</v>
      </c>
      <c r="AM6" s="23">
        <f>SUM(AM7:AM39)</f>
        <v>0</v>
      </c>
      <c r="AN6" s="23">
        <f>SUM(AN7:AN42)</f>
        <v>71446.399999999994</v>
      </c>
      <c r="AO6" s="23">
        <f>SUM(AO7:AO39)</f>
        <v>158504.82</v>
      </c>
      <c r="AP6" s="23">
        <f>SUM(AP7:AP39)</f>
        <v>0</v>
      </c>
      <c r="AQ6" s="23">
        <f>SUM(AQ7:AQ42)</f>
        <v>70304.409999999989</v>
      </c>
      <c r="AR6" s="23">
        <f>SUM(AR7:AR42)</f>
        <v>166260.03</v>
      </c>
      <c r="AS6" s="23">
        <f>SUM(AS7:AS39)</f>
        <v>0</v>
      </c>
      <c r="AT6" s="23">
        <f>SUM(AT7:AT39)</f>
        <v>74982.419999999984</v>
      </c>
      <c r="AU6" s="23">
        <f>SUM(AU7:AU39)</f>
        <v>0</v>
      </c>
      <c r="AV6" s="23">
        <f>SUM(AV7:AV39)</f>
        <v>125861.28</v>
      </c>
      <c r="AW6" s="23">
        <f>SUM(AW7:AW39)</f>
        <v>77746.42</v>
      </c>
      <c r="AX6" s="23">
        <f>SUM(AX7:AX39)</f>
        <v>115898.61000000002</v>
      </c>
      <c r="AY6" s="23">
        <f>SUM(AY7:AY39)</f>
        <v>0</v>
      </c>
      <c r="AZ6" s="23">
        <f>SUM(AZ7:AZ39)</f>
        <v>0</v>
      </c>
      <c r="BA6" s="23">
        <f>SUM(BA7:BA39)</f>
        <v>0</v>
      </c>
      <c r="BB6" s="23">
        <f>SUM(BB7:BB39)</f>
        <v>0</v>
      </c>
      <c r="BC6" s="23">
        <f>SUM(BC7:BC39)</f>
        <v>0</v>
      </c>
      <c r="BD6" s="23">
        <f>SUM(BD7:BD39)</f>
        <v>0</v>
      </c>
      <c r="BE6" s="23">
        <f>SUM(BE7:BE39)</f>
        <v>0</v>
      </c>
      <c r="BF6" s="40"/>
      <c r="BG6" s="41"/>
      <c r="BH6" s="41"/>
      <c r="BI6" s="41"/>
      <c r="BJ6" s="41"/>
    </row>
    <row r="7" spans="1:62" ht="15.75" customHeight="1" x14ac:dyDescent="0.25">
      <c r="A7" s="164" t="s">
        <v>38</v>
      </c>
      <c r="B7" s="165" t="s">
        <v>192</v>
      </c>
      <c r="C7" s="141">
        <f>1366.43+19000+11614.11+15690.95+17000+17000+17000+125000+372041.86-70383-20000-20000</f>
        <v>485330.35</v>
      </c>
      <c r="D7" s="142">
        <v>33392.69</v>
      </c>
      <c r="E7" s="142"/>
      <c r="F7" s="143"/>
      <c r="G7" s="30">
        <f t="shared" ref="G7:I20" si="6">S7+V7+Y7+AB7+AE7+AH7+AK7+AN7+AQ7+AT7+AW7+AZ7</f>
        <v>144553.88</v>
      </c>
      <c r="H7" s="30">
        <f t="shared" si="6"/>
        <v>33392.69</v>
      </c>
      <c r="I7" s="30">
        <f t="shared" si="6"/>
        <v>0</v>
      </c>
      <c r="J7" s="18">
        <f t="shared" ref="J7:J33" si="7">IF(BC7=0,SUM(S7+V7+Y7+AB7+AE7+AH7+AK7+AN7+AQ7+AT7+AW7+AZ7),BC7)</f>
        <v>144553.88</v>
      </c>
      <c r="K7" s="18">
        <f t="shared" si="5"/>
        <v>33392.69</v>
      </c>
      <c r="L7" s="18">
        <f t="shared" si="5"/>
        <v>0</v>
      </c>
      <c r="M7" s="30">
        <f t="shared" ref="M7:N37" si="8">C7-G7</f>
        <v>340776.47</v>
      </c>
      <c r="N7" s="30">
        <f t="shared" si="8"/>
        <v>0</v>
      </c>
      <c r="O7" s="30">
        <f t="shared" ref="O7:O37" si="9">F7-I7</f>
        <v>0</v>
      </c>
      <c r="P7" s="32">
        <f t="shared" si="1"/>
        <v>0.29784636382208535</v>
      </c>
      <c r="Q7" s="32">
        <f t="shared" si="1"/>
        <v>1</v>
      </c>
      <c r="R7" s="32" t="e">
        <f t="shared" si="2"/>
        <v>#DIV/0!</v>
      </c>
      <c r="S7" s="28"/>
      <c r="T7" s="28">
        <v>18090.669999999998</v>
      </c>
      <c r="U7" s="28"/>
      <c r="V7" s="42">
        <f>1366.43</f>
        <v>1366.43</v>
      </c>
      <c r="W7" s="42">
        <v>15302.02</v>
      </c>
      <c r="X7" s="28"/>
      <c r="Y7" s="28">
        <v>15086.89</v>
      </c>
      <c r="Z7" s="28"/>
      <c r="AA7" s="28"/>
      <c r="AB7" s="28">
        <f>16009.2-481.98</f>
        <v>15527.220000000001</v>
      </c>
      <c r="AC7" s="28"/>
      <c r="AD7" s="28"/>
      <c r="AE7" s="28"/>
      <c r="AF7" s="28"/>
      <c r="AG7" s="28"/>
      <c r="AH7" s="28">
        <f>15690.95+14468.24-902.65-115.52</f>
        <v>29141.02</v>
      </c>
      <c r="AI7" s="28"/>
      <c r="AJ7" s="28"/>
      <c r="AK7" s="28">
        <v>16382.32</v>
      </c>
      <c r="AL7" s="28"/>
      <c r="AM7" s="28"/>
      <c r="AN7" s="28">
        <v>17237.8</v>
      </c>
      <c r="AO7" s="28"/>
      <c r="AP7" s="28"/>
      <c r="AQ7" s="28">
        <v>17094.22</v>
      </c>
      <c r="AR7" s="28"/>
      <c r="AS7" s="28"/>
      <c r="AT7" s="28">
        <v>15250.22</v>
      </c>
      <c r="AU7" s="28"/>
      <c r="AV7" s="28"/>
      <c r="AW7" s="28">
        <v>17467.759999999998</v>
      </c>
      <c r="AX7" s="28"/>
      <c r="AY7" s="28"/>
      <c r="AZ7" s="28"/>
      <c r="BA7" s="28"/>
      <c r="BB7" s="28"/>
      <c r="BC7" s="28"/>
      <c r="BD7" s="28"/>
      <c r="BE7" s="28"/>
      <c r="BF7" s="33"/>
      <c r="BG7" s="34"/>
      <c r="BH7" s="34"/>
      <c r="BI7" s="34"/>
      <c r="BJ7" s="34"/>
    </row>
    <row r="8" spans="1:62" ht="15.75" customHeight="1" x14ac:dyDescent="0.25">
      <c r="A8" s="164" t="s">
        <v>39</v>
      </c>
      <c r="B8" s="166" t="s">
        <v>193</v>
      </c>
      <c r="C8" s="141">
        <v>2600</v>
      </c>
      <c r="D8" s="142">
        <f>236.29+3000</f>
        <v>3236.29</v>
      </c>
      <c r="E8" s="142"/>
      <c r="F8" s="143"/>
      <c r="G8" s="30">
        <f t="shared" si="6"/>
        <v>0</v>
      </c>
      <c r="H8" s="30">
        <f t="shared" si="6"/>
        <v>471.95000000000005</v>
      </c>
      <c r="I8" s="30">
        <f t="shared" si="6"/>
        <v>0</v>
      </c>
      <c r="J8" s="18">
        <f t="shared" si="7"/>
        <v>0</v>
      </c>
      <c r="K8" s="18">
        <f t="shared" si="5"/>
        <v>471.95000000000005</v>
      </c>
      <c r="L8" s="18">
        <f t="shared" si="5"/>
        <v>0</v>
      </c>
      <c r="M8" s="30">
        <f t="shared" si="8"/>
        <v>2600</v>
      </c>
      <c r="N8" s="30">
        <f t="shared" si="8"/>
        <v>2764.34</v>
      </c>
      <c r="O8" s="30">
        <f t="shared" si="9"/>
        <v>0</v>
      </c>
      <c r="P8" s="32">
        <f t="shared" si="1"/>
        <v>0</v>
      </c>
      <c r="Q8" s="32">
        <f t="shared" si="1"/>
        <v>0.14583056524600702</v>
      </c>
      <c r="R8" s="32" t="e">
        <f t="shared" si="2"/>
        <v>#DIV/0!</v>
      </c>
      <c r="S8" s="28"/>
      <c r="T8" s="28">
        <v>15.55</v>
      </c>
      <c r="U8" s="28"/>
      <c r="V8" s="42"/>
      <c r="W8" s="42">
        <f>0.31+27.85</f>
        <v>28.16</v>
      </c>
      <c r="X8" s="28"/>
      <c r="Y8" s="28"/>
      <c r="Z8" s="28">
        <f>122.06</f>
        <v>122.06</v>
      </c>
      <c r="AA8" s="28"/>
      <c r="AB8" s="28"/>
      <c r="AC8" s="28"/>
      <c r="AD8" s="28"/>
      <c r="AE8" s="28"/>
      <c r="AF8" s="28"/>
      <c r="AG8" s="28"/>
      <c r="AH8" s="28"/>
      <c r="AI8" s="28">
        <f>205.45</f>
        <v>205.45</v>
      </c>
      <c r="AJ8" s="28"/>
      <c r="AK8" s="28"/>
      <c r="AL8" s="28"/>
      <c r="AM8" s="28"/>
      <c r="AN8" s="28"/>
      <c r="AO8" s="28">
        <v>100.73</v>
      </c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33"/>
      <c r="BG8" s="34"/>
      <c r="BH8" s="34"/>
      <c r="BI8" s="34"/>
      <c r="BJ8" s="34"/>
    </row>
    <row r="9" spans="1:62" ht="15.75" customHeight="1" x14ac:dyDescent="0.25">
      <c r="A9" s="164" t="s">
        <v>40</v>
      </c>
      <c r="B9" s="166" t="s">
        <v>194</v>
      </c>
      <c r="C9" s="141">
        <f>21932.34+21932.34+21932.34+21932.34+21932.34+21932.34+43864.68+175458.72</f>
        <v>350917.44</v>
      </c>
      <c r="D9" s="142">
        <v>43864.68</v>
      </c>
      <c r="E9" s="142"/>
      <c r="F9" s="143"/>
      <c r="G9" s="30">
        <f t="shared" si="6"/>
        <v>197391.06</v>
      </c>
      <c r="H9" s="30">
        <f t="shared" si="6"/>
        <v>43864.68</v>
      </c>
      <c r="I9" s="30">
        <f t="shared" si="6"/>
        <v>0</v>
      </c>
      <c r="J9" s="18">
        <f t="shared" si="7"/>
        <v>197391.06</v>
      </c>
      <c r="K9" s="18">
        <f t="shared" si="5"/>
        <v>43864.68</v>
      </c>
      <c r="L9" s="18">
        <f t="shared" si="5"/>
        <v>0</v>
      </c>
      <c r="M9" s="30">
        <f t="shared" si="8"/>
        <v>153526.38</v>
      </c>
      <c r="N9" s="30">
        <f t="shared" si="8"/>
        <v>0</v>
      </c>
      <c r="O9" s="30">
        <f t="shared" si="9"/>
        <v>0</v>
      </c>
      <c r="P9" s="32">
        <f t="shared" si="1"/>
        <v>0.5625</v>
      </c>
      <c r="Q9" s="32">
        <f t="shared" si="1"/>
        <v>1</v>
      </c>
      <c r="R9" s="32" t="e">
        <f t="shared" si="2"/>
        <v>#DIV/0!</v>
      </c>
      <c r="S9" s="28"/>
      <c r="T9" s="28">
        <v>21932.34</v>
      </c>
      <c r="U9" s="28"/>
      <c r="V9" s="42"/>
      <c r="W9" s="42">
        <f>43864.68-T9</f>
        <v>21932.34</v>
      </c>
      <c r="X9" s="28"/>
      <c r="Y9" s="28">
        <v>21932.34</v>
      </c>
      <c r="Z9" s="28"/>
      <c r="AA9" s="28"/>
      <c r="AB9" s="28">
        <v>21932.34</v>
      </c>
      <c r="AC9" s="28"/>
      <c r="AD9" s="28"/>
      <c r="AE9" s="28">
        <f>21932.34</f>
        <v>21932.34</v>
      </c>
      <c r="AF9" s="28"/>
      <c r="AG9" s="28"/>
      <c r="AH9" s="28">
        <f>21932.34</f>
        <v>21932.34</v>
      </c>
      <c r="AI9" s="28"/>
      <c r="AJ9" s="28"/>
      <c r="AK9" s="28">
        <v>21932.34</v>
      </c>
      <c r="AL9" s="28"/>
      <c r="AM9" s="28"/>
      <c r="AN9" s="28">
        <v>21932.34</v>
      </c>
      <c r="AO9" s="28"/>
      <c r="AP9" s="28"/>
      <c r="AQ9" s="28">
        <v>21932.34</v>
      </c>
      <c r="AR9" s="28"/>
      <c r="AS9" s="28"/>
      <c r="AT9" s="28">
        <v>21932.34</v>
      </c>
      <c r="AU9" s="28"/>
      <c r="AV9" s="28"/>
      <c r="AW9" s="28">
        <v>21932.34</v>
      </c>
      <c r="AX9" s="28"/>
      <c r="AY9" s="28"/>
      <c r="AZ9" s="28"/>
      <c r="BA9" s="28"/>
      <c r="BB9" s="28"/>
      <c r="BC9" s="28"/>
      <c r="BD9" s="28"/>
      <c r="BE9" s="28"/>
      <c r="BF9" s="33"/>
      <c r="BG9" s="34"/>
      <c r="BH9" s="34"/>
      <c r="BI9" s="34"/>
      <c r="BJ9" s="34"/>
    </row>
    <row r="10" spans="1:62" ht="15.75" customHeight="1" x14ac:dyDescent="0.25">
      <c r="A10" s="164" t="s">
        <v>41</v>
      </c>
      <c r="B10" s="166" t="s">
        <v>195</v>
      </c>
      <c r="C10" s="141">
        <f>10747.76+19190.52+22508.68+20020.06+20020.06+20020.06+200200.6+320320.96-90000-80000-50000</f>
        <v>413028.69999999995</v>
      </c>
      <c r="D10" s="142">
        <v>38381.040000000001</v>
      </c>
      <c r="E10" s="142"/>
      <c r="F10" s="143"/>
      <c r="G10" s="30">
        <f>S10+V10+Y10+AB10+AE10+AH10+AK10+AN10+AQ10+AT10+AW10+AZ10</f>
        <v>172567.32</v>
      </c>
      <c r="H10" s="30">
        <f>T10+W10+AC10+AI10+AL10+AO10+AR10+AU10+AX10+BA10</f>
        <v>38381.040000000001</v>
      </c>
      <c r="I10" s="30">
        <f>U10+X10+AA10+AD10+AG10+AJ10+AM10+AP10+AS10+AV10+AY10+BB10</f>
        <v>0</v>
      </c>
      <c r="J10" s="18">
        <f>IF(BC10=0,SUM(S10+V10+Y10+AB10+AE10+AH10+AK10+AN10+AQ10+AT10+AW10+AZ10),BC10)</f>
        <v>172567.32</v>
      </c>
      <c r="K10" s="18">
        <f>IF(BD10=0,SUM(T10+W10+AC10+AI10+AL10+AO10+AR10+AU10+AX10+BA10),BD10)</f>
        <v>38381.040000000001</v>
      </c>
      <c r="L10" s="18">
        <f t="shared" si="5"/>
        <v>0</v>
      </c>
      <c r="M10" s="30">
        <f t="shared" si="8"/>
        <v>240461.37999999995</v>
      </c>
      <c r="N10" s="30">
        <f t="shared" si="8"/>
        <v>0</v>
      </c>
      <c r="O10" s="30">
        <f t="shared" si="9"/>
        <v>0</v>
      </c>
      <c r="P10" s="32">
        <f t="shared" ref="P10:Q37" si="10">G10/C10</f>
        <v>0.41780951299510188</v>
      </c>
      <c r="Q10" s="32">
        <f t="shared" si="10"/>
        <v>1</v>
      </c>
      <c r="R10" s="32" t="e">
        <f t="shared" si="2"/>
        <v>#DIV/0!</v>
      </c>
      <c r="S10" s="28"/>
      <c r="T10" s="28">
        <f>19190.52</f>
        <v>19190.52</v>
      </c>
      <c r="U10" s="43"/>
      <c r="V10" s="42"/>
      <c r="W10" s="42">
        <v>19190.52</v>
      </c>
      <c r="X10" s="28"/>
      <c r="Y10" s="28">
        <v>10747.76</v>
      </c>
      <c r="Z10" s="28"/>
      <c r="AA10" s="28"/>
      <c r="AB10" s="28">
        <v>0</v>
      </c>
      <c r="AC10" s="28"/>
      <c r="AD10" s="28"/>
      <c r="AE10" s="28">
        <f>19190.52+22508.68</f>
        <v>41699.199999999997</v>
      </c>
      <c r="AF10" s="44"/>
      <c r="AG10" s="28"/>
      <c r="AH10" s="28">
        <f>20020.06</f>
        <v>20020.060000000001</v>
      </c>
      <c r="AI10" s="28"/>
      <c r="AJ10" s="28"/>
      <c r="AK10" s="28">
        <v>20020.060000000001</v>
      </c>
      <c r="AL10" s="28"/>
      <c r="AM10" s="28"/>
      <c r="AN10" s="28">
        <v>20020.060000000001</v>
      </c>
      <c r="AO10" s="28"/>
      <c r="AP10" s="28"/>
      <c r="AQ10" s="28">
        <v>20020.060000000001</v>
      </c>
      <c r="AR10" s="28"/>
      <c r="AS10" s="28"/>
      <c r="AT10" s="28">
        <v>20020.060000000001</v>
      </c>
      <c r="AU10" s="28"/>
      <c r="AV10" s="28"/>
      <c r="AW10" s="28">
        <v>20020.060000000001</v>
      </c>
      <c r="AX10" s="28"/>
      <c r="AY10" s="28"/>
      <c r="AZ10" s="28"/>
      <c r="BA10" s="28"/>
      <c r="BB10" s="28"/>
      <c r="BC10" s="28"/>
      <c r="BD10" s="28"/>
      <c r="BE10" s="28"/>
      <c r="BF10" s="33"/>
      <c r="BG10" s="34"/>
      <c r="BH10" s="34"/>
      <c r="BI10" s="34"/>
      <c r="BJ10" s="34"/>
    </row>
    <row r="11" spans="1:62" ht="15.75" x14ac:dyDescent="0.25">
      <c r="A11" s="164" t="s">
        <v>42</v>
      </c>
      <c r="B11" s="163" t="s">
        <v>196</v>
      </c>
      <c r="C11" s="141">
        <f>3269.52+3269.52+3902.04+3427.65+3427.65+3427.65+17138.25+6855.3</f>
        <v>44717.58</v>
      </c>
      <c r="D11" s="142">
        <v>6539.04</v>
      </c>
      <c r="E11" s="142"/>
      <c r="F11" s="143"/>
      <c r="G11" s="30">
        <f t="shared" si="6"/>
        <v>31006.980000000007</v>
      </c>
      <c r="H11" s="30">
        <f>T11+W11+Z11+AC11+AF11+AI11+AL11+AO11+AR11+AU11+AX11+BA11</f>
        <v>6539.04</v>
      </c>
      <c r="I11" s="30">
        <f t="shared" ref="I11:I33" si="11">U11+X11+AA11+AD11+AG11+AJ11+AM11+AP11+AS11+AV11+AY11+BB11</f>
        <v>0</v>
      </c>
      <c r="J11" s="18">
        <f t="shared" si="7"/>
        <v>31006.980000000007</v>
      </c>
      <c r="K11" s="18">
        <f>IF(BD11=0,SUM(T11+W11+Y11+AC11+AF11+AI11+AL11+AO11+AR11+AU11+AX11+BA11),BD11)</f>
        <v>9808.56</v>
      </c>
      <c r="L11" s="18">
        <f t="shared" si="5"/>
        <v>0</v>
      </c>
      <c r="M11" s="30">
        <f t="shared" si="8"/>
        <v>13710.599999999995</v>
      </c>
      <c r="N11" s="30">
        <f>D11-H11</f>
        <v>0</v>
      </c>
      <c r="O11" s="30">
        <f t="shared" si="9"/>
        <v>0</v>
      </c>
      <c r="P11" s="32">
        <f t="shared" si="10"/>
        <v>0.69339575173790724</v>
      </c>
      <c r="Q11" s="32">
        <f t="shared" si="10"/>
        <v>1</v>
      </c>
      <c r="R11" s="32" t="e">
        <f t="shared" si="2"/>
        <v>#DIV/0!</v>
      </c>
      <c r="S11" s="28"/>
      <c r="T11" s="28">
        <v>3269.52</v>
      </c>
      <c r="U11" s="28"/>
      <c r="V11" s="42"/>
      <c r="W11" s="42">
        <v>3269.52</v>
      </c>
      <c r="X11" s="28"/>
      <c r="Y11" s="28">
        <v>3269.52</v>
      </c>
      <c r="Z11" s="44"/>
      <c r="AA11" s="28"/>
      <c r="AB11" s="28">
        <v>3269.52</v>
      </c>
      <c r="AC11" s="28"/>
      <c r="AD11" s="28"/>
      <c r="AE11" s="28">
        <f>3902.04</f>
        <v>3902.04</v>
      </c>
      <c r="AF11" s="28"/>
      <c r="AG11" s="28"/>
      <c r="AH11" s="28">
        <v>3427.65</v>
      </c>
      <c r="AI11" s="28"/>
      <c r="AJ11" s="28"/>
      <c r="AK11" s="28">
        <v>3427.65</v>
      </c>
      <c r="AL11" s="28"/>
      <c r="AM11" s="28"/>
      <c r="AN11" s="28">
        <v>3427.65</v>
      </c>
      <c r="AO11" s="28"/>
      <c r="AP11" s="28"/>
      <c r="AQ11" s="28">
        <v>3427.65</v>
      </c>
      <c r="AR11" s="28"/>
      <c r="AS11" s="28"/>
      <c r="AT11" s="28">
        <v>3427.65</v>
      </c>
      <c r="AU11" s="28"/>
      <c r="AV11" s="28"/>
      <c r="AW11" s="28">
        <v>3427.65</v>
      </c>
      <c r="AX11" s="28"/>
      <c r="AY11" s="28"/>
      <c r="AZ11" s="28"/>
      <c r="BA11" s="28"/>
      <c r="BB11" s="28"/>
      <c r="BC11" s="28"/>
      <c r="BD11" s="28"/>
      <c r="BE11" s="28"/>
      <c r="BF11" s="33"/>
      <c r="BG11" s="34"/>
      <c r="BH11" s="34"/>
      <c r="BI11" s="34"/>
      <c r="BJ11" s="34"/>
    </row>
    <row r="12" spans="1:62" ht="15.75" customHeight="1" x14ac:dyDescent="0.25">
      <c r="A12" s="164" t="s">
        <v>43</v>
      </c>
      <c r="B12" s="163" t="s">
        <v>197</v>
      </c>
      <c r="C12" s="141">
        <f>170.69+1829.31</f>
        <v>2000</v>
      </c>
      <c r="D12" s="142">
        <v>1870.11</v>
      </c>
      <c r="E12" s="142"/>
      <c r="F12" s="143"/>
      <c r="G12" s="30">
        <f t="shared" si="6"/>
        <v>0</v>
      </c>
      <c r="H12" s="30">
        <f t="shared" si="6"/>
        <v>0</v>
      </c>
      <c r="I12" s="30">
        <f t="shared" si="11"/>
        <v>0</v>
      </c>
      <c r="J12" s="18">
        <f t="shared" si="7"/>
        <v>0</v>
      </c>
      <c r="K12" s="18">
        <f t="shared" si="5"/>
        <v>0</v>
      </c>
      <c r="L12" s="18">
        <f t="shared" si="5"/>
        <v>0</v>
      </c>
      <c r="M12" s="30">
        <f t="shared" si="8"/>
        <v>2000</v>
      </c>
      <c r="N12" s="30">
        <f t="shared" si="8"/>
        <v>1870.11</v>
      </c>
      <c r="O12" s="30">
        <f t="shared" si="9"/>
        <v>0</v>
      </c>
      <c r="P12" s="32">
        <f t="shared" si="10"/>
        <v>0</v>
      </c>
      <c r="Q12" s="32">
        <f t="shared" si="10"/>
        <v>0</v>
      </c>
      <c r="R12" s="32" t="e">
        <f t="shared" si="2"/>
        <v>#DIV/0!</v>
      </c>
      <c r="S12" s="28"/>
      <c r="T12" s="28"/>
      <c r="U12" s="28"/>
      <c r="V12" s="42"/>
      <c r="W12" s="42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33"/>
      <c r="BG12" s="34"/>
      <c r="BH12" s="34"/>
      <c r="BI12" s="34"/>
      <c r="BJ12" s="34"/>
    </row>
    <row r="13" spans="1:62" ht="15.75" customHeight="1" x14ac:dyDescent="0.25">
      <c r="A13" s="164" t="s">
        <v>42</v>
      </c>
      <c r="B13" s="166" t="s">
        <v>198</v>
      </c>
      <c r="C13" s="141">
        <f>3725.61+3725.61+3725.61+3725.61+3725.61+3725.61+18628.05+7451.22</f>
        <v>48432.93</v>
      </c>
      <c r="D13" s="142">
        <v>11176.83</v>
      </c>
      <c r="E13" s="142"/>
      <c r="F13" s="143"/>
      <c r="G13" s="30">
        <f>S13+V13+Y13+AB13+AE13+AH13+AK13+AN13+AQ13+AT13+AW13+AZ13</f>
        <v>33530.49</v>
      </c>
      <c r="H13" s="30">
        <f>T13+W13+Z13+AC13+AF13+AI13+AL13+AO13+AR13+AU13+AX13+BA13</f>
        <v>11176.83</v>
      </c>
      <c r="I13" s="30">
        <f t="shared" si="11"/>
        <v>0</v>
      </c>
      <c r="J13" s="18">
        <f t="shared" si="7"/>
        <v>33530.49</v>
      </c>
      <c r="K13" s="18">
        <f>IF(BD13=0,SUM(T13+W13+Y13+AC13+AF13+AI13+AL13+AO13+AR13+AU13+AX13+BA13),BD13)</f>
        <v>7451.22</v>
      </c>
      <c r="L13" s="18">
        <f t="shared" si="5"/>
        <v>0</v>
      </c>
      <c r="M13" s="30">
        <f t="shared" si="8"/>
        <v>14902.440000000002</v>
      </c>
      <c r="N13" s="30">
        <f t="shared" si="8"/>
        <v>0</v>
      </c>
      <c r="O13" s="30">
        <f t="shared" si="9"/>
        <v>0</v>
      </c>
      <c r="P13" s="32">
        <f t="shared" si="10"/>
        <v>0.69230769230769229</v>
      </c>
      <c r="Q13" s="32">
        <f t="shared" si="10"/>
        <v>1</v>
      </c>
      <c r="R13" s="32" t="e">
        <f t="shared" si="2"/>
        <v>#DIV/0!</v>
      </c>
      <c r="S13" s="28"/>
      <c r="T13" s="28">
        <f>3725.61+3725.61</f>
        <v>7451.22</v>
      </c>
      <c r="U13" s="28"/>
      <c r="V13" s="42"/>
      <c r="W13" s="42"/>
      <c r="X13" s="28"/>
      <c r="Y13" s="28"/>
      <c r="Z13" s="28">
        <v>3725.61</v>
      </c>
      <c r="AA13" s="28"/>
      <c r="AB13" s="28">
        <v>3725.61</v>
      </c>
      <c r="AC13" s="28"/>
      <c r="AD13" s="28"/>
      <c r="AE13" s="28">
        <f>3725.61+3725.61</f>
        <v>7451.22</v>
      </c>
      <c r="AF13" s="28"/>
      <c r="AG13" s="28"/>
      <c r="AH13" s="28">
        <v>3725.61</v>
      </c>
      <c r="AI13" s="28"/>
      <c r="AJ13" s="28"/>
      <c r="AK13" s="28">
        <v>3725.61</v>
      </c>
      <c r="AL13" s="28"/>
      <c r="AM13" s="28"/>
      <c r="AN13" s="28">
        <v>3725.61</v>
      </c>
      <c r="AO13" s="28"/>
      <c r="AP13" s="28"/>
      <c r="AQ13" s="28">
        <v>3725.61</v>
      </c>
      <c r="AR13" s="28"/>
      <c r="AS13" s="28"/>
      <c r="AT13" s="28"/>
      <c r="AU13" s="28"/>
      <c r="AV13" s="28"/>
      <c r="AW13" s="28">
        <f>3725.61+3725.61</f>
        <v>7451.22</v>
      </c>
      <c r="AX13" s="28"/>
      <c r="AY13" s="28"/>
      <c r="AZ13" s="28"/>
      <c r="BA13" s="28"/>
      <c r="BB13" s="28"/>
      <c r="BC13" s="28"/>
      <c r="BD13" s="28"/>
      <c r="BE13" s="28"/>
      <c r="BF13" s="33"/>
      <c r="BG13" s="34"/>
      <c r="BH13" s="34"/>
      <c r="BI13" s="34"/>
      <c r="BJ13" s="34"/>
    </row>
    <row r="14" spans="1:62" ht="15.75" x14ac:dyDescent="0.25">
      <c r="A14" s="164" t="s">
        <v>42</v>
      </c>
      <c r="B14" s="166" t="s">
        <v>199</v>
      </c>
      <c r="C14" s="141">
        <f>3176.78+3133.1+3133.1+3133.1+3133.1+3133.1+15655.5+6266.2</f>
        <v>40763.979999999996</v>
      </c>
      <c r="D14" s="142">
        <v>6199</v>
      </c>
      <c r="E14" s="142"/>
      <c r="F14" s="143"/>
      <c r="G14" s="30">
        <f t="shared" si="6"/>
        <v>28241.579999999994</v>
      </c>
      <c r="H14" s="30">
        <f>T14+W14+Z14+AC14+AF14+AI14+AL14+AO14+AR14+AU14+AX14+BA14</f>
        <v>6199</v>
      </c>
      <c r="I14" s="30">
        <f t="shared" si="11"/>
        <v>0</v>
      </c>
      <c r="J14" s="18">
        <f t="shared" si="7"/>
        <v>28241.579999999994</v>
      </c>
      <c r="K14" s="18">
        <f>IF(BD14=0,SUM(T14+W14+Y14+AC14+AF14+AI14+AL14+AO14+AR14+AU14+AX14+BA14),BD14)</f>
        <v>9375.7800000000007</v>
      </c>
      <c r="L14" s="18">
        <f t="shared" si="5"/>
        <v>0</v>
      </c>
      <c r="M14" s="30">
        <f t="shared" si="8"/>
        <v>12522.400000000001</v>
      </c>
      <c r="N14" s="30">
        <f t="shared" si="8"/>
        <v>0</v>
      </c>
      <c r="O14" s="30">
        <f t="shared" si="9"/>
        <v>0</v>
      </c>
      <c r="P14" s="32">
        <f t="shared" si="10"/>
        <v>0.69280722834227659</v>
      </c>
      <c r="Q14" s="32">
        <f t="shared" si="10"/>
        <v>1</v>
      </c>
      <c r="R14" s="32" t="e">
        <f t="shared" si="2"/>
        <v>#DIV/0!</v>
      </c>
      <c r="S14" s="28"/>
      <c r="T14" s="28">
        <v>3099.5</v>
      </c>
      <c r="U14" s="28"/>
      <c r="V14" s="42"/>
      <c r="W14" s="42">
        <v>3099.5</v>
      </c>
      <c r="X14" s="28"/>
      <c r="Y14" s="28">
        <v>3176.78</v>
      </c>
      <c r="Z14" s="45"/>
      <c r="AA14" s="46"/>
      <c r="AB14" s="28">
        <v>3133.1</v>
      </c>
      <c r="AC14" s="46"/>
      <c r="AD14" s="46"/>
      <c r="AE14" s="28">
        <v>3133.1</v>
      </c>
      <c r="AF14" s="46"/>
      <c r="AG14" s="46"/>
      <c r="AH14" s="28">
        <v>3133.1</v>
      </c>
      <c r="AI14" s="28"/>
      <c r="AJ14" s="28"/>
      <c r="AK14" s="28">
        <v>3133.1</v>
      </c>
      <c r="AL14" s="28"/>
      <c r="AM14" s="28"/>
      <c r="AN14" s="28">
        <v>3133.1</v>
      </c>
      <c r="AO14" s="28"/>
      <c r="AP14" s="28"/>
      <c r="AQ14" s="28">
        <v>3133.1</v>
      </c>
      <c r="AR14" s="28"/>
      <c r="AS14" s="28"/>
      <c r="AT14" s="28">
        <v>3133.1</v>
      </c>
      <c r="AU14" s="28"/>
      <c r="AV14" s="28"/>
      <c r="AW14" s="28">
        <v>3133.1</v>
      </c>
      <c r="AX14" s="28"/>
      <c r="AY14" s="28"/>
      <c r="AZ14" s="28"/>
      <c r="BA14" s="28"/>
      <c r="BB14" s="28"/>
      <c r="BC14" s="28"/>
      <c r="BD14" s="28"/>
      <c r="BE14" s="28"/>
      <c r="BF14" s="33"/>
      <c r="BG14" s="34"/>
      <c r="BH14" s="34"/>
      <c r="BI14" s="34"/>
      <c r="BJ14" s="34"/>
    </row>
    <row r="15" spans="1:62" ht="15.75" customHeight="1" x14ac:dyDescent="0.25">
      <c r="A15" s="164" t="s">
        <v>44</v>
      </c>
      <c r="B15" s="163" t="s">
        <v>200</v>
      </c>
      <c r="C15" s="141">
        <v>5583.4</v>
      </c>
      <c r="D15" s="142">
        <v>5047.3999999999996</v>
      </c>
      <c r="E15" s="142"/>
      <c r="F15" s="143"/>
      <c r="G15" s="30">
        <f t="shared" si="6"/>
        <v>0</v>
      </c>
      <c r="H15" s="30">
        <f t="shared" si="6"/>
        <v>5047.3999999999996</v>
      </c>
      <c r="I15" s="30">
        <f t="shared" si="11"/>
        <v>0</v>
      </c>
      <c r="J15" s="18">
        <f t="shared" si="7"/>
        <v>0</v>
      </c>
      <c r="K15" s="18">
        <f t="shared" si="5"/>
        <v>5047.3999999999996</v>
      </c>
      <c r="L15" s="18">
        <f t="shared" si="5"/>
        <v>0</v>
      </c>
      <c r="M15" s="30">
        <f t="shared" si="8"/>
        <v>5583.4</v>
      </c>
      <c r="N15" s="30">
        <f t="shared" si="8"/>
        <v>0</v>
      </c>
      <c r="O15" s="30">
        <f t="shared" si="9"/>
        <v>0</v>
      </c>
      <c r="P15" s="32">
        <f t="shared" si="10"/>
        <v>0</v>
      </c>
      <c r="Q15" s="32">
        <f t="shared" si="10"/>
        <v>1</v>
      </c>
      <c r="R15" s="32" t="e">
        <f t="shared" si="2"/>
        <v>#DIV/0!</v>
      </c>
      <c r="S15" s="28"/>
      <c r="T15" s="28"/>
      <c r="U15" s="28"/>
      <c r="V15" s="42"/>
      <c r="W15" s="42"/>
      <c r="X15" s="28"/>
      <c r="Y15" s="28"/>
      <c r="Z15" s="28"/>
      <c r="AA15" s="28"/>
      <c r="AB15" s="28"/>
      <c r="AC15" s="28">
        <v>5047.3999999999996</v>
      </c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33"/>
      <c r="BG15" s="34"/>
      <c r="BH15" s="34"/>
      <c r="BI15" s="34"/>
      <c r="BJ15" s="34"/>
    </row>
    <row r="16" spans="1:62" ht="15.75" customHeight="1" x14ac:dyDescent="0.25">
      <c r="A16" s="164" t="s">
        <v>45</v>
      </c>
      <c r="B16" s="166" t="s">
        <v>201</v>
      </c>
      <c r="C16" s="141">
        <v>2235.71</v>
      </c>
      <c r="D16" s="142"/>
      <c r="E16" s="142"/>
      <c r="F16" s="143"/>
      <c r="G16" s="30">
        <f t="shared" si="6"/>
        <v>2235.71</v>
      </c>
      <c r="H16" s="30">
        <f t="shared" si="6"/>
        <v>0</v>
      </c>
      <c r="I16" s="30">
        <f t="shared" si="11"/>
        <v>0</v>
      </c>
      <c r="J16" s="18">
        <f t="shared" si="7"/>
        <v>2235.71</v>
      </c>
      <c r="K16" s="18">
        <f t="shared" si="5"/>
        <v>0</v>
      </c>
      <c r="L16" s="18">
        <f t="shared" si="5"/>
        <v>0</v>
      </c>
      <c r="M16" s="30">
        <f t="shared" si="8"/>
        <v>0</v>
      </c>
      <c r="N16" s="30">
        <f t="shared" si="8"/>
        <v>0</v>
      </c>
      <c r="O16" s="30">
        <f t="shared" si="9"/>
        <v>0</v>
      </c>
      <c r="P16" s="32">
        <f t="shared" si="10"/>
        <v>1</v>
      </c>
      <c r="Q16" s="32" t="e">
        <f t="shared" si="10"/>
        <v>#DIV/0!</v>
      </c>
      <c r="R16" s="32" t="e">
        <f t="shared" si="2"/>
        <v>#DIV/0!</v>
      </c>
      <c r="S16" s="28"/>
      <c r="T16" s="28"/>
      <c r="U16" s="28"/>
      <c r="V16" s="42"/>
      <c r="W16" s="42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>
        <v>2235.71</v>
      </c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33"/>
      <c r="BG16" s="34"/>
      <c r="BH16" s="34"/>
      <c r="BI16" s="34"/>
      <c r="BJ16" s="34"/>
    </row>
    <row r="17" spans="1:62" ht="15.75" customHeight="1" x14ac:dyDescent="0.25">
      <c r="A17" s="164" t="s">
        <v>46</v>
      </c>
      <c r="B17" s="163" t="s">
        <v>47</v>
      </c>
      <c r="C17" s="141">
        <v>13095</v>
      </c>
      <c r="D17" s="142"/>
      <c r="E17" s="142"/>
      <c r="F17" s="143"/>
      <c r="G17" s="30">
        <f t="shared" si="6"/>
        <v>0</v>
      </c>
      <c r="H17" s="30">
        <f t="shared" si="6"/>
        <v>0</v>
      </c>
      <c r="I17" s="30">
        <f t="shared" si="11"/>
        <v>0</v>
      </c>
      <c r="J17" s="18">
        <f t="shared" si="7"/>
        <v>0</v>
      </c>
      <c r="K17" s="18">
        <f t="shared" si="5"/>
        <v>0</v>
      </c>
      <c r="L17" s="18">
        <f t="shared" si="5"/>
        <v>0</v>
      </c>
      <c r="M17" s="30">
        <f t="shared" si="8"/>
        <v>13095</v>
      </c>
      <c r="N17" s="30">
        <f t="shared" si="8"/>
        <v>0</v>
      </c>
      <c r="O17" s="30">
        <f t="shared" si="9"/>
        <v>0</v>
      </c>
      <c r="P17" s="32">
        <f t="shared" si="10"/>
        <v>0</v>
      </c>
      <c r="Q17" s="32" t="e">
        <f t="shared" si="10"/>
        <v>#DIV/0!</v>
      </c>
      <c r="R17" s="32" t="e">
        <f t="shared" si="2"/>
        <v>#DIV/0!</v>
      </c>
      <c r="S17" s="28"/>
      <c r="T17" s="28"/>
      <c r="U17" s="28"/>
      <c r="V17" s="42"/>
      <c r="W17" s="42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33"/>
      <c r="BG17" s="34"/>
      <c r="BH17" s="34"/>
      <c r="BI17" s="34"/>
      <c r="BJ17" s="34"/>
    </row>
    <row r="18" spans="1:62" ht="15.75" customHeight="1" x14ac:dyDescent="0.25">
      <c r="A18" s="164" t="s">
        <v>44</v>
      </c>
      <c r="B18" s="163" t="s">
        <v>48</v>
      </c>
      <c r="C18" s="141"/>
      <c r="D18" s="142"/>
      <c r="E18" s="142"/>
      <c r="F18" s="143"/>
      <c r="G18" s="30">
        <f t="shared" si="6"/>
        <v>0</v>
      </c>
      <c r="H18" s="30">
        <f t="shared" si="6"/>
        <v>0</v>
      </c>
      <c r="I18" s="30">
        <f t="shared" si="11"/>
        <v>0</v>
      </c>
      <c r="J18" s="18">
        <f t="shared" si="7"/>
        <v>0</v>
      </c>
      <c r="K18" s="18">
        <f t="shared" si="5"/>
        <v>0</v>
      </c>
      <c r="L18" s="18">
        <f t="shared" si="5"/>
        <v>0</v>
      </c>
      <c r="M18" s="30">
        <f t="shared" si="8"/>
        <v>0</v>
      </c>
      <c r="N18" s="30">
        <f t="shared" si="8"/>
        <v>0</v>
      </c>
      <c r="O18" s="30">
        <f t="shared" si="9"/>
        <v>0</v>
      </c>
      <c r="P18" s="32" t="e">
        <f t="shared" si="10"/>
        <v>#DIV/0!</v>
      </c>
      <c r="Q18" s="32" t="e">
        <f t="shared" si="10"/>
        <v>#DIV/0!</v>
      </c>
      <c r="R18" s="32" t="e">
        <f t="shared" si="2"/>
        <v>#DIV/0!</v>
      </c>
      <c r="S18" s="28"/>
      <c r="T18" s="28"/>
      <c r="U18" s="28"/>
      <c r="V18" s="42"/>
      <c r="W18" s="42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33"/>
      <c r="BG18" s="34"/>
      <c r="BH18" s="34"/>
      <c r="BI18" s="34"/>
      <c r="BJ18" s="34"/>
    </row>
    <row r="19" spans="1:62" ht="15.75" customHeight="1" x14ac:dyDescent="0.25">
      <c r="A19" s="164" t="s">
        <v>45</v>
      </c>
      <c r="B19" s="163" t="s">
        <v>49</v>
      </c>
      <c r="C19" s="141"/>
      <c r="D19" s="142">
        <v>1800</v>
      </c>
      <c r="E19" s="142"/>
      <c r="F19" s="143"/>
      <c r="G19" s="30">
        <f t="shared" si="6"/>
        <v>0</v>
      </c>
      <c r="H19" s="30">
        <f t="shared" si="6"/>
        <v>1800</v>
      </c>
      <c r="I19" s="30">
        <f t="shared" si="11"/>
        <v>0</v>
      </c>
      <c r="J19" s="18">
        <f t="shared" si="7"/>
        <v>0</v>
      </c>
      <c r="K19" s="18">
        <f t="shared" si="5"/>
        <v>1800</v>
      </c>
      <c r="L19" s="18">
        <f t="shared" si="5"/>
        <v>0</v>
      </c>
      <c r="M19" s="30">
        <f t="shared" si="8"/>
        <v>0</v>
      </c>
      <c r="N19" s="30">
        <f t="shared" si="8"/>
        <v>0</v>
      </c>
      <c r="O19" s="30">
        <f t="shared" si="9"/>
        <v>0</v>
      </c>
      <c r="P19" s="32" t="e">
        <f t="shared" si="10"/>
        <v>#DIV/0!</v>
      </c>
      <c r="Q19" s="32">
        <f t="shared" si="10"/>
        <v>1</v>
      </c>
      <c r="R19" s="32" t="e">
        <f t="shared" si="2"/>
        <v>#DIV/0!</v>
      </c>
      <c r="S19" s="28"/>
      <c r="T19" s="47">
        <v>1800</v>
      </c>
      <c r="U19" s="28"/>
      <c r="V19" s="42"/>
      <c r="W19" s="42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33"/>
      <c r="BG19" s="34"/>
      <c r="BH19" s="34"/>
      <c r="BI19" s="34"/>
      <c r="BJ19" s="34"/>
    </row>
    <row r="20" spans="1:62" ht="15.75" customHeight="1" x14ac:dyDescent="0.25">
      <c r="A20" s="164" t="s">
        <v>44</v>
      </c>
      <c r="B20" s="163" t="s">
        <v>202</v>
      </c>
      <c r="C20" s="141">
        <v>2515</v>
      </c>
      <c r="D20" s="142"/>
      <c r="E20" s="142"/>
      <c r="F20" s="143"/>
      <c r="G20" s="30">
        <f t="shared" si="6"/>
        <v>0</v>
      </c>
      <c r="H20" s="30">
        <f t="shared" si="6"/>
        <v>0</v>
      </c>
      <c r="I20" s="30">
        <f t="shared" si="11"/>
        <v>0</v>
      </c>
      <c r="J20" s="18">
        <f t="shared" si="7"/>
        <v>0</v>
      </c>
      <c r="K20" s="18">
        <f t="shared" si="5"/>
        <v>0</v>
      </c>
      <c r="L20" s="18">
        <f t="shared" si="5"/>
        <v>0</v>
      </c>
      <c r="M20" s="30">
        <f t="shared" si="8"/>
        <v>2515</v>
      </c>
      <c r="N20" s="30">
        <f t="shared" si="8"/>
        <v>0</v>
      </c>
      <c r="O20" s="30">
        <f t="shared" si="9"/>
        <v>0</v>
      </c>
      <c r="P20" s="32">
        <f t="shared" si="10"/>
        <v>0</v>
      </c>
      <c r="Q20" s="32" t="e">
        <f t="shared" si="10"/>
        <v>#DIV/0!</v>
      </c>
      <c r="R20" s="32" t="e">
        <f t="shared" si="2"/>
        <v>#DIV/0!</v>
      </c>
      <c r="S20" s="28"/>
      <c r="T20" s="28"/>
      <c r="U20" s="28"/>
      <c r="V20" s="42"/>
      <c r="W20" s="42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33"/>
      <c r="BG20" s="34"/>
      <c r="BH20" s="34"/>
      <c r="BI20" s="34"/>
      <c r="BJ20" s="34"/>
    </row>
    <row r="21" spans="1:62" ht="15.75" customHeight="1" x14ac:dyDescent="0.25">
      <c r="A21" s="164" t="s">
        <v>44</v>
      </c>
      <c r="B21" s="163" t="s">
        <v>203</v>
      </c>
      <c r="C21" s="141">
        <f>8367.9</f>
        <v>8367.9</v>
      </c>
      <c r="D21" s="142"/>
      <c r="E21" s="142"/>
      <c r="F21" s="143"/>
      <c r="G21" s="30">
        <f t="shared" ref="G21:H33" si="12">S21+V21+Y21+AB21+AE21+AH21+AK21+AN21+AQ21+AT21+AW21+AZ21</f>
        <v>8367.9</v>
      </c>
      <c r="H21" s="30">
        <f t="shared" si="12"/>
        <v>0</v>
      </c>
      <c r="I21" s="30">
        <f t="shared" si="11"/>
        <v>0</v>
      </c>
      <c r="J21" s="18">
        <f t="shared" si="7"/>
        <v>8367.9</v>
      </c>
      <c r="K21" s="18">
        <f t="shared" si="5"/>
        <v>0</v>
      </c>
      <c r="L21" s="18">
        <f t="shared" si="5"/>
        <v>0</v>
      </c>
      <c r="M21" s="30">
        <f t="shared" si="8"/>
        <v>0</v>
      </c>
      <c r="N21" s="30">
        <f t="shared" si="8"/>
        <v>0</v>
      </c>
      <c r="O21" s="30">
        <f t="shared" si="9"/>
        <v>0</v>
      </c>
      <c r="P21" s="32">
        <f t="shared" si="10"/>
        <v>1</v>
      </c>
      <c r="Q21" s="32" t="e">
        <f t="shared" si="10"/>
        <v>#DIV/0!</v>
      </c>
      <c r="R21" s="32" t="e">
        <f t="shared" si="2"/>
        <v>#DIV/0!</v>
      </c>
      <c r="S21" s="28"/>
      <c r="T21" s="28"/>
      <c r="U21" s="28"/>
      <c r="V21" s="42"/>
      <c r="W21" s="42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>
        <v>8367.9</v>
      </c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33"/>
      <c r="BG21" s="34"/>
      <c r="BH21" s="34"/>
      <c r="BI21" s="34"/>
      <c r="BJ21" s="34"/>
    </row>
    <row r="22" spans="1:62" ht="15.75" customHeight="1" x14ac:dyDescent="0.25">
      <c r="A22" s="164" t="s">
        <v>43</v>
      </c>
      <c r="B22" s="163" t="s">
        <v>50</v>
      </c>
      <c r="C22" s="141">
        <v>3374.7</v>
      </c>
      <c r="D22" s="142"/>
      <c r="E22" s="142"/>
      <c r="F22" s="143"/>
      <c r="G22" s="30">
        <f t="shared" si="12"/>
        <v>0</v>
      </c>
      <c r="H22" s="30">
        <f t="shared" si="12"/>
        <v>0</v>
      </c>
      <c r="I22" s="30">
        <f t="shared" si="11"/>
        <v>0</v>
      </c>
      <c r="J22" s="18">
        <f t="shared" si="7"/>
        <v>0</v>
      </c>
      <c r="K22" s="18">
        <f t="shared" si="5"/>
        <v>0</v>
      </c>
      <c r="L22" s="18">
        <f t="shared" si="5"/>
        <v>0</v>
      </c>
      <c r="M22" s="30">
        <f t="shared" si="8"/>
        <v>3374.7</v>
      </c>
      <c r="N22" s="30">
        <f t="shared" si="8"/>
        <v>0</v>
      </c>
      <c r="O22" s="30">
        <f t="shared" si="9"/>
        <v>0</v>
      </c>
      <c r="P22" s="32">
        <f t="shared" si="10"/>
        <v>0</v>
      </c>
      <c r="Q22" s="32" t="e">
        <f t="shared" si="10"/>
        <v>#DIV/0!</v>
      </c>
      <c r="R22" s="32" t="e">
        <f t="shared" si="2"/>
        <v>#DIV/0!</v>
      </c>
      <c r="S22" s="28"/>
      <c r="T22" s="28"/>
      <c r="U22" s="28"/>
      <c r="V22" s="42"/>
      <c r="W22" s="42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33"/>
      <c r="BG22" s="34"/>
      <c r="BH22" s="34"/>
      <c r="BI22" s="34"/>
      <c r="BJ22" s="34"/>
    </row>
    <row r="23" spans="1:62" ht="15.75" customHeight="1" x14ac:dyDescent="0.25">
      <c r="A23" s="164" t="s">
        <v>51</v>
      </c>
      <c r="B23" s="163" t="s">
        <v>52</v>
      </c>
      <c r="C23" s="141">
        <v>0</v>
      </c>
      <c r="D23" s="142">
        <f>9000</f>
        <v>9000</v>
      </c>
      <c r="E23" s="142"/>
      <c r="F23" s="143"/>
      <c r="G23" s="30">
        <f t="shared" si="12"/>
        <v>0</v>
      </c>
      <c r="H23" s="30">
        <f t="shared" si="12"/>
        <v>9000</v>
      </c>
      <c r="I23" s="30">
        <f t="shared" si="11"/>
        <v>0</v>
      </c>
      <c r="J23" s="18">
        <f t="shared" si="7"/>
        <v>0</v>
      </c>
      <c r="K23" s="18">
        <f t="shared" si="5"/>
        <v>9000</v>
      </c>
      <c r="L23" s="18">
        <f t="shared" si="5"/>
        <v>0</v>
      </c>
      <c r="M23" s="30">
        <f t="shared" si="8"/>
        <v>0</v>
      </c>
      <c r="N23" s="30">
        <f t="shared" si="8"/>
        <v>0</v>
      </c>
      <c r="O23" s="30">
        <f t="shared" si="9"/>
        <v>0</v>
      </c>
      <c r="P23" s="32" t="e">
        <f t="shared" si="10"/>
        <v>#DIV/0!</v>
      </c>
      <c r="Q23" s="32">
        <f t="shared" si="10"/>
        <v>1</v>
      </c>
      <c r="R23" s="32" t="e">
        <f t="shared" si="2"/>
        <v>#DIV/0!</v>
      </c>
      <c r="S23" s="48"/>
      <c r="T23" s="28"/>
      <c r="U23" s="28"/>
      <c r="V23" s="42"/>
      <c r="W23" s="42">
        <f>9000</f>
        <v>9000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33"/>
      <c r="BG23" s="34"/>
      <c r="BH23" s="34"/>
      <c r="BI23" s="34"/>
      <c r="BJ23" s="34"/>
    </row>
    <row r="24" spans="1:62" ht="15.75" customHeight="1" x14ac:dyDescent="0.25">
      <c r="A24" s="164" t="s">
        <v>53</v>
      </c>
      <c r="B24" s="163" t="s">
        <v>54</v>
      </c>
      <c r="C24" s="141"/>
      <c r="D24" s="142">
        <f>16240+16500</f>
        <v>32740</v>
      </c>
      <c r="E24" s="142"/>
      <c r="F24" s="143"/>
      <c r="G24" s="30">
        <f t="shared" si="12"/>
        <v>0</v>
      </c>
      <c r="H24" s="30">
        <f t="shared" si="12"/>
        <v>16500</v>
      </c>
      <c r="I24" s="30">
        <f t="shared" si="11"/>
        <v>0</v>
      </c>
      <c r="J24" s="18">
        <f t="shared" si="7"/>
        <v>0</v>
      </c>
      <c r="K24" s="18">
        <f t="shared" si="5"/>
        <v>16500</v>
      </c>
      <c r="L24" s="18">
        <f t="shared" si="5"/>
        <v>0</v>
      </c>
      <c r="M24" s="30">
        <f t="shared" si="8"/>
        <v>0</v>
      </c>
      <c r="N24" s="30">
        <f t="shared" si="8"/>
        <v>16240</v>
      </c>
      <c r="O24" s="30">
        <f t="shared" si="9"/>
        <v>0</v>
      </c>
      <c r="P24" s="32" t="e">
        <f t="shared" si="10"/>
        <v>#DIV/0!</v>
      </c>
      <c r="Q24" s="32">
        <f t="shared" si="10"/>
        <v>0.50397067806963958</v>
      </c>
      <c r="R24" s="32" t="e">
        <f t="shared" si="2"/>
        <v>#DIV/0!</v>
      </c>
      <c r="S24" s="28"/>
      <c r="T24" s="28"/>
      <c r="U24" s="28"/>
      <c r="V24" s="42"/>
      <c r="W24" s="42">
        <v>16500</v>
      </c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33"/>
      <c r="BG24" s="34"/>
      <c r="BH24" s="34"/>
      <c r="BI24" s="34"/>
      <c r="BJ24" s="34"/>
    </row>
    <row r="25" spans="1:62" ht="15.75" customHeight="1" x14ac:dyDescent="0.25">
      <c r="A25" s="164" t="s">
        <v>55</v>
      </c>
      <c r="B25" s="163" t="s">
        <v>56</v>
      </c>
      <c r="C25" s="141">
        <f>4448.55</f>
        <v>4448.55</v>
      </c>
      <c r="D25" s="142"/>
      <c r="E25" s="142"/>
      <c r="F25" s="143"/>
      <c r="G25" s="30">
        <f t="shared" si="12"/>
        <v>4448.55</v>
      </c>
      <c r="H25" s="30">
        <f t="shared" si="12"/>
        <v>0</v>
      </c>
      <c r="I25" s="30">
        <f t="shared" si="11"/>
        <v>0</v>
      </c>
      <c r="J25" s="18">
        <f t="shared" si="7"/>
        <v>4448.55</v>
      </c>
      <c r="K25" s="18">
        <f t="shared" si="5"/>
        <v>0</v>
      </c>
      <c r="L25" s="18">
        <f t="shared" si="5"/>
        <v>0</v>
      </c>
      <c r="M25" s="30">
        <f t="shared" si="8"/>
        <v>0</v>
      </c>
      <c r="N25" s="30">
        <f t="shared" si="8"/>
        <v>0</v>
      </c>
      <c r="O25" s="30">
        <f t="shared" si="9"/>
        <v>0</v>
      </c>
      <c r="P25" s="32">
        <f t="shared" si="10"/>
        <v>1</v>
      </c>
      <c r="Q25" s="32" t="e">
        <f t="shared" si="10"/>
        <v>#DIV/0!</v>
      </c>
      <c r="R25" s="32" t="e">
        <f t="shared" si="2"/>
        <v>#DIV/0!</v>
      </c>
      <c r="S25" s="28"/>
      <c r="T25" s="28"/>
      <c r="U25" s="28"/>
      <c r="V25" s="42"/>
      <c r="W25" s="42"/>
      <c r="X25" s="28"/>
      <c r="Y25" s="28"/>
      <c r="Z25" s="28"/>
      <c r="AA25" s="28"/>
      <c r="AB25" s="28"/>
      <c r="AC25" s="28"/>
      <c r="AD25" s="28"/>
      <c r="AE25" s="49">
        <f>4448.55</f>
        <v>4448.55</v>
      </c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33"/>
      <c r="BG25" s="34"/>
      <c r="BH25" s="34"/>
      <c r="BI25" s="34"/>
      <c r="BJ25" s="34"/>
    </row>
    <row r="26" spans="1:62" ht="15.75" customHeight="1" x14ac:dyDescent="0.25">
      <c r="A26" s="164" t="s">
        <v>57</v>
      </c>
      <c r="B26" s="163" t="s">
        <v>58</v>
      </c>
      <c r="C26" s="141"/>
      <c r="D26" s="142"/>
      <c r="E26" s="142"/>
      <c r="F26" s="143"/>
      <c r="G26" s="30">
        <f t="shared" si="12"/>
        <v>0</v>
      </c>
      <c r="H26" s="30">
        <f t="shared" si="12"/>
        <v>0</v>
      </c>
      <c r="I26" s="30">
        <f t="shared" si="11"/>
        <v>0</v>
      </c>
      <c r="J26" s="18">
        <f t="shared" si="7"/>
        <v>0</v>
      </c>
      <c r="K26" s="18">
        <f t="shared" si="5"/>
        <v>0</v>
      </c>
      <c r="L26" s="18">
        <f t="shared" si="5"/>
        <v>0</v>
      </c>
      <c r="M26" s="30">
        <f t="shared" si="8"/>
        <v>0</v>
      </c>
      <c r="N26" s="30">
        <f t="shared" si="8"/>
        <v>0</v>
      </c>
      <c r="O26" s="30">
        <f t="shared" si="9"/>
        <v>0</v>
      </c>
      <c r="P26" s="32" t="e">
        <f t="shared" si="10"/>
        <v>#DIV/0!</v>
      </c>
      <c r="Q26" s="32" t="e">
        <f t="shared" si="10"/>
        <v>#DIV/0!</v>
      </c>
      <c r="R26" s="32" t="e">
        <f t="shared" si="2"/>
        <v>#DIV/0!</v>
      </c>
      <c r="S26" s="28"/>
      <c r="T26" s="28"/>
      <c r="U26" s="28"/>
      <c r="V26" s="42"/>
      <c r="W26" s="42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33"/>
      <c r="BG26" s="34"/>
      <c r="BH26" s="34"/>
      <c r="BI26" s="34"/>
      <c r="BJ26" s="34"/>
    </row>
    <row r="27" spans="1:62" ht="15.75" x14ac:dyDescent="0.25">
      <c r="A27" s="164" t="s">
        <v>39</v>
      </c>
      <c r="B27" s="163" t="s">
        <v>204</v>
      </c>
      <c r="C27" s="141">
        <f>468.9+166.72+1708.88</f>
        <v>2344.5</v>
      </c>
      <c r="D27" s="142">
        <f>288.24</f>
        <v>288.24</v>
      </c>
      <c r="E27" s="142"/>
      <c r="F27" s="143"/>
      <c r="G27" s="30">
        <f>S27+V27+Y27+AB27+AE27+AH27+AK27+AN27+AQ27+AT27+AW27+AZ27</f>
        <v>920.48</v>
      </c>
      <c r="H27" s="30">
        <f>T27+W27+Z27+AC27+AF27+AI27+AL27+AO27+AR27+AU27+AX27+BA27</f>
        <v>288.24</v>
      </c>
      <c r="I27" s="30">
        <f t="shared" si="11"/>
        <v>0</v>
      </c>
      <c r="J27" s="18">
        <f t="shared" si="7"/>
        <v>920.48</v>
      </c>
      <c r="K27" s="18">
        <f t="shared" si="5"/>
        <v>288.24</v>
      </c>
      <c r="L27" s="18">
        <f t="shared" si="5"/>
        <v>0</v>
      </c>
      <c r="M27" s="30">
        <f t="shared" si="8"/>
        <v>1424.02</v>
      </c>
      <c r="N27" s="30">
        <f t="shared" si="8"/>
        <v>0</v>
      </c>
      <c r="O27" s="30">
        <f t="shared" si="9"/>
        <v>0</v>
      </c>
      <c r="P27" s="32">
        <f t="shared" si="10"/>
        <v>0.39261249733418641</v>
      </c>
      <c r="Q27" s="32">
        <f t="shared" si="10"/>
        <v>1</v>
      </c>
      <c r="R27" s="32" t="e">
        <f t="shared" si="2"/>
        <v>#DIV/0!</v>
      </c>
      <c r="S27" s="28"/>
      <c r="T27" s="28"/>
      <c r="U27" s="28"/>
      <c r="V27" s="28">
        <f>462</f>
        <v>462</v>
      </c>
      <c r="W27" s="28">
        <v>288.24</v>
      </c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>
        <f>166.72</f>
        <v>166.72</v>
      </c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>
        <v>291.76</v>
      </c>
      <c r="AX27" s="28"/>
      <c r="AY27" s="28"/>
      <c r="AZ27" s="28"/>
      <c r="BA27" s="28"/>
      <c r="BB27" s="28"/>
      <c r="BC27" s="28"/>
      <c r="BD27" s="28"/>
      <c r="BE27" s="28"/>
      <c r="BF27" s="33"/>
      <c r="BG27" s="34"/>
      <c r="BH27" s="34"/>
      <c r="BI27" s="34"/>
      <c r="BJ27" s="34"/>
    </row>
    <row r="28" spans="1:62" ht="15.75" x14ac:dyDescent="0.25">
      <c r="A28" s="164" t="s">
        <v>59</v>
      </c>
      <c r="B28" s="163" t="s">
        <v>60</v>
      </c>
      <c r="C28" s="141">
        <v>1000</v>
      </c>
      <c r="D28" s="142"/>
      <c r="E28" s="142"/>
      <c r="F28" s="143"/>
      <c r="G28" s="30">
        <f t="shared" si="12"/>
        <v>0</v>
      </c>
      <c r="H28" s="30">
        <f t="shared" si="12"/>
        <v>0</v>
      </c>
      <c r="I28" s="30">
        <f t="shared" si="11"/>
        <v>0</v>
      </c>
      <c r="J28" s="18">
        <f t="shared" si="7"/>
        <v>0</v>
      </c>
      <c r="K28" s="18">
        <f t="shared" si="5"/>
        <v>0</v>
      </c>
      <c r="L28" s="18">
        <f t="shared" si="5"/>
        <v>0</v>
      </c>
      <c r="M28" s="30">
        <f t="shared" si="8"/>
        <v>1000</v>
      </c>
      <c r="N28" s="30">
        <f t="shared" si="8"/>
        <v>0</v>
      </c>
      <c r="O28" s="30">
        <f t="shared" si="9"/>
        <v>0</v>
      </c>
      <c r="P28" s="32">
        <f t="shared" si="10"/>
        <v>0</v>
      </c>
      <c r="Q28" s="32" t="e">
        <f t="shared" si="10"/>
        <v>#DIV/0!</v>
      </c>
      <c r="R28" s="32" t="e">
        <f t="shared" si="2"/>
        <v>#DIV/0!</v>
      </c>
      <c r="S28" s="28"/>
      <c r="T28" s="28"/>
      <c r="U28" s="28"/>
      <c r="V28" s="42"/>
      <c r="W28" s="42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33"/>
      <c r="BG28" s="34"/>
      <c r="BH28" s="34"/>
      <c r="BI28" s="34"/>
      <c r="BJ28" s="34"/>
    </row>
    <row r="29" spans="1:62" ht="15.75" x14ac:dyDescent="0.25">
      <c r="A29" s="164" t="s">
        <v>61</v>
      </c>
      <c r="B29" s="163" t="s">
        <v>205</v>
      </c>
      <c r="C29" s="141">
        <f>5000</f>
        <v>5000</v>
      </c>
      <c r="D29" s="142"/>
      <c r="E29" s="142"/>
      <c r="F29" s="143"/>
      <c r="G29" s="30">
        <f t="shared" si="12"/>
        <v>5000</v>
      </c>
      <c r="H29" s="30">
        <f t="shared" si="12"/>
        <v>0</v>
      </c>
      <c r="I29" s="30">
        <f t="shared" si="11"/>
        <v>0</v>
      </c>
      <c r="J29" s="18">
        <f t="shared" si="7"/>
        <v>5000</v>
      </c>
      <c r="K29" s="18">
        <f t="shared" si="5"/>
        <v>0</v>
      </c>
      <c r="L29" s="18">
        <f t="shared" si="5"/>
        <v>0</v>
      </c>
      <c r="M29" s="30">
        <f t="shared" si="8"/>
        <v>0</v>
      </c>
      <c r="N29" s="30">
        <f t="shared" si="8"/>
        <v>0</v>
      </c>
      <c r="O29" s="30">
        <f t="shared" si="9"/>
        <v>0</v>
      </c>
      <c r="P29" s="32">
        <f t="shared" si="10"/>
        <v>1</v>
      </c>
      <c r="Q29" s="32" t="e">
        <f t="shared" si="10"/>
        <v>#DIV/0!</v>
      </c>
      <c r="R29" s="32" t="e">
        <f t="shared" si="2"/>
        <v>#DIV/0!</v>
      </c>
      <c r="S29" s="28"/>
      <c r="T29" s="28"/>
      <c r="U29" s="28"/>
      <c r="V29" s="42"/>
      <c r="W29" s="42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>
        <v>5000</v>
      </c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33"/>
      <c r="BG29" s="34"/>
      <c r="BH29" s="34"/>
      <c r="BI29" s="34"/>
      <c r="BJ29" s="34"/>
    </row>
    <row r="30" spans="1:62" ht="15.75" x14ac:dyDescent="0.25">
      <c r="A30" s="164" t="s">
        <v>62</v>
      </c>
      <c r="B30" s="163" t="s">
        <v>206</v>
      </c>
      <c r="C30" s="141">
        <f>70383</f>
        <v>70383</v>
      </c>
      <c r="D30" s="142">
        <f>892.6+1440.9+174+348+362.4+527.8</f>
        <v>3745.7</v>
      </c>
      <c r="E30" s="142"/>
      <c r="F30" s="143"/>
      <c r="G30" s="30">
        <f t="shared" si="12"/>
        <v>0</v>
      </c>
      <c r="H30" s="30">
        <f t="shared" si="12"/>
        <v>3383.3</v>
      </c>
      <c r="I30" s="30">
        <f t="shared" si="11"/>
        <v>0</v>
      </c>
      <c r="J30" s="18">
        <f t="shared" si="7"/>
        <v>0</v>
      </c>
      <c r="K30" s="18">
        <f t="shared" si="5"/>
        <v>3383.3</v>
      </c>
      <c r="L30" s="18">
        <f t="shared" si="5"/>
        <v>0</v>
      </c>
      <c r="M30" s="30">
        <f t="shared" si="8"/>
        <v>70383</v>
      </c>
      <c r="N30" s="30">
        <f t="shared" si="8"/>
        <v>362.39999999999964</v>
      </c>
      <c r="O30" s="30">
        <f t="shared" si="9"/>
        <v>0</v>
      </c>
      <c r="P30" s="32">
        <f t="shared" si="10"/>
        <v>0</v>
      </c>
      <c r="Q30" s="32">
        <f t="shared" si="10"/>
        <v>0.90324905892089602</v>
      </c>
      <c r="R30" s="32" t="e">
        <f t="shared" si="2"/>
        <v>#DIV/0!</v>
      </c>
      <c r="S30" s="28"/>
      <c r="T30" s="28">
        <f>174+527.8</f>
        <v>701.8</v>
      </c>
      <c r="U30" s="28"/>
      <c r="V30" s="42"/>
      <c r="W30" s="42">
        <f>892.6</f>
        <v>892.6</v>
      </c>
      <c r="X30" s="28"/>
      <c r="Y30" s="28"/>
      <c r="Z30" s="28">
        <f>1440.9</f>
        <v>1440.9</v>
      </c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>
        <v>348</v>
      </c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33"/>
      <c r="BG30" s="34"/>
      <c r="BH30" s="34"/>
      <c r="BI30" s="34"/>
      <c r="BJ30" s="34"/>
    </row>
    <row r="31" spans="1:62" ht="15.75" x14ac:dyDescent="0.25">
      <c r="A31" s="164" t="s">
        <v>62</v>
      </c>
      <c r="B31" s="163" t="s">
        <v>207</v>
      </c>
      <c r="C31" s="141">
        <f>1817.8+4022.53+2567.5</f>
        <v>8407.83</v>
      </c>
      <c r="D31" s="142"/>
      <c r="E31" s="142"/>
      <c r="F31" s="143"/>
      <c r="G31" s="30">
        <f t="shared" si="12"/>
        <v>0</v>
      </c>
      <c r="H31" s="30">
        <f t="shared" si="12"/>
        <v>0</v>
      </c>
      <c r="I31" s="30">
        <f t="shared" si="11"/>
        <v>0</v>
      </c>
      <c r="J31" s="18">
        <f t="shared" si="7"/>
        <v>0</v>
      </c>
      <c r="K31" s="18">
        <f t="shared" si="5"/>
        <v>0</v>
      </c>
      <c r="L31" s="18">
        <f t="shared" si="5"/>
        <v>0</v>
      </c>
      <c r="M31" s="30">
        <f t="shared" si="8"/>
        <v>8407.83</v>
      </c>
      <c r="N31" s="30">
        <f t="shared" si="8"/>
        <v>0</v>
      </c>
      <c r="O31" s="30">
        <f t="shared" si="9"/>
        <v>0</v>
      </c>
      <c r="P31" s="32">
        <f t="shared" si="10"/>
        <v>0</v>
      </c>
      <c r="Q31" s="32" t="e">
        <f t="shared" si="10"/>
        <v>#DIV/0!</v>
      </c>
      <c r="R31" s="32" t="e">
        <f t="shared" si="2"/>
        <v>#DIV/0!</v>
      </c>
      <c r="S31" s="28"/>
      <c r="T31" s="28"/>
      <c r="U31" s="28"/>
      <c r="V31" s="42"/>
      <c r="W31" s="42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33"/>
      <c r="BG31" s="34"/>
      <c r="BH31" s="34"/>
      <c r="BI31" s="34"/>
      <c r="BJ31" s="34"/>
    </row>
    <row r="32" spans="1:62" ht="15.75" x14ac:dyDescent="0.25">
      <c r="A32" s="164" t="s">
        <v>62</v>
      </c>
      <c r="B32" s="163" t="s">
        <v>63</v>
      </c>
      <c r="C32" s="141">
        <f>2343.6+1407+1824.36+1180+1738.98+4775+732.84+695.92+1000.09+473.52+82.62+449.84+316.32+376.89+283.65+713-15.9+1256.9+232.23+740+2085.83+610.54+5397.1+1064.9+1006.2+186.96</f>
        <v>30958.390000000003</v>
      </c>
      <c r="D32" s="142">
        <f>413+1266+3806.39</f>
        <v>5485.3899999999994</v>
      </c>
      <c r="E32" s="142"/>
      <c r="F32" s="143"/>
      <c r="G32" s="30">
        <f t="shared" si="12"/>
        <v>24590.87</v>
      </c>
      <c r="H32" s="30">
        <f t="shared" si="12"/>
        <v>0</v>
      </c>
      <c r="I32" s="30">
        <f t="shared" si="11"/>
        <v>0</v>
      </c>
      <c r="J32" s="18">
        <f t="shared" si="7"/>
        <v>24590.87</v>
      </c>
      <c r="K32" s="18">
        <f t="shared" si="5"/>
        <v>0</v>
      </c>
      <c r="L32" s="18">
        <f t="shared" si="5"/>
        <v>0</v>
      </c>
      <c r="M32" s="30">
        <f t="shared" si="8"/>
        <v>6367.5200000000041</v>
      </c>
      <c r="N32" s="30">
        <f t="shared" si="8"/>
        <v>5485.3899999999994</v>
      </c>
      <c r="O32" s="30">
        <f t="shared" si="9"/>
        <v>0</v>
      </c>
      <c r="P32" s="32">
        <f t="shared" si="10"/>
        <v>0.79432005346531254</v>
      </c>
      <c r="Q32" s="32">
        <f t="shared" si="10"/>
        <v>0</v>
      </c>
      <c r="R32" s="32" t="e">
        <f t="shared" si="2"/>
        <v>#DIV/0!</v>
      </c>
      <c r="S32" s="50"/>
      <c r="T32" s="28"/>
      <c r="U32" s="50"/>
      <c r="V32" s="51"/>
      <c r="W32" s="51"/>
      <c r="X32" s="50"/>
      <c r="Y32" s="50"/>
      <c r="Z32" s="50"/>
      <c r="AA32" s="50"/>
      <c r="AB32" s="50">
        <v>2343.6</v>
      </c>
      <c r="AC32" s="50"/>
      <c r="AD32" s="50"/>
      <c r="AE32" s="50">
        <v>1738.98</v>
      </c>
      <c r="AF32" s="50"/>
      <c r="AG32" s="50"/>
      <c r="AH32" s="50">
        <f>4775+732.84+82.62+1824.36</f>
        <v>7414.82</v>
      </c>
      <c r="AI32" s="50"/>
      <c r="AJ32" s="50"/>
      <c r="AK32" s="50">
        <f>449.84+713+984.19+1407</f>
        <v>3554.0299999999997</v>
      </c>
      <c r="AL32" s="50"/>
      <c r="AM32" s="50"/>
      <c r="AN32" s="50">
        <f>473.52+1180+316.32</f>
        <v>1969.84</v>
      </c>
      <c r="AO32" s="50"/>
      <c r="AP32" s="50"/>
      <c r="AQ32" s="50">
        <v>695.92</v>
      </c>
      <c r="AR32" s="50"/>
      <c r="AS32" s="50"/>
      <c r="AT32" s="50">
        <f>283.65+2567.5</f>
        <v>2851.15</v>
      </c>
      <c r="AU32" s="50"/>
      <c r="AV32" s="50"/>
      <c r="AW32" s="50">
        <v>4022.53</v>
      </c>
      <c r="AX32" s="50"/>
      <c r="AY32" s="50"/>
      <c r="AZ32" s="50"/>
      <c r="BA32" s="50"/>
      <c r="BB32" s="50"/>
      <c r="BC32" s="50"/>
      <c r="BD32" s="50"/>
      <c r="BE32" s="50"/>
      <c r="BF32" s="33"/>
      <c r="BG32" s="34"/>
      <c r="BH32" s="34"/>
      <c r="BI32" s="34"/>
      <c r="BJ32" s="34"/>
    </row>
    <row r="33" spans="1:62" ht="15.75" customHeight="1" x14ac:dyDescent="0.25">
      <c r="A33" s="164" t="s">
        <v>64</v>
      </c>
      <c r="B33" s="163" t="s">
        <v>208</v>
      </c>
      <c r="C33" s="141"/>
      <c r="D33" s="142"/>
      <c r="E33" s="142"/>
      <c r="F33" s="143"/>
      <c r="G33" s="30">
        <f t="shared" si="12"/>
        <v>0</v>
      </c>
      <c r="H33" s="30">
        <f>W33+Z33+AC33+AF33+AI33+AL33+AO33+AR33+AU33+AX33+BA33</f>
        <v>0</v>
      </c>
      <c r="I33" s="30">
        <f t="shared" si="11"/>
        <v>0</v>
      </c>
      <c r="J33" s="18">
        <f t="shared" si="7"/>
        <v>0</v>
      </c>
      <c r="K33" s="18">
        <f>IF(BD33=0,SUM(T101+W33+Z33+AC33+AF33+AI33+AL33+AO33+AR33+AU33+AX33+BA33),BD33)</f>
        <v>412.5</v>
      </c>
      <c r="L33" s="18">
        <f t="shared" ref="L33" si="13">IF(BE33=0,SUM(U33+X33+AA33+AD33+AG33+AJ33+AM33+AP33+AS33+AV33+AY33+BB33),BE33)</f>
        <v>0</v>
      </c>
      <c r="M33" s="30">
        <f t="shared" si="8"/>
        <v>0</v>
      </c>
      <c r="N33" s="30">
        <f t="shared" si="8"/>
        <v>0</v>
      </c>
      <c r="O33" s="30">
        <f t="shared" si="9"/>
        <v>0</v>
      </c>
      <c r="P33" s="32" t="e">
        <f t="shared" si="10"/>
        <v>#DIV/0!</v>
      </c>
      <c r="Q33" s="32" t="e">
        <f t="shared" si="10"/>
        <v>#DIV/0!</v>
      </c>
      <c r="R33" s="32" t="e">
        <f t="shared" si="2"/>
        <v>#DIV/0!</v>
      </c>
      <c r="S33" s="50"/>
      <c r="T33" s="44"/>
      <c r="U33" s="50"/>
      <c r="V33" s="42"/>
      <c r="W33" s="42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33"/>
      <c r="BG33" s="34"/>
      <c r="BH33" s="34"/>
      <c r="BI33" s="34"/>
      <c r="BJ33" s="34"/>
    </row>
    <row r="34" spans="1:62" ht="15.75" customHeight="1" x14ac:dyDescent="0.25">
      <c r="A34" s="164"/>
      <c r="B34" s="163" t="s">
        <v>65</v>
      </c>
      <c r="C34" s="141">
        <v>30000</v>
      </c>
      <c r="D34" s="142"/>
      <c r="E34" s="142"/>
      <c r="F34" s="143"/>
      <c r="G34" s="30"/>
      <c r="H34" s="30"/>
      <c r="I34" s="30"/>
      <c r="J34" s="18"/>
      <c r="K34" s="18"/>
      <c r="L34" s="18"/>
      <c r="M34" s="30"/>
      <c r="N34" s="30"/>
      <c r="O34" s="30"/>
      <c r="P34" s="32"/>
      <c r="Q34" s="32"/>
      <c r="R34" s="32"/>
      <c r="S34" s="50"/>
      <c r="T34" s="44"/>
      <c r="U34" s="50"/>
      <c r="V34" s="42"/>
      <c r="W34" s="42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33"/>
      <c r="BG34" s="34"/>
      <c r="BH34" s="34"/>
      <c r="BI34" s="34"/>
      <c r="BJ34" s="34"/>
    </row>
    <row r="35" spans="1:62" ht="15.75" customHeight="1" x14ac:dyDescent="0.25">
      <c r="A35" s="164" t="s">
        <v>66</v>
      </c>
      <c r="B35" s="167" t="s">
        <v>209</v>
      </c>
      <c r="C35" s="141"/>
      <c r="D35" s="142">
        <v>823388.88</v>
      </c>
      <c r="E35" s="142"/>
      <c r="F35" s="141">
        <f>90737.45+158523.77</f>
        <v>249261.21999999997</v>
      </c>
      <c r="G35" s="30">
        <f>S35+V35+Y35+AB35+AE35+AH35+AK35+AN35+AQ35+AT35+AW35+AZ35</f>
        <v>0</v>
      </c>
      <c r="H35" s="30">
        <f>T35+W35+Z35+AC35+AF35+AI35+AL35+AO35+AR35+AU35+AX35+BA35</f>
        <v>786004.35000000009</v>
      </c>
      <c r="I35" s="30">
        <f t="shared" ref="G35:I42" si="14">U35+X35+AA35+AD35+AG35+AJ35+AM35+AP35+AS35+AV35+AY35+BB35</f>
        <v>125861.28</v>
      </c>
      <c r="J35" s="18">
        <f>IF(BC35=0,SUM(S35+V35+Y35+AB35+AE35+AH35+AK35+AO35+AR35+AT35+AW35+AZ35),BC35)</f>
        <v>187848.16</v>
      </c>
      <c r="K35" s="18">
        <f>IF(BD35=0,SUM(T35+W35+Z35+AC35+AF35+AI35+AL35+AO35+AR35+AU35+AX35+BA35),BD35)</f>
        <v>786004.35000000009</v>
      </c>
      <c r="L35" s="18">
        <f>IF(BE35=0,SUM(U35+X35+AA35+AD35+AG35+AJ35+AM35+AP35+AS35+AV35+AY35+BB35),BE35)</f>
        <v>125861.28</v>
      </c>
      <c r="M35" s="30">
        <f t="shared" si="8"/>
        <v>0</v>
      </c>
      <c r="N35" s="30">
        <f t="shared" si="8"/>
        <v>37384.529999999912</v>
      </c>
      <c r="O35" s="30">
        <f>F35-I35</f>
        <v>123399.93999999997</v>
      </c>
      <c r="P35" s="32" t="e">
        <f t="shared" si="10"/>
        <v>#DIV/0!</v>
      </c>
      <c r="Q35" s="32">
        <f t="shared" si="10"/>
        <v>0.95459675141592892</v>
      </c>
      <c r="R35" s="32">
        <f t="shared" si="2"/>
        <v>0.50493727022599033</v>
      </c>
      <c r="S35" s="50"/>
      <c r="T35" s="28"/>
      <c r="U35" s="50"/>
      <c r="V35" s="42"/>
      <c r="W35" s="42"/>
      <c r="X35" s="50"/>
      <c r="Y35" s="50"/>
      <c r="Z35" s="50">
        <v>115981.88</v>
      </c>
      <c r="AA35" s="50"/>
      <c r="AB35" s="50"/>
      <c r="AC35" s="50">
        <f>70706.47+34733.44</f>
        <v>105439.91</v>
      </c>
      <c r="AD35" s="50"/>
      <c r="AE35" s="50"/>
      <c r="AF35" s="50">
        <f>79149.79</f>
        <v>79149.789999999994</v>
      </c>
      <c r="AG35" s="50"/>
      <c r="AH35" s="50"/>
      <c r="AI35" s="50">
        <v>87530.63</v>
      </c>
      <c r="AJ35" s="50"/>
      <c r="AK35" s="50"/>
      <c r="AL35" s="50">
        <v>144839.69</v>
      </c>
      <c r="AM35" s="50"/>
      <c r="AN35" s="50"/>
      <c r="AO35" s="50">
        <v>71117.53</v>
      </c>
      <c r="AP35" s="50"/>
      <c r="AR35" s="50">
        <v>116730.63</v>
      </c>
      <c r="AS35" s="50"/>
      <c r="AT35" s="50"/>
      <c r="AU35" s="50"/>
      <c r="AV35" s="50">
        <f>125861.28</f>
        <v>125861.28</v>
      </c>
      <c r="AW35" s="50"/>
      <c r="AX35" s="50">
        <v>65214.29</v>
      </c>
      <c r="AY35" s="50"/>
      <c r="AZ35" s="50"/>
      <c r="BA35" s="50"/>
      <c r="BB35" s="50"/>
      <c r="BC35" s="50"/>
      <c r="BD35" s="50"/>
      <c r="BE35" s="50"/>
      <c r="BF35" s="33"/>
      <c r="BG35" s="34"/>
      <c r="BH35" s="34"/>
      <c r="BI35" s="34"/>
      <c r="BJ35" s="34"/>
    </row>
    <row r="36" spans="1:62" ht="15.75" customHeight="1" x14ac:dyDescent="0.25">
      <c r="A36" s="164"/>
      <c r="B36" s="167" t="s">
        <v>210</v>
      </c>
      <c r="C36" s="141"/>
      <c r="D36" s="142"/>
      <c r="E36" s="142"/>
      <c r="F36" s="141">
        <v>62808.480000000003</v>
      </c>
      <c r="G36" s="30"/>
      <c r="H36" s="30"/>
      <c r="I36" s="30"/>
      <c r="J36" s="18"/>
      <c r="K36" s="18"/>
      <c r="L36" s="18"/>
      <c r="M36" s="30"/>
      <c r="N36" s="30"/>
      <c r="O36" s="30"/>
      <c r="P36" s="32"/>
      <c r="Q36" s="32"/>
      <c r="R36" s="32"/>
      <c r="S36" s="50"/>
      <c r="T36" s="28"/>
      <c r="U36" s="50"/>
      <c r="V36" s="42"/>
      <c r="W36" s="42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33"/>
      <c r="BG36" s="34"/>
      <c r="BH36" s="34"/>
      <c r="BI36" s="34"/>
      <c r="BJ36" s="34"/>
    </row>
    <row r="37" spans="1:62" ht="15.75" customHeight="1" x14ac:dyDescent="0.25">
      <c r="A37" s="164" t="s">
        <v>66</v>
      </c>
      <c r="B37" s="163" t="s">
        <v>211</v>
      </c>
      <c r="C37" s="141">
        <f>83705.49</f>
        <v>83705.490000000005</v>
      </c>
      <c r="D37" s="142">
        <v>476983.69</v>
      </c>
      <c r="E37" s="142"/>
      <c r="F37" s="141">
        <f>37013.93</f>
        <v>37013.93</v>
      </c>
      <c r="G37" s="30">
        <f>S37+V37+Y37+AB37+AE37+AH37+AK37+AN37+AQ37+AT37+AW37+AZ37</f>
        <v>0</v>
      </c>
      <c r="H37" s="30">
        <f>T37+W37+Z37+AC37+AF37+AI37+AL37+AO37+AR37+AU37+AX37+BA37</f>
        <v>429759.39999999997</v>
      </c>
      <c r="I37" s="30">
        <f t="shared" si="14"/>
        <v>0</v>
      </c>
      <c r="J37" s="18">
        <f>IF(BC37=0,SUM(S37+V37+Y37+AB37+AE37+AH37+AK37+AO37+AQ37+AT37+AW37+AZ37),BC37)</f>
        <v>87286.56</v>
      </c>
      <c r="K37" s="18">
        <f>IF(BD37=0,SUM(T37+W37+Z37+AC37+AF37+AI37+AL37+AO37+AR37+AU37+AX37+BA37),BD37)</f>
        <v>429759.39999999997</v>
      </c>
      <c r="L37" s="18">
        <f>IF(BE37=0,SUM(U37+X37+AA37+AD37+AG37+AJ37+AM37+AP37+AS37+AV37+AY37+BB37),BE37)</f>
        <v>0</v>
      </c>
      <c r="M37" s="30">
        <f t="shared" si="8"/>
        <v>83705.490000000005</v>
      </c>
      <c r="N37" s="30">
        <f t="shared" si="8"/>
        <v>47224.290000000037</v>
      </c>
      <c r="O37" s="30">
        <f t="shared" si="9"/>
        <v>37013.93</v>
      </c>
      <c r="P37" s="32">
        <f t="shared" si="10"/>
        <v>0</v>
      </c>
      <c r="Q37" s="32">
        <f t="shared" si="10"/>
        <v>0.90099391029492004</v>
      </c>
      <c r="R37" s="32">
        <f t="shared" si="2"/>
        <v>0</v>
      </c>
      <c r="S37" s="50"/>
      <c r="T37" s="28"/>
      <c r="U37" s="50"/>
      <c r="V37" s="42"/>
      <c r="W37" s="42"/>
      <c r="X37" s="50"/>
      <c r="Y37" s="50"/>
      <c r="Z37" s="50">
        <f>61438.46</f>
        <v>61438.46</v>
      </c>
      <c r="AA37" s="50"/>
      <c r="AB37" s="50"/>
      <c r="AC37" s="50">
        <f>48772.93</f>
        <v>48772.93</v>
      </c>
      <c r="AD37" s="50"/>
      <c r="AE37" s="50"/>
      <c r="AF37" s="50">
        <v>37025.279999999999</v>
      </c>
      <c r="AG37" s="50"/>
      <c r="AH37" s="50"/>
      <c r="AI37" s="50">
        <v>46046.57</v>
      </c>
      <c r="AJ37" s="50"/>
      <c r="AK37" s="50"/>
      <c r="AL37" s="50">
        <v>73066.929999999993</v>
      </c>
      <c r="AM37" s="50"/>
      <c r="AN37" s="50"/>
      <c r="AO37" s="50">
        <f>87286.56</f>
        <v>87286.56</v>
      </c>
      <c r="AP37" s="50"/>
      <c r="AQ37" s="50"/>
      <c r="AR37" s="50">
        <f>25241.97+196.38</f>
        <v>25438.350000000002</v>
      </c>
      <c r="AS37" s="50"/>
      <c r="AT37" s="50"/>
      <c r="AU37" s="50"/>
      <c r="AV37" s="50"/>
      <c r="AW37" s="50"/>
      <c r="AX37" s="50">
        <f>17570.74+33113.58</f>
        <v>50684.320000000007</v>
      </c>
      <c r="AY37" s="50"/>
      <c r="AZ37" s="50"/>
      <c r="BA37" s="50"/>
      <c r="BB37" s="50"/>
      <c r="BC37" s="50"/>
      <c r="BD37" s="50"/>
      <c r="BE37" s="50"/>
      <c r="BF37" s="33"/>
      <c r="BG37" s="34"/>
      <c r="BH37" s="34"/>
      <c r="BI37" s="34"/>
      <c r="BJ37" s="34"/>
    </row>
    <row r="38" spans="1:62" ht="15.75" customHeight="1" x14ac:dyDescent="0.25">
      <c r="A38" s="164"/>
      <c r="B38" s="163" t="s">
        <v>212</v>
      </c>
      <c r="C38" s="141"/>
      <c r="D38" s="142"/>
      <c r="E38" s="142"/>
      <c r="F38" s="141">
        <v>6782.31</v>
      </c>
      <c r="G38" s="30"/>
      <c r="H38" s="30"/>
      <c r="I38" s="30"/>
      <c r="J38" s="18"/>
      <c r="K38" s="18"/>
      <c r="L38" s="18"/>
      <c r="M38" s="30"/>
      <c r="N38" s="30"/>
      <c r="O38" s="30"/>
      <c r="P38" s="32"/>
      <c r="Q38" s="32"/>
      <c r="R38" s="32"/>
      <c r="S38" s="50"/>
      <c r="T38" s="28"/>
      <c r="U38" s="50"/>
      <c r="V38" s="42"/>
      <c r="W38" s="42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33"/>
      <c r="BG38" s="34"/>
      <c r="BH38" s="34"/>
      <c r="BI38" s="34"/>
      <c r="BJ38" s="34"/>
    </row>
    <row r="39" spans="1:62" ht="15.75" customHeight="1" x14ac:dyDescent="0.25">
      <c r="A39" s="168" t="s">
        <v>67</v>
      </c>
      <c r="B39" s="169" t="s">
        <v>68</v>
      </c>
      <c r="C39" s="141"/>
      <c r="D39" s="142">
        <v>34415.78</v>
      </c>
      <c r="E39" s="142"/>
      <c r="F39" s="143"/>
      <c r="G39" s="30">
        <f t="shared" si="14"/>
        <v>0</v>
      </c>
      <c r="H39" s="30">
        <f t="shared" si="14"/>
        <v>34415.78</v>
      </c>
      <c r="I39" s="30">
        <f t="shared" si="14"/>
        <v>0</v>
      </c>
      <c r="J39" s="18">
        <f t="shared" ref="J39:L48" si="15">IF(BC39=0,SUM(S39+V39+Y39+AB39+AE39+AH39+AK39+AN39+AQ39+AT39+AW39+AZ39),BC39)</f>
        <v>0</v>
      </c>
      <c r="K39" s="18">
        <f t="shared" si="15"/>
        <v>34415.78</v>
      </c>
      <c r="L39" s="18">
        <f t="shared" si="15"/>
        <v>0</v>
      </c>
      <c r="M39" s="30">
        <f t="shared" ref="M39:N42" si="16">C39-G39</f>
        <v>0</v>
      </c>
      <c r="N39" s="30">
        <f t="shared" si="16"/>
        <v>0</v>
      </c>
      <c r="O39" s="30">
        <f t="shared" ref="O39:O42" si="17">F39-I39</f>
        <v>0</v>
      </c>
      <c r="P39" s="32" t="e">
        <f t="shared" ref="P39:Q48" si="18">G39/C39</f>
        <v>#DIV/0!</v>
      </c>
      <c r="Q39" s="32">
        <f t="shared" si="18"/>
        <v>1</v>
      </c>
      <c r="R39" s="32" t="e">
        <f t="shared" ref="R39:R79" si="19">I39/F39</f>
        <v>#DIV/0!</v>
      </c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>
        <v>10324.73</v>
      </c>
      <c r="AJ39" s="28"/>
      <c r="AK39" s="28"/>
      <c r="AL39" s="28"/>
      <c r="AM39" s="28"/>
      <c r="AN39" s="28"/>
      <c r="AO39" s="28"/>
      <c r="AP39" s="28"/>
      <c r="AQ39" s="28"/>
      <c r="AR39" s="28">
        <v>24091.05</v>
      </c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33"/>
      <c r="BG39" s="34"/>
      <c r="BH39" s="34"/>
      <c r="BI39" s="34"/>
      <c r="BJ39" s="34"/>
    </row>
    <row r="40" spans="1:62" ht="15.75" customHeight="1" x14ac:dyDescent="0.25">
      <c r="A40" s="168" t="s">
        <v>67</v>
      </c>
      <c r="B40" s="169" t="s">
        <v>213</v>
      </c>
      <c r="C40" s="141"/>
      <c r="D40" s="142">
        <v>15982.5</v>
      </c>
      <c r="E40" s="142"/>
      <c r="F40" s="143"/>
      <c r="G40" s="30">
        <f t="shared" si="14"/>
        <v>0</v>
      </c>
      <c r="H40" s="30">
        <f t="shared" si="14"/>
        <v>15982.5</v>
      </c>
      <c r="I40" s="30">
        <f t="shared" si="14"/>
        <v>0</v>
      </c>
      <c r="J40" s="18">
        <f t="shared" si="15"/>
        <v>0</v>
      </c>
      <c r="K40" s="18">
        <f t="shared" si="15"/>
        <v>15982.5</v>
      </c>
      <c r="L40" s="18">
        <f t="shared" si="15"/>
        <v>0</v>
      </c>
      <c r="M40" s="30">
        <f t="shared" si="16"/>
        <v>0</v>
      </c>
      <c r="N40" s="30">
        <f t="shared" si="16"/>
        <v>0</v>
      </c>
      <c r="O40" s="30">
        <f t="shared" si="17"/>
        <v>0</v>
      </c>
      <c r="P40" s="32" t="e">
        <f t="shared" si="18"/>
        <v>#DIV/0!</v>
      </c>
      <c r="Q40" s="32">
        <f t="shared" si="18"/>
        <v>1</v>
      </c>
      <c r="R40" s="32" t="e">
        <f t="shared" si="19"/>
        <v>#DIV/0!</v>
      </c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>
        <v>15982.5</v>
      </c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33"/>
      <c r="BG40" s="34"/>
      <c r="BH40" s="34"/>
      <c r="BI40" s="34"/>
      <c r="BJ40" s="34"/>
    </row>
    <row r="41" spans="1:62" ht="15.75" customHeight="1" x14ac:dyDescent="0.25">
      <c r="A41" s="168" t="s">
        <v>69</v>
      </c>
      <c r="B41" s="169" t="s">
        <v>70</v>
      </c>
      <c r="C41" s="141">
        <f>481.98+27.08+902.65+115.52+97.95+177.56</f>
        <v>1802.74</v>
      </c>
      <c r="D41" s="144"/>
      <c r="E41" s="144"/>
      <c r="F41" s="143"/>
      <c r="G41" s="30">
        <f t="shared" si="14"/>
        <v>1802.74</v>
      </c>
      <c r="H41" s="30">
        <f t="shared" si="14"/>
        <v>0</v>
      </c>
      <c r="I41" s="30">
        <f t="shared" si="14"/>
        <v>0</v>
      </c>
      <c r="J41" s="18">
        <f t="shared" si="15"/>
        <v>1802.74</v>
      </c>
      <c r="K41" s="18">
        <f t="shared" si="15"/>
        <v>0</v>
      </c>
      <c r="L41" s="18">
        <f t="shared" si="15"/>
        <v>0</v>
      </c>
      <c r="M41" s="30">
        <f t="shared" si="16"/>
        <v>0</v>
      </c>
      <c r="N41" s="30">
        <f t="shared" si="16"/>
        <v>0</v>
      </c>
      <c r="O41" s="30">
        <f t="shared" si="17"/>
        <v>0</v>
      </c>
      <c r="P41" s="32">
        <f t="shared" si="18"/>
        <v>1</v>
      </c>
      <c r="Q41" s="32" t="e">
        <f t="shared" si="18"/>
        <v>#DIV/0!</v>
      </c>
      <c r="R41" s="32" t="e">
        <f t="shared" si="19"/>
        <v>#DIV/0!</v>
      </c>
      <c r="S41" s="28">
        <f>27.08</f>
        <v>27.08</v>
      </c>
      <c r="T41" s="28"/>
      <c r="U41" s="28"/>
      <c r="V41" s="28"/>
      <c r="W41" s="28"/>
      <c r="X41" s="28"/>
      <c r="Y41" s="28"/>
      <c r="Z41" s="28"/>
      <c r="AA41" s="28"/>
      <c r="AB41" s="28">
        <f>481.98</f>
        <v>481.98</v>
      </c>
      <c r="AC41" s="28"/>
      <c r="AD41" s="28"/>
      <c r="AE41" s="28"/>
      <c r="AF41" s="28"/>
      <c r="AG41" s="28"/>
      <c r="AH41" s="28">
        <f>115.52+902.65</f>
        <v>1018.17</v>
      </c>
      <c r="AI41" s="28"/>
      <c r="AJ41" s="28"/>
      <c r="AK41" s="28"/>
      <c r="AL41" s="28"/>
      <c r="AM41" s="28"/>
      <c r="AN41" s="28"/>
      <c r="AO41" s="28"/>
      <c r="AP41" s="28"/>
      <c r="AQ41" s="28">
        <f>97.95+88.78+88.78</f>
        <v>275.51</v>
      </c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33"/>
      <c r="BG41" s="34"/>
      <c r="BH41" s="34"/>
      <c r="BI41" s="34"/>
      <c r="BJ41" s="34"/>
    </row>
    <row r="42" spans="1:62" ht="15.75" customHeight="1" x14ac:dyDescent="0.25">
      <c r="A42" s="162" t="s">
        <v>71</v>
      </c>
      <c r="B42" s="170" t="s">
        <v>72</v>
      </c>
      <c r="C42" s="141">
        <v>83</v>
      </c>
      <c r="D42" s="142"/>
      <c r="E42" s="142"/>
      <c r="F42" s="141"/>
      <c r="G42" s="30">
        <f t="shared" si="14"/>
        <v>83</v>
      </c>
      <c r="H42" s="30">
        <f t="shared" si="14"/>
        <v>0</v>
      </c>
      <c r="I42" s="30">
        <f t="shared" si="14"/>
        <v>0</v>
      </c>
      <c r="J42" s="18">
        <f t="shared" si="15"/>
        <v>83</v>
      </c>
      <c r="K42" s="18">
        <f t="shared" si="15"/>
        <v>0</v>
      </c>
      <c r="L42" s="18">
        <f t="shared" si="15"/>
        <v>0</v>
      </c>
      <c r="M42" s="30">
        <f t="shared" si="16"/>
        <v>0</v>
      </c>
      <c r="N42" s="30">
        <f t="shared" si="16"/>
        <v>0</v>
      </c>
      <c r="O42" s="30">
        <f t="shared" si="17"/>
        <v>0</v>
      </c>
      <c r="P42" s="32">
        <f t="shared" si="18"/>
        <v>1</v>
      </c>
      <c r="Q42" s="32" t="e">
        <f t="shared" si="18"/>
        <v>#DIV/0!</v>
      </c>
      <c r="R42" s="32" t="e">
        <f t="shared" si="19"/>
        <v>#DIV/0!</v>
      </c>
      <c r="S42" s="28"/>
      <c r="T42" s="28"/>
      <c r="U42" s="28"/>
      <c r="V42" s="28"/>
      <c r="W42" s="28"/>
      <c r="X42" s="28"/>
      <c r="Y42" s="28"/>
      <c r="Z42" s="28"/>
      <c r="AA42" s="28"/>
      <c r="AB42" s="28">
        <v>83</v>
      </c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33"/>
      <c r="BG42" s="34"/>
      <c r="BH42" s="34"/>
      <c r="BI42" s="34"/>
      <c r="BJ42" s="34"/>
    </row>
    <row r="43" spans="1:62" ht="21" x14ac:dyDescent="0.25">
      <c r="A43" s="22" t="s">
        <v>73</v>
      </c>
      <c r="B43" s="22"/>
      <c r="C43" s="23">
        <f>C44+C50+C51+C52+C53+C54+C57+C61+C66</f>
        <v>97596.88</v>
      </c>
      <c r="D43" s="23">
        <f>D44+D50+D51+D52+D53+D54+D57+D61+D66</f>
        <v>461692.3</v>
      </c>
      <c r="E43" s="23">
        <f>E44+E50+E51+E52+E53+E54+E57+E61+E66</f>
        <v>0</v>
      </c>
      <c r="F43" s="23">
        <f>F44+F50+F51+F52+F53+F54+F57+F61+F66</f>
        <v>0</v>
      </c>
      <c r="G43" s="23">
        <f>G44+G50+G51+G52+G53+G54+G57+G61+G66</f>
        <v>66226.070000000007</v>
      </c>
      <c r="H43" s="23">
        <f>H44+H50+H51+H52+H53+H54+H57+H61+H66</f>
        <v>459313.08</v>
      </c>
      <c r="I43" s="23">
        <f>I44+I50+I51+I52+I53+I54+I57+I61+I66</f>
        <v>0</v>
      </c>
      <c r="J43" s="23">
        <f t="shared" si="15"/>
        <v>65372.61</v>
      </c>
      <c r="K43" s="23">
        <f t="shared" si="15"/>
        <v>459190.13999999996</v>
      </c>
      <c r="L43" s="23">
        <f t="shared" si="15"/>
        <v>0</v>
      </c>
      <c r="M43" s="23">
        <f>M44+M50+M51+M52+M53+M54+M57+M61+M66</f>
        <v>31370.809999999998</v>
      </c>
      <c r="N43" s="23">
        <f>N44+N50+N51+N52+N53+N54+N57+N61+N66</f>
        <v>2379.2200000000003</v>
      </c>
      <c r="O43" s="23">
        <f>O44+O50+O51+O52+O53+O54+O57+O61+O66</f>
        <v>0</v>
      </c>
      <c r="P43" s="24">
        <f t="shared" si="18"/>
        <v>0.67856749109192838</v>
      </c>
      <c r="Q43" s="24">
        <f t="shared" si="18"/>
        <v>0.99484674100044557</v>
      </c>
      <c r="R43" s="24" t="e">
        <f t="shared" si="19"/>
        <v>#DIV/0!</v>
      </c>
      <c r="S43" s="23">
        <f>S44+S50+S51+S52+S53+S54+S57+S61+S66</f>
        <v>0</v>
      </c>
      <c r="T43" s="23">
        <f>T44+T50+T51+T52+T53+T54+T57+T61+T66</f>
        <v>3523.0600000000004</v>
      </c>
      <c r="U43" s="23">
        <f>U44+U50+U51+U52+U53+U54+U57+U61+U66</f>
        <v>0</v>
      </c>
      <c r="V43" s="23">
        <f>V44+V50+V51+V52+V53+V54+V57+V61+V66</f>
        <v>0</v>
      </c>
      <c r="W43" s="23">
        <f>W44+W50+W51+W52+W53+W54+W57+W61+W66</f>
        <v>3848.8500000000004</v>
      </c>
      <c r="X43" s="23">
        <f>X44+X50+X51+X52+X53+X54+X57+X61+X66</f>
        <v>0</v>
      </c>
      <c r="Y43" s="23">
        <f>Y44+Y50+Y51+Y52+Y53+Y54+Y57+Y61+Y66</f>
        <v>2918.32</v>
      </c>
      <c r="Z43" s="23">
        <f>Z44+Z50+Z51+Z52+Z53+Z54+Z57+Z61+Z66</f>
        <v>90937.34</v>
      </c>
      <c r="AA43" s="23">
        <f>AA44+AA50+AA51+AA52+AA53+AA54+AA57+AA61+AA66</f>
        <v>0</v>
      </c>
      <c r="AB43" s="23">
        <f>AB44+AB50+AB51+AB52+AB53+AB54+AB57+AB61+AB66</f>
        <v>2918.32</v>
      </c>
      <c r="AC43" s="23">
        <f>AC44+AC50+AC51+AC52+AC53+AC54+AC57+AC61+AC66</f>
        <v>309427.32</v>
      </c>
      <c r="AD43" s="23">
        <f>AD44+AD50+AD51+AD52+AD53+AD54+AD57+AD61+AD66</f>
        <v>0</v>
      </c>
      <c r="AE43" s="23">
        <f>AE44+AE50+AE51+AE52+AE53+AE54+AE57+AE61+AE66</f>
        <v>20446.54</v>
      </c>
      <c r="AF43" s="23">
        <f>AF44+AF50+AF51+AF52+AF53+AF54+AF57+AF61+AF66</f>
        <v>41883.300000000003</v>
      </c>
      <c r="AG43" s="23">
        <f>AG44+AG50+AG51+AG52+AG53+AG54+AG57+AG61+AG66</f>
        <v>0</v>
      </c>
      <c r="AH43" s="23">
        <f>AH44+AH50+AH51+AH52+AH53+AH54+AH57+AH61+AH66</f>
        <v>4274.1100000000006</v>
      </c>
      <c r="AI43" s="23">
        <f>AI44+AI50+AI51+AI52+AI53+AI54+AI57+AI61+AI66</f>
        <v>8778.7999999999993</v>
      </c>
      <c r="AJ43" s="23">
        <f>AJ44+AJ50+AJ51+AJ52+AJ53+AJ54+AJ57+AJ61+AJ66</f>
        <v>0</v>
      </c>
      <c r="AK43" s="23">
        <f>AK44+AK50+AK51+AK52+AK53+AK54+AK57+AK61+AK66</f>
        <v>9908.85</v>
      </c>
      <c r="AL43" s="23">
        <f>AL44+AL50+AL51+AL52+AL53+AL54+AL57+AL61+AL66</f>
        <v>281.66999999999996</v>
      </c>
      <c r="AM43" s="23">
        <f>AM44+AM50+AM51+AM52+AM53+AM54+AM57+AM61+AM66</f>
        <v>0</v>
      </c>
      <c r="AN43" s="23">
        <f>AN44+AN50+AN51+AN52+AN53+AN54+AN57+AN61+AN66</f>
        <v>3278.01</v>
      </c>
      <c r="AO43" s="23">
        <f>AO44+AO50+AO51+AO52+AO53+AO54+AO57+AO61+AO66</f>
        <v>307.37</v>
      </c>
      <c r="AP43" s="23">
        <f>AP44+AP50+AP51+AP52+AP53+AP54+AP57+AP61+AP66</f>
        <v>0</v>
      </c>
      <c r="AQ43" s="23">
        <f>AQ44+AQ50+AQ51+AQ52+AQ53+AQ54+AQ57+AQ61+AQ66</f>
        <v>9307.7000000000007</v>
      </c>
      <c r="AR43" s="23">
        <f>AR44+AR50+AR51+AR52+AR53+AR54+AR57+AR61+AR66</f>
        <v>107.71</v>
      </c>
      <c r="AS43" s="23">
        <f>AS44+AS50+AS51+AS52+AS53+AS54+AS57+AS61+AS66</f>
        <v>0</v>
      </c>
      <c r="AT43" s="23">
        <f>AT44+AT50+AT51+AT52+AT53+AT54+AT57+AT61+AT66</f>
        <v>5023.59</v>
      </c>
      <c r="AU43" s="23">
        <f>AU44+AU50+AU51+AU52+AU53+AU54+AU57+AU61+AU66</f>
        <v>94.72</v>
      </c>
      <c r="AV43" s="23">
        <f>AV44+AV50+AV51+AV52+AV53+AV54+AV57+AV61+AV66</f>
        <v>0</v>
      </c>
      <c r="AW43" s="23">
        <f>AW44+AW50+AW51+AW52+AW53+AW54+AW57+AW61+AW66</f>
        <v>7297.17</v>
      </c>
      <c r="AX43" s="23">
        <f>AX44+AX50+AX51+AX52+AX53+AX54+AX57+AX61+AX66</f>
        <v>0</v>
      </c>
      <c r="AY43" s="23">
        <f>AY44+AY50+AY51+AY52+AY53+AY54+AY57+AY61+AY66</f>
        <v>0</v>
      </c>
      <c r="AZ43" s="23">
        <f>AZ44+AZ50+AZ51+AZ52+AZ53+AZ54+AZ57+AZ61+AZ66</f>
        <v>0</v>
      </c>
      <c r="BA43" s="23">
        <f>BA44+BA50+BA51+BA52+BA53+BA54+BA57+BA61+BA66</f>
        <v>0</v>
      </c>
      <c r="BB43" s="23">
        <f>BB44+BB50+BB51+BB52+BB53+BB54+BB57+BB61+BB66</f>
        <v>0</v>
      </c>
      <c r="BC43" s="23">
        <f>BC44+BC50+BC51+BC52+BC53+BC54+BC57+BC61+BC66</f>
        <v>0</v>
      </c>
      <c r="BD43" s="23">
        <f>BD44+BD50+BD51+BD52+BD53+BD54+BD57+BD61+BD66</f>
        <v>0</v>
      </c>
      <c r="BE43" s="23">
        <f>BE44+BE50+BE51+BE52+BE53+BE54+BE57+BE61+BE66</f>
        <v>0</v>
      </c>
      <c r="BF43" s="53"/>
      <c r="BG43" s="54"/>
      <c r="BH43" s="54"/>
      <c r="BI43" s="54"/>
      <c r="BJ43" s="54"/>
    </row>
    <row r="44" spans="1:62" ht="15.75" customHeight="1" x14ac:dyDescent="0.25">
      <c r="A44" s="55"/>
      <c r="B44" s="56" t="s">
        <v>74</v>
      </c>
      <c r="C44" s="57">
        <f>SUM(C45:C49)</f>
        <v>30884.210000000003</v>
      </c>
      <c r="D44" s="57">
        <f>SUM(D45:D53)</f>
        <v>11496.14</v>
      </c>
      <c r="E44" s="57"/>
      <c r="F44" s="57">
        <f>SUM(F45:F46)</f>
        <v>0</v>
      </c>
      <c r="G44" s="57">
        <f>SUM(G45:G49)</f>
        <v>25935.850000000002</v>
      </c>
      <c r="H44" s="57">
        <f>SUM(H45:H49)</f>
        <v>9116.92</v>
      </c>
      <c r="I44" s="57">
        <f>SUM(I45:I46)</f>
        <v>0</v>
      </c>
      <c r="J44" s="17">
        <f>IF(BC44=0,SUM(S44+V44+Y44+AB44+AE44+AH44+AK44+AN44+AQ44+AT44+AW44+AZ44),BC44)</f>
        <v>25082.39</v>
      </c>
      <c r="K44" s="17">
        <f>IF(BD44=0,SUM(T44+W44+Z44+AC44+AF44+AI44+AL44+AO44+AR44+AU44+AX44+BA44),BD44)</f>
        <v>8993.9800000000014</v>
      </c>
      <c r="L44" s="17">
        <f t="shared" si="15"/>
        <v>0</v>
      </c>
      <c r="M44" s="57">
        <f>SUM(M45:M49)</f>
        <v>4948.3600000000006</v>
      </c>
      <c r="N44" s="57">
        <f>SUM(N45:N49)</f>
        <v>2379.2200000000003</v>
      </c>
      <c r="O44" s="57">
        <f>SUM(O45:O49)</f>
        <v>0</v>
      </c>
      <c r="P44" s="58">
        <f t="shared" si="18"/>
        <v>0.83977702521774067</v>
      </c>
      <c r="Q44" s="58">
        <f t="shared" si="18"/>
        <v>0.79304183839097298</v>
      </c>
      <c r="R44" s="58" t="e">
        <f t="shared" si="19"/>
        <v>#DIV/0!</v>
      </c>
      <c r="S44" s="57">
        <f>SUM(S45:S46)</f>
        <v>0</v>
      </c>
      <c r="T44" s="57">
        <f>SUM(T45:T49)</f>
        <v>3523.0600000000004</v>
      </c>
      <c r="U44" s="57">
        <f>SUM(U45:U46)</f>
        <v>0</v>
      </c>
      <c r="V44" s="57">
        <f>SUM(V45:V46)</f>
        <v>0</v>
      </c>
      <c r="W44" s="57">
        <f>SUM(W45:W49)</f>
        <v>3492.6700000000005</v>
      </c>
      <c r="X44" s="57">
        <f t="shared" ref="X44:BE44" si="20">SUM(X45:X46)</f>
        <v>0</v>
      </c>
      <c r="Y44" s="57">
        <f>SUM(Y45:Y49)</f>
        <v>2918.32</v>
      </c>
      <c r="Z44" s="57">
        <f>SUM(Z45:Z49)</f>
        <v>517.04</v>
      </c>
      <c r="AA44" s="57">
        <f t="shared" si="20"/>
        <v>0</v>
      </c>
      <c r="AB44" s="57">
        <f>SUM(AB45:AB49)</f>
        <v>2918.32</v>
      </c>
      <c r="AC44" s="57">
        <f>SUM(AC45:AC49)</f>
        <v>477.64</v>
      </c>
      <c r="AD44" s="57">
        <f t="shared" si="20"/>
        <v>0</v>
      </c>
      <c r="AE44" s="57">
        <f>SUM(AE45:AE49)</f>
        <v>2918.32</v>
      </c>
      <c r="AF44" s="57">
        <f>SUM(AF45:AF49)</f>
        <v>83.3</v>
      </c>
      <c r="AG44" s="57">
        <f t="shared" si="20"/>
        <v>0</v>
      </c>
      <c r="AH44" s="57">
        <f>SUM(AH45:AH49)</f>
        <v>3494.11</v>
      </c>
      <c r="AI44" s="57">
        <f>SUM(AI45:AI49)</f>
        <v>108.8</v>
      </c>
      <c r="AJ44" s="57">
        <f t="shared" si="20"/>
        <v>0</v>
      </c>
      <c r="AK44" s="57">
        <f>SUM(AK45:AK49)</f>
        <v>3058.8500000000004</v>
      </c>
      <c r="AL44" s="57">
        <f t="shared" si="20"/>
        <v>281.66999999999996</v>
      </c>
      <c r="AM44" s="57">
        <f t="shared" si="20"/>
        <v>0</v>
      </c>
      <c r="AN44" s="57">
        <f>SUM(AN45:AN49)</f>
        <v>3278.01</v>
      </c>
      <c r="AO44" s="57">
        <f>SUM(AO45:AO53)</f>
        <v>307.37</v>
      </c>
      <c r="AP44" s="57">
        <f t="shared" si="20"/>
        <v>0</v>
      </c>
      <c r="AQ44" s="57">
        <f>SUM(AQ45:AQ49)</f>
        <v>3307.7000000000003</v>
      </c>
      <c r="AR44" s="57">
        <f>SUM(AR45:AR49)</f>
        <v>107.71</v>
      </c>
      <c r="AS44" s="57">
        <f t="shared" si="20"/>
        <v>0</v>
      </c>
      <c r="AT44" s="57">
        <f t="shared" si="20"/>
        <v>2491.59</v>
      </c>
      <c r="AU44" s="57">
        <f>SUM(AU45:AU53)</f>
        <v>94.72</v>
      </c>
      <c r="AV44" s="57">
        <f t="shared" si="20"/>
        <v>0</v>
      </c>
      <c r="AW44" s="57">
        <f t="shared" si="20"/>
        <v>697.17000000000007</v>
      </c>
      <c r="AX44" s="57">
        <f t="shared" si="20"/>
        <v>0</v>
      </c>
      <c r="AY44" s="57">
        <f t="shared" si="20"/>
        <v>0</v>
      </c>
      <c r="AZ44" s="57">
        <f t="shared" si="20"/>
        <v>0</v>
      </c>
      <c r="BA44" s="57">
        <f t="shared" si="20"/>
        <v>0</v>
      </c>
      <c r="BB44" s="57">
        <f t="shared" si="20"/>
        <v>0</v>
      </c>
      <c r="BC44" s="57">
        <f t="shared" si="20"/>
        <v>0</v>
      </c>
      <c r="BD44" s="57">
        <f t="shared" si="20"/>
        <v>0</v>
      </c>
      <c r="BE44" s="57">
        <f t="shared" si="20"/>
        <v>0</v>
      </c>
      <c r="BF44" s="59"/>
      <c r="BG44" s="60"/>
      <c r="BH44" s="60"/>
      <c r="BI44" s="60"/>
      <c r="BJ44" s="60"/>
    </row>
    <row r="45" spans="1:62" ht="15.75" customHeight="1" x14ac:dyDescent="0.25">
      <c r="A45" s="164" t="s">
        <v>75</v>
      </c>
      <c r="B45" s="163" t="s">
        <v>214</v>
      </c>
      <c r="C45" s="145">
        <f>900+450+450+2250+1354</f>
        <v>5404</v>
      </c>
      <c r="D45" s="142">
        <f>1546.43+35.56+281.67</f>
        <v>1863.66</v>
      </c>
      <c r="E45" s="142"/>
      <c r="F45" s="143"/>
      <c r="G45" s="30">
        <f>S45+V45+Y45+AB45+AE45+AH45+AK45+AN45+AQ45+AT45+AW45+AZ45</f>
        <v>2162.56</v>
      </c>
      <c r="H45" s="30">
        <f>T45+W45+Z45+AC45+AF45+AI45+AL45+AO45+AR45+AU45+AX45+BA45</f>
        <v>1863.6600000000003</v>
      </c>
      <c r="I45" s="30">
        <f>U45+X45+AA45+AD45+AG45+AJ45+AM45+AP45+AS45+AV45+AY45+BB45</f>
        <v>0</v>
      </c>
      <c r="J45" s="18">
        <f t="shared" si="15"/>
        <v>2162.56</v>
      </c>
      <c r="K45" s="18">
        <f t="shared" si="15"/>
        <v>1863.6600000000003</v>
      </c>
      <c r="L45" s="18">
        <f t="shared" si="15"/>
        <v>0</v>
      </c>
      <c r="M45" s="30">
        <f>C45-G45</f>
        <v>3241.44</v>
      </c>
      <c r="N45" s="30">
        <f>D45-H45</f>
        <v>0</v>
      </c>
      <c r="O45" s="30">
        <f t="shared" ref="O45:O53" si="21">F45-I45</f>
        <v>0</v>
      </c>
      <c r="P45" s="32">
        <f t="shared" si="18"/>
        <v>0.40017764618800888</v>
      </c>
      <c r="Q45" s="32">
        <f t="shared" si="18"/>
        <v>1.0000000000000002</v>
      </c>
      <c r="R45" s="32" t="e">
        <f t="shared" si="19"/>
        <v>#DIV/0!</v>
      </c>
      <c r="S45" s="28"/>
      <c r="T45" s="28">
        <v>338.21</v>
      </c>
      <c r="U45" s="28"/>
      <c r="V45" s="28"/>
      <c r="W45" s="42">
        <v>442.57</v>
      </c>
      <c r="X45" s="28"/>
      <c r="Y45" s="28"/>
      <c r="Z45" s="28">
        <v>350.6</v>
      </c>
      <c r="AA45" s="28"/>
      <c r="AB45" s="28"/>
      <c r="AC45" s="28">
        <v>288.42</v>
      </c>
      <c r="AD45" s="28"/>
      <c r="AE45" s="28"/>
      <c r="AF45" s="28"/>
      <c r="AG45" s="28"/>
      <c r="AH45" s="28">
        <f>299.73+276.06</f>
        <v>575.79</v>
      </c>
      <c r="AI45" s="28"/>
      <c r="AJ45" s="28"/>
      <c r="AK45" s="28">
        <v>140.53</v>
      </c>
      <c r="AL45" s="28">
        <f>422.2-140.53</f>
        <v>281.66999999999996</v>
      </c>
      <c r="AM45" s="28"/>
      <c r="AN45" s="28">
        <v>359.69</v>
      </c>
      <c r="AO45" s="28">
        <v>162.19</v>
      </c>
      <c r="AP45" s="19"/>
      <c r="AQ45" s="28">
        <v>389.38</v>
      </c>
      <c r="AR45" s="19"/>
      <c r="AS45" s="19"/>
      <c r="AT45" s="28"/>
      <c r="AU45" s="19"/>
      <c r="AV45" s="19"/>
      <c r="AW45" s="28">
        <f>350.12+347.05</f>
        <v>697.17000000000007</v>
      </c>
      <c r="AX45" s="28"/>
      <c r="AY45" s="19"/>
      <c r="AZ45" s="28"/>
      <c r="BA45" s="19"/>
      <c r="BB45" s="19"/>
      <c r="BC45" s="28"/>
      <c r="BD45" s="19"/>
      <c r="BE45" s="19"/>
      <c r="BF45" s="33"/>
      <c r="BG45" s="62"/>
      <c r="BH45" s="62"/>
      <c r="BI45" s="62"/>
      <c r="BJ45" s="62"/>
    </row>
    <row r="46" spans="1:62" ht="15.75" customHeight="1" x14ac:dyDescent="0.25">
      <c r="A46" s="164" t="s">
        <v>76</v>
      </c>
      <c r="B46" s="163" t="s">
        <v>215</v>
      </c>
      <c r="C46" s="141">
        <f>2491.59+2491.59+2491.59+2491.59+2491.59+2491.59+4983.18</f>
        <v>19932.72</v>
      </c>
      <c r="D46" s="142">
        <v>4983.18</v>
      </c>
      <c r="E46" s="142"/>
      <c r="F46" s="143"/>
      <c r="G46" s="30">
        <f t="shared" ref="G46:I53" si="22">S46+V46+Y46+AB46+AE46+AH46+AK46+AN46+AQ46+AT46+AW46+AZ46</f>
        <v>19932.72</v>
      </c>
      <c r="H46" s="30">
        <f t="shared" si="22"/>
        <v>4983.18</v>
      </c>
      <c r="I46" s="30">
        <f t="shared" si="22"/>
        <v>0</v>
      </c>
      <c r="J46" s="18">
        <f t="shared" si="15"/>
        <v>19932.72</v>
      </c>
      <c r="K46" s="18">
        <f t="shared" si="15"/>
        <v>4983.18</v>
      </c>
      <c r="L46" s="18">
        <f t="shared" si="15"/>
        <v>0</v>
      </c>
      <c r="M46" s="30">
        <f>C46-G46</f>
        <v>0</v>
      </c>
      <c r="N46" s="30">
        <f>D46-H46</f>
        <v>0</v>
      </c>
      <c r="O46" s="30">
        <f t="shared" si="21"/>
        <v>0</v>
      </c>
      <c r="P46" s="32">
        <f t="shared" si="18"/>
        <v>1</v>
      </c>
      <c r="Q46" s="32">
        <f t="shared" si="18"/>
        <v>1</v>
      </c>
      <c r="R46" s="32" t="e">
        <f t="shared" si="19"/>
        <v>#DIV/0!</v>
      </c>
      <c r="S46" s="28"/>
      <c r="T46" s="28">
        <v>2491.59</v>
      </c>
      <c r="U46" s="28"/>
      <c r="V46" s="28"/>
      <c r="W46" s="42">
        <v>2491.59</v>
      </c>
      <c r="X46" s="28"/>
      <c r="Y46" s="28">
        <f>2491.59</f>
        <v>2491.59</v>
      </c>
      <c r="Z46" s="28"/>
      <c r="AA46" s="28"/>
      <c r="AB46" s="28">
        <v>2491.59</v>
      </c>
      <c r="AC46" s="28"/>
      <c r="AD46" s="28"/>
      <c r="AE46" s="28">
        <f>2491.59</f>
        <v>2491.59</v>
      </c>
      <c r="AF46" s="28"/>
      <c r="AG46" s="28"/>
      <c r="AH46" s="28">
        <v>2491.59</v>
      </c>
      <c r="AI46" s="28"/>
      <c r="AJ46" s="28"/>
      <c r="AK46" s="28">
        <v>2491.59</v>
      </c>
      <c r="AL46" s="28"/>
      <c r="AM46" s="28"/>
      <c r="AN46" s="28">
        <v>2491.59</v>
      </c>
      <c r="AO46" s="28"/>
      <c r="AP46" s="19"/>
      <c r="AQ46" s="28">
        <v>2491.59</v>
      </c>
      <c r="AR46" s="19"/>
      <c r="AS46" s="19"/>
      <c r="AT46" s="28">
        <v>2491.59</v>
      </c>
      <c r="AU46" s="19"/>
      <c r="AV46" s="19"/>
      <c r="AW46" s="28"/>
      <c r="AX46" s="19"/>
      <c r="AY46" s="19"/>
      <c r="AZ46" s="19"/>
      <c r="BA46" s="19"/>
      <c r="BB46" s="19"/>
      <c r="BC46" s="19"/>
      <c r="BD46" s="19"/>
      <c r="BE46" s="19"/>
      <c r="BF46" s="33"/>
      <c r="BG46" s="62"/>
      <c r="BH46" s="62"/>
      <c r="BI46" s="62"/>
      <c r="BJ46" s="62"/>
    </row>
    <row r="47" spans="1:62" ht="15.75" customHeight="1" x14ac:dyDescent="0.25">
      <c r="A47" s="164" t="s">
        <v>44</v>
      </c>
      <c r="B47" s="163" t="s">
        <v>216</v>
      </c>
      <c r="C47" s="141">
        <f>426.73+426.73+426.73+426.73+426.73+426.73+2133.65+853.46</f>
        <v>5547.4900000000007</v>
      </c>
      <c r="D47" s="142">
        <v>853.46</v>
      </c>
      <c r="E47" s="142"/>
      <c r="F47" s="143"/>
      <c r="G47" s="30">
        <f>S47+V47+Y47+AB47+AE47+AH47+AK47+AN47+AQ47+AT47+AW47+AZ47</f>
        <v>3840.57</v>
      </c>
      <c r="H47" s="30">
        <f>T47+W47+Z47+AC47+AF47+AI47+AL47+AO47+AR47+AU47+AX47+BA47</f>
        <v>853.46</v>
      </c>
      <c r="I47" s="30">
        <f t="shared" si="22"/>
        <v>0</v>
      </c>
      <c r="J47" s="18">
        <f>IF(BC47=0,SUM(S47+V47+Y47+AB47+AE47+AH47+AK47+AN47+AQ47+AT47+AW47+AZ47),BC47)</f>
        <v>3840.57</v>
      </c>
      <c r="K47" s="18">
        <f>IF(BD47=0,SUM(T47+W47+Z47+AC47+AF47+AI47+AL47+AN47+AR47+AU47+AX47+BA47),BD47)</f>
        <v>1280.19</v>
      </c>
      <c r="L47" s="18">
        <f t="shared" si="15"/>
        <v>0</v>
      </c>
      <c r="M47" s="30">
        <f t="shared" ref="M47:N53" si="23">C47-G47</f>
        <v>1706.9200000000005</v>
      </c>
      <c r="N47" s="30">
        <f>D47-H47</f>
        <v>0</v>
      </c>
      <c r="O47" s="30">
        <f t="shared" si="21"/>
        <v>0</v>
      </c>
      <c r="P47" s="32">
        <f t="shared" si="18"/>
        <v>0.69230769230769229</v>
      </c>
      <c r="Q47" s="32">
        <f t="shared" si="18"/>
        <v>1</v>
      </c>
      <c r="R47" s="32" t="e">
        <f t="shared" si="19"/>
        <v>#DIV/0!</v>
      </c>
      <c r="S47" s="28"/>
      <c r="T47" s="28">
        <v>426.73</v>
      </c>
      <c r="U47" s="28"/>
      <c r="V47" s="28"/>
      <c r="W47" s="42">
        <v>426.73</v>
      </c>
      <c r="X47" s="28"/>
      <c r="Y47" s="28">
        <f>426.73</f>
        <v>426.73</v>
      </c>
      <c r="Z47" s="28"/>
      <c r="AA47" s="28"/>
      <c r="AB47" s="28">
        <v>426.73</v>
      </c>
      <c r="AC47" s="28"/>
      <c r="AD47" s="28"/>
      <c r="AE47" s="28">
        <f>426.73</f>
        <v>426.73</v>
      </c>
      <c r="AF47" s="28"/>
      <c r="AG47" s="28"/>
      <c r="AH47" s="28">
        <v>426.73</v>
      </c>
      <c r="AI47" s="28"/>
      <c r="AJ47" s="28"/>
      <c r="AK47" s="28">
        <v>426.73</v>
      </c>
      <c r="AL47" s="28"/>
      <c r="AM47" s="28"/>
      <c r="AN47" s="28">
        <f>426.73</f>
        <v>426.73</v>
      </c>
      <c r="AP47" s="19"/>
      <c r="AQ47" s="28">
        <v>426.73</v>
      </c>
      <c r="AR47" s="19"/>
      <c r="AS47" s="19"/>
      <c r="AT47" s="19"/>
      <c r="AU47" s="19"/>
      <c r="AV47" s="19"/>
      <c r="AW47" s="28">
        <f>426.73+426.73</f>
        <v>853.46</v>
      </c>
      <c r="AX47" s="19"/>
      <c r="AY47" s="19"/>
      <c r="AZ47" s="19"/>
      <c r="BA47" s="19"/>
      <c r="BB47" s="19"/>
      <c r="BC47" s="19"/>
      <c r="BD47" s="19"/>
      <c r="BE47" s="19"/>
      <c r="BF47" s="33"/>
      <c r="BG47" s="62"/>
      <c r="BH47" s="62"/>
      <c r="BI47" s="62"/>
      <c r="BJ47" s="62"/>
    </row>
    <row r="48" spans="1:62" ht="15.75" customHeight="1" x14ac:dyDescent="0.25">
      <c r="A48" s="164" t="s">
        <v>77</v>
      </c>
      <c r="B48" s="163" t="s">
        <v>78</v>
      </c>
      <c r="C48" s="141"/>
      <c r="D48" s="142"/>
      <c r="E48" s="142"/>
      <c r="F48" s="143"/>
      <c r="G48" s="30">
        <f t="shared" si="22"/>
        <v>0</v>
      </c>
      <c r="H48" s="30">
        <f t="shared" si="22"/>
        <v>0</v>
      </c>
      <c r="I48" s="30">
        <f t="shared" si="22"/>
        <v>0</v>
      </c>
      <c r="J48" s="18">
        <f t="shared" si="15"/>
        <v>0</v>
      </c>
      <c r="K48" s="18">
        <f t="shared" si="15"/>
        <v>0</v>
      </c>
      <c r="L48" s="18">
        <f t="shared" si="15"/>
        <v>0</v>
      </c>
      <c r="M48" s="30">
        <f t="shared" si="23"/>
        <v>0</v>
      </c>
      <c r="N48" s="30">
        <f t="shared" si="23"/>
        <v>0</v>
      </c>
      <c r="O48" s="30">
        <f t="shared" si="21"/>
        <v>0</v>
      </c>
      <c r="P48" s="32" t="e">
        <f t="shared" si="18"/>
        <v>#DIV/0!</v>
      </c>
      <c r="Q48" s="32" t="e">
        <f t="shared" si="18"/>
        <v>#DIV/0!</v>
      </c>
      <c r="R48" s="32" t="e">
        <f t="shared" si="19"/>
        <v>#DIV/0!</v>
      </c>
      <c r="S48" s="28"/>
      <c r="T48" s="28"/>
      <c r="U48" s="28"/>
      <c r="V48" s="28"/>
      <c r="W48" s="42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19"/>
      <c r="AQ48" s="19"/>
      <c r="AR48" s="19"/>
      <c r="AS48" s="19"/>
      <c r="AT48" s="19"/>
      <c r="AU48" s="19"/>
      <c r="AV48" s="19"/>
      <c r="AW48" s="28"/>
      <c r="AX48" s="19"/>
      <c r="AY48" s="19"/>
      <c r="AZ48" s="19"/>
      <c r="BA48" s="19"/>
      <c r="BB48" s="19"/>
      <c r="BC48" s="19"/>
      <c r="BD48" s="19"/>
      <c r="BE48" s="19"/>
      <c r="BF48" s="33"/>
      <c r="BG48" s="62"/>
      <c r="BH48" s="62"/>
      <c r="BI48" s="62"/>
      <c r="BJ48" s="62"/>
    </row>
    <row r="49" spans="1:62" ht="15.75" customHeight="1" x14ac:dyDescent="0.25">
      <c r="A49" s="164" t="s">
        <v>79</v>
      </c>
      <c r="B49" s="163" t="s">
        <v>217</v>
      </c>
      <c r="C49" s="141"/>
      <c r="D49" s="142">
        <v>3795.84</v>
      </c>
      <c r="E49" s="142"/>
      <c r="F49" s="143"/>
      <c r="G49" s="30">
        <f t="shared" si="22"/>
        <v>0</v>
      </c>
      <c r="H49" s="30">
        <f t="shared" si="22"/>
        <v>1416.6200000000001</v>
      </c>
      <c r="I49" s="30">
        <f t="shared" si="22"/>
        <v>0</v>
      </c>
      <c r="J49" s="18">
        <f t="shared" ref="J49:L64" si="24">IF(BC49=0,SUM(S49+V49+Y49+AB49+AE49+AH49+AK49+AN49+AQ49+AT49+AW49+AZ49),BC49)</f>
        <v>0</v>
      </c>
      <c r="K49" s="18">
        <f t="shared" si="24"/>
        <v>1416.6200000000001</v>
      </c>
      <c r="L49" s="18">
        <f t="shared" si="24"/>
        <v>0</v>
      </c>
      <c r="M49" s="30">
        <f t="shared" si="23"/>
        <v>0</v>
      </c>
      <c r="N49" s="30">
        <f t="shared" si="23"/>
        <v>2379.2200000000003</v>
      </c>
      <c r="O49" s="30">
        <f t="shared" si="21"/>
        <v>0</v>
      </c>
      <c r="P49" s="32" t="e">
        <f t="shared" ref="P49:Q64" si="25">G49/C49</f>
        <v>#DIV/0!</v>
      </c>
      <c r="Q49" s="32">
        <f t="shared" si="25"/>
        <v>0.37320329624009446</v>
      </c>
      <c r="R49" s="32" t="e">
        <f t="shared" si="19"/>
        <v>#DIV/0!</v>
      </c>
      <c r="S49" s="28"/>
      <c r="T49" s="28">
        <v>266.52999999999997</v>
      </c>
      <c r="U49" s="28"/>
      <c r="V49" s="28"/>
      <c r="W49" s="42">
        <v>131.78</v>
      </c>
      <c r="X49" s="28"/>
      <c r="Y49" s="28"/>
      <c r="Z49" s="28">
        <f>166.44</f>
        <v>166.44</v>
      </c>
      <c r="AA49" s="28"/>
      <c r="AB49" s="28"/>
      <c r="AC49" s="28">
        <v>189.22</v>
      </c>
      <c r="AD49" s="28"/>
      <c r="AE49" s="28"/>
      <c r="AF49" s="28">
        <v>83.3</v>
      </c>
      <c r="AG49" s="28"/>
      <c r="AH49" s="28"/>
      <c r="AI49" s="28">
        <v>108.8</v>
      </c>
      <c r="AJ49" s="28"/>
      <c r="AK49" s="28"/>
      <c r="AL49" s="28"/>
      <c r="AM49" s="28"/>
      <c r="AN49" s="28"/>
      <c r="AO49" s="28">
        <f>145.18</f>
        <v>145.18</v>
      </c>
      <c r="AP49" s="19"/>
      <c r="AQ49" s="19"/>
      <c r="AR49" s="28">
        <v>107.71</v>
      </c>
      <c r="AS49" s="19"/>
      <c r="AT49" s="19"/>
      <c r="AU49" s="28">
        <v>94.72</v>
      </c>
      <c r="AV49" s="19"/>
      <c r="AW49" s="28"/>
      <c r="AX49" s="28">
        <v>122.94</v>
      </c>
      <c r="AY49" s="19"/>
      <c r="AZ49" s="19"/>
      <c r="BA49" s="19"/>
      <c r="BB49" s="19"/>
      <c r="BC49" s="19"/>
      <c r="BD49" s="19"/>
      <c r="BE49" s="19"/>
      <c r="BF49" s="33"/>
      <c r="BG49" s="62"/>
      <c r="BH49" s="62"/>
      <c r="BI49" s="62"/>
      <c r="BJ49" s="62"/>
    </row>
    <row r="50" spans="1:62" ht="14.25" customHeight="1" x14ac:dyDescent="0.25">
      <c r="A50" s="63"/>
      <c r="B50" s="64" t="s">
        <v>80</v>
      </c>
      <c r="C50" s="66">
        <v>8764.11</v>
      </c>
      <c r="D50" s="67"/>
      <c r="E50" s="67"/>
      <c r="F50" s="67"/>
      <c r="G50" s="30">
        <f t="shared" si="22"/>
        <v>8764.11</v>
      </c>
      <c r="H50" s="30">
        <f t="shared" si="22"/>
        <v>0</v>
      </c>
      <c r="I50" s="68">
        <f>U50+X50+AA50+AD50+AG50+AJ50+AM50+AP50+AS50+AV50+AY50+BB50</f>
        <v>0</v>
      </c>
      <c r="J50" s="18">
        <f t="shared" si="24"/>
        <v>8764.11</v>
      </c>
      <c r="K50" s="18">
        <f t="shared" si="24"/>
        <v>0</v>
      </c>
      <c r="L50" s="18">
        <f t="shared" si="24"/>
        <v>0</v>
      </c>
      <c r="M50" s="68">
        <f t="shared" si="23"/>
        <v>0</v>
      </c>
      <c r="N50" s="30">
        <f t="shared" si="23"/>
        <v>0</v>
      </c>
      <c r="O50" s="68">
        <f t="shared" si="21"/>
        <v>0</v>
      </c>
      <c r="P50" s="69">
        <f t="shared" si="25"/>
        <v>1</v>
      </c>
      <c r="Q50" s="69" t="e">
        <f t="shared" si="25"/>
        <v>#DIV/0!</v>
      </c>
      <c r="R50" s="69" t="e">
        <f t="shared" si="19"/>
        <v>#DIV/0!</v>
      </c>
      <c r="S50" s="65"/>
      <c r="T50" s="65"/>
      <c r="U50" s="65"/>
      <c r="V50" s="65"/>
      <c r="W50" s="70"/>
      <c r="X50" s="65"/>
      <c r="Y50" s="65"/>
      <c r="Z50" s="65"/>
      <c r="AA50" s="65"/>
      <c r="AB50" s="65"/>
      <c r="AC50" s="65"/>
      <c r="AD50" s="65"/>
      <c r="AE50" s="65">
        <v>8764.11</v>
      </c>
      <c r="AF50" s="65"/>
      <c r="AG50" s="65"/>
      <c r="AH50" s="71"/>
      <c r="AI50" s="71"/>
      <c r="AJ50" s="71"/>
      <c r="AK50" s="71"/>
      <c r="AL50" s="71"/>
      <c r="AM50" s="71"/>
      <c r="AN50" s="71"/>
      <c r="AO50" s="72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3"/>
      <c r="BG50" s="74"/>
      <c r="BH50" s="74"/>
      <c r="BI50" s="74"/>
      <c r="BJ50" s="74"/>
    </row>
    <row r="51" spans="1:62" ht="15.75" customHeight="1" x14ac:dyDescent="0.25">
      <c r="A51" s="63"/>
      <c r="B51" s="64" t="s">
        <v>81</v>
      </c>
      <c r="C51" s="67"/>
      <c r="D51" s="67"/>
      <c r="E51" s="67"/>
      <c r="F51" s="67"/>
      <c r="G51" s="68">
        <f t="shared" si="22"/>
        <v>0</v>
      </c>
      <c r="H51" s="68">
        <f t="shared" si="22"/>
        <v>0</v>
      </c>
      <c r="I51" s="68">
        <f>U51+X51+AA51+AD51+AG51+AJ51+AM51+AP51+AS51+AV51+AY51+BB51</f>
        <v>0</v>
      </c>
      <c r="J51" s="18">
        <f t="shared" si="24"/>
        <v>0</v>
      </c>
      <c r="K51" s="18">
        <f t="shared" si="24"/>
        <v>0</v>
      </c>
      <c r="L51" s="18">
        <f t="shared" si="24"/>
        <v>0</v>
      </c>
      <c r="M51" s="68">
        <f t="shared" si="23"/>
        <v>0</v>
      </c>
      <c r="N51" s="68">
        <f t="shared" si="23"/>
        <v>0</v>
      </c>
      <c r="O51" s="68">
        <f t="shared" si="21"/>
        <v>0</v>
      </c>
      <c r="P51" s="69" t="e">
        <f t="shared" si="25"/>
        <v>#DIV/0!</v>
      </c>
      <c r="Q51" s="69" t="e">
        <f t="shared" si="25"/>
        <v>#DIV/0!</v>
      </c>
      <c r="R51" s="69" t="e">
        <f t="shared" si="19"/>
        <v>#DIV/0!</v>
      </c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3"/>
      <c r="BG51" s="74"/>
      <c r="BH51" s="74"/>
      <c r="BI51" s="74"/>
      <c r="BJ51" s="74"/>
    </row>
    <row r="52" spans="1:62" ht="15.75" hidden="1" x14ac:dyDescent="0.25">
      <c r="A52" s="75"/>
      <c r="B52" s="76"/>
      <c r="C52" s="77"/>
      <c r="D52" s="77"/>
      <c r="E52" s="77"/>
      <c r="F52" s="77"/>
      <c r="G52" s="68">
        <f t="shared" si="22"/>
        <v>0</v>
      </c>
      <c r="H52" s="68">
        <f t="shared" si="22"/>
        <v>0</v>
      </c>
      <c r="I52" s="68">
        <f>U52+X52+AA52+AD52+AG52+AJ52+AM52+AP52+AS52+AV52+AY52+BB52</f>
        <v>0</v>
      </c>
      <c r="J52" s="18">
        <f t="shared" si="24"/>
        <v>0</v>
      </c>
      <c r="K52" s="18">
        <f t="shared" si="24"/>
        <v>0</v>
      </c>
      <c r="L52" s="18">
        <f t="shared" si="24"/>
        <v>0</v>
      </c>
      <c r="M52" s="68">
        <f t="shared" si="23"/>
        <v>0</v>
      </c>
      <c r="N52" s="68">
        <f t="shared" si="23"/>
        <v>0</v>
      </c>
      <c r="O52" s="68">
        <f t="shared" si="21"/>
        <v>0</v>
      </c>
      <c r="P52" s="69" t="e">
        <f t="shared" si="25"/>
        <v>#DIV/0!</v>
      </c>
      <c r="Q52" s="69" t="e">
        <f t="shared" si="25"/>
        <v>#DIV/0!</v>
      </c>
      <c r="R52" s="69" t="e">
        <f t="shared" si="19"/>
        <v>#DIV/0!</v>
      </c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3"/>
      <c r="BG52" s="74"/>
      <c r="BH52" s="74"/>
      <c r="BI52" s="74"/>
      <c r="BJ52" s="74"/>
    </row>
    <row r="53" spans="1:62" ht="15.75" hidden="1" customHeight="1" x14ac:dyDescent="0.25">
      <c r="A53" s="75"/>
      <c r="B53" s="79"/>
      <c r="C53" s="80"/>
      <c r="D53" s="80"/>
      <c r="E53" s="80"/>
      <c r="F53" s="80"/>
      <c r="G53" s="68">
        <f t="shared" si="22"/>
        <v>0</v>
      </c>
      <c r="H53" s="68">
        <f t="shared" si="22"/>
        <v>0</v>
      </c>
      <c r="I53" s="68">
        <f>U53+X53+AA53+AD53+AG53+AJ53+AM53+AP53+AS53+AV53+AY53+BB53</f>
        <v>0</v>
      </c>
      <c r="J53" s="18">
        <f t="shared" si="24"/>
        <v>0</v>
      </c>
      <c r="K53" s="18">
        <f t="shared" si="24"/>
        <v>0</v>
      </c>
      <c r="L53" s="18">
        <f t="shared" si="24"/>
        <v>0</v>
      </c>
      <c r="M53" s="68">
        <f t="shared" si="23"/>
        <v>0</v>
      </c>
      <c r="N53" s="68">
        <f t="shared" si="23"/>
        <v>0</v>
      </c>
      <c r="O53" s="68">
        <f t="shared" si="21"/>
        <v>0</v>
      </c>
      <c r="P53" s="69" t="e">
        <f t="shared" si="25"/>
        <v>#DIV/0!</v>
      </c>
      <c r="Q53" s="69" t="e">
        <f t="shared" si="25"/>
        <v>#DIV/0!</v>
      </c>
      <c r="R53" s="69" t="e">
        <f t="shared" si="19"/>
        <v>#DIV/0!</v>
      </c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81"/>
      <c r="BA53" s="50"/>
      <c r="BB53" s="50"/>
      <c r="BC53" s="81"/>
      <c r="BD53" s="50"/>
      <c r="BE53" s="50"/>
      <c r="BF53" s="73"/>
      <c r="BG53" s="74"/>
      <c r="BH53" s="74"/>
      <c r="BI53" s="74"/>
      <c r="BJ53" s="74"/>
    </row>
    <row r="54" spans="1:62" ht="18.75" customHeight="1" x14ac:dyDescent="0.25">
      <c r="A54" s="82"/>
      <c r="B54" s="83" t="s">
        <v>82</v>
      </c>
      <c r="C54" s="84">
        <f>SUM(C55:C56)</f>
        <v>8764.11</v>
      </c>
      <c r="D54" s="84">
        <f>SUM(D55:D56)</f>
        <v>0</v>
      </c>
      <c r="E54" s="84"/>
      <c r="F54" s="84">
        <f>SUM(F55:F56)</f>
        <v>0</v>
      </c>
      <c r="G54" s="84">
        <f>SUM(G55:G56)</f>
        <v>8764.11</v>
      </c>
      <c r="H54" s="84">
        <f>SUM(H55:H56)</f>
        <v>0</v>
      </c>
      <c r="I54" s="84">
        <f>SUM(I55:I56)</f>
        <v>0</v>
      </c>
      <c r="J54" s="17">
        <f t="shared" si="24"/>
        <v>8764.11</v>
      </c>
      <c r="K54" s="17">
        <f t="shared" si="24"/>
        <v>0</v>
      </c>
      <c r="L54" s="17">
        <f t="shared" si="24"/>
        <v>0</v>
      </c>
      <c r="M54" s="84">
        <f>SUM(M55:M56)</f>
        <v>0</v>
      </c>
      <c r="N54" s="84">
        <f>SUM(N55:N56)</f>
        <v>0</v>
      </c>
      <c r="O54" s="84">
        <f>SUM(O55:O56)</f>
        <v>0</v>
      </c>
      <c r="P54" s="86">
        <f t="shared" si="25"/>
        <v>1</v>
      </c>
      <c r="Q54" s="86" t="e">
        <f t="shared" si="25"/>
        <v>#DIV/0!</v>
      </c>
      <c r="R54" s="86" t="e">
        <f t="shared" si="19"/>
        <v>#DIV/0!</v>
      </c>
      <c r="S54" s="84">
        <f>SUM(S55:S56)</f>
        <v>0</v>
      </c>
      <c r="T54" s="84">
        <f>SUM(T55:T56)</f>
        <v>0</v>
      </c>
      <c r="U54" s="84">
        <f>SUM(U55:U56)</f>
        <v>0</v>
      </c>
      <c r="V54" s="84">
        <f>SUM(V55:V56)</f>
        <v>0</v>
      </c>
      <c r="W54" s="84">
        <f>SUM(W55:W56)</f>
        <v>0</v>
      </c>
      <c r="X54" s="84">
        <f>SUM(X55:X56)</f>
        <v>0</v>
      </c>
      <c r="Y54" s="84">
        <f>SUM(Y55:Y56)</f>
        <v>0</v>
      </c>
      <c r="Z54" s="84">
        <f>SUM(Z55:Z56)</f>
        <v>0</v>
      </c>
      <c r="AA54" s="84">
        <f>SUM(AA55:AA56)</f>
        <v>0</v>
      </c>
      <c r="AB54" s="84">
        <f>SUM(AB55:AB56)</f>
        <v>0</v>
      </c>
      <c r="AC54" s="84">
        <f>SUM(AC55:AC56)</f>
        <v>0</v>
      </c>
      <c r="AD54" s="84">
        <f>SUM(AD55:AD56)</f>
        <v>0</v>
      </c>
      <c r="AE54" s="84">
        <f>SUM(AE55:AE56)</f>
        <v>8764.11</v>
      </c>
      <c r="AF54" s="84">
        <f>SUM(AF55:AF56)</f>
        <v>0</v>
      </c>
      <c r="AG54" s="84">
        <f>SUM(AG55:AG56)</f>
        <v>0</v>
      </c>
      <c r="AH54" s="84">
        <f>SUM(AH55:AH56)</f>
        <v>0</v>
      </c>
      <c r="AI54" s="84">
        <f>SUM(AI55:AI56)</f>
        <v>0</v>
      </c>
      <c r="AJ54" s="84">
        <f>SUM(AJ55:AJ56)</f>
        <v>0</v>
      </c>
      <c r="AK54" s="84">
        <f>SUM(AK55:AK56)</f>
        <v>0</v>
      </c>
      <c r="AL54" s="84">
        <f>SUM(AL55:AL56)</f>
        <v>0</v>
      </c>
      <c r="AM54" s="84">
        <f>SUM(AM55:AM56)</f>
        <v>0</v>
      </c>
      <c r="AN54" s="84">
        <f>SUM(AN55:AN56)</f>
        <v>0</v>
      </c>
      <c r="AO54" s="84">
        <f>SUM(AO55:AO56)</f>
        <v>0</v>
      </c>
      <c r="AP54" s="84">
        <f>SUM(AP55:AP56)</f>
        <v>0</v>
      </c>
      <c r="AQ54" s="84">
        <f>SUM(AQ55:AQ56)</f>
        <v>0</v>
      </c>
      <c r="AR54" s="84">
        <f>SUM(AR55:AR56)</f>
        <v>0</v>
      </c>
      <c r="AS54" s="84">
        <f>SUM(AS55:AS56)</f>
        <v>0</v>
      </c>
      <c r="AT54" s="84">
        <f>SUM(AT55:AT56)</f>
        <v>0</v>
      </c>
      <c r="AU54" s="84">
        <f>SUM(AU55:AU56)</f>
        <v>0</v>
      </c>
      <c r="AV54" s="84">
        <f>SUM(AV55:AV56)</f>
        <v>0</v>
      </c>
      <c r="AW54" s="84">
        <f>SUM(AW55:AW56)</f>
        <v>0</v>
      </c>
      <c r="AX54" s="84">
        <f>SUM(AX55:AX56)</f>
        <v>0</v>
      </c>
      <c r="AY54" s="84">
        <f>SUM(AY55:AY56)</f>
        <v>0</v>
      </c>
      <c r="AZ54" s="84">
        <f>SUM(AZ55:AZ56)</f>
        <v>0</v>
      </c>
      <c r="BA54" s="84">
        <f>SUM(BA55:BA56)</f>
        <v>0</v>
      </c>
      <c r="BB54" s="84">
        <f>SUM(BB55:BB56)</f>
        <v>0</v>
      </c>
      <c r="BC54" s="84">
        <f>SUM(BC55:BC56)</f>
        <v>0</v>
      </c>
      <c r="BD54" s="84">
        <f>SUM(BD55:BD56)</f>
        <v>0</v>
      </c>
      <c r="BE54" s="84">
        <f>SUM(BE55:BE56)</f>
        <v>0</v>
      </c>
      <c r="BF54" s="59"/>
      <c r="BG54" s="60"/>
      <c r="BH54" s="60"/>
      <c r="BI54" s="60"/>
      <c r="BJ54" s="60"/>
    </row>
    <row r="55" spans="1:62" ht="15.75" customHeight="1" x14ac:dyDescent="0.25">
      <c r="A55" s="162" t="s">
        <v>62</v>
      </c>
      <c r="B55" s="170" t="s">
        <v>83</v>
      </c>
      <c r="C55" s="141">
        <v>8764.11</v>
      </c>
      <c r="D55" s="146"/>
      <c r="E55" s="146"/>
      <c r="F55" s="146"/>
      <c r="G55" s="30">
        <f t="shared" ref="G55:I56" si="26">S55+V55+Y55+AB55+AE55+AH55+AK55+AN55+AQ55+AT55+AW55+AZ55</f>
        <v>8764.11</v>
      </c>
      <c r="H55" s="30">
        <f t="shared" si="26"/>
        <v>0</v>
      </c>
      <c r="I55" s="30">
        <f t="shared" si="26"/>
        <v>0</v>
      </c>
      <c r="J55" s="18">
        <f t="shared" si="24"/>
        <v>8764.11</v>
      </c>
      <c r="K55" s="18">
        <f t="shared" si="24"/>
        <v>0</v>
      </c>
      <c r="L55" s="18">
        <f t="shared" si="24"/>
        <v>0</v>
      </c>
      <c r="M55" s="30">
        <f>C55-G55</f>
        <v>0</v>
      </c>
      <c r="N55" s="30">
        <f>D55-H55</f>
        <v>0</v>
      </c>
      <c r="O55" s="30">
        <f t="shared" ref="O55:O56" si="27">F55-I55</f>
        <v>0</v>
      </c>
      <c r="P55" s="32">
        <f t="shared" si="25"/>
        <v>1</v>
      </c>
      <c r="Q55" s="32" t="e">
        <f t="shared" si="25"/>
        <v>#DIV/0!</v>
      </c>
      <c r="R55" s="32" t="e">
        <f t="shared" si="19"/>
        <v>#DIV/0!</v>
      </c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>
        <v>8764.11</v>
      </c>
      <c r="AF55" s="49"/>
      <c r="AG55" s="65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33"/>
      <c r="BG55" s="34"/>
      <c r="BH55" s="34"/>
      <c r="BI55" s="34"/>
      <c r="BJ55" s="34"/>
    </row>
    <row r="56" spans="1:62" ht="15.75" customHeight="1" x14ac:dyDescent="0.25">
      <c r="A56" s="162" t="s">
        <v>84</v>
      </c>
      <c r="B56" s="171" t="s">
        <v>85</v>
      </c>
      <c r="C56" s="141"/>
      <c r="D56" s="146"/>
      <c r="E56" s="146"/>
      <c r="F56" s="146"/>
      <c r="G56" s="30">
        <f t="shared" si="26"/>
        <v>0</v>
      </c>
      <c r="H56" s="30">
        <f t="shared" si="26"/>
        <v>0</v>
      </c>
      <c r="I56" s="30">
        <f t="shared" si="26"/>
        <v>0</v>
      </c>
      <c r="J56" s="18">
        <f t="shared" si="24"/>
        <v>0</v>
      </c>
      <c r="K56" s="18">
        <f t="shared" si="24"/>
        <v>0</v>
      </c>
      <c r="L56" s="18">
        <f t="shared" si="24"/>
        <v>0</v>
      </c>
      <c r="M56" s="30">
        <f>C56-G56</f>
        <v>0</v>
      </c>
      <c r="N56" s="30">
        <f>D56-H56</f>
        <v>0</v>
      </c>
      <c r="O56" s="30">
        <f t="shared" si="27"/>
        <v>0</v>
      </c>
      <c r="P56" s="32" t="e">
        <f t="shared" si="25"/>
        <v>#DIV/0!</v>
      </c>
      <c r="Q56" s="32" t="e">
        <f t="shared" si="25"/>
        <v>#DIV/0!</v>
      </c>
      <c r="R56" s="32" t="e">
        <f t="shared" si="19"/>
        <v>#DIV/0!</v>
      </c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29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29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33"/>
      <c r="BG56" s="34"/>
      <c r="BH56" s="34"/>
      <c r="BI56" s="34"/>
      <c r="BJ56" s="34"/>
    </row>
    <row r="57" spans="1:62" ht="15.75" customHeight="1" x14ac:dyDescent="0.25">
      <c r="A57" s="88"/>
      <c r="B57" s="56" t="s">
        <v>86</v>
      </c>
      <c r="C57" s="57">
        <f>SUM(C58:C60)</f>
        <v>4884.78</v>
      </c>
      <c r="D57" s="57">
        <f>SUM(D58:D60)</f>
        <v>0</v>
      </c>
      <c r="E57" s="57"/>
      <c r="F57" s="57">
        <f>SUM(F58:F60)</f>
        <v>0</v>
      </c>
      <c r="G57" s="57">
        <f>SUM(G58:G60)</f>
        <v>2400</v>
      </c>
      <c r="H57" s="57">
        <f>SUM(H58:H60)</f>
        <v>0</v>
      </c>
      <c r="I57" s="57">
        <f>SUM(I58:I60)</f>
        <v>0</v>
      </c>
      <c r="J57" s="17">
        <f t="shared" si="24"/>
        <v>2400</v>
      </c>
      <c r="K57" s="17">
        <f t="shared" si="24"/>
        <v>0</v>
      </c>
      <c r="L57" s="17">
        <f t="shared" si="24"/>
        <v>0</v>
      </c>
      <c r="M57" s="57">
        <f>SUM(M58:M60)</f>
        <v>2484.7799999999997</v>
      </c>
      <c r="N57" s="57">
        <f>SUM(N58:N60)</f>
        <v>0</v>
      </c>
      <c r="O57" s="57">
        <f>SUM(O58:O60)</f>
        <v>0</v>
      </c>
      <c r="P57" s="89">
        <f t="shared" si="25"/>
        <v>0.49132202473806397</v>
      </c>
      <c r="Q57" s="89" t="e">
        <f t="shared" si="25"/>
        <v>#DIV/0!</v>
      </c>
      <c r="R57" s="89" t="e">
        <f t="shared" si="19"/>
        <v>#DIV/0!</v>
      </c>
      <c r="S57" s="57">
        <f>SUM(S58:S60)</f>
        <v>0</v>
      </c>
      <c r="T57" s="57">
        <f>SUM(T58:T60)</f>
        <v>0</v>
      </c>
      <c r="U57" s="57">
        <f>SUM(U58:U60)</f>
        <v>0</v>
      </c>
      <c r="V57" s="57">
        <f>SUM(V58:V60)</f>
        <v>0</v>
      </c>
      <c r="W57" s="57">
        <f>SUM(W58:W60)</f>
        <v>0</v>
      </c>
      <c r="X57" s="57">
        <f>SUM(X58:X60)</f>
        <v>0</v>
      </c>
      <c r="Y57" s="57">
        <f>SUM(Y58:Y60)</f>
        <v>0</v>
      </c>
      <c r="Z57" s="57">
        <f>SUM(Z58:Z60)</f>
        <v>0</v>
      </c>
      <c r="AA57" s="57">
        <f>SUM(AA58:AA60)</f>
        <v>0</v>
      </c>
      <c r="AB57" s="57">
        <f>SUM(AB58:AB60)</f>
        <v>0</v>
      </c>
      <c r="AC57" s="57">
        <f>SUM(AC58:AC60)</f>
        <v>0</v>
      </c>
      <c r="AD57" s="57">
        <f>SUM(AD58:AD60)</f>
        <v>0</v>
      </c>
      <c r="AE57" s="57">
        <f>SUM(AE58:AE60)</f>
        <v>0</v>
      </c>
      <c r="AF57" s="57">
        <f>SUM(AF58:AF60)</f>
        <v>0</v>
      </c>
      <c r="AG57" s="57">
        <f>SUM(AG58:AG60)</f>
        <v>0</v>
      </c>
      <c r="AH57" s="57">
        <f>SUM(AH58:AH60)</f>
        <v>0</v>
      </c>
      <c r="AI57" s="57">
        <f>SUM(AI58:AI60)</f>
        <v>0</v>
      </c>
      <c r="AJ57" s="57">
        <f>SUM(AJ58:AJ60)</f>
        <v>0</v>
      </c>
      <c r="AK57" s="57">
        <f>SUM(AK58:AK60)</f>
        <v>0</v>
      </c>
      <c r="AL57" s="57">
        <f>SUM(AL58:AL60)</f>
        <v>0</v>
      </c>
      <c r="AM57" s="57">
        <f>SUM(AM58:AM60)</f>
        <v>0</v>
      </c>
      <c r="AN57" s="57">
        <f>SUM(AN58:AN60)</f>
        <v>0</v>
      </c>
      <c r="AO57" s="57">
        <f>SUM(AO58:AO60)</f>
        <v>0</v>
      </c>
      <c r="AP57" s="57">
        <f>SUM(AP58:AP60)</f>
        <v>0</v>
      </c>
      <c r="AQ57" s="57">
        <f>SUM(AQ58:AQ60)</f>
        <v>0</v>
      </c>
      <c r="AR57" s="57">
        <f>SUM(AR58:AR60)</f>
        <v>0</v>
      </c>
      <c r="AS57" s="57">
        <f>SUM(AS58:AS60)</f>
        <v>0</v>
      </c>
      <c r="AT57" s="57">
        <f>SUM(AT58:AT60)</f>
        <v>2400</v>
      </c>
      <c r="AU57" s="57">
        <f>SUM(AU58:AU60)</f>
        <v>0</v>
      </c>
      <c r="AV57" s="57">
        <f>SUM(AV58:AV60)</f>
        <v>0</v>
      </c>
      <c r="AW57" s="57">
        <f>SUM(AW58:AW60)</f>
        <v>0</v>
      </c>
      <c r="AX57" s="57">
        <f>SUM(AX58:AX60)</f>
        <v>0</v>
      </c>
      <c r="AY57" s="57">
        <f>SUM(AY58:AY60)</f>
        <v>0</v>
      </c>
      <c r="AZ57" s="57">
        <f>SUM(AZ58:AZ60)</f>
        <v>0</v>
      </c>
      <c r="BA57" s="57">
        <f>SUM(BA58:BA60)</f>
        <v>0</v>
      </c>
      <c r="BB57" s="57">
        <f>SUM(BB58:BB60)</f>
        <v>0</v>
      </c>
      <c r="BC57" s="57">
        <f>SUM(BC58:BC60)</f>
        <v>0</v>
      </c>
      <c r="BD57" s="57">
        <f>SUM(BD58:BD60)</f>
        <v>0</v>
      </c>
      <c r="BE57" s="57">
        <f>SUM(BE58:BE60)</f>
        <v>0</v>
      </c>
      <c r="BF57" s="59"/>
      <c r="BG57" s="60"/>
      <c r="BH57" s="60"/>
      <c r="BI57" s="60"/>
      <c r="BJ57" s="60"/>
    </row>
    <row r="58" spans="1:62" ht="15.75" customHeight="1" x14ac:dyDescent="0.25">
      <c r="A58" s="162" t="s">
        <v>32</v>
      </c>
      <c r="B58" s="170" t="s">
        <v>87</v>
      </c>
      <c r="C58" s="141">
        <f>834.78+1650</f>
        <v>2484.7799999999997</v>
      </c>
      <c r="D58" s="141"/>
      <c r="E58" s="141"/>
      <c r="F58" s="147"/>
      <c r="G58" s="30">
        <f t="shared" ref="G58:I60" si="28">S58+V58+Y58+AB58+AE58+AH58+AK58+AN58+AQ58+AT58+AW58+AZ58</f>
        <v>0</v>
      </c>
      <c r="H58" s="30">
        <f t="shared" si="28"/>
        <v>0</v>
      </c>
      <c r="I58" s="30">
        <f t="shared" si="28"/>
        <v>0</v>
      </c>
      <c r="J58" s="18">
        <f t="shared" si="24"/>
        <v>0</v>
      </c>
      <c r="K58" s="18">
        <f t="shared" si="24"/>
        <v>0</v>
      </c>
      <c r="L58" s="18">
        <f t="shared" si="24"/>
        <v>0</v>
      </c>
      <c r="M58" s="30">
        <f t="shared" ref="M58:N60" si="29">C58-G58</f>
        <v>2484.7799999999997</v>
      </c>
      <c r="N58" s="30">
        <f t="shared" si="29"/>
        <v>0</v>
      </c>
      <c r="O58" s="30">
        <f t="shared" ref="O58:O60" si="30">F58-I58</f>
        <v>0</v>
      </c>
      <c r="P58" s="32">
        <f t="shared" si="25"/>
        <v>0</v>
      </c>
      <c r="Q58" s="32" t="e">
        <f t="shared" si="25"/>
        <v>#DIV/0!</v>
      </c>
      <c r="R58" s="32" t="e">
        <f t="shared" si="19"/>
        <v>#DIV/0!</v>
      </c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33"/>
      <c r="BG58" s="34"/>
      <c r="BH58" s="34"/>
      <c r="BI58" s="34"/>
      <c r="BJ58" s="34"/>
    </row>
    <row r="59" spans="1:62" ht="15.75" customHeight="1" x14ac:dyDescent="0.25">
      <c r="A59" s="162" t="s">
        <v>34</v>
      </c>
      <c r="B59" s="170" t="s">
        <v>35</v>
      </c>
      <c r="C59" s="141"/>
      <c r="D59" s="141"/>
      <c r="E59" s="141"/>
      <c r="F59" s="147"/>
      <c r="G59" s="30">
        <f t="shared" si="28"/>
        <v>0</v>
      </c>
      <c r="H59" s="30">
        <f t="shared" si="28"/>
        <v>0</v>
      </c>
      <c r="I59" s="30">
        <f t="shared" si="28"/>
        <v>0</v>
      </c>
      <c r="J59" s="18">
        <f t="shared" si="24"/>
        <v>0</v>
      </c>
      <c r="K59" s="18">
        <f t="shared" si="24"/>
        <v>0</v>
      </c>
      <c r="L59" s="18">
        <f t="shared" si="24"/>
        <v>0</v>
      </c>
      <c r="M59" s="30">
        <f t="shared" si="29"/>
        <v>0</v>
      </c>
      <c r="N59" s="30">
        <f t="shared" si="29"/>
        <v>0</v>
      </c>
      <c r="O59" s="30">
        <f t="shared" si="30"/>
        <v>0</v>
      </c>
      <c r="P59" s="32" t="e">
        <f t="shared" si="25"/>
        <v>#DIV/0!</v>
      </c>
      <c r="Q59" s="32" t="e">
        <f t="shared" si="25"/>
        <v>#DIV/0!</v>
      </c>
      <c r="R59" s="32" t="e">
        <f t="shared" si="19"/>
        <v>#DIV/0!</v>
      </c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33"/>
      <c r="BG59" s="34"/>
      <c r="BH59" s="34"/>
      <c r="BI59" s="34"/>
      <c r="BJ59" s="34"/>
    </row>
    <row r="60" spans="1:62" ht="15.75" customHeight="1" x14ac:dyDescent="0.25">
      <c r="A60" s="162" t="s">
        <v>84</v>
      </c>
      <c r="B60" s="170" t="s">
        <v>88</v>
      </c>
      <c r="C60" s="145">
        <v>2400</v>
      </c>
      <c r="D60" s="141"/>
      <c r="E60" s="141"/>
      <c r="F60" s="147"/>
      <c r="G60" s="30">
        <f t="shared" si="28"/>
        <v>2400</v>
      </c>
      <c r="H60" s="30">
        <f t="shared" si="28"/>
        <v>0</v>
      </c>
      <c r="I60" s="30">
        <f t="shared" si="28"/>
        <v>0</v>
      </c>
      <c r="J60" s="18">
        <f t="shared" si="24"/>
        <v>2400</v>
      </c>
      <c r="K60" s="18">
        <f t="shared" si="24"/>
        <v>0</v>
      </c>
      <c r="L60" s="18">
        <f t="shared" si="24"/>
        <v>0</v>
      </c>
      <c r="M60" s="30">
        <f t="shared" si="29"/>
        <v>0</v>
      </c>
      <c r="N60" s="30">
        <f t="shared" si="29"/>
        <v>0</v>
      </c>
      <c r="O60" s="30">
        <f t="shared" si="30"/>
        <v>0</v>
      </c>
      <c r="P60" s="32">
        <f t="shared" si="25"/>
        <v>1</v>
      </c>
      <c r="Q60" s="32" t="e">
        <f t="shared" si="25"/>
        <v>#DIV/0!</v>
      </c>
      <c r="R60" s="32" t="e">
        <f t="shared" si="19"/>
        <v>#DIV/0!</v>
      </c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>
        <v>2400</v>
      </c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33"/>
      <c r="BG60" s="34"/>
      <c r="BH60" s="34"/>
      <c r="BI60" s="34"/>
      <c r="BJ60" s="34"/>
    </row>
    <row r="61" spans="1:62" ht="15.75" customHeight="1" x14ac:dyDescent="0.25">
      <c r="A61" s="88"/>
      <c r="B61" s="56" t="s">
        <v>89</v>
      </c>
      <c r="C61" s="57">
        <f>SUM(C62:C65)</f>
        <v>44299.67</v>
      </c>
      <c r="D61" s="57">
        <f>SUM(D62:D65)</f>
        <v>31110.16</v>
      </c>
      <c r="E61" s="57"/>
      <c r="F61" s="57">
        <f>SUM(F62:F64)</f>
        <v>0</v>
      </c>
      <c r="G61" s="57">
        <f>SUM(G62:G64)</f>
        <v>20362</v>
      </c>
      <c r="H61" s="57">
        <f>SUM(H62:H64)</f>
        <v>31110.160000000003</v>
      </c>
      <c r="I61" s="57">
        <f>SUM(I62:I64)</f>
        <v>0</v>
      </c>
      <c r="J61" s="17">
        <f t="shared" si="24"/>
        <v>20362</v>
      </c>
      <c r="K61" s="17">
        <f t="shared" si="24"/>
        <v>31110.160000000003</v>
      </c>
      <c r="L61" s="17">
        <f t="shared" si="24"/>
        <v>0</v>
      </c>
      <c r="M61" s="57">
        <f>SUM(M62:M65)</f>
        <v>23937.67</v>
      </c>
      <c r="N61" s="57">
        <f>SUM(N62:N65)</f>
        <v>0</v>
      </c>
      <c r="O61" s="57">
        <f>SUM(O62:O64)</f>
        <v>0</v>
      </c>
      <c r="P61" s="89">
        <f t="shared" si="25"/>
        <v>0.45964225015671678</v>
      </c>
      <c r="Q61" s="89">
        <f t="shared" si="25"/>
        <v>1.0000000000000002</v>
      </c>
      <c r="R61" s="89" t="e">
        <f t="shared" si="19"/>
        <v>#DIV/0!</v>
      </c>
      <c r="S61" s="57">
        <f>SUM(S62:S64)</f>
        <v>0</v>
      </c>
      <c r="T61" s="57">
        <f>SUM(T62:T64)</f>
        <v>0</v>
      </c>
      <c r="U61" s="57">
        <f>SUM(U62:U64)</f>
        <v>0</v>
      </c>
      <c r="V61" s="57">
        <f>SUM(V62:V64)</f>
        <v>0</v>
      </c>
      <c r="W61" s="57">
        <f>SUM(W62:W64)</f>
        <v>356.18</v>
      </c>
      <c r="X61" s="57">
        <f>SUM(X62:X64)</f>
        <v>0</v>
      </c>
      <c r="Y61" s="57">
        <f>SUM(Y62:Y64)</f>
        <v>0</v>
      </c>
      <c r="Z61" s="57">
        <f>SUM(Z62:Z64)</f>
        <v>16409.300000000003</v>
      </c>
      <c r="AA61" s="57">
        <f>SUM(AA62:AA64)</f>
        <v>0</v>
      </c>
      <c r="AB61" s="57">
        <f>SUM(AB62:AB64)</f>
        <v>0</v>
      </c>
      <c r="AC61" s="57">
        <f>SUM(AC62:AC64)</f>
        <v>11124.68</v>
      </c>
      <c r="AD61" s="57">
        <f>SUM(AD62:AD64)</f>
        <v>0</v>
      </c>
      <c r="AE61" s="57">
        <f>SUM(AE62:AE64)</f>
        <v>0</v>
      </c>
      <c r="AF61" s="57">
        <f>SUM(AF62:AF64)</f>
        <v>0</v>
      </c>
      <c r="AG61" s="57">
        <f>SUM(AG62:AG64)</f>
        <v>0</v>
      </c>
      <c r="AH61" s="57">
        <f>SUM(AH62:AH64)</f>
        <v>780</v>
      </c>
      <c r="AI61" s="57">
        <f>SUM(AI62:AI64)</f>
        <v>3220</v>
      </c>
      <c r="AJ61" s="57">
        <f>SUM(AJ62:AJ64)</f>
        <v>0</v>
      </c>
      <c r="AK61" s="57">
        <f>SUM(AK62:AK64)</f>
        <v>6850</v>
      </c>
      <c r="AL61" s="57">
        <f>SUM(AL62:AL64)</f>
        <v>0</v>
      </c>
      <c r="AM61" s="57">
        <f>SUM(AM62:AM64)</f>
        <v>0</v>
      </c>
      <c r="AN61" s="57">
        <f>SUM(AN62:AN64)</f>
        <v>0</v>
      </c>
      <c r="AO61" s="57">
        <f>SUM(AO62:AO64)</f>
        <v>0</v>
      </c>
      <c r="AP61" s="57">
        <f>SUM(AP62:AP64)</f>
        <v>0</v>
      </c>
      <c r="AQ61" s="57">
        <f>SUM(AQ62:AQ64)</f>
        <v>6000</v>
      </c>
      <c r="AR61" s="57">
        <f>SUM(AR62:AR64)</f>
        <v>0</v>
      </c>
      <c r="AS61" s="57">
        <f>SUM(AS62:AS64)</f>
        <v>0</v>
      </c>
      <c r="AT61" s="57">
        <f>SUM(AT62:AT64)</f>
        <v>132</v>
      </c>
      <c r="AU61" s="57">
        <f>SUM(AU62:AU64)</f>
        <v>0</v>
      </c>
      <c r="AV61" s="57">
        <f>SUM(AV62:AV64)</f>
        <v>0</v>
      </c>
      <c r="AW61" s="57">
        <f>SUM(AW62:AW64)</f>
        <v>6600</v>
      </c>
      <c r="AX61" s="57">
        <f>SUM(AX62:AX64)</f>
        <v>0</v>
      </c>
      <c r="AY61" s="57">
        <f>SUM(AY62:AY64)</f>
        <v>0</v>
      </c>
      <c r="AZ61" s="57">
        <f>SUM(AZ62:AZ64)</f>
        <v>0</v>
      </c>
      <c r="BA61" s="57">
        <f>SUM(BA62:BA64)</f>
        <v>0</v>
      </c>
      <c r="BB61" s="57">
        <f>SUM(BB62:BB64)</f>
        <v>0</v>
      </c>
      <c r="BC61" s="57">
        <f>SUM(BC62:BC64)</f>
        <v>0</v>
      </c>
      <c r="BD61" s="57">
        <f>SUM(BD62:BD64)</f>
        <v>0</v>
      </c>
      <c r="BE61" s="57">
        <f>SUM(BE62:BE64)</f>
        <v>0</v>
      </c>
      <c r="BF61" s="59"/>
      <c r="BG61" s="60"/>
      <c r="BH61" s="60"/>
      <c r="BI61" s="60"/>
      <c r="BJ61" s="60"/>
    </row>
    <row r="62" spans="1:62" ht="15.75" customHeight="1" x14ac:dyDescent="0.25">
      <c r="A62" s="164" t="s">
        <v>84</v>
      </c>
      <c r="B62" s="163" t="s">
        <v>90</v>
      </c>
      <c r="C62" s="145"/>
      <c r="D62" s="141"/>
      <c r="E62" s="141"/>
      <c r="F62" s="147"/>
      <c r="G62" s="30">
        <f t="shared" ref="G62:I65" si="31">S62+V62+Y62+AB62+AE62+AH62+AK62+AN62+AQ62+AT62+AW62+AZ62</f>
        <v>0</v>
      </c>
      <c r="H62" s="30">
        <f t="shared" si="31"/>
        <v>0</v>
      </c>
      <c r="I62" s="30">
        <f t="shared" si="31"/>
        <v>0</v>
      </c>
      <c r="J62" s="18">
        <f t="shared" si="24"/>
        <v>0</v>
      </c>
      <c r="K62" s="18">
        <f t="shared" si="24"/>
        <v>0</v>
      </c>
      <c r="L62" s="18">
        <f t="shared" si="24"/>
        <v>0</v>
      </c>
      <c r="M62" s="30">
        <f t="shared" ref="M62:N65" si="32">C62-G62</f>
        <v>0</v>
      </c>
      <c r="N62" s="30">
        <f t="shared" si="32"/>
        <v>0</v>
      </c>
      <c r="O62" s="30">
        <f t="shared" ref="O62:O65" si="33">F62-I62</f>
        <v>0</v>
      </c>
      <c r="P62" s="32" t="e">
        <f t="shared" si="25"/>
        <v>#DIV/0!</v>
      </c>
      <c r="Q62" s="32" t="e">
        <f t="shared" si="25"/>
        <v>#DIV/0!</v>
      </c>
      <c r="R62" s="32" t="e">
        <f t="shared" si="19"/>
        <v>#DIV/0!</v>
      </c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33"/>
      <c r="BG62" s="34"/>
      <c r="BH62" s="34"/>
      <c r="BI62" s="34"/>
      <c r="BJ62" s="34"/>
    </row>
    <row r="63" spans="1:62" ht="15.75" customHeight="1" x14ac:dyDescent="0.25">
      <c r="A63" s="164" t="s">
        <v>91</v>
      </c>
      <c r="B63" s="163" t="s">
        <v>92</v>
      </c>
      <c r="C63" s="147">
        <f>132</f>
        <v>132</v>
      </c>
      <c r="D63" s="148"/>
      <c r="E63" s="148"/>
      <c r="F63" s="147"/>
      <c r="G63" s="30">
        <f t="shared" si="31"/>
        <v>132</v>
      </c>
      <c r="H63" s="30">
        <f t="shared" si="31"/>
        <v>0</v>
      </c>
      <c r="I63" s="30">
        <f t="shared" si="31"/>
        <v>0</v>
      </c>
      <c r="J63" s="18">
        <f t="shared" si="24"/>
        <v>132</v>
      </c>
      <c r="K63" s="18">
        <f t="shared" si="24"/>
        <v>0</v>
      </c>
      <c r="L63" s="18">
        <f t="shared" si="24"/>
        <v>0</v>
      </c>
      <c r="M63" s="30">
        <f t="shared" si="32"/>
        <v>0</v>
      </c>
      <c r="N63" s="30">
        <f t="shared" si="32"/>
        <v>0</v>
      </c>
      <c r="O63" s="30">
        <f t="shared" si="33"/>
        <v>0</v>
      </c>
      <c r="P63" s="32">
        <f t="shared" si="25"/>
        <v>1</v>
      </c>
      <c r="Q63" s="32" t="e">
        <f t="shared" si="25"/>
        <v>#DIV/0!</v>
      </c>
      <c r="R63" s="32" t="e">
        <f t="shared" si="19"/>
        <v>#DIV/0!</v>
      </c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>
        <v>132</v>
      </c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33"/>
      <c r="BG63" s="34"/>
      <c r="BH63" s="34"/>
      <c r="BI63" s="34"/>
      <c r="BJ63" s="34"/>
    </row>
    <row r="64" spans="1:62" ht="15.75" x14ac:dyDescent="0.25">
      <c r="A64" s="164" t="s">
        <v>93</v>
      </c>
      <c r="B64" s="163" t="s">
        <v>94</v>
      </c>
      <c r="C64" s="141">
        <f>6850+7850+29467.67</f>
        <v>44167.67</v>
      </c>
      <c r="D64" s="142">
        <f>25531.62+2000+3578.54</f>
        <v>31110.16</v>
      </c>
      <c r="E64" s="142"/>
      <c r="F64" s="147"/>
      <c r="G64" s="30">
        <f t="shared" si="31"/>
        <v>20230</v>
      </c>
      <c r="H64" s="30">
        <f t="shared" si="31"/>
        <v>31110.160000000003</v>
      </c>
      <c r="I64" s="30">
        <f t="shared" si="31"/>
        <v>0</v>
      </c>
      <c r="J64" s="18">
        <f t="shared" si="24"/>
        <v>20230</v>
      </c>
      <c r="K64" s="18">
        <f t="shared" si="24"/>
        <v>31110.160000000003</v>
      </c>
      <c r="L64" s="18">
        <f t="shared" si="24"/>
        <v>0</v>
      </c>
      <c r="M64" s="30">
        <f t="shared" si="32"/>
        <v>23937.67</v>
      </c>
      <c r="N64" s="30">
        <f>D64-H64</f>
        <v>0</v>
      </c>
      <c r="O64" s="30">
        <f t="shared" si="33"/>
        <v>0</v>
      </c>
      <c r="P64" s="32">
        <f t="shared" si="25"/>
        <v>0.4580273308508237</v>
      </c>
      <c r="Q64" s="32">
        <f t="shared" si="25"/>
        <v>1.0000000000000002</v>
      </c>
      <c r="R64" s="32" t="e">
        <f t="shared" si="19"/>
        <v>#DIV/0!</v>
      </c>
      <c r="S64" s="28"/>
      <c r="T64" s="28"/>
      <c r="U64" s="28"/>
      <c r="V64" s="28"/>
      <c r="W64" s="28">
        <f>221.36+352-217.18</f>
        <v>356.18</v>
      </c>
      <c r="X64" s="28"/>
      <c r="Y64" s="28"/>
      <c r="Z64" s="28">
        <f>1760+1360+2000+640+768+3840+1106.78+2448+768+153.6+489.6+1075.32</f>
        <v>16409.300000000003</v>
      </c>
      <c r="AA64" s="28"/>
      <c r="AB64" s="28"/>
      <c r="AC64" s="28">
        <f>1075.68+1683+1683+1683+2500+2500</f>
        <v>11124.68</v>
      </c>
      <c r="AD64" s="28"/>
      <c r="AE64" s="28"/>
      <c r="AF64" s="28"/>
      <c r="AG64" s="28"/>
      <c r="AH64" s="28">
        <f>780</f>
        <v>780</v>
      </c>
      <c r="AI64" s="28">
        <f>2000+1220</f>
        <v>3220</v>
      </c>
      <c r="AJ64" s="28"/>
      <c r="AK64" s="28">
        <v>6850</v>
      </c>
      <c r="AL64" s="28"/>
      <c r="AM64" s="28"/>
      <c r="AN64" s="28"/>
      <c r="AO64" s="28"/>
      <c r="AP64" s="28"/>
      <c r="AQ64" s="28">
        <f>400+3600+1000+1000</f>
        <v>6000</v>
      </c>
      <c r="AR64" s="28"/>
      <c r="AS64" s="28"/>
      <c r="AT64" s="28"/>
      <c r="AU64" s="28"/>
      <c r="AV64" s="28"/>
      <c r="AW64" s="28">
        <f>1000+1000+1000+3600</f>
        <v>6600</v>
      </c>
      <c r="AX64" s="28"/>
      <c r="AY64" s="28"/>
      <c r="AZ64" s="28"/>
      <c r="BA64" s="28"/>
      <c r="BB64" s="28"/>
      <c r="BC64" s="28"/>
      <c r="BD64" s="28"/>
      <c r="BE64" s="28"/>
      <c r="BF64" s="33"/>
      <c r="BG64" s="34"/>
      <c r="BH64" s="34"/>
      <c r="BI64" s="34"/>
      <c r="BJ64" s="34"/>
    </row>
    <row r="65" spans="1:62" ht="15.75" x14ac:dyDescent="0.25">
      <c r="A65" s="164" t="s">
        <v>39</v>
      </c>
      <c r="B65" s="163" t="s">
        <v>95</v>
      </c>
      <c r="C65" s="144"/>
      <c r="D65" s="144"/>
      <c r="E65" s="142"/>
      <c r="F65" s="147"/>
      <c r="G65" s="90">
        <f>S65+Y65+AB65+AE65+AH65+AK65+AN65+AQ65+AT65+AW65+AZ65</f>
        <v>0</v>
      </c>
      <c r="H65" s="30">
        <f>T65+Z65+AC65+AF65+AI65+AL65+AO65+AR65+AU65+AX65+BA65</f>
        <v>0</v>
      </c>
      <c r="I65" s="30">
        <f t="shared" si="31"/>
        <v>0</v>
      </c>
      <c r="J65" s="18">
        <f>IF(BC65=0,SUM(S65+Y65+AB65+AE65+AH65+AK65+AN65+AQ65+AT65+AW65+AZ65),BC65)</f>
        <v>0</v>
      </c>
      <c r="K65" s="18">
        <f>IF(BD65=0,SUM(T65+Z65+AC65+AF65+AI65+AL65+AO65+AR65+AU65+AX65+BA65),BD65)</f>
        <v>0</v>
      </c>
      <c r="L65" s="18">
        <f t="shared" ref="L65:L80" si="34">IF(BE65=0,SUM(U65+X65+AA65+AD65+AG65+AJ65+AM65+AP65+AS65+AV65+AY65+BB65),BE65)</f>
        <v>0</v>
      </c>
      <c r="M65" s="30">
        <f t="shared" si="32"/>
        <v>0</v>
      </c>
      <c r="N65" s="30">
        <f>D65-H65</f>
        <v>0</v>
      </c>
      <c r="O65" s="30">
        <f t="shared" si="33"/>
        <v>0</v>
      </c>
      <c r="P65" s="32">
        <f>G65/C27</f>
        <v>0</v>
      </c>
      <c r="Q65" s="32">
        <f>H65/D27</f>
        <v>0</v>
      </c>
      <c r="R65" s="32" t="e">
        <f t="shared" si="19"/>
        <v>#DIV/0!</v>
      </c>
      <c r="S65" s="28"/>
      <c r="T65" s="28"/>
      <c r="U65" s="28"/>
      <c r="V65" s="44"/>
      <c r="W65" s="44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33"/>
      <c r="BG65" s="34"/>
      <c r="BH65" s="34"/>
      <c r="BI65" s="34"/>
      <c r="BJ65" s="34"/>
    </row>
    <row r="66" spans="1:62" ht="15.75" customHeight="1" x14ac:dyDescent="0.25">
      <c r="A66" s="88"/>
      <c r="B66" s="56" t="s">
        <v>96</v>
      </c>
      <c r="C66" s="57">
        <f>SUM(C68:C72)</f>
        <v>0</v>
      </c>
      <c r="D66" s="57">
        <f>SUM(D68:D72)</f>
        <v>419086</v>
      </c>
      <c r="E66" s="57"/>
      <c r="F66" s="57">
        <f>SUM(F68:F72)</f>
        <v>0</v>
      </c>
      <c r="G66" s="57">
        <f>SUM(G68:G72)</f>
        <v>0</v>
      </c>
      <c r="H66" s="57">
        <f>SUM(H68:H72)</f>
        <v>419086</v>
      </c>
      <c r="I66" s="57">
        <f>SUM(I68:I72)</f>
        <v>0</v>
      </c>
      <c r="J66" s="17">
        <f t="shared" ref="J66:J80" si="35">IF(BC66=0,SUM(S66+V66+Y66+AB66+AE66+AH66+AK66+AN66+AQ66+AT66+AW66+AZ66),BC66)</f>
        <v>0</v>
      </c>
      <c r="K66" s="17">
        <f t="shared" ref="K66:K80" si="36">IF(BD66=0,SUM(T66+W66+Z66+AC66+AF66+AI66+AL66+AO66+AR66+AU66+AX66+BA66),BD66)</f>
        <v>419086</v>
      </c>
      <c r="L66" s="17">
        <f t="shared" si="34"/>
        <v>0</v>
      </c>
      <c r="M66" s="57">
        <f>SUM(M68:M72)</f>
        <v>0</v>
      </c>
      <c r="N66" s="57">
        <f>SUM(N68:N72)</f>
        <v>0</v>
      </c>
      <c r="O66" s="57">
        <f>SUM(O68:O72)</f>
        <v>0</v>
      </c>
      <c r="P66" s="89" t="e">
        <f t="shared" ref="P66:Q81" si="37">G66/C66</f>
        <v>#DIV/0!</v>
      </c>
      <c r="Q66" s="89">
        <f t="shared" si="37"/>
        <v>1</v>
      </c>
      <c r="R66" s="89" t="e">
        <f t="shared" si="19"/>
        <v>#DIV/0!</v>
      </c>
      <c r="S66" s="57">
        <f>SUM(S68:S72)</f>
        <v>0</v>
      </c>
      <c r="T66" s="57">
        <f>SUM(T68:T72)</f>
        <v>0</v>
      </c>
      <c r="U66" s="57">
        <f>SUM(U68:U72)</f>
        <v>0</v>
      </c>
      <c r="V66" s="57">
        <f>SUM(V68:V72)</f>
        <v>0</v>
      </c>
      <c r="W66" s="57">
        <f>SUM(W68:W72)</f>
        <v>0</v>
      </c>
      <c r="X66" s="57">
        <f>SUM(X68:X72)</f>
        <v>0</v>
      </c>
      <c r="Y66" s="57">
        <f>SUM(Y68:Y72)</f>
        <v>0</v>
      </c>
      <c r="Z66" s="57">
        <f>SUM(Z68:Z72)</f>
        <v>74011</v>
      </c>
      <c r="AA66" s="57">
        <f>SUM(AA68:AA72)</f>
        <v>0</v>
      </c>
      <c r="AB66" s="57">
        <f>SUM(AB68:AB72)</f>
        <v>0</v>
      </c>
      <c r="AC66" s="57">
        <f>SUM(AC68:AC72)</f>
        <v>297825</v>
      </c>
      <c r="AD66" s="57">
        <f>SUM(AD68:AD72)</f>
        <v>0</v>
      </c>
      <c r="AE66" s="57">
        <f>SUM(AE68:AE72)</f>
        <v>0</v>
      </c>
      <c r="AF66" s="57">
        <f>SUM(AF68:AF72)</f>
        <v>41800</v>
      </c>
      <c r="AG66" s="57">
        <f>SUM(AG68:AG72)</f>
        <v>0</v>
      </c>
      <c r="AH66" s="57">
        <f>SUM(AH68:AH72)</f>
        <v>0</v>
      </c>
      <c r="AI66" s="57">
        <f>SUM(AI68:AI72)</f>
        <v>5450</v>
      </c>
      <c r="AJ66" s="57">
        <f>SUM(AJ68:AJ72)</f>
        <v>0</v>
      </c>
      <c r="AK66" s="57">
        <f>SUM(AK68:AK72)</f>
        <v>0</v>
      </c>
      <c r="AL66" s="57">
        <f>SUM(AL68:AL72)</f>
        <v>0</v>
      </c>
      <c r="AM66" s="57">
        <f>SUM(AM68:AM72)</f>
        <v>0</v>
      </c>
      <c r="AN66" s="57">
        <f>SUM(AN68:AN72)</f>
        <v>0</v>
      </c>
      <c r="AO66" s="57">
        <f>SUM(AO68:AO72)</f>
        <v>0</v>
      </c>
      <c r="AP66" s="57">
        <f>SUM(AP68:AP72)</f>
        <v>0</v>
      </c>
      <c r="AQ66" s="57">
        <f>SUM(AQ68:AQ72)</f>
        <v>0</v>
      </c>
      <c r="AR66" s="57">
        <f>SUM(AR68:AR72)</f>
        <v>0</v>
      </c>
      <c r="AS66" s="57">
        <f>SUM(AS68:AS72)</f>
        <v>0</v>
      </c>
      <c r="AT66" s="57">
        <f>SUM(AT68:AT72)</f>
        <v>0</v>
      </c>
      <c r="AU66" s="57">
        <f>SUM(AU68:AU72)</f>
        <v>0</v>
      </c>
      <c r="AV66" s="57">
        <f>SUM(AV68:AV72)</f>
        <v>0</v>
      </c>
      <c r="AW66" s="57">
        <f>SUM(AW68:AW72)</f>
        <v>0</v>
      </c>
      <c r="AX66" s="57">
        <f>SUM(AX68:AX72)</f>
        <v>0</v>
      </c>
      <c r="AY66" s="57">
        <f>SUM(AY68:AY72)</f>
        <v>0</v>
      </c>
      <c r="AZ66" s="57">
        <f>SUM(AZ68:AZ72)</f>
        <v>0</v>
      </c>
      <c r="BA66" s="57">
        <f>SUM(BA68:BA72)</f>
        <v>0</v>
      </c>
      <c r="BB66" s="57">
        <f>SUM(BB68:BB72)</f>
        <v>0</v>
      </c>
      <c r="BC66" s="57">
        <f>SUM(BC68:BC72)</f>
        <v>0</v>
      </c>
      <c r="BD66" s="57">
        <f>SUM(BD68:BD72)</f>
        <v>0</v>
      </c>
      <c r="BE66" s="57">
        <f>SUM(BE68:BE72)</f>
        <v>0</v>
      </c>
      <c r="BF66" s="59"/>
      <c r="BG66" s="60"/>
      <c r="BH66" s="60"/>
      <c r="BI66" s="60"/>
      <c r="BJ66" s="60"/>
    </row>
    <row r="67" spans="1:62" ht="15.75" customHeight="1" x14ac:dyDescent="0.25">
      <c r="A67" s="63"/>
      <c r="B67" s="64" t="s">
        <v>97</v>
      </c>
      <c r="C67" s="144"/>
      <c r="D67" s="144"/>
      <c r="E67" s="142"/>
      <c r="F67" s="147"/>
      <c r="G67" s="68"/>
      <c r="H67" s="68"/>
      <c r="I67" s="68"/>
      <c r="J67" s="18"/>
      <c r="K67" s="18"/>
      <c r="L67" s="18"/>
      <c r="M67" s="68"/>
      <c r="N67" s="68"/>
      <c r="O67" s="68"/>
      <c r="P67" s="69"/>
      <c r="Q67" s="69"/>
      <c r="R67" s="69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3"/>
      <c r="BG67" s="74"/>
      <c r="BH67" s="74"/>
      <c r="BI67" s="74"/>
      <c r="BJ67" s="74"/>
    </row>
    <row r="68" spans="1:62" ht="15.75" customHeight="1" x14ac:dyDescent="0.25">
      <c r="A68" s="164" t="s">
        <v>98</v>
      </c>
      <c r="B68" s="167" t="s">
        <v>223</v>
      </c>
      <c r="C68" s="144"/>
      <c r="D68" s="144">
        <f>74011+297825+41800+5450</f>
        <v>419086</v>
      </c>
      <c r="E68" s="142"/>
      <c r="F68" s="147"/>
      <c r="G68" s="68">
        <f t="shared" ref="G68:I72" si="38">S68+V68+Y68+AB68+AE68+AH68+AK68+AN68+AQ68+AT68+AW68+AZ68</f>
        <v>0</v>
      </c>
      <c r="H68" s="68">
        <f t="shared" si="38"/>
        <v>419086</v>
      </c>
      <c r="I68" s="68">
        <f t="shared" si="38"/>
        <v>0</v>
      </c>
      <c r="J68" s="18">
        <f t="shared" si="35"/>
        <v>0</v>
      </c>
      <c r="K68" s="18">
        <f t="shared" si="36"/>
        <v>419086</v>
      </c>
      <c r="L68" s="18">
        <f t="shared" si="34"/>
        <v>0</v>
      </c>
      <c r="M68" s="68">
        <f t="shared" ref="M68:N72" si="39">C68-G68</f>
        <v>0</v>
      </c>
      <c r="N68" s="68">
        <f t="shared" si="39"/>
        <v>0</v>
      </c>
      <c r="O68" s="68">
        <f t="shared" ref="O68:O72" si="40">F68-I68</f>
        <v>0</v>
      </c>
      <c r="P68" s="69" t="e">
        <f t="shared" si="37"/>
        <v>#DIV/0!</v>
      </c>
      <c r="Q68" s="69">
        <f t="shared" si="37"/>
        <v>1</v>
      </c>
      <c r="R68" s="69" t="e">
        <f t="shared" si="19"/>
        <v>#DIV/0!</v>
      </c>
      <c r="S68" s="65"/>
      <c r="T68" s="65"/>
      <c r="U68" s="65"/>
      <c r="V68" s="65"/>
      <c r="W68" s="65"/>
      <c r="X68" s="65"/>
      <c r="Y68" s="65"/>
      <c r="Z68" s="65">
        <f>74011</f>
        <v>74011</v>
      </c>
      <c r="AA68" s="65"/>
      <c r="AB68" s="65"/>
      <c r="AC68" s="65">
        <v>297825</v>
      </c>
      <c r="AD68" s="65"/>
      <c r="AE68" s="65"/>
      <c r="AF68" s="65">
        <v>41800</v>
      </c>
      <c r="AG68" s="65"/>
      <c r="AH68" s="71"/>
      <c r="AI68" s="71">
        <v>5450</v>
      </c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3"/>
      <c r="BG68" s="74"/>
      <c r="BH68" s="74"/>
      <c r="BI68" s="74"/>
      <c r="BJ68" s="74"/>
    </row>
    <row r="69" spans="1:62" ht="15.75" hidden="1" customHeight="1" x14ac:dyDescent="0.25">
      <c r="A69" s="25" t="s">
        <v>36</v>
      </c>
      <c r="B69" s="91" t="s">
        <v>99</v>
      </c>
      <c r="C69" s="92"/>
      <c r="D69" s="93"/>
      <c r="E69" s="93"/>
      <c r="F69" s="94"/>
      <c r="G69" s="30"/>
      <c r="H69" s="30"/>
      <c r="I69" s="30"/>
      <c r="J69" s="18"/>
      <c r="K69" s="18"/>
      <c r="L69" s="18"/>
      <c r="M69" s="30"/>
      <c r="N69" s="30"/>
      <c r="O69" s="30"/>
      <c r="P69" s="32"/>
      <c r="Q69" s="32"/>
      <c r="R69" s="32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33"/>
      <c r="BG69" s="34"/>
      <c r="BH69" s="34"/>
      <c r="BI69" s="34"/>
      <c r="BJ69" s="34"/>
    </row>
    <row r="70" spans="1:62" ht="15.75" hidden="1" customHeight="1" x14ac:dyDescent="0.25">
      <c r="A70" s="25" t="s">
        <v>44</v>
      </c>
      <c r="B70" s="91" t="s">
        <v>100</v>
      </c>
      <c r="C70" s="92"/>
      <c r="D70" s="93"/>
      <c r="E70" s="93"/>
      <c r="F70" s="94"/>
      <c r="G70" s="30"/>
      <c r="H70" s="30"/>
      <c r="I70" s="30"/>
      <c r="J70" s="18"/>
      <c r="K70" s="18"/>
      <c r="L70" s="18"/>
      <c r="M70" s="30"/>
      <c r="N70" s="30"/>
      <c r="O70" s="30"/>
      <c r="P70" s="32"/>
      <c r="Q70" s="32"/>
      <c r="R70" s="32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33"/>
      <c r="BG70" s="34"/>
      <c r="BH70" s="34"/>
      <c r="BI70" s="34"/>
      <c r="BJ70" s="34"/>
    </row>
    <row r="71" spans="1:62" ht="15.75" hidden="1" customHeight="1" x14ac:dyDescent="0.25">
      <c r="A71" s="25" t="s">
        <v>101</v>
      </c>
      <c r="B71" s="52" t="s">
        <v>102</v>
      </c>
      <c r="C71" s="28"/>
      <c r="D71" s="28"/>
      <c r="E71" s="28"/>
      <c r="F71" s="28"/>
      <c r="G71" s="30">
        <f t="shared" si="38"/>
        <v>0</v>
      </c>
      <c r="H71" s="30">
        <f t="shared" si="38"/>
        <v>0</v>
      </c>
      <c r="I71" s="30">
        <f t="shared" si="38"/>
        <v>0</v>
      </c>
      <c r="J71" s="18">
        <f t="shared" si="35"/>
        <v>0</v>
      </c>
      <c r="K71" s="18">
        <f t="shared" si="36"/>
        <v>0</v>
      </c>
      <c r="L71" s="18">
        <f t="shared" si="34"/>
        <v>0</v>
      </c>
      <c r="M71" s="30">
        <f t="shared" si="39"/>
        <v>0</v>
      </c>
      <c r="N71" s="30">
        <f t="shared" si="39"/>
        <v>0</v>
      </c>
      <c r="O71" s="30">
        <f t="shared" si="40"/>
        <v>0</v>
      </c>
      <c r="P71" s="32" t="e">
        <f t="shared" si="37"/>
        <v>#DIV/0!</v>
      </c>
      <c r="Q71" s="32" t="e">
        <f t="shared" si="37"/>
        <v>#DIV/0!</v>
      </c>
      <c r="R71" s="32" t="e">
        <f t="shared" si="19"/>
        <v>#DIV/0!</v>
      </c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33"/>
      <c r="BG71" s="34"/>
      <c r="BH71" s="34"/>
      <c r="BI71" s="34"/>
      <c r="BJ71" s="34"/>
    </row>
    <row r="72" spans="1:62" ht="15.75" hidden="1" customHeight="1" x14ac:dyDescent="0.25">
      <c r="A72" s="25" t="s">
        <v>103</v>
      </c>
      <c r="B72" s="52" t="s">
        <v>83</v>
      </c>
      <c r="C72" s="28"/>
      <c r="D72" s="28"/>
      <c r="E72" s="28"/>
      <c r="F72" s="28"/>
      <c r="G72" s="30">
        <f t="shared" si="38"/>
        <v>0</v>
      </c>
      <c r="H72" s="30">
        <f t="shared" si="38"/>
        <v>0</v>
      </c>
      <c r="I72" s="30">
        <f t="shared" si="38"/>
        <v>0</v>
      </c>
      <c r="J72" s="18">
        <f t="shared" si="35"/>
        <v>0</v>
      </c>
      <c r="K72" s="18">
        <f t="shared" si="36"/>
        <v>0</v>
      </c>
      <c r="L72" s="18">
        <f t="shared" si="34"/>
        <v>0</v>
      </c>
      <c r="M72" s="30">
        <f t="shared" si="39"/>
        <v>0</v>
      </c>
      <c r="N72" s="30">
        <f t="shared" si="39"/>
        <v>0</v>
      </c>
      <c r="O72" s="30">
        <f t="shared" si="40"/>
        <v>0</v>
      </c>
      <c r="P72" s="32" t="e">
        <f t="shared" si="37"/>
        <v>#DIV/0!</v>
      </c>
      <c r="Q72" s="32" t="e">
        <f t="shared" si="37"/>
        <v>#DIV/0!</v>
      </c>
      <c r="R72" s="32" t="e">
        <f t="shared" si="19"/>
        <v>#DIV/0!</v>
      </c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33"/>
      <c r="BG72" s="34"/>
      <c r="BH72" s="34"/>
      <c r="BI72" s="34"/>
      <c r="BJ72" s="34"/>
    </row>
    <row r="73" spans="1:62" ht="21" x14ac:dyDescent="0.25">
      <c r="A73" s="22" t="s">
        <v>104</v>
      </c>
      <c r="B73" s="22"/>
      <c r="C73" s="23">
        <f>C74+C91+C96+C120+C124+C128</f>
        <v>21230</v>
      </c>
      <c r="D73" s="23">
        <f>D74+D91+D96+D120+D124+D128</f>
        <v>314448.07</v>
      </c>
      <c r="E73" s="23">
        <f>E74+E91+E96+E120+E124+E128</f>
        <v>5588.05</v>
      </c>
      <c r="F73" s="23">
        <f>F74+F91+F96+F120+F124+F128</f>
        <v>235442.38</v>
      </c>
      <c r="G73" s="23">
        <f>G74+G91+G96+G120+G124+G128</f>
        <v>10630</v>
      </c>
      <c r="H73" s="23">
        <f>H74+H91+H96+H120+H124+H128</f>
        <v>293947.59999999998</v>
      </c>
      <c r="I73" s="23">
        <f>I74+I91+I96+I120+I124+I128</f>
        <v>46694.9</v>
      </c>
      <c r="J73" s="23">
        <f t="shared" si="35"/>
        <v>10630</v>
      </c>
      <c r="K73" s="23">
        <f t="shared" si="36"/>
        <v>293947.60000000003</v>
      </c>
      <c r="L73" s="23">
        <f t="shared" si="34"/>
        <v>46694.9</v>
      </c>
      <c r="M73" s="23">
        <f>M74+M91+M96+M120+M124+M128</f>
        <v>10600</v>
      </c>
      <c r="N73" s="23">
        <f>N74+N91+N96+N120+N124+N128</f>
        <v>14912.420000000013</v>
      </c>
      <c r="O73" s="23">
        <f>O74+O91+O96+O120+O124+O128</f>
        <v>188747.47999999998</v>
      </c>
      <c r="P73" s="24">
        <f t="shared" si="37"/>
        <v>0.5007065473386717</v>
      </c>
      <c r="Q73" s="24">
        <f t="shared" si="37"/>
        <v>0.93480491071228378</v>
      </c>
      <c r="R73" s="24">
        <f t="shared" si="19"/>
        <v>0.19832835532838225</v>
      </c>
      <c r="S73" s="23">
        <f>S74+S91+S96+S120+S124+S128</f>
        <v>0</v>
      </c>
      <c r="T73" s="23">
        <f>T74+T91+T96+T120+T124+T128</f>
        <v>3905.01</v>
      </c>
      <c r="U73" s="23">
        <f>U74+U91+U96+U120+U124+U128</f>
        <v>0</v>
      </c>
      <c r="V73" s="23">
        <f>V74+V91+V96+V120+V124+V128</f>
        <v>0</v>
      </c>
      <c r="W73" s="23">
        <f>W74+W91+W96+W120+W124+W128</f>
        <v>40162.520000000004</v>
      </c>
      <c r="X73" s="23">
        <f>X74+X91+X96+X120+X124+X128</f>
        <v>0</v>
      </c>
      <c r="Y73" s="23">
        <f>Y74+Y91+Y96+Y120+Y124+Y128</f>
        <v>0</v>
      </c>
      <c r="Z73" s="23">
        <f>Z74+Z91+Z96+Z120+Z124+Z128</f>
        <v>71236.800000000003</v>
      </c>
      <c r="AA73" s="23">
        <f>AA74+AA91+AA96+AA120+AA124+AA128</f>
        <v>0</v>
      </c>
      <c r="AB73" s="23">
        <f>AB74+AB91+AB96+AB120+AB124+AB128</f>
        <v>0</v>
      </c>
      <c r="AC73" s="23">
        <f>AC74+AC91+AC96+AC120+AC124+AC128</f>
        <v>2289.6799999999998</v>
      </c>
      <c r="AD73" s="23">
        <f>AD74+AD91+AD96+AD120+AD124+AD128</f>
        <v>11360</v>
      </c>
      <c r="AE73" s="23">
        <f>AE74+AE91+AE96+AE120+AE124+AE128</f>
        <v>0</v>
      </c>
      <c r="AF73" s="23">
        <f>AF74+AF91+AF96+AF120+AF124+AF128</f>
        <v>18570.449999999997</v>
      </c>
      <c r="AG73" s="23">
        <f>AG74+AG91+AG96+AG120+AG124+AG128</f>
        <v>13760</v>
      </c>
      <c r="AH73" s="23">
        <f>AH74+AH91+AH96+AH120+AH124+AH128</f>
        <v>0</v>
      </c>
      <c r="AI73" s="23">
        <f>AI74+AI91+AI96+AI120+AI124+AI128</f>
        <v>148386</v>
      </c>
      <c r="AJ73" s="23">
        <f>AJ74+AJ91+AJ96+AJ120+AJ124+AJ128</f>
        <v>14800</v>
      </c>
      <c r="AK73" s="23">
        <f>AK74+AK91+AK96+AK120+AK124+AK128</f>
        <v>0</v>
      </c>
      <c r="AL73" s="23">
        <f>AL74+AL91+AL96+AL120+AL124+AL128</f>
        <v>5930.59</v>
      </c>
      <c r="AM73" s="23">
        <f>AM74+AM91+AM96+AM120+AM124+AM128</f>
        <v>0</v>
      </c>
      <c r="AN73" s="23">
        <f>AN74+AN91+AN96+AN120+AN124+AN128</f>
        <v>10630</v>
      </c>
      <c r="AO73" s="23">
        <f>AO74+AO91+AO96+AO120+AO124+AO128</f>
        <v>1267.55</v>
      </c>
      <c r="AP73" s="23">
        <f>AP74+AP91+AP96+AP120+AP124+AP128</f>
        <v>0</v>
      </c>
      <c r="AQ73" s="23">
        <f>AQ74+AQ91+AQ96+AQ120+AQ124+AQ128</f>
        <v>0</v>
      </c>
      <c r="AR73" s="23">
        <f>AR74+AR91+AR96+AR120+AR124+AR128</f>
        <v>1050</v>
      </c>
      <c r="AS73" s="23">
        <f>AS74+AS91+AS96+AS120+AS124+AS128</f>
        <v>0</v>
      </c>
      <c r="AT73" s="23">
        <f>AT74+AT91+AT96+AT120+AT124+AT128</f>
        <v>0</v>
      </c>
      <c r="AU73" s="23">
        <f>AU74+AU91+AU96+AU120+AU124+AU128</f>
        <v>1149</v>
      </c>
      <c r="AV73" s="23">
        <f>AV74+AV91+AV96+AV120+AV124+AV128</f>
        <v>4017.1</v>
      </c>
      <c r="AW73" s="23">
        <f>AW74+AW91+AW96+AW120+AW124+AW128</f>
        <v>0</v>
      </c>
      <c r="AX73" s="23">
        <f>AX74+AX91+AX96+AX120+AX124+AX128</f>
        <v>0</v>
      </c>
      <c r="AY73" s="23">
        <f>AY74+AY91+AY96+AY120+AY124+AY128</f>
        <v>2757.8</v>
      </c>
      <c r="AZ73" s="23">
        <f>AZ74+AZ91+AZ96+AZ120+AZ124+AZ128</f>
        <v>0</v>
      </c>
      <c r="BA73" s="23">
        <f>BA74+BA91+BA96+BA120+BA124+BA128</f>
        <v>0</v>
      </c>
      <c r="BB73" s="23">
        <f>BB74+BB91+BB96+BB120+BB124+BB128</f>
        <v>0</v>
      </c>
      <c r="BC73" s="23">
        <f>BC74+BC91+BC96+BC120+BC124+BC128</f>
        <v>0</v>
      </c>
      <c r="BD73" s="23">
        <f>BD74+BD91+BD96+BD120+BD124+BD128</f>
        <v>0</v>
      </c>
      <c r="BE73" s="23">
        <f>BE74+BE91+BE96+BE120+BE124+BE128</f>
        <v>0</v>
      </c>
      <c r="BF73" s="53"/>
      <c r="BG73" s="54"/>
      <c r="BH73" s="54"/>
      <c r="BI73" s="54"/>
      <c r="BJ73" s="54"/>
    </row>
    <row r="74" spans="1:62" ht="15.75" customHeight="1" x14ac:dyDescent="0.25">
      <c r="A74" s="55"/>
      <c r="B74" s="56" t="s">
        <v>74</v>
      </c>
      <c r="C74" s="57">
        <f t="shared" ref="C74:I74" si="41">SUM(C75:C90)</f>
        <v>730</v>
      </c>
      <c r="D74" s="57">
        <f t="shared" si="41"/>
        <v>157466.56</v>
      </c>
      <c r="E74" s="57">
        <f t="shared" si="41"/>
        <v>5588.05</v>
      </c>
      <c r="F74" s="57">
        <f t="shared" si="41"/>
        <v>0</v>
      </c>
      <c r="G74" s="57">
        <f t="shared" si="41"/>
        <v>730</v>
      </c>
      <c r="H74" s="57">
        <f t="shared" si="41"/>
        <v>151878.51</v>
      </c>
      <c r="I74" s="57">
        <f t="shared" si="41"/>
        <v>0</v>
      </c>
      <c r="J74" s="17">
        <f t="shared" si="35"/>
        <v>730</v>
      </c>
      <c r="K74" s="17">
        <f t="shared" si="36"/>
        <v>151878.51</v>
      </c>
      <c r="L74" s="17">
        <f t="shared" si="34"/>
        <v>0</v>
      </c>
      <c r="M74" s="57">
        <f>SUM(M75:M90)</f>
        <v>0</v>
      </c>
      <c r="N74" s="57">
        <f>SUM(N75:N90)</f>
        <v>0</v>
      </c>
      <c r="O74" s="57">
        <f>SUM(O75:O90)</f>
        <v>0</v>
      </c>
      <c r="P74" s="89">
        <f t="shared" si="37"/>
        <v>1</v>
      </c>
      <c r="Q74" s="89">
        <f t="shared" si="37"/>
        <v>0.96451278290451004</v>
      </c>
      <c r="R74" s="89" t="e">
        <f t="shared" si="19"/>
        <v>#DIV/0!</v>
      </c>
      <c r="S74" s="57">
        <f t="shared" ref="S74:BE74" si="42">SUM(S75:S90)</f>
        <v>0</v>
      </c>
      <c r="T74" s="57">
        <f t="shared" si="42"/>
        <v>3492.51</v>
      </c>
      <c r="U74" s="57">
        <f t="shared" si="42"/>
        <v>0</v>
      </c>
      <c r="V74" s="57">
        <f t="shared" si="42"/>
        <v>0</v>
      </c>
      <c r="W74" s="57">
        <f t="shared" si="42"/>
        <v>0</v>
      </c>
      <c r="X74" s="57">
        <f t="shared" si="42"/>
        <v>0</v>
      </c>
      <c r="Y74" s="57">
        <f t="shared" si="42"/>
        <v>0</v>
      </c>
      <c r="Z74" s="57">
        <f t="shared" si="42"/>
        <v>0</v>
      </c>
      <c r="AA74" s="57">
        <f t="shared" si="42"/>
        <v>0</v>
      </c>
      <c r="AB74" s="57">
        <f t="shared" si="42"/>
        <v>0</v>
      </c>
      <c r="AC74" s="57">
        <f t="shared" si="42"/>
        <v>0</v>
      </c>
      <c r="AD74" s="57">
        <f t="shared" si="42"/>
        <v>0</v>
      </c>
      <c r="AE74" s="57">
        <f t="shared" si="42"/>
        <v>0</v>
      </c>
      <c r="AF74" s="57">
        <f t="shared" si="42"/>
        <v>0</v>
      </c>
      <c r="AG74" s="57">
        <f t="shared" si="42"/>
        <v>0</v>
      </c>
      <c r="AH74" s="57">
        <f t="shared" si="42"/>
        <v>0</v>
      </c>
      <c r="AI74" s="57">
        <f t="shared" si="42"/>
        <v>148386</v>
      </c>
      <c r="AJ74" s="57">
        <f t="shared" si="42"/>
        <v>0</v>
      </c>
      <c r="AK74" s="57">
        <f t="shared" si="42"/>
        <v>0</v>
      </c>
      <c r="AL74" s="57">
        <f t="shared" si="42"/>
        <v>0</v>
      </c>
      <c r="AM74" s="57">
        <f t="shared" si="42"/>
        <v>0</v>
      </c>
      <c r="AN74" s="57">
        <f t="shared" si="42"/>
        <v>730</v>
      </c>
      <c r="AO74" s="57">
        <f t="shared" si="42"/>
        <v>0</v>
      </c>
      <c r="AP74" s="57">
        <f t="shared" si="42"/>
        <v>0</v>
      </c>
      <c r="AQ74" s="57">
        <f t="shared" si="42"/>
        <v>0</v>
      </c>
      <c r="AR74" s="57">
        <f t="shared" si="42"/>
        <v>0</v>
      </c>
      <c r="AS74" s="57">
        <f t="shared" si="42"/>
        <v>0</v>
      </c>
      <c r="AT74" s="57">
        <f t="shared" si="42"/>
        <v>0</v>
      </c>
      <c r="AU74" s="57">
        <f t="shared" si="42"/>
        <v>0</v>
      </c>
      <c r="AV74" s="57">
        <f t="shared" si="42"/>
        <v>0</v>
      </c>
      <c r="AW74" s="57">
        <f t="shared" si="42"/>
        <v>0</v>
      </c>
      <c r="AX74" s="57">
        <f t="shared" si="42"/>
        <v>0</v>
      </c>
      <c r="AY74" s="57">
        <f t="shared" si="42"/>
        <v>0</v>
      </c>
      <c r="AZ74" s="57">
        <f t="shared" si="42"/>
        <v>0</v>
      </c>
      <c r="BA74" s="57">
        <f t="shared" si="42"/>
        <v>0</v>
      </c>
      <c r="BB74" s="57">
        <f t="shared" si="42"/>
        <v>0</v>
      </c>
      <c r="BC74" s="57">
        <f t="shared" si="42"/>
        <v>0</v>
      </c>
      <c r="BD74" s="57">
        <f t="shared" si="42"/>
        <v>0</v>
      </c>
      <c r="BE74" s="57">
        <f t="shared" si="42"/>
        <v>0</v>
      </c>
      <c r="BF74" s="59"/>
      <c r="BG74" s="60"/>
      <c r="BH74" s="60"/>
      <c r="BI74" s="60"/>
      <c r="BJ74" s="60"/>
    </row>
    <row r="75" spans="1:62" ht="15.75" hidden="1" customHeight="1" x14ac:dyDescent="0.25">
      <c r="A75" s="25" t="s">
        <v>32</v>
      </c>
      <c r="B75" s="52" t="s">
        <v>87</v>
      </c>
      <c r="C75" s="28"/>
      <c r="D75" s="28"/>
      <c r="E75" s="28"/>
      <c r="F75" s="28"/>
      <c r="G75" s="30">
        <f t="shared" ref="G75:I90" si="43">S75+V75+Y75+AB75+AE75+AH75+AK75+AN75+AQ75+AT75+AW75+AZ75</f>
        <v>0</v>
      </c>
      <c r="H75" s="30">
        <f t="shared" si="43"/>
        <v>0</v>
      </c>
      <c r="I75" s="30">
        <f t="shared" si="43"/>
        <v>0</v>
      </c>
      <c r="J75" s="30">
        <f t="shared" si="35"/>
        <v>0</v>
      </c>
      <c r="K75" s="30">
        <f t="shared" si="36"/>
        <v>0</v>
      </c>
      <c r="L75" s="30">
        <f t="shared" si="34"/>
        <v>0</v>
      </c>
      <c r="M75" s="30">
        <f t="shared" ref="M75:N90" si="44">C75-G75</f>
        <v>0</v>
      </c>
      <c r="N75" s="30">
        <f t="shared" si="44"/>
        <v>0</v>
      </c>
      <c r="O75" s="30">
        <f t="shared" ref="O75:O90" si="45">F75-I75</f>
        <v>0</v>
      </c>
      <c r="P75" s="32" t="e">
        <f t="shared" si="37"/>
        <v>#DIV/0!</v>
      </c>
      <c r="Q75" s="32" t="e">
        <f t="shared" si="37"/>
        <v>#DIV/0!</v>
      </c>
      <c r="R75" s="32" t="e">
        <f t="shared" si="19"/>
        <v>#DIV/0!</v>
      </c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33"/>
      <c r="BG75" s="34"/>
      <c r="BH75" s="34"/>
      <c r="BI75" s="34"/>
      <c r="BJ75" s="34"/>
    </row>
    <row r="76" spans="1:62" ht="15.75" hidden="1" customHeight="1" x14ac:dyDescent="0.25">
      <c r="A76" s="25" t="s">
        <v>105</v>
      </c>
      <c r="B76" s="52" t="s">
        <v>106</v>
      </c>
      <c r="C76" s="28"/>
      <c r="D76" s="28"/>
      <c r="E76" s="28"/>
      <c r="F76" s="28"/>
      <c r="G76" s="30">
        <f t="shared" si="43"/>
        <v>0</v>
      </c>
      <c r="H76" s="30">
        <f t="shared" si="43"/>
        <v>0</v>
      </c>
      <c r="I76" s="30">
        <f t="shared" si="43"/>
        <v>0</v>
      </c>
      <c r="J76" s="30">
        <f t="shared" si="35"/>
        <v>0</v>
      </c>
      <c r="K76" s="30">
        <f t="shared" si="36"/>
        <v>0</v>
      </c>
      <c r="L76" s="30">
        <f t="shared" si="34"/>
        <v>0</v>
      </c>
      <c r="M76" s="30">
        <f t="shared" si="44"/>
        <v>0</v>
      </c>
      <c r="N76" s="30">
        <f t="shared" si="44"/>
        <v>0</v>
      </c>
      <c r="O76" s="30">
        <f t="shared" si="45"/>
        <v>0</v>
      </c>
      <c r="P76" s="32" t="e">
        <f t="shared" si="37"/>
        <v>#DIV/0!</v>
      </c>
      <c r="Q76" s="32" t="e">
        <f t="shared" si="37"/>
        <v>#DIV/0!</v>
      </c>
      <c r="R76" s="32" t="e">
        <f t="shared" si="19"/>
        <v>#DIV/0!</v>
      </c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33"/>
      <c r="BG76" s="34"/>
      <c r="BH76" s="34"/>
      <c r="BI76" s="34"/>
      <c r="BJ76" s="34"/>
    </row>
    <row r="77" spans="1:62" ht="15.75" hidden="1" customHeight="1" x14ac:dyDescent="0.25">
      <c r="A77" s="25" t="s">
        <v>34</v>
      </c>
      <c r="B77" s="52" t="s">
        <v>35</v>
      </c>
      <c r="C77" s="28"/>
      <c r="D77" s="28"/>
      <c r="E77" s="28"/>
      <c r="F77" s="28"/>
      <c r="G77" s="30">
        <f t="shared" si="43"/>
        <v>0</v>
      </c>
      <c r="H77" s="30">
        <f t="shared" si="43"/>
        <v>0</v>
      </c>
      <c r="I77" s="30">
        <f t="shared" si="43"/>
        <v>0</v>
      </c>
      <c r="J77" s="30">
        <f t="shared" si="35"/>
        <v>0</v>
      </c>
      <c r="K77" s="30">
        <f t="shared" si="36"/>
        <v>0</v>
      </c>
      <c r="L77" s="30">
        <f t="shared" si="34"/>
        <v>0</v>
      </c>
      <c r="M77" s="30">
        <f t="shared" si="44"/>
        <v>0</v>
      </c>
      <c r="N77" s="30">
        <f t="shared" si="44"/>
        <v>0</v>
      </c>
      <c r="O77" s="30">
        <f t="shared" si="45"/>
        <v>0</v>
      </c>
      <c r="P77" s="32" t="e">
        <f t="shared" si="37"/>
        <v>#DIV/0!</v>
      </c>
      <c r="Q77" s="32" t="e">
        <f t="shared" si="37"/>
        <v>#DIV/0!</v>
      </c>
      <c r="R77" s="32" t="e">
        <f t="shared" si="19"/>
        <v>#DIV/0!</v>
      </c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33"/>
      <c r="BG77" s="34"/>
      <c r="BH77" s="34"/>
      <c r="BI77" s="34"/>
      <c r="BJ77" s="34"/>
    </row>
    <row r="78" spans="1:62" ht="15.75" hidden="1" customHeight="1" x14ac:dyDescent="0.25">
      <c r="A78" s="25"/>
      <c r="B78" s="95" t="s">
        <v>107</v>
      </c>
      <c r="C78" s="92"/>
      <c r="D78" s="94"/>
      <c r="E78" s="94"/>
      <c r="F78" s="92"/>
      <c r="G78" s="30">
        <f t="shared" si="43"/>
        <v>0</v>
      </c>
      <c r="H78" s="30">
        <f t="shared" si="43"/>
        <v>0</v>
      </c>
      <c r="I78" s="30">
        <f t="shared" si="43"/>
        <v>0</v>
      </c>
      <c r="J78" s="30">
        <f t="shared" si="35"/>
        <v>0</v>
      </c>
      <c r="K78" s="30">
        <f t="shared" si="36"/>
        <v>0</v>
      </c>
      <c r="L78" s="30">
        <f t="shared" si="34"/>
        <v>0</v>
      </c>
      <c r="M78" s="30">
        <f t="shared" si="44"/>
        <v>0</v>
      </c>
      <c r="N78" s="30">
        <f t="shared" si="44"/>
        <v>0</v>
      </c>
      <c r="O78" s="30">
        <f t="shared" si="45"/>
        <v>0</v>
      </c>
      <c r="P78" s="32" t="e">
        <f t="shared" si="37"/>
        <v>#DIV/0!</v>
      </c>
      <c r="Q78" s="32" t="e">
        <f t="shared" si="37"/>
        <v>#DIV/0!</v>
      </c>
      <c r="R78" s="32" t="e">
        <f t="shared" si="19"/>
        <v>#DIV/0!</v>
      </c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6"/>
      <c r="BA78" s="94"/>
      <c r="BB78" s="94"/>
      <c r="BC78" s="96"/>
      <c r="BD78" s="94"/>
      <c r="BE78" s="94"/>
      <c r="BF78" s="33"/>
      <c r="BG78" s="34"/>
      <c r="BH78" s="34"/>
      <c r="BI78" s="34"/>
      <c r="BJ78" s="34"/>
    </row>
    <row r="79" spans="1:62" ht="15.75" hidden="1" x14ac:dyDescent="0.25">
      <c r="A79" s="25" t="s">
        <v>44</v>
      </c>
      <c r="B79" s="91" t="s">
        <v>108</v>
      </c>
      <c r="C79" s="28"/>
      <c r="D79" s="28"/>
      <c r="E79" s="28"/>
      <c r="F79" s="28"/>
      <c r="G79" s="30">
        <f t="shared" si="43"/>
        <v>0</v>
      </c>
      <c r="H79" s="30">
        <f t="shared" si="43"/>
        <v>0</v>
      </c>
      <c r="I79" s="30">
        <f t="shared" si="43"/>
        <v>0</v>
      </c>
      <c r="J79" s="30">
        <f t="shared" si="35"/>
        <v>0</v>
      </c>
      <c r="K79" s="30">
        <f t="shared" si="36"/>
        <v>0</v>
      </c>
      <c r="L79" s="30">
        <f t="shared" si="34"/>
        <v>0</v>
      </c>
      <c r="M79" s="30">
        <f t="shared" si="44"/>
        <v>0</v>
      </c>
      <c r="N79" s="30">
        <f t="shared" si="44"/>
        <v>0</v>
      </c>
      <c r="O79" s="30">
        <f t="shared" si="45"/>
        <v>0</v>
      </c>
      <c r="P79" s="32" t="e">
        <f t="shared" si="37"/>
        <v>#DIV/0!</v>
      </c>
      <c r="Q79" s="32" t="e">
        <f t="shared" si="37"/>
        <v>#DIV/0!</v>
      </c>
      <c r="R79" s="32" t="e">
        <f t="shared" si="19"/>
        <v>#DIV/0!</v>
      </c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33"/>
      <c r="BG79" s="34"/>
      <c r="BH79" s="34"/>
      <c r="BI79" s="34"/>
      <c r="BJ79" s="34"/>
    </row>
    <row r="80" spans="1:62" ht="15.75" x14ac:dyDescent="0.25">
      <c r="A80" s="162" t="s">
        <v>103</v>
      </c>
      <c r="B80" s="170" t="s">
        <v>109</v>
      </c>
      <c r="C80" s="141">
        <v>730</v>
      </c>
      <c r="D80" s="141"/>
      <c r="E80" s="141"/>
      <c r="F80" s="141"/>
      <c r="G80" s="30">
        <f t="shared" si="43"/>
        <v>730</v>
      </c>
      <c r="H80" s="30">
        <f t="shared" si="43"/>
        <v>0</v>
      </c>
      <c r="I80" s="30">
        <f t="shared" si="43"/>
        <v>0</v>
      </c>
      <c r="J80" s="30">
        <f t="shared" si="35"/>
        <v>730</v>
      </c>
      <c r="K80" s="30">
        <f t="shared" si="36"/>
        <v>0</v>
      </c>
      <c r="L80" s="30">
        <f t="shared" si="34"/>
        <v>0</v>
      </c>
      <c r="M80" s="30">
        <f t="shared" si="44"/>
        <v>0</v>
      </c>
      <c r="N80" s="30">
        <f t="shared" si="44"/>
        <v>0</v>
      </c>
      <c r="O80" s="30">
        <f t="shared" si="45"/>
        <v>0</v>
      </c>
      <c r="P80" s="32">
        <f t="shared" si="37"/>
        <v>1</v>
      </c>
      <c r="Q80" s="32" t="e">
        <f t="shared" si="37"/>
        <v>#DIV/0!</v>
      </c>
      <c r="R80" s="32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>
        <v>730</v>
      </c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33"/>
      <c r="BG80" s="34"/>
      <c r="BH80" s="34"/>
      <c r="BI80" s="34"/>
      <c r="BJ80" s="34"/>
    </row>
    <row r="81" spans="1:62" ht="15.75" hidden="1" x14ac:dyDescent="0.25">
      <c r="A81" s="162" t="s">
        <v>110</v>
      </c>
      <c r="B81" s="170" t="s">
        <v>111</v>
      </c>
      <c r="C81" s="141"/>
      <c r="D81" s="141"/>
      <c r="E81" s="141"/>
      <c r="F81" s="141"/>
      <c r="G81" s="30">
        <f t="shared" si="43"/>
        <v>0</v>
      </c>
      <c r="H81" s="30">
        <f t="shared" si="43"/>
        <v>0</v>
      </c>
      <c r="I81" s="30">
        <f t="shared" si="43"/>
        <v>0</v>
      </c>
      <c r="J81" s="30">
        <f t="shared" ref="J81:L95" si="46">IF(BC81=0,SUM(S81+V81+Y81+AB81+AE81+AH81+AK81+AN81+AQ81+AT81+AW81+AZ81),BC81)</f>
        <v>0</v>
      </c>
      <c r="K81" s="30">
        <f t="shared" si="46"/>
        <v>0</v>
      </c>
      <c r="L81" s="30">
        <f t="shared" si="46"/>
        <v>0</v>
      </c>
      <c r="M81" s="30">
        <f t="shared" si="44"/>
        <v>0</v>
      </c>
      <c r="N81" s="30">
        <f t="shared" si="44"/>
        <v>0</v>
      </c>
      <c r="O81" s="30">
        <f t="shared" si="45"/>
        <v>0</v>
      </c>
      <c r="P81" s="32" t="e">
        <f t="shared" si="37"/>
        <v>#DIV/0!</v>
      </c>
      <c r="Q81" s="32" t="e">
        <f t="shared" si="37"/>
        <v>#DIV/0!</v>
      </c>
      <c r="R81" s="32" t="e">
        <f t="shared" ref="R81:R104" si="47">I81/F81</f>
        <v>#DIV/0!</v>
      </c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33"/>
      <c r="BG81" s="34"/>
      <c r="BH81" s="34"/>
      <c r="BI81" s="34"/>
      <c r="BJ81" s="34"/>
    </row>
    <row r="82" spans="1:62" ht="15.75" hidden="1" x14ac:dyDescent="0.25">
      <c r="A82" s="164" t="s">
        <v>61</v>
      </c>
      <c r="B82" s="163" t="s">
        <v>112</v>
      </c>
      <c r="C82" s="141"/>
      <c r="D82" s="141"/>
      <c r="E82" s="141"/>
      <c r="F82" s="141"/>
      <c r="G82" s="30">
        <f t="shared" si="43"/>
        <v>0</v>
      </c>
      <c r="H82" s="30">
        <f t="shared" si="43"/>
        <v>0</v>
      </c>
      <c r="I82" s="30">
        <f t="shared" si="43"/>
        <v>0</v>
      </c>
      <c r="J82" s="30">
        <f t="shared" si="46"/>
        <v>0</v>
      </c>
      <c r="K82" s="30">
        <f t="shared" si="46"/>
        <v>0</v>
      </c>
      <c r="L82" s="30">
        <f t="shared" si="46"/>
        <v>0</v>
      </c>
      <c r="M82" s="30">
        <f t="shared" si="44"/>
        <v>0</v>
      </c>
      <c r="N82" s="30">
        <f t="shared" si="44"/>
        <v>0</v>
      </c>
      <c r="O82" s="30">
        <f t="shared" si="45"/>
        <v>0</v>
      </c>
      <c r="P82" s="32" t="e">
        <f t="shared" ref="P82:Q97" si="48">G82/C82</f>
        <v>#DIV/0!</v>
      </c>
      <c r="Q82" s="32" t="e">
        <f t="shared" si="48"/>
        <v>#DIV/0!</v>
      </c>
      <c r="R82" s="32" t="e">
        <f t="shared" si="47"/>
        <v>#DIV/0!</v>
      </c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33"/>
      <c r="BG82" s="34"/>
      <c r="BH82" s="34"/>
      <c r="BI82" s="34"/>
      <c r="BJ82" s="34"/>
    </row>
    <row r="83" spans="1:62" ht="15.75" x14ac:dyDescent="0.25">
      <c r="A83" s="164" t="s">
        <v>42</v>
      </c>
      <c r="B83" s="166" t="s">
        <v>113</v>
      </c>
      <c r="C83" s="141"/>
      <c r="D83" s="141">
        <v>9080.56</v>
      </c>
      <c r="E83" s="141">
        <v>5588.05</v>
      </c>
      <c r="F83" s="141"/>
      <c r="G83" s="30">
        <f t="shared" si="43"/>
        <v>0</v>
      </c>
      <c r="H83" s="30">
        <f t="shared" si="43"/>
        <v>3492.51</v>
      </c>
      <c r="I83" s="30">
        <f t="shared" si="43"/>
        <v>0</v>
      </c>
      <c r="J83" s="30">
        <f t="shared" si="46"/>
        <v>0</v>
      </c>
      <c r="K83" s="30">
        <f t="shared" si="46"/>
        <v>3492.51</v>
      </c>
      <c r="L83" s="30">
        <f t="shared" si="46"/>
        <v>0</v>
      </c>
      <c r="M83" s="30">
        <f t="shared" si="44"/>
        <v>0</v>
      </c>
      <c r="N83" s="30">
        <f>D83-H83-E83</f>
        <v>0</v>
      </c>
      <c r="O83" s="30">
        <f t="shared" si="45"/>
        <v>0</v>
      </c>
      <c r="P83" s="32" t="e">
        <f t="shared" si="48"/>
        <v>#DIV/0!</v>
      </c>
      <c r="Q83" s="32">
        <f t="shared" si="48"/>
        <v>0.38461394451443526</v>
      </c>
      <c r="R83" s="32" t="e">
        <f t="shared" si="47"/>
        <v>#DIV/0!</v>
      </c>
      <c r="S83" s="28"/>
      <c r="T83" s="28">
        <v>3492.51</v>
      </c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33"/>
      <c r="BG83" s="34"/>
      <c r="BH83" s="34"/>
      <c r="BI83" s="34"/>
      <c r="BJ83" s="34"/>
    </row>
    <row r="84" spans="1:62" ht="15.75" hidden="1" x14ac:dyDescent="0.25">
      <c r="A84" s="164" t="s">
        <v>84</v>
      </c>
      <c r="B84" s="166" t="s">
        <v>114</v>
      </c>
      <c r="C84" s="141"/>
      <c r="D84" s="141"/>
      <c r="E84" s="141"/>
      <c r="F84" s="141"/>
      <c r="G84" s="30">
        <f t="shared" si="43"/>
        <v>0</v>
      </c>
      <c r="H84" s="30">
        <f t="shared" si="43"/>
        <v>0</v>
      </c>
      <c r="I84" s="30">
        <f t="shared" si="43"/>
        <v>0</v>
      </c>
      <c r="J84" s="30">
        <f t="shared" si="46"/>
        <v>0</v>
      </c>
      <c r="K84" s="30">
        <f t="shared" si="46"/>
        <v>0</v>
      </c>
      <c r="L84" s="30">
        <f t="shared" si="46"/>
        <v>0</v>
      </c>
      <c r="M84" s="30">
        <f t="shared" si="44"/>
        <v>0</v>
      </c>
      <c r="N84" s="30">
        <f t="shared" si="44"/>
        <v>0</v>
      </c>
      <c r="O84" s="30">
        <f t="shared" si="45"/>
        <v>0</v>
      </c>
      <c r="P84" s="32" t="e">
        <f t="shared" si="48"/>
        <v>#DIV/0!</v>
      </c>
      <c r="Q84" s="32" t="e">
        <f t="shared" si="48"/>
        <v>#DIV/0!</v>
      </c>
      <c r="R84" s="32" t="e">
        <f t="shared" si="47"/>
        <v>#DIV/0!</v>
      </c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33"/>
      <c r="BG84" s="34"/>
      <c r="BH84" s="34"/>
      <c r="BI84" s="34"/>
      <c r="BJ84" s="34"/>
    </row>
    <row r="85" spans="1:62" ht="15.75" hidden="1" x14ac:dyDescent="0.25">
      <c r="A85" s="172" t="s">
        <v>115</v>
      </c>
      <c r="B85" s="173" t="s">
        <v>116</v>
      </c>
      <c r="C85" s="141"/>
      <c r="D85" s="141"/>
      <c r="E85" s="141"/>
      <c r="F85" s="141"/>
      <c r="G85" s="30">
        <f t="shared" si="43"/>
        <v>0</v>
      </c>
      <c r="H85" s="30">
        <f t="shared" si="43"/>
        <v>0</v>
      </c>
      <c r="I85" s="30">
        <f t="shared" si="43"/>
        <v>0</v>
      </c>
      <c r="J85" s="30">
        <f t="shared" si="46"/>
        <v>0</v>
      </c>
      <c r="K85" s="30">
        <f t="shared" si="46"/>
        <v>0</v>
      </c>
      <c r="L85" s="30">
        <f t="shared" si="46"/>
        <v>0</v>
      </c>
      <c r="M85" s="30">
        <f t="shared" si="44"/>
        <v>0</v>
      </c>
      <c r="N85" s="30">
        <f t="shared" si="44"/>
        <v>0</v>
      </c>
      <c r="O85" s="30">
        <f t="shared" si="45"/>
        <v>0</v>
      </c>
      <c r="P85" s="32" t="e">
        <f t="shared" si="48"/>
        <v>#DIV/0!</v>
      </c>
      <c r="Q85" s="32" t="e">
        <f t="shared" si="48"/>
        <v>#DIV/0!</v>
      </c>
      <c r="R85" s="32" t="e">
        <f t="shared" si="47"/>
        <v>#DIV/0!</v>
      </c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33"/>
      <c r="BG85" s="34"/>
      <c r="BH85" s="34"/>
      <c r="BI85" s="34"/>
      <c r="BJ85" s="34"/>
    </row>
    <row r="86" spans="1:62" ht="15.75" x14ac:dyDescent="0.25">
      <c r="A86" s="168" t="s">
        <v>117</v>
      </c>
      <c r="B86" s="169" t="s">
        <v>218</v>
      </c>
      <c r="C86" s="141"/>
      <c r="D86" s="142">
        <v>148386</v>
      </c>
      <c r="E86" s="142"/>
      <c r="F86" s="141"/>
      <c r="G86" s="30">
        <f t="shared" si="43"/>
        <v>0</v>
      </c>
      <c r="H86" s="30">
        <f t="shared" si="43"/>
        <v>148386</v>
      </c>
      <c r="I86" s="30">
        <f t="shared" si="43"/>
        <v>0</v>
      </c>
      <c r="J86" s="30">
        <f t="shared" si="46"/>
        <v>0</v>
      </c>
      <c r="K86" s="30">
        <f t="shared" si="46"/>
        <v>148386</v>
      </c>
      <c r="L86" s="30">
        <f t="shared" si="46"/>
        <v>0</v>
      </c>
      <c r="M86" s="30">
        <f t="shared" si="44"/>
        <v>0</v>
      </c>
      <c r="N86" s="30">
        <f t="shared" si="44"/>
        <v>0</v>
      </c>
      <c r="O86" s="30">
        <f t="shared" si="45"/>
        <v>0</v>
      </c>
      <c r="P86" s="32" t="e">
        <f t="shared" si="48"/>
        <v>#DIV/0!</v>
      </c>
      <c r="Q86" s="32">
        <f t="shared" si="48"/>
        <v>1</v>
      </c>
      <c r="R86" s="32" t="e">
        <f t="shared" si="47"/>
        <v>#DIV/0!</v>
      </c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>
        <v>148386</v>
      </c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33"/>
      <c r="BG86" s="34"/>
      <c r="BH86" s="34"/>
      <c r="BI86" s="34"/>
      <c r="BJ86" s="34"/>
    </row>
    <row r="87" spans="1:62" ht="16.5" hidden="1" customHeight="1" x14ac:dyDescent="0.25">
      <c r="A87" s="25" t="s">
        <v>118</v>
      </c>
      <c r="B87" s="91" t="s">
        <v>119</v>
      </c>
      <c r="C87" s="28"/>
      <c r="D87" s="28"/>
      <c r="E87" s="28"/>
      <c r="F87" s="28"/>
      <c r="G87" s="30">
        <f t="shared" si="43"/>
        <v>0</v>
      </c>
      <c r="H87" s="30">
        <f t="shared" si="43"/>
        <v>0</v>
      </c>
      <c r="I87" s="30">
        <f t="shared" si="43"/>
        <v>0</v>
      </c>
      <c r="J87" s="30">
        <f t="shared" si="46"/>
        <v>0</v>
      </c>
      <c r="K87" s="30">
        <f t="shared" si="46"/>
        <v>0</v>
      </c>
      <c r="L87" s="30">
        <f t="shared" si="46"/>
        <v>0</v>
      </c>
      <c r="M87" s="30">
        <f t="shared" si="44"/>
        <v>0</v>
      </c>
      <c r="N87" s="30">
        <f>D87-H87</f>
        <v>0</v>
      </c>
      <c r="O87" s="30">
        <f t="shared" si="45"/>
        <v>0</v>
      </c>
      <c r="P87" s="32" t="e">
        <f t="shared" si="48"/>
        <v>#DIV/0!</v>
      </c>
      <c r="Q87" s="32" t="e">
        <f t="shared" si="48"/>
        <v>#DIV/0!</v>
      </c>
      <c r="R87" s="32" t="e">
        <f t="shared" si="47"/>
        <v>#DIV/0!</v>
      </c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33"/>
      <c r="BG87" s="34"/>
      <c r="BH87" s="34"/>
      <c r="BI87" s="34"/>
      <c r="BJ87" s="34"/>
    </row>
    <row r="88" spans="1:62" ht="45" hidden="1" customHeight="1" x14ac:dyDescent="0.25">
      <c r="A88" s="25" t="s">
        <v>84</v>
      </c>
      <c r="B88" s="98" t="s">
        <v>120</v>
      </c>
      <c r="C88" s="28"/>
      <c r="D88" s="28"/>
      <c r="E88" s="28"/>
      <c r="F88" s="28"/>
      <c r="G88" s="30">
        <f>S88+V88+Y88+AB88+AE88+AH88+AK88+AN88+AQ88+AT88+AW88+AZ88</f>
        <v>0</v>
      </c>
      <c r="H88" s="30">
        <f t="shared" si="43"/>
        <v>0</v>
      </c>
      <c r="I88" s="30">
        <f t="shared" si="43"/>
        <v>0</v>
      </c>
      <c r="J88" s="30">
        <f t="shared" si="46"/>
        <v>0</v>
      </c>
      <c r="K88" s="30">
        <f t="shared" si="46"/>
        <v>0</v>
      </c>
      <c r="L88" s="30">
        <f t="shared" si="46"/>
        <v>0</v>
      </c>
      <c r="M88" s="30">
        <f t="shared" si="44"/>
        <v>0</v>
      </c>
      <c r="N88" s="30">
        <f>D88-H88</f>
        <v>0</v>
      </c>
      <c r="O88" s="30">
        <f t="shared" si="45"/>
        <v>0</v>
      </c>
      <c r="P88" s="32" t="e">
        <f t="shared" si="48"/>
        <v>#DIV/0!</v>
      </c>
      <c r="Q88" s="32" t="e">
        <f t="shared" si="48"/>
        <v>#DIV/0!</v>
      </c>
      <c r="R88" s="32" t="e">
        <f t="shared" si="47"/>
        <v>#DIV/0!</v>
      </c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33"/>
      <c r="BG88" s="34"/>
      <c r="BH88" s="34"/>
      <c r="BI88" s="34"/>
      <c r="BJ88" s="34"/>
    </row>
    <row r="89" spans="1:62" ht="15.75" hidden="1" customHeight="1" x14ac:dyDescent="0.25">
      <c r="A89" s="25" t="s">
        <v>121</v>
      </c>
      <c r="B89" s="52" t="s">
        <v>122</v>
      </c>
      <c r="C89" s="28"/>
      <c r="D89" s="28"/>
      <c r="E89" s="28"/>
      <c r="F89" s="99"/>
      <c r="G89" s="30">
        <f>S89+V89+Y89+AB89+AE89+AH89+AK89+AN89+AQ89+AT89+AW89+AZ89</f>
        <v>0</v>
      </c>
      <c r="H89" s="30">
        <f t="shared" si="43"/>
        <v>0</v>
      </c>
      <c r="I89" s="30">
        <f t="shared" si="43"/>
        <v>0</v>
      </c>
      <c r="J89" s="30">
        <f t="shared" si="46"/>
        <v>0</v>
      </c>
      <c r="K89" s="30">
        <f t="shared" si="46"/>
        <v>0</v>
      </c>
      <c r="L89" s="30">
        <f t="shared" si="46"/>
        <v>0</v>
      </c>
      <c r="M89" s="30">
        <f t="shared" si="44"/>
        <v>0</v>
      </c>
      <c r="N89" s="30">
        <f>D89-H89</f>
        <v>0</v>
      </c>
      <c r="O89" s="30">
        <f t="shared" si="45"/>
        <v>0</v>
      </c>
      <c r="P89" s="32" t="e">
        <f t="shared" si="48"/>
        <v>#DIV/0!</v>
      </c>
      <c r="Q89" s="32" t="e">
        <f t="shared" si="48"/>
        <v>#DIV/0!</v>
      </c>
      <c r="R89" s="32" t="e">
        <f t="shared" si="47"/>
        <v>#DIV/0!</v>
      </c>
      <c r="S89" s="28"/>
      <c r="T89" s="28"/>
      <c r="U89" s="28"/>
      <c r="V89" s="28"/>
      <c r="W89" s="28"/>
      <c r="X89" s="28"/>
      <c r="Y89" s="100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33"/>
      <c r="BG89" s="34"/>
      <c r="BH89" s="34"/>
      <c r="BI89" s="34"/>
      <c r="BJ89" s="34"/>
    </row>
    <row r="90" spans="1:62" ht="15.75" hidden="1" customHeight="1" x14ac:dyDescent="0.25">
      <c r="A90" s="75" t="s">
        <v>123</v>
      </c>
      <c r="B90" s="79" t="s">
        <v>124</v>
      </c>
      <c r="C90" s="101"/>
      <c r="D90" s="80"/>
      <c r="E90" s="80"/>
      <c r="F90" s="80"/>
      <c r="G90" s="18">
        <f>S90+V90+Y90+AB90+AE90+AH90+AK90+AN90+AQ90+AT90+AW90+AZ90</f>
        <v>0</v>
      </c>
      <c r="H90" s="18">
        <f t="shared" si="43"/>
        <v>0</v>
      </c>
      <c r="I90" s="18">
        <f t="shared" si="43"/>
        <v>0</v>
      </c>
      <c r="J90" s="30">
        <f t="shared" si="46"/>
        <v>0</v>
      </c>
      <c r="K90" s="30">
        <f t="shared" si="46"/>
        <v>0</v>
      </c>
      <c r="L90" s="30">
        <f t="shared" si="46"/>
        <v>0</v>
      </c>
      <c r="M90" s="30">
        <f t="shared" si="44"/>
        <v>0</v>
      </c>
      <c r="N90" s="30">
        <f>D90-H90</f>
        <v>0</v>
      </c>
      <c r="O90" s="30">
        <f t="shared" si="45"/>
        <v>0</v>
      </c>
      <c r="P90" s="16" t="e">
        <f t="shared" si="48"/>
        <v>#DIV/0!</v>
      </c>
      <c r="Q90" s="16" t="e">
        <f t="shared" si="48"/>
        <v>#DIV/0!</v>
      </c>
      <c r="R90" s="16" t="e">
        <f t="shared" si="47"/>
        <v>#DIV/0!</v>
      </c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102"/>
      <c r="BG90" s="103"/>
      <c r="BH90" s="103"/>
      <c r="BI90" s="103"/>
      <c r="BJ90" s="103"/>
    </row>
    <row r="91" spans="1:62" ht="15.75" customHeight="1" x14ac:dyDescent="0.25">
      <c r="A91" s="104"/>
      <c r="B91" s="83" t="s">
        <v>125</v>
      </c>
      <c r="C91" s="84">
        <f>SUM(C92:C95)</f>
        <v>9600</v>
      </c>
      <c r="D91" s="84">
        <f>SUM(D92:D95)</f>
        <v>0</v>
      </c>
      <c r="E91" s="84"/>
      <c r="F91" s="84">
        <f>SUM(F92:F95)</f>
        <v>0</v>
      </c>
      <c r="G91" s="84">
        <f>SUM(G92:G95)</f>
        <v>0</v>
      </c>
      <c r="H91" s="84">
        <f>SUM(H92:H95)</f>
        <v>0</v>
      </c>
      <c r="I91" s="84">
        <f>SUM(I92:I95)</f>
        <v>0</v>
      </c>
      <c r="J91" s="84">
        <f t="shared" si="46"/>
        <v>0</v>
      </c>
      <c r="K91" s="84">
        <f t="shared" si="46"/>
        <v>0</v>
      </c>
      <c r="L91" s="84">
        <f t="shared" si="46"/>
        <v>0</v>
      </c>
      <c r="M91" s="84">
        <f>SUM(M92:M95)</f>
        <v>9600</v>
      </c>
      <c r="N91" s="84">
        <f>SUM(N92:N95)</f>
        <v>0</v>
      </c>
      <c r="O91" s="84">
        <f>SUM(O92:O95)</f>
        <v>0</v>
      </c>
      <c r="P91" s="86">
        <f t="shared" si="48"/>
        <v>0</v>
      </c>
      <c r="Q91" s="86" t="e">
        <f t="shared" si="48"/>
        <v>#DIV/0!</v>
      </c>
      <c r="R91" s="86" t="e">
        <f t="shared" si="47"/>
        <v>#DIV/0!</v>
      </c>
      <c r="S91" s="84">
        <f t="shared" ref="S91:BE91" si="49">SUM(S92:S95)</f>
        <v>0</v>
      </c>
      <c r="T91" s="84">
        <f t="shared" si="49"/>
        <v>0</v>
      </c>
      <c r="U91" s="84">
        <f t="shared" si="49"/>
        <v>0</v>
      </c>
      <c r="V91" s="84">
        <f t="shared" si="49"/>
        <v>0</v>
      </c>
      <c r="W91" s="84">
        <f t="shared" si="49"/>
        <v>0</v>
      </c>
      <c r="X91" s="84">
        <f t="shared" si="49"/>
        <v>0</v>
      </c>
      <c r="Y91" s="84">
        <f t="shared" si="49"/>
        <v>0</v>
      </c>
      <c r="Z91" s="84">
        <f t="shared" si="49"/>
        <v>0</v>
      </c>
      <c r="AA91" s="84">
        <f t="shared" si="49"/>
        <v>0</v>
      </c>
      <c r="AB91" s="84">
        <f t="shared" si="49"/>
        <v>0</v>
      </c>
      <c r="AC91" s="84">
        <f t="shared" si="49"/>
        <v>0</v>
      </c>
      <c r="AD91" s="84">
        <f t="shared" si="49"/>
        <v>0</v>
      </c>
      <c r="AE91" s="84">
        <f t="shared" si="49"/>
        <v>0</v>
      </c>
      <c r="AF91" s="84">
        <f t="shared" si="49"/>
        <v>0</v>
      </c>
      <c r="AG91" s="84">
        <f t="shared" si="49"/>
        <v>0</v>
      </c>
      <c r="AH91" s="84">
        <f t="shared" si="49"/>
        <v>0</v>
      </c>
      <c r="AI91" s="84">
        <f t="shared" si="49"/>
        <v>0</v>
      </c>
      <c r="AJ91" s="84">
        <f t="shared" si="49"/>
        <v>0</v>
      </c>
      <c r="AK91" s="84">
        <f t="shared" si="49"/>
        <v>0</v>
      </c>
      <c r="AL91" s="84">
        <f t="shared" si="49"/>
        <v>0</v>
      </c>
      <c r="AM91" s="84">
        <f t="shared" si="49"/>
        <v>0</v>
      </c>
      <c r="AN91" s="84">
        <f t="shared" si="49"/>
        <v>0</v>
      </c>
      <c r="AO91" s="84">
        <f t="shared" si="49"/>
        <v>0</v>
      </c>
      <c r="AP91" s="84">
        <f t="shared" si="49"/>
        <v>0</v>
      </c>
      <c r="AQ91" s="84">
        <f t="shared" si="49"/>
        <v>0</v>
      </c>
      <c r="AR91" s="84">
        <f t="shared" si="49"/>
        <v>0</v>
      </c>
      <c r="AS91" s="84">
        <f t="shared" si="49"/>
        <v>0</v>
      </c>
      <c r="AT91" s="84">
        <f t="shared" si="49"/>
        <v>0</v>
      </c>
      <c r="AU91" s="84">
        <f t="shared" si="49"/>
        <v>0</v>
      </c>
      <c r="AV91" s="84">
        <f t="shared" si="49"/>
        <v>0</v>
      </c>
      <c r="AW91" s="84">
        <f t="shared" si="49"/>
        <v>0</v>
      </c>
      <c r="AX91" s="84">
        <f t="shared" si="49"/>
        <v>0</v>
      </c>
      <c r="AY91" s="84">
        <f t="shared" si="49"/>
        <v>0</v>
      </c>
      <c r="AZ91" s="84">
        <f t="shared" si="49"/>
        <v>0</v>
      </c>
      <c r="BA91" s="84">
        <f t="shared" si="49"/>
        <v>0</v>
      </c>
      <c r="BB91" s="84">
        <f t="shared" si="49"/>
        <v>0</v>
      </c>
      <c r="BC91" s="84">
        <f t="shared" si="49"/>
        <v>0</v>
      </c>
      <c r="BD91" s="84">
        <f t="shared" si="49"/>
        <v>0</v>
      </c>
      <c r="BE91" s="84">
        <f t="shared" si="49"/>
        <v>0</v>
      </c>
      <c r="BF91" s="59"/>
      <c r="BG91" s="60"/>
      <c r="BH91" s="60"/>
      <c r="BI91" s="60"/>
      <c r="BJ91" s="60"/>
    </row>
    <row r="92" spans="1:62" ht="15.75" customHeight="1" x14ac:dyDescent="0.25">
      <c r="A92" s="162" t="s">
        <v>126</v>
      </c>
      <c r="B92" s="170" t="s">
        <v>127</v>
      </c>
      <c r="C92" s="145">
        <v>9600</v>
      </c>
      <c r="D92" s="141"/>
      <c r="E92" s="141"/>
      <c r="F92" s="147"/>
      <c r="G92" s="30">
        <f t="shared" ref="G92:I95" si="50">S92+V92+Y92+AB92+AE92+AH92+AK92+AN92+AQ92+AT92+AW92+AZ92</f>
        <v>0</v>
      </c>
      <c r="H92" s="30">
        <f t="shared" si="50"/>
        <v>0</v>
      </c>
      <c r="I92" s="30">
        <f t="shared" si="50"/>
        <v>0</v>
      </c>
      <c r="J92" s="30">
        <f t="shared" si="46"/>
        <v>0</v>
      </c>
      <c r="K92" s="30">
        <f t="shared" si="46"/>
        <v>0</v>
      </c>
      <c r="L92" s="30">
        <f t="shared" si="46"/>
        <v>0</v>
      </c>
      <c r="M92" s="30">
        <f t="shared" ref="M92:N95" si="51">C92-G92</f>
        <v>9600</v>
      </c>
      <c r="N92" s="30">
        <f t="shared" si="51"/>
        <v>0</v>
      </c>
      <c r="O92" s="30">
        <f t="shared" ref="O92:O95" si="52">F92-I92</f>
        <v>0</v>
      </c>
      <c r="P92" s="32">
        <f t="shared" si="48"/>
        <v>0</v>
      </c>
      <c r="Q92" s="32" t="e">
        <f t="shared" si="48"/>
        <v>#DIV/0!</v>
      </c>
      <c r="R92" s="32" t="e">
        <f t="shared" si="47"/>
        <v>#DIV/0!</v>
      </c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33"/>
      <c r="BG92" s="34"/>
      <c r="BH92" s="34"/>
      <c r="BI92" s="34"/>
      <c r="BJ92" s="34"/>
    </row>
    <row r="93" spans="1:62" ht="15.75" hidden="1" customHeight="1" x14ac:dyDescent="0.25">
      <c r="A93" s="25" t="s">
        <v>128</v>
      </c>
      <c r="B93" s="52" t="s">
        <v>129</v>
      </c>
      <c r="C93" s="28"/>
      <c r="D93" s="28"/>
      <c r="E93" s="28"/>
      <c r="F93" s="29"/>
      <c r="G93" s="30">
        <f t="shared" si="50"/>
        <v>0</v>
      </c>
      <c r="H93" s="30">
        <f t="shared" si="50"/>
        <v>0</v>
      </c>
      <c r="I93" s="30">
        <f t="shared" si="50"/>
        <v>0</v>
      </c>
      <c r="J93" s="30">
        <f t="shared" si="46"/>
        <v>0</v>
      </c>
      <c r="K93" s="30">
        <f t="shared" si="46"/>
        <v>0</v>
      </c>
      <c r="L93" s="30">
        <f t="shared" si="46"/>
        <v>0</v>
      </c>
      <c r="M93" s="30">
        <f t="shared" si="51"/>
        <v>0</v>
      </c>
      <c r="N93" s="30">
        <f t="shared" si="51"/>
        <v>0</v>
      </c>
      <c r="O93" s="30">
        <f t="shared" si="52"/>
        <v>0</v>
      </c>
      <c r="P93" s="32" t="e">
        <f t="shared" si="48"/>
        <v>#DIV/0!</v>
      </c>
      <c r="Q93" s="32" t="e">
        <f t="shared" si="48"/>
        <v>#DIV/0!</v>
      </c>
      <c r="R93" s="32" t="e">
        <f t="shared" si="47"/>
        <v>#DIV/0!</v>
      </c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33"/>
      <c r="BG93" s="34"/>
      <c r="BH93" s="34"/>
      <c r="BI93" s="34"/>
      <c r="BJ93" s="34"/>
    </row>
    <row r="94" spans="1:62" ht="15.75" hidden="1" customHeight="1" x14ac:dyDescent="0.25">
      <c r="A94" s="25"/>
      <c r="B94" s="52" t="s">
        <v>130</v>
      </c>
      <c r="C94" s="28"/>
      <c r="D94" s="28"/>
      <c r="E94" s="28"/>
      <c r="F94" s="29"/>
      <c r="G94" s="30">
        <f t="shared" si="50"/>
        <v>0</v>
      </c>
      <c r="H94" s="30">
        <f t="shared" si="50"/>
        <v>0</v>
      </c>
      <c r="I94" s="30">
        <f t="shared" si="50"/>
        <v>0</v>
      </c>
      <c r="J94" s="30">
        <f t="shared" si="46"/>
        <v>0</v>
      </c>
      <c r="K94" s="30">
        <f t="shared" si="46"/>
        <v>0</v>
      </c>
      <c r="L94" s="30"/>
      <c r="M94" s="30"/>
      <c r="N94" s="30"/>
      <c r="O94" s="30"/>
      <c r="P94" s="32"/>
      <c r="Q94" s="32"/>
      <c r="R94" s="32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33"/>
      <c r="BG94" s="34"/>
      <c r="BH94" s="34"/>
      <c r="BI94" s="34"/>
      <c r="BJ94" s="34"/>
    </row>
    <row r="95" spans="1:62" ht="15.75" hidden="1" customHeight="1" x14ac:dyDescent="0.25">
      <c r="A95" s="25" t="s">
        <v>84</v>
      </c>
      <c r="B95" s="52" t="s">
        <v>131</v>
      </c>
      <c r="C95" s="28"/>
      <c r="D95" s="28"/>
      <c r="E95" s="28"/>
      <c r="F95" s="29"/>
      <c r="G95" s="30">
        <f t="shared" si="50"/>
        <v>0</v>
      </c>
      <c r="H95" s="30">
        <f t="shared" si="50"/>
        <v>0</v>
      </c>
      <c r="I95" s="30">
        <f t="shared" si="50"/>
        <v>0</v>
      </c>
      <c r="J95" s="30">
        <f t="shared" si="46"/>
        <v>0</v>
      </c>
      <c r="K95" s="30">
        <f t="shared" si="46"/>
        <v>0</v>
      </c>
      <c r="L95" s="30">
        <f t="shared" si="46"/>
        <v>0</v>
      </c>
      <c r="M95" s="30">
        <f t="shared" si="51"/>
        <v>0</v>
      </c>
      <c r="N95" s="30">
        <f t="shared" si="51"/>
        <v>0</v>
      </c>
      <c r="O95" s="30">
        <f t="shared" si="52"/>
        <v>0</v>
      </c>
      <c r="P95" s="32" t="e">
        <f t="shared" si="48"/>
        <v>#DIV/0!</v>
      </c>
      <c r="Q95" s="32" t="e">
        <f t="shared" si="48"/>
        <v>#DIV/0!</v>
      </c>
      <c r="R95" s="32" t="e">
        <f t="shared" si="47"/>
        <v>#DIV/0!</v>
      </c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33"/>
      <c r="BG95" s="34"/>
      <c r="BH95" s="34"/>
      <c r="BI95" s="34"/>
      <c r="BJ95" s="34"/>
    </row>
    <row r="96" spans="1:62" ht="15.75" x14ac:dyDescent="0.25">
      <c r="A96" s="104"/>
      <c r="B96" s="83" t="s">
        <v>132</v>
      </c>
      <c r="C96" s="84">
        <f>C97+C106+C112+C116</f>
        <v>0</v>
      </c>
      <c r="D96" s="84">
        <f>D97+D106+D112+D116</f>
        <v>71868.47</v>
      </c>
      <c r="E96" s="84"/>
      <c r="F96" s="84">
        <f>F97+F106+F112+F116</f>
        <v>231425.28</v>
      </c>
      <c r="G96" s="84">
        <f>G97+G106+G112+G116</f>
        <v>0</v>
      </c>
      <c r="H96" s="84">
        <f>H97+H106+H112+H116</f>
        <v>65949.67</v>
      </c>
      <c r="I96" s="84">
        <f>I97+I106+I112+I116</f>
        <v>42677.8</v>
      </c>
      <c r="J96" s="84">
        <f>J97+J106+J112+J116</f>
        <v>0</v>
      </c>
      <c r="K96" s="84">
        <f>K97+K106+K112+K116</f>
        <v>65949.67</v>
      </c>
      <c r="L96" s="84">
        <f>L97+L106+L112+L116</f>
        <v>42677.8</v>
      </c>
      <c r="M96" s="84">
        <f>M97+M106+M112+M116</f>
        <v>0</v>
      </c>
      <c r="N96" s="84">
        <f>N97+N106+N112+N116</f>
        <v>5918.8000000000029</v>
      </c>
      <c r="O96" s="84">
        <f>O97+O106+O112+O116</f>
        <v>188747.47999999998</v>
      </c>
      <c r="P96" s="86" t="e">
        <f t="shared" si="48"/>
        <v>#DIV/0!</v>
      </c>
      <c r="Q96" s="86">
        <f t="shared" si="48"/>
        <v>0.91764399603887492</v>
      </c>
      <c r="R96" s="86">
        <f t="shared" si="47"/>
        <v>0.18441286967439341</v>
      </c>
      <c r="S96" s="84">
        <f>S97+S106+S112+S116</f>
        <v>0</v>
      </c>
      <c r="T96" s="84">
        <f>T97+T106+T112+T116</f>
        <v>412.5</v>
      </c>
      <c r="U96" s="84">
        <f>U97+U106+U112+U116</f>
        <v>0</v>
      </c>
      <c r="V96" s="84">
        <f>V97+V106+V112+V116</f>
        <v>0</v>
      </c>
      <c r="W96" s="84">
        <f>W97+W106+W112+W116</f>
        <v>15660.66</v>
      </c>
      <c r="X96" s="84">
        <f>X97+X106+X112+X116</f>
        <v>0</v>
      </c>
      <c r="Y96" s="84">
        <f>Y97+Y106+Y112+Y116</f>
        <v>0</v>
      </c>
      <c r="Z96" s="84">
        <f>Z97+Z106+Z112+Z116</f>
        <v>36084.959999999999</v>
      </c>
      <c r="AA96" s="84">
        <f>AA97+AA106+AA112+AA116</f>
        <v>0</v>
      </c>
      <c r="AB96" s="84">
        <f>AB97+AB106+AB112+AB116</f>
        <v>0</v>
      </c>
      <c r="AC96" s="84">
        <f>AC97+AC106+AC112+AC116</f>
        <v>0</v>
      </c>
      <c r="AD96" s="84">
        <f>AD97+AD106+AD112+AD116</f>
        <v>11360</v>
      </c>
      <c r="AE96" s="84">
        <f>AE97+AE106+AE112+AE116</f>
        <v>0</v>
      </c>
      <c r="AF96" s="84">
        <f>AF97+AF106+AF112+AF116</f>
        <v>10250</v>
      </c>
      <c r="AG96" s="84">
        <f>AG97+AG106+AG112+AG116</f>
        <v>13760</v>
      </c>
      <c r="AH96" s="84">
        <f>AH97+AH106+AH112+AH116</f>
        <v>0</v>
      </c>
      <c r="AI96" s="84">
        <f>AI97+AI106+AI112+AI116</f>
        <v>0</v>
      </c>
      <c r="AJ96" s="84">
        <f>AJ97+AJ106+AJ112+AJ116</f>
        <v>14800</v>
      </c>
      <c r="AK96" s="84">
        <f>AK97+AK106+AK112+AK116</f>
        <v>0</v>
      </c>
      <c r="AL96" s="84">
        <f>AL97+AL106+AL112+AL116</f>
        <v>75</v>
      </c>
      <c r="AM96" s="84">
        <f>AM97+AM106+AM112+AM116</f>
        <v>0</v>
      </c>
      <c r="AN96" s="84">
        <f>AN97+AN106+AN112+AN116</f>
        <v>0</v>
      </c>
      <c r="AO96" s="84">
        <f>AO97+AO106+AO112+AO116</f>
        <v>1267.55</v>
      </c>
      <c r="AP96" s="84">
        <f>AP97+AP106+AP112+AP116</f>
        <v>0</v>
      </c>
      <c r="AQ96" s="84">
        <f>AQ97+AQ106+AQ112+AQ116</f>
        <v>0</v>
      </c>
      <c r="AR96" s="84">
        <f>AR97+AR106+AR112+AR116</f>
        <v>1050</v>
      </c>
      <c r="AS96" s="84">
        <f>AS97+AS106+AS112+AS116</f>
        <v>0</v>
      </c>
      <c r="AT96" s="84">
        <f>AT97+AT106+AT112+AT116</f>
        <v>0</v>
      </c>
      <c r="AU96" s="84">
        <f>AU97+AU106+AU112+AU116</f>
        <v>1149</v>
      </c>
      <c r="AV96" s="84">
        <f>AV97+AV106+AV112+AV116</f>
        <v>0</v>
      </c>
      <c r="AW96" s="84">
        <f>AW97+AW106+AW112+AW116</f>
        <v>0</v>
      </c>
      <c r="AX96" s="84">
        <f>AX97+AX106+AX112+AX116</f>
        <v>0</v>
      </c>
      <c r="AY96" s="84">
        <f>AY97+AY106+AY112+AY116</f>
        <v>2757.8</v>
      </c>
      <c r="AZ96" s="84">
        <f>AZ97+AZ106+AZ112+AZ116</f>
        <v>0</v>
      </c>
      <c r="BA96" s="84">
        <f>BA97+BA106+BA112+BA116</f>
        <v>0</v>
      </c>
      <c r="BB96" s="84">
        <f>BB97+BB106+BB112+BB116</f>
        <v>0</v>
      </c>
      <c r="BC96" s="84">
        <f>BC97+BC106+BC112+BC116</f>
        <v>0</v>
      </c>
      <c r="BD96" s="84">
        <f>BD97+BD106+BD112+BD116</f>
        <v>0</v>
      </c>
      <c r="BE96" s="84">
        <f>BE97+BE106+BE112+BE116</f>
        <v>0</v>
      </c>
      <c r="BF96" s="105"/>
      <c r="BG96" s="106"/>
      <c r="BH96" s="106"/>
      <c r="BI96" s="106"/>
      <c r="BJ96" s="106"/>
    </row>
    <row r="97" spans="1:62" ht="15.75" x14ac:dyDescent="0.25">
      <c r="A97" s="107"/>
      <c r="B97" s="108" t="s">
        <v>133</v>
      </c>
      <c r="C97" s="109">
        <f>SUM(C98:C105)</f>
        <v>0</v>
      </c>
      <c r="D97" s="109">
        <f>SUM(D98:D105)</f>
        <v>71868.47</v>
      </c>
      <c r="E97" s="109"/>
      <c r="F97" s="109">
        <f>SUM(F98:F105)</f>
        <v>0</v>
      </c>
      <c r="G97" s="109">
        <f>SUM(G98:G105)</f>
        <v>0</v>
      </c>
      <c r="H97" s="109">
        <f>SUM(H98:H105)</f>
        <v>65949.67</v>
      </c>
      <c r="I97" s="109">
        <f>SUM(I98:I105)</f>
        <v>610.79999999999995</v>
      </c>
      <c r="J97" s="110">
        <f t="shared" ref="J97:L101" si="53">IF(BC97=0,SUM(S97+V97+Y97+AB97+AE97+AH97+AK97+AN97+AQ97+AT97+AW97+AZ97),BC97)</f>
        <v>0</v>
      </c>
      <c r="K97" s="110">
        <f t="shared" si="53"/>
        <v>65949.67</v>
      </c>
      <c r="L97" s="110">
        <f t="shared" si="53"/>
        <v>610.79999999999995</v>
      </c>
      <c r="M97" s="109">
        <f>SUM(M98:M105)</f>
        <v>0</v>
      </c>
      <c r="N97" s="109">
        <f>SUM(N98:N105)</f>
        <v>5918.8000000000029</v>
      </c>
      <c r="O97" s="109">
        <f>SUM(O98:O105)</f>
        <v>-610.79999999999995</v>
      </c>
      <c r="P97" s="85" t="e">
        <f t="shared" si="48"/>
        <v>#DIV/0!</v>
      </c>
      <c r="Q97" s="85">
        <f t="shared" si="48"/>
        <v>0.91764399603887492</v>
      </c>
      <c r="R97" s="85" t="e">
        <f t="shared" si="47"/>
        <v>#DIV/0!</v>
      </c>
      <c r="S97" s="109">
        <f>SUM(S98:S105)</f>
        <v>0</v>
      </c>
      <c r="T97" s="109">
        <f>SUM(T98:T105)</f>
        <v>412.5</v>
      </c>
      <c r="U97" s="109">
        <f>SUM(U98:U105)</f>
        <v>0</v>
      </c>
      <c r="V97" s="109">
        <f>SUM(V98:V105)</f>
        <v>0</v>
      </c>
      <c r="W97" s="109">
        <f>SUM(W98:W105)</f>
        <v>15660.66</v>
      </c>
      <c r="X97" s="109">
        <f>SUM(X98:X105)</f>
        <v>0</v>
      </c>
      <c r="Y97" s="109">
        <f>SUM(Y98:Y105)</f>
        <v>0</v>
      </c>
      <c r="Z97" s="109">
        <f>SUM(Z98:Z105)</f>
        <v>36084.959999999999</v>
      </c>
      <c r="AA97" s="109">
        <f>SUM(AA98:AA105)</f>
        <v>0</v>
      </c>
      <c r="AB97" s="109">
        <f>SUM(AB98:AB105)</f>
        <v>0</v>
      </c>
      <c r="AC97" s="109">
        <f>SUM(AC98:AC105)</f>
        <v>0</v>
      </c>
      <c r="AD97" s="109">
        <f>SUM(AD98:AD105)</f>
        <v>0</v>
      </c>
      <c r="AE97" s="109">
        <f>SUM(AE98:AE105)</f>
        <v>0</v>
      </c>
      <c r="AF97" s="109">
        <f>SUM(AF98:AF105)</f>
        <v>10250</v>
      </c>
      <c r="AG97" s="109">
        <f>SUM(AG98:AG105)</f>
        <v>0</v>
      </c>
      <c r="AH97" s="109">
        <f>SUM(AH98:AH105)</f>
        <v>0</v>
      </c>
      <c r="AI97" s="109">
        <f>SUM(AI98:AI105)</f>
        <v>0</v>
      </c>
      <c r="AJ97" s="109">
        <f>SUM(AJ98:AJ105)</f>
        <v>0</v>
      </c>
      <c r="AK97" s="109">
        <f>SUM(AK98:AK105)</f>
        <v>0</v>
      </c>
      <c r="AL97" s="109">
        <f>SUM(AL98:AL105)</f>
        <v>75</v>
      </c>
      <c r="AM97" s="109">
        <f>SUM(AM98:AM105)</f>
        <v>0</v>
      </c>
      <c r="AN97" s="109">
        <f>SUM(AN98:AN105)</f>
        <v>0</v>
      </c>
      <c r="AO97" s="109">
        <f>SUM(AO98:AO105)</f>
        <v>1267.55</v>
      </c>
      <c r="AP97" s="109">
        <f>SUM(AP98:AP105)</f>
        <v>0</v>
      </c>
      <c r="AQ97" s="109">
        <f>SUM(AQ98:AQ105)</f>
        <v>0</v>
      </c>
      <c r="AR97" s="109">
        <f>SUM(AR98:AR105)</f>
        <v>1050</v>
      </c>
      <c r="AS97" s="109">
        <f>SUM(AS98:AS105)</f>
        <v>0</v>
      </c>
      <c r="AT97" s="109">
        <f>SUM(AT98:AT105)</f>
        <v>0</v>
      </c>
      <c r="AU97" s="109">
        <f>SUM(AU98:AU105)</f>
        <v>1149</v>
      </c>
      <c r="AV97" s="109">
        <f>SUM(AV98:AV105)</f>
        <v>0</v>
      </c>
      <c r="AW97" s="109">
        <f>SUM(AW98:AW105)</f>
        <v>0</v>
      </c>
      <c r="AX97" s="109">
        <f>SUM(AX98:AX105)</f>
        <v>0</v>
      </c>
      <c r="AY97" s="109">
        <f>SUM(AY98:AY105)</f>
        <v>610.79999999999995</v>
      </c>
      <c r="AZ97" s="109">
        <f>SUM(AZ98:AZ105)</f>
        <v>0</v>
      </c>
      <c r="BA97" s="109">
        <f>SUM(BA98:BA105)</f>
        <v>0</v>
      </c>
      <c r="BB97" s="109">
        <f>SUM(BB98:BB105)</f>
        <v>0</v>
      </c>
      <c r="BC97" s="109">
        <f>SUM(BC98:BC105)</f>
        <v>0</v>
      </c>
      <c r="BD97" s="109">
        <f>SUM(BD98:BD105)</f>
        <v>0</v>
      </c>
      <c r="BE97" s="109">
        <f>SUM(BE98:BE105)</f>
        <v>0</v>
      </c>
      <c r="BF97" s="111"/>
      <c r="BG97" s="112"/>
      <c r="BH97" s="112"/>
      <c r="BI97" s="112"/>
      <c r="BJ97" s="112"/>
    </row>
    <row r="98" spans="1:62" ht="15.75" hidden="1" x14ac:dyDescent="0.25">
      <c r="A98" s="25"/>
      <c r="B98" s="26" t="s">
        <v>134</v>
      </c>
      <c r="C98" s="28"/>
      <c r="D98" s="28"/>
      <c r="E98" s="28"/>
      <c r="F98" s="28"/>
      <c r="G98" s="30">
        <f t="shared" ref="G98:I104" si="54">S98+V98+Y98+AB98+AE98+AH98+AK98+AN98+AQ98+AT98+AW98+AZ98</f>
        <v>0</v>
      </c>
      <c r="H98" s="30">
        <f t="shared" si="54"/>
        <v>0</v>
      </c>
      <c r="I98" s="30">
        <f t="shared" si="54"/>
        <v>0</v>
      </c>
      <c r="J98" s="30">
        <f t="shared" si="53"/>
        <v>0</v>
      </c>
      <c r="K98" s="30">
        <f t="shared" si="53"/>
        <v>0</v>
      </c>
      <c r="L98" s="30">
        <f t="shared" si="53"/>
        <v>0</v>
      </c>
      <c r="M98" s="30">
        <f t="shared" ref="M98:N105" si="55">C98-G98</f>
        <v>0</v>
      </c>
      <c r="N98" s="30">
        <f t="shared" si="55"/>
        <v>0</v>
      </c>
      <c r="O98" s="30">
        <f t="shared" ref="O98:O104" si="56">F98-I98</f>
        <v>0</v>
      </c>
      <c r="P98" s="27" t="e">
        <f t="shared" ref="P98:Q104" si="57">G98/C98</f>
        <v>#DIV/0!</v>
      </c>
      <c r="Q98" s="27" t="e">
        <f t="shared" si="57"/>
        <v>#DIV/0!</v>
      </c>
      <c r="R98" s="27" t="e">
        <f t="shared" si="47"/>
        <v>#DIV/0!</v>
      </c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4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33"/>
      <c r="BG98" s="34"/>
      <c r="BH98" s="34"/>
      <c r="BI98" s="34"/>
      <c r="BJ98" s="34"/>
    </row>
    <row r="99" spans="1:62" ht="15.75" hidden="1" x14ac:dyDescent="0.25">
      <c r="A99" s="25" t="s">
        <v>84</v>
      </c>
      <c r="B99" s="52" t="s">
        <v>135</v>
      </c>
      <c r="C99" s="28"/>
      <c r="D99" s="28"/>
      <c r="E99" s="28"/>
      <c r="F99" s="28"/>
      <c r="G99" s="30">
        <f t="shared" si="54"/>
        <v>0</v>
      </c>
      <c r="H99" s="30">
        <f t="shared" si="54"/>
        <v>0</v>
      </c>
      <c r="I99" s="30">
        <f t="shared" si="54"/>
        <v>0</v>
      </c>
      <c r="J99" s="30">
        <f t="shared" si="53"/>
        <v>0</v>
      </c>
      <c r="K99" s="30">
        <f t="shared" si="53"/>
        <v>0</v>
      </c>
      <c r="L99" s="30">
        <f t="shared" si="53"/>
        <v>0</v>
      </c>
      <c r="M99" s="30">
        <f t="shared" si="55"/>
        <v>0</v>
      </c>
      <c r="N99" s="30">
        <f t="shared" si="55"/>
        <v>0</v>
      </c>
      <c r="O99" s="30">
        <f t="shared" si="56"/>
        <v>0</v>
      </c>
      <c r="P99" s="27" t="e">
        <f t="shared" si="57"/>
        <v>#DIV/0!</v>
      </c>
      <c r="Q99" s="27" t="e">
        <f t="shared" si="57"/>
        <v>#DIV/0!</v>
      </c>
      <c r="R99" s="27" t="e">
        <f t="shared" si="47"/>
        <v>#DIV/0!</v>
      </c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4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33"/>
      <c r="BG99" s="34"/>
      <c r="BH99" s="34"/>
      <c r="BI99" s="34"/>
      <c r="BJ99" s="34"/>
    </row>
    <row r="100" spans="1:62" ht="15.75" hidden="1" x14ac:dyDescent="0.25">
      <c r="A100" s="25" t="s">
        <v>136</v>
      </c>
      <c r="B100" s="52" t="s">
        <v>137</v>
      </c>
      <c r="C100" s="28"/>
      <c r="D100" s="28"/>
      <c r="E100" s="28"/>
      <c r="F100" s="28"/>
      <c r="G100" s="30">
        <f t="shared" si="54"/>
        <v>0</v>
      </c>
      <c r="H100" s="30">
        <f t="shared" si="54"/>
        <v>0</v>
      </c>
      <c r="I100" s="30">
        <f t="shared" si="54"/>
        <v>0</v>
      </c>
      <c r="J100" s="30">
        <f t="shared" si="53"/>
        <v>0</v>
      </c>
      <c r="K100" s="30">
        <f t="shared" si="53"/>
        <v>0</v>
      </c>
      <c r="L100" s="30">
        <f t="shared" si="53"/>
        <v>0</v>
      </c>
      <c r="M100" s="30">
        <f t="shared" si="55"/>
        <v>0</v>
      </c>
      <c r="N100" s="30">
        <f t="shared" si="55"/>
        <v>0</v>
      </c>
      <c r="O100" s="30">
        <f t="shared" si="56"/>
        <v>0</v>
      </c>
      <c r="P100" s="27" t="e">
        <f t="shared" si="57"/>
        <v>#DIV/0!</v>
      </c>
      <c r="Q100" s="27" t="e">
        <f t="shared" si="57"/>
        <v>#DIV/0!</v>
      </c>
      <c r="R100" s="27" t="e">
        <f t="shared" si="47"/>
        <v>#DIV/0!</v>
      </c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4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33"/>
      <c r="BG100" s="34"/>
      <c r="BH100" s="34"/>
      <c r="BI100" s="34"/>
      <c r="BJ100" s="34"/>
    </row>
    <row r="101" spans="1:62" ht="18" customHeight="1" x14ac:dyDescent="0.25">
      <c r="A101" s="162" t="s">
        <v>103</v>
      </c>
      <c r="B101" s="170" t="s">
        <v>138</v>
      </c>
      <c r="C101" s="141"/>
      <c r="D101" s="141">
        <f>412.5</f>
        <v>412.5</v>
      </c>
      <c r="E101" s="141"/>
      <c r="F101" s="141"/>
      <c r="G101" s="30">
        <f t="shared" si="54"/>
        <v>0</v>
      </c>
      <c r="H101" s="30">
        <f t="shared" si="54"/>
        <v>412.5</v>
      </c>
      <c r="I101" s="30">
        <f t="shared" si="54"/>
        <v>0</v>
      </c>
      <c r="J101" s="30">
        <f t="shared" si="53"/>
        <v>0</v>
      </c>
      <c r="K101" s="30">
        <f t="shared" si="53"/>
        <v>412.5</v>
      </c>
      <c r="L101" s="30">
        <f t="shared" si="53"/>
        <v>0</v>
      </c>
      <c r="M101" s="30">
        <f t="shared" si="55"/>
        <v>0</v>
      </c>
      <c r="N101" s="30">
        <f t="shared" si="55"/>
        <v>0</v>
      </c>
      <c r="O101" s="30">
        <f t="shared" si="56"/>
        <v>0</v>
      </c>
      <c r="P101" s="27" t="e">
        <f t="shared" si="57"/>
        <v>#DIV/0!</v>
      </c>
      <c r="Q101" s="27">
        <f t="shared" si="57"/>
        <v>1</v>
      </c>
      <c r="R101" s="27" t="e">
        <f t="shared" si="47"/>
        <v>#DIV/0!</v>
      </c>
      <c r="S101" s="28"/>
      <c r="T101" s="28">
        <v>412.5</v>
      </c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4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33"/>
      <c r="BG101" s="34"/>
      <c r="BH101" s="34"/>
      <c r="BI101" s="34"/>
      <c r="BJ101" s="34"/>
    </row>
    <row r="102" spans="1:62" ht="15.75" x14ac:dyDescent="0.25">
      <c r="A102" s="162" t="s">
        <v>103</v>
      </c>
      <c r="B102" s="170" t="s">
        <v>139</v>
      </c>
      <c r="C102" s="141"/>
      <c r="D102" s="142">
        <f>2187.61+459+323.85+1130+388.49+200+1031.5+1042.55+225+119+4194+9525+1008+42+120+1827+59.9+14.5+2300+1130+156.35+150+62.16+287.8+166.25+2354+2205+1149+10969.4+2520+75+44.26+358.9+1990+799+259.45+1296+4626</f>
        <v>56795.97</v>
      </c>
      <c r="E102" s="142"/>
      <c r="F102" s="141"/>
      <c r="G102" s="30">
        <f t="shared" si="54"/>
        <v>0</v>
      </c>
      <c r="H102" s="30">
        <f t="shared" si="54"/>
        <v>50877.17</v>
      </c>
      <c r="I102" s="30">
        <f t="shared" si="54"/>
        <v>0</v>
      </c>
      <c r="J102" s="30">
        <f t="shared" ref="J102:L104" si="58">IF(BC102=0,SUM(S102+V102+Y102+AB102+AE102+AH102+AK102+AN102+AQ102+AT102+AW102+AZ102),BC102)</f>
        <v>0</v>
      </c>
      <c r="K102" s="30">
        <f t="shared" si="58"/>
        <v>50877.17</v>
      </c>
      <c r="L102" s="30">
        <f t="shared" si="58"/>
        <v>0</v>
      </c>
      <c r="M102" s="30">
        <f t="shared" si="55"/>
        <v>0</v>
      </c>
      <c r="N102" s="30">
        <f t="shared" si="55"/>
        <v>5918.8000000000029</v>
      </c>
      <c r="O102" s="30">
        <f t="shared" si="56"/>
        <v>0</v>
      </c>
      <c r="P102" s="27" t="e">
        <f>G102/C102</f>
        <v>#DIV/0!</v>
      </c>
      <c r="Q102" s="27">
        <f t="shared" si="57"/>
        <v>0.89578838076011369</v>
      </c>
      <c r="R102" s="27" t="e">
        <f t="shared" si="47"/>
        <v>#DIV/0!</v>
      </c>
      <c r="S102" s="28"/>
      <c r="T102" s="28"/>
      <c r="U102" s="28"/>
      <c r="V102" s="28"/>
      <c r="W102" s="28">
        <f>459+323.85+1130+1031.5+119+4194+2300+1130+156.35+62.16+287.8+2520+1947</f>
        <v>15660.66</v>
      </c>
      <c r="X102" s="28"/>
      <c r="Y102" s="28"/>
      <c r="Z102" s="28">
        <f>2205+4626+9525+166.25+2354+150+1296+44.26+1058.45</f>
        <v>21424.959999999999</v>
      </c>
      <c r="AA102" s="28"/>
      <c r="AB102" s="28"/>
      <c r="AC102" s="28"/>
      <c r="AD102" s="28"/>
      <c r="AE102" s="28"/>
      <c r="AF102" s="28">
        <f>10250</f>
        <v>10250</v>
      </c>
      <c r="AG102" s="28"/>
      <c r="AH102" s="28"/>
      <c r="AI102" s="28"/>
      <c r="AJ102" s="28"/>
      <c r="AK102" s="28"/>
      <c r="AL102" s="28">
        <v>75</v>
      </c>
      <c r="AM102" s="28"/>
      <c r="AN102" s="48"/>
      <c r="AO102" s="28">
        <v>1267.55</v>
      </c>
      <c r="AP102" s="28"/>
      <c r="AQ102" s="28"/>
      <c r="AR102" s="28">
        <f>1050</f>
        <v>1050</v>
      </c>
      <c r="AS102" s="28"/>
      <c r="AT102" s="28"/>
      <c r="AU102" s="28">
        <v>1149</v>
      </c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33"/>
      <c r="BG102" s="34"/>
      <c r="BH102" s="34"/>
      <c r="BI102" s="34"/>
      <c r="BJ102" s="34"/>
    </row>
    <row r="103" spans="1:62" ht="15.75" x14ac:dyDescent="0.25">
      <c r="A103" s="162"/>
      <c r="B103" s="163" t="s">
        <v>134</v>
      </c>
      <c r="C103" s="141"/>
      <c r="D103" s="141"/>
      <c r="E103" s="141"/>
      <c r="F103" s="141"/>
      <c r="G103" s="30">
        <f t="shared" si="54"/>
        <v>0</v>
      </c>
      <c r="H103" s="30">
        <f t="shared" si="54"/>
        <v>0</v>
      </c>
      <c r="I103" s="30">
        <f t="shared" si="54"/>
        <v>0</v>
      </c>
      <c r="J103" s="30">
        <f t="shared" si="58"/>
        <v>0</v>
      </c>
      <c r="K103" s="30">
        <f t="shared" si="58"/>
        <v>0</v>
      </c>
      <c r="L103" s="30">
        <f t="shared" si="58"/>
        <v>0</v>
      </c>
      <c r="M103" s="30">
        <f t="shared" si="55"/>
        <v>0</v>
      </c>
      <c r="N103" s="30">
        <f t="shared" si="55"/>
        <v>0</v>
      </c>
      <c r="O103" s="30">
        <f t="shared" si="56"/>
        <v>0</v>
      </c>
      <c r="P103" s="27" t="e">
        <f>G103/C103</f>
        <v>#DIV/0!</v>
      </c>
      <c r="Q103" s="27" t="e">
        <f t="shared" si="57"/>
        <v>#DIV/0!</v>
      </c>
      <c r="R103" s="27" t="e">
        <f t="shared" si="47"/>
        <v>#DIV/0!</v>
      </c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4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33"/>
      <c r="BG103" s="34"/>
      <c r="BH103" s="34"/>
      <c r="BI103" s="34"/>
      <c r="BJ103" s="34"/>
    </row>
    <row r="104" spans="1:62" ht="15.75" x14ac:dyDescent="0.25">
      <c r="A104" s="174" t="s">
        <v>140</v>
      </c>
      <c r="B104" s="175" t="s">
        <v>219</v>
      </c>
      <c r="C104" s="141"/>
      <c r="D104" s="141">
        <v>14660</v>
      </c>
      <c r="E104" s="141"/>
      <c r="F104" s="141"/>
      <c r="G104" s="30">
        <f t="shared" si="54"/>
        <v>0</v>
      </c>
      <c r="H104" s="30">
        <f t="shared" si="54"/>
        <v>14660</v>
      </c>
      <c r="I104" s="30">
        <f t="shared" si="54"/>
        <v>0</v>
      </c>
      <c r="J104" s="30">
        <f t="shared" si="58"/>
        <v>0</v>
      </c>
      <c r="K104" s="30">
        <f t="shared" si="58"/>
        <v>14660</v>
      </c>
      <c r="L104" s="30">
        <f t="shared" si="58"/>
        <v>0</v>
      </c>
      <c r="M104" s="30">
        <f t="shared" si="55"/>
        <v>0</v>
      </c>
      <c r="N104" s="30">
        <f t="shared" si="55"/>
        <v>0</v>
      </c>
      <c r="O104" s="30">
        <f t="shared" si="56"/>
        <v>0</v>
      </c>
      <c r="P104" s="27" t="e">
        <f>G104/C104</f>
        <v>#DIV/0!</v>
      </c>
      <c r="Q104" s="27">
        <f t="shared" si="57"/>
        <v>1</v>
      </c>
      <c r="R104" s="27" t="e">
        <f t="shared" si="47"/>
        <v>#DIV/0!</v>
      </c>
      <c r="S104" s="28"/>
      <c r="T104" s="28"/>
      <c r="U104" s="28"/>
      <c r="V104" s="28"/>
      <c r="W104" s="28"/>
      <c r="X104" s="28"/>
      <c r="Y104" s="28"/>
      <c r="Z104" s="28">
        <v>14660</v>
      </c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4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33"/>
      <c r="BG104" s="34"/>
      <c r="BH104" s="34"/>
      <c r="BI104" s="34"/>
      <c r="BJ104" s="34"/>
    </row>
    <row r="105" spans="1:62" ht="15.75" x14ac:dyDescent="0.25">
      <c r="A105" s="162"/>
      <c r="B105" s="170" t="s">
        <v>220</v>
      </c>
      <c r="C105" s="141"/>
      <c r="D105" s="141"/>
      <c r="E105" s="141"/>
      <c r="F105" s="141"/>
      <c r="G105" s="30">
        <f>S105+V105+Y105+AB105+AE105+AH105+AK105+AN105+AQ105+AT105+AW105+AZ105</f>
        <v>0</v>
      </c>
      <c r="H105" s="30">
        <f>T105+W105+Z105+AC105+AF105+AI105+AL105+AO105+AR105+AU105+AX105+BA105</f>
        <v>0</v>
      </c>
      <c r="I105" s="30">
        <f>U105+X105+AA105+AD105+AG105+AJ105+AM105+AP105+AS105+AV105+AY105+BB105</f>
        <v>610.79999999999995</v>
      </c>
      <c r="J105" s="30">
        <f t="shared" ref="J105:L139" si="59">IF(BC105=0,SUM(S105+V105+Y105+AB105+AE105+AH105+AK105+AN105+AQ105+AT105+AW105+AZ105),BC105)</f>
        <v>0</v>
      </c>
      <c r="K105" s="30">
        <f t="shared" si="59"/>
        <v>0</v>
      </c>
      <c r="L105" s="30">
        <f t="shared" si="59"/>
        <v>610.79999999999995</v>
      </c>
      <c r="M105" s="30">
        <f t="shared" si="55"/>
        <v>0</v>
      </c>
      <c r="N105" s="30">
        <f t="shared" si="55"/>
        <v>0</v>
      </c>
      <c r="O105" s="30">
        <f>F105-I105</f>
        <v>-610.79999999999995</v>
      </c>
      <c r="P105" s="27" t="e">
        <f>G105/C105</f>
        <v>#DIV/0!</v>
      </c>
      <c r="Q105" s="27" t="e">
        <f>H105/D105</f>
        <v>#DIV/0!</v>
      </c>
      <c r="R105" s="27" t="e">
        <f>I105/F105</f>
        <v>#DIV/0!</v>
      </c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4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>
        <v>610.79999999999995</v>
      </c>
      <c r="AZ105" s="28"/>
      <c r="BA105" s="28"/>
      <c r="BB105" s="28"/>
      <c r="BC105" s="28"/>
      <c r="BD105" s="28"/>
      <c r="BE105" s="28"/>
      <c r="BF105" s="33"/>
      <c r="BG105" s="34"/>
      <c r="BH105" s="34"/>
      <c r="BI105" s="34"/>
      <c r="BJ105" s="34"/>
    </row>
    <row r="106" spans="1:62" ht="15.75" x14ac:dyDescent="0.25">
      <c r="A106" s="107"/>
      <c r="B106" s="108" t="s">
        <v>141</v>
      </c>
      <c r="C106" s="109">
        <f>SUM(C107:C111)</f>
        <v>0</v>
      </c>
      <c r="D106" s="109">
        <f>SUM(D107:D111)</f>
        <v>0</v>
      </c>
      <c r="E106" s="109"/>
      <c r="F106" s="109">
        <f>SUM(F107:F111)</f>
        <v>142873.54999999999</v>
      </c>
      <c r="G106" s="109">
        <f>SUM(G107:G111)</f>
        <v>0</v>
      </c>
      <c r="H106" s="113">
        <f>SUM(H107:H111)</f>
        <v>0</v>
      </c>
      <c r="I106" s="113">
        <f>SUM(I107:I111)</f>
        <v>39920</v>
      </c>
      <c r="J106" s="113">
        <f t="shared" si="59"/>
        <v>0</v>
      </c>
      <c r="K106" s="113">
        <f t="shared" si="59"/>
        <v>0</v>
      </c>
      <c r="L106" s="113">
        <f t="shared" si="59"/>
        <v>39920</v>
      </c>
      <c r="M106" s="113">
        <f>SUM(M107:M111)</f>
        <v>0</v>
      </c>
      <c r="N106" s="113">
        <f>SUM(N107:N111)</f>
        <v>0</v>
      </c>
      <c r="O106" s="113">
        <f>SUM(O107:O111)</f>
        <v>102953.54999999999</v>
      </c>
      <c r="P106" s="113" t="e">
        <f>SUM(P107:P111)</f>
        <v>#DIV/0!</v>
      </c>
      <c r="Q106" s="113" t="e">
        <f>SUM(Q107:Q111)</f>
        <v>#DIV/0!</v>
      </c>
      <c r="R106" s="113" t="e">
        <f>SUM(R107:R111)</f>
        <v>#DIV/0!</v>
      </c>
      <c r="S106" s="109">
        <f>SUM(S107:S111)</f>
        <v>0</v>
      </c>
      <c r="T106" s="109">
        <f>SUM(T107:T111)</f>
        <v>0</v>
      </c>
      <c r="U106" s="109">
        <f>SUM(U107:U111)</f>
        <v>0</v>
      </c>
      <c r="V106" s="109">
        <f>SUM(V107:V111)</f>
        <v>0</v>
      </c>
      <c r="W106" s="109">
        <f>SUM(W107:W111)</f>
        <v>0</v>
      </c>
      <c r="X106" s="109">
        <f>SUM(X107:X111)</f>
        <v>0</v>
      </c>
      <c r="Y106" s="109">
        <f>SUM(Y107:Y111)</f>
        <v>0</v>
      </c>
      <c r="Z106" s="109">
        <f>SUM(Z107:Z111)</f>
        <v>0</v>
      </c>
      <c r="AA106" s="109">
        <f>SUM(AA107:AA111)</f>
        <v>0</v>
      </c>
      <c r="AB106" s="109">
        <f>SUM(AB107:AB111)</f>
        <v>0</v>
      </c>
      <c r="AC106" s="109">
        <f>SUM(AC107:AC111)</f>
        <v>0</v>
      </c>
      <c r="AD106" s="109">
        <f>SUM(AD107:AD111)</f>
        <v>11360</v>
      </c>
      <c r="AE106" s="109">
        <f>SUM(AE107:AE111)</f>
        <v>0</v>
      </c>
      <c r="AF106" s="109">
        <f>SUM(AF107:AF111)</f>
        <v>0</v>
      </c>
      <c r="AG106" s="109">
        <f>SUM(AG107:AG111)</f>
        <v>13760</v>
      </c>
      <c r="AH106" s="109">
        <f>SUM(AH107:AH111)</f>
        <v>0</v>
      </c>
      <c r="AI106" s="109">
        <f>SUM(AI107:AI111)</f>
        <v>0</v>
      </c>
      <c r="AJ106" s="109">
        <f>SUM(AJ107:AJ111)</f>
        <v>14800</v>
      </c>
      <c r="AK106" s="109">
        <f>SUM(AK107:AK111)</f>
        <v>0</v>
      </c>
      <c r="AL106" s="109">
        <f>SUM(AL107:AL111)</f>
        <v>0</v>
      </c>
      <c r="AM106" s="109">
        <f>SUM(AM107:AM111)</f>
        <v>0</v>
      </c>
      <c r="AN106" s="109">
        <f>SUM(AN107:AN111)</f>
        <v>0</v>
      </c>
      <c r="AO106" s="109">
        <f>SUM(AO107:AO111)</f>
        <v>0</v>
      </c>
      <c r="AP106" s="109">
        <f>SUM(AP107:AP111)</f>
        <v>0</v>
      </c>
      <c r="AQ106" s="109">
        <f>SUM(AQ107:AQ111)</f>
        <v>0</v>
      </c>
      <c r="AR106" s="109">
        <f>SUM(AR107:AR111)</f>
        <v>0</v>
      </c>
      <c r="AS106" s="109">
        <f>SUM(AS107:AS111)</f>
        <v>0</v>
      </c>
      <c r="AT106" s="109">
        <f>SUM(AT107:AT111)</f>
        <v>0</v>
      </c>
      <c r="AU106" s="109">
        <f>SUM(AU107:AU111)</f>
        <v>0</v>
      </c>
      <c r="AV106" s="109">
        <f>SUM(AV107:AV111)</f>
        <v>0</v>
      </c>
      <c r="AW106" s="109">
        <f>SUM(AW107:AW111)</f>
        <v>0</v>
      </c>
      <c r="AX106" s="109">
        <f>SUM(AX107:AX111)</f>
        <v>0</v>
      </c>
      <c r="AY106" s="109">
        <f>SUM(AY107:AY111)</f>
        <v>0</v>
      </c>
      <c r="AZ106" s="109">
        <f>SUM(AZ107:AZ111)</f>
        <v>0</v>
      </c>
      <c r="BA106" s="109">
        <f>SUM(BA107:BA111)</f>
        <v>0</v>
      </c>
      <c r="BB106" s="109">
        <f>SUM(BB107:BB111)</f>
        <v>0</v>
      </c>
      <c r="BC106" s="109">
        <f>SUM(BC107:BC111)</f>
        <v>0</v>
      </c>
      <c r="BD106" s="109">
        <f>SUM(BD107:BD111)</f>
        <v>0</v>
      </c>
      <c r="BE106" s="109">
        <f>SUM(BE107:BE111)</f>
        <v>0</v>
      </c>
      <c r="BF106" s="111"/>
      <c r="BG106" s="112"/>
      <c r="BH106" s="112"/>
      <c r="BI106" s="112"/>
      <c r="BJ106" s="112"/>
    </row>
    <row r="107" spans="1:62" ht="31.5" x14ac:dyDescent="0.25">
      <c r="A107" s="162" t="s">
        <v>142</v>
      </c>
      <c r="B107" s="171" t="s">
        <v>143</v>
      </c>
      <c r="C107" s="141"/>
      <c r="D107" s="141"/>
      <c r="E107" s="141"/>
      <c r="F107" s="141">
        <f>11360+14640+13920+102953.55</f>
        <v>142873.54999999999</v>
      </c>
      <c r="G107" s="30">
        <f t="shared" ref="G107:I111" si="60">S107+V107+Y107+AB107+AE107+AH107+AK107+AN107+AQ107+AT107+AW107+AZ107</f>
        <v>0</v>
      </c>
      <c r="H107" s="30">
        <f t="shared" si="60"/>
        <v>0</v>
      </c>
      <c r="I107" s="30">
        <f t="shared" si="60"/>
        <v>39920</v>
      </c>
      <c r="J107" s="30">
        <f t="shared" si="59"/>
        <v>0</v>
      </c>
      <c r="K107" s="30">
        <f t="shared" si="59"/>
        <v>0</v>
      </c>
      <c r="L107" s="30">
        <f t="shared" si="59"/>
        <v>39920</v>
      </c>
      <c r="M107" s="30">
        <f t="shared" ref="M107:N111" si="61">C107-G107</f>
        <v>0</v>
      </c>
      <c r="N107" s="30">
        <f t="shared" si="61"/>
        <v>0</v>
      </c>
      <c r="O107" s="30">
        <f t="shared" ref="O107:O111" si="62">F107-I107</f>
        <v>102953.54999999999</v>
      </c>
      <c r="P107" s="32" t="e">
        <f t="shared" ref="P107:Q111" si="63">G107/C107</f>
        <v>#DIV/0!</v>
      </c>
      <c r="Q107" s="32" t="e">
        <f t="shared" si="63"/>
        <v>#DIV/0!</v>
      </c>
      <c r="R107" s="32">
        <f t="shared" ref="R107:R111" si="64">I107/F107</f>
        <v>0.27940791000153636</v>
      </c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>
        <f>11360</f>
        <v>11360</v>
      </c>
      <c r="AE107" s="28"/>
      <c r="AF107" s="28"/>
      <c r="AG107" s="28">
        <f>-11360+10480+14640</f>
        <v>13760</v>
      </c>
      <c r="AH107" s="28"/>
      <c r="AI107" s="28"/>
      <c r="AJ107" s="28">
        <v>14800</v>
      </c>
      <c r="AK107" s="28"/>
      <c r="AL107" s="28"/>
      <c r="AM107" s="28"/>
      <c r="AN107" s="4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33"/>
      <c r="BG107" s="34"/>
      <c r="BH107" s="34"/>
      <c r="BI107" s="34"/>
      <c r="BJ107" s="34"/>
    </row>
    <row r="108" spans="1:62" ht="15.75" hidden="1" customHeight="1" x14ac:dyDescent="0.25">
      <c r="A108" s="25" t="s">
        <v>142</v>
      </c>
      <c r="B108" s="52" t="s">
        <v>144</v>
      </c>
      <c r="C108" s="28"/>
      <c r="D108" s="28"/>
      <c r="E108" s="28"/>
      <c r="F108" s="19"/>
      <c r="G108" s="30">
        <f t="shared" si="60"/>
        <v>0</v>
      </c>
      <c r="H108" s="30">
        <f t="shared" si="60"/>
        <v>0</v>
      </c>
      <c r="I108" s="30">
        <f t="shared" si="60"/>
        <v>0</v>
      </c>
      <c r="J108" s="30">
        <f t="shared" si="59"/>
        <v>0</v>
      </c>
      <c r="K108" s="30">
        <f t="shared" si="59"/>
        <v>0</v>
      </c>
      <c r="L108" s="30">
        <f t="shared" si="59"/>
        <v>0</v>
      </c>
      <c r="M108" s="30">
        <f t="shared" si="61"/>
        <v>0</v>
      </c>
      <c r="N108" s="30">
        <f t="shared" si="61"/>
        <v>0</v>
      </c>
      <c r="O108" s="30">
        <f t="shared" si="62"/>
        <v>0</v>
      </c>
      <c r="P108" s="32" t="e">
        <f t="shared" si="63"/>
        <v>#DIV/0!</v>
      </c>
      <c r="Q108" s="32" t="e">
        <f t="shared" si="63"/>
        <v>#DIV/0!</v>
      </c>
      <c r="R108" s="32" t="e">
        <f t="shared" si="64"/>
        <v>#DIV/0!</v>
      </c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9"/>
      <c r="AD108" s="28"/>
      <c r="AE108" s="28"/>
      <c r="AF108" s="29"/>
      <c r="AG108" s="28"/>
      <c r="AH108" s="28"/>
      <c r="AI108" s="29"/>
      <c r="AJ108" s="29"/>
      <c r="AK108" s="28"/>
      <c r="AL108" s="28"/>
      <c r="AM108" s="29"/>
      <c r="AN108" s="28"/>
      <c r="AO108" s="29"/>
      <c r="AP108" s="29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33"/>
      <c r="BG108" s="34"/>
      <c r="BH108" s="34"/>
      <c r="BI108" s="34"/>
      <c r="BJ108" s="34"/>
    </row>
    <row r="109" spans="1:62" ht="15.75" hidden="1" customHeight="1" x14ac:dyDescent="0.25">
      <c r="A109" s="25" t="s">
        <v>142</v>
      </c>
      <c r="B109" s="52" t="s">
        <v>145</v>
      </c>
      <c r="C109" s="28"/>
      <c r="D109" s="28"/>
      <c r="E109" s="28"/>
      <c r="F109" s="28"/>
      <c r="G109" s="30">
        <f t="shared" si="60"/>
        <v>0</v>
      </c>
      <c r="H109" s="30">
        <f t="shared" si="60"/>
        <v>0</v>
      </c>
      <c r="I109" s="30">
        <f t="shared" si="60"/>
        <v>0</v>
      </c>
      <c r="J109" s="30">
        <f t="shared" si="59"/>
        <v>0</v>
      </c>
      <c r="K109" s="30">
        <f t="shared" si="59"/>
        <v>0</v>
      </c>
      <c r="L109" s="30">
        <f t="shared" si="59"/>
        <v>0</v>
      </c>
      <c r="M109" s="30">
        <f t="shared" si="61"/>
        <v>0</v>
      </c>
      <c r="N109" s="30">
        <f t="shared" si="61"/>
        <v>0</v>
      </c>
      <c r="O109" s="30">
        <f t="shared" si="62"/>
        <v>0</v>
      </c>
      <c r="P109" s="32" t="e">
        <f t="shared" si="63"/>
        <v>#DIV/0!</v>
      </c>
      <c r="Q109" s="32" t="e">
        <f t="shared" si="63"/>
        <v>#DIV/0!</v>
      </c>
      <c r="R109" s="32" t="e">
        <f t="shared" si="64"/>
        <v>#DIV/0!</v>
      </c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9"/>
      <c r="AD109" s="28"/>
      <c r="AE109" s="28"/>
      <c r="AF109" s="29"/>
      <c r="AG109" s="28"/>
      <c r="AH109" s="28"/>
      <c r="AI109" s="29"/>
      <c r="AJ109" s="29"/>
      <c r="AK109" s="28"/>
      <c r="AL109" s="28"/>
      <c r="AM109" s="29"/>
      <c r="AN109" s="28"/>
      <c r="AO109" s="29"/>
      <c r="AP109" s="29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33"/>
      <c r="BG109" s="34"/>
      <c r="BH109" s="34"/>
      <c r="BI109" s="34"/>
      <c r="BJ109" s="34"/>
    </row>
    <row r="110" spans="1:62" ht="15.75" hidden="1" customHeight="1" x14ac:dyDescent="0.25">
      <c r="A110" s="25" t="s">
        <v>142</v>
      </c>
      <c r="B110" s="52" t="s">
        <v>146</v>
      </c>
      <c r="C110" s="28"/>
      <c r="D110" s="28"/>
      <c r="E110" s="28"/>
      <c r="F110" s="28"/>
      <c r="G110" s="30">
        <f t="shared" si="60"/>
        <v>0</v>
      </c>
      <c r="H110" s="30">
        <f t="shared" si="60"/>
        <v>0</v>
      </c>
      <c r="I110" s="30">
        <f t="shared" si="60"/>
        <v>0</v>
      </c>
      <c r="J110" s="30">
        <f t="shared" si="59"/>
        <v>0</v>
      </c>
      <c r="K110" s="30">
        <f t="shared" si="59"/>
        <v>0</v>
      </c>
      <c r="L110" s="30">
        <f t="shared" si="59"/>
        <v>0</v>
      </c>
      <c r="M110" s="30">
        <f t="shared" si="61"/>
        <v>0</v>
      </c>
      <c r="N110" s="30">
        <f t="shared" si="61"/>
        <v>0</v>
      </c>
      <c r="O110" s="30">
        <f t="shared" si="62"/>
        <v>0</v>
      </c>
      <c r="P110" s="32" t="e">
        <f t="shared" si="63"/>
        <v>#DIV/0!</v>
      </c>
      <c r="Q110" s="32" t="e">
        <f t="shared" si="63"/>
        <v>#DIV/0!</v>
      </c>
      <c r="R110" s="32" t="e">
        <f t="shared" si="64"/>
        <v>#DIV/0!</v>
      </c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9"/>
      <c r="AD110" s="28"/>
      <c r="AE110" s="28"/>
      <c r="AF110" s="29"/>
      <c r="AG110" s="28"/>
      <c r="AH110" s="28"/>
      <c r="AI110" s="29"/>
      <c r="AJ110" s="29"/>
      <c r="AK110" s="28"/>
      <c r="AL110" s="28"/>
      <c r="AM110" s="29"/>
      <c r="AN110" s="28"/>
      <c r="AO110" s="29"/>
      <c r="AP110" s="29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33"/>
      <c r="BG110" s="34"/>
      <c r="BH110" s="34"/>
      <c r="BI110" s="34"/>
      <c r="BJ110" s="34"/>
    </row>
    <row r="111" spans="1:62" ht="15.75" hidden="1" customHeight="1" x14ac:dyDescent="0.25">
      <c r="A111" s="25" t="s">
        <v>147</v>
      </c>
      <c r="B111" s="52" t="s">
        <v>148</v>
      </c>
      <c r="C111" s="28"/>
      <c r="D111" s="28"/>
      <c r="E111" s="28"/>
      <c r="F111" s="114"/>
      <c r="G111" s="30">
        <f t="shared" si="60"/>
        <v>0</v>
      </c>
      <c r="H111" s="30">
        <f t="shared" si="60"/>
        <v>0</v>
      </c>
      <c r="I111" s="30">
        <f t="shared" si="60"/>
        <v>0</v>
      </c>
      <c r="J111" s="30">
        <f t="shared" si="59"/>
        <v>0</v>
      </c>
      <c r="K111" s="30">
        <f t="shared" si="59"/>
        <v>0</v>
      </c>
      <c r="L111" s="30">
        <f t="shared" si="59"/>
        <v>0</v>
      </c>
      <c r="M111" s="30">
        <f t="shared" si="61"/>
        <v>0</v>
      </c>
      <c r="N111" s="30">
        <f t="shared" si="61"/>
        <v>0</v>
      </c>
      <c r="O111" s="30">
        <f t="shared" si="62"/>
        <v>0</v>
      </c>
      <c r="P111" s="32" t="e">
        <f t="shared" si="63"/>
        <v>#DIV/0!</v>
      </c>
      <c r="Q111" s="32" t="e">
        <f t="shared" si="63"/>
        <v>#DIV/0!</v>
      </c>
      <c r="R111" s="32" t="e">
        <f t="shared" si="64"/>
        <v>#DIV/0!</v>
      </c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33"/>
      <c r="BG111" s="34"/>
      <c r="BH111" s="34"/>
      <c r="BI111" s="34"/>
      <c r="BJ111" s="34"/>
    </row>
    <row r="112" spans="1:62" ht="15.75" hidden="1" customHeight="1" x14ac:dyDescent="0.25">
      <c r="A112" s="107"/>
      <c r="B112" s="115" t="s">
        <v>149</v>
      </c>
      <c r="C112" s="116">
        <f t="shared" ref="C112:I112" si="65">SUM(C113:C115)</f>
        <v>0</v>
      </c>
      <c r="D112" s="116">
        <f t="shared" si="65"/>
        <v>0</v>
      </c>
      <c r="E112" s="116"/>
      <c r="F112" s="116">
        <f t="shared" si="65"/>
        <v>0</v>
      </c>
      <c r="G112" s="116">
        <f t="shared" si="65"/>
        <v>0</v>
      </c>
      <c r="H112" s="117">
        <f t="shared" si="65"/>
        <v>0</v>
      </c>
      <c r="I112" s="117">
        <f t="shared" si="65"/>
        <v>0</v>
      </c>
      <c r="J112" s="117">
        <f t="shared" si="59"/>
        <v>0</v>
      </c>
      <c r="K112" s="117">
        <f t="shared" si="59"/>
        <v>0</v>
      </c>
      <c r="L112" s="117">
        <f t="shared" si="59"/>
        <v>0</v>
      </c>
      <c r="M112" s="116">
        <f t="shared" ref="M112:BE112" si="66">SUM(M113:M115)</f>
        <v>0</v>
      </c>
      <c r="N112" s="84">
        <f t="shared" si="66"/>
        <v>0</v>
      </c>
      <c r="O112" s="84">
        <f t="shared" si="66"/>
        <v>0</v>
      </c>
      <c r="P112" s="84" t="e">
        <f t="shared" si="66"/>
        <v>#DIV/0!</v>
      </c>
      <c r="Q112" s="84" t="e">
        <f t="shared" si="66"/>
        <v>#DIV/0!</v>
      </c>
      <c r="R112" s="84" t="e">
        <f t="shared" si="66"/>
        <v>#DIV/0!</v>
      </c>
      <c r="S112" s="116">
        <f t="shared" si="66"/>
        <v>0</v>
      </c>
      <c r="T112" s="116">
        <f t="shared" si="66"/>
        <v>0</v>
      </c>
      <c r="U112" s="116">
        <f t="shared" si="66"/>
        <v>0</v>
      </c>
      <c r="V112" s="116">
        <f t="shared" si="66"/>
        <v>0</v>
      </c>
      <c r="W112" s="116">
        <f t="shared" si="66"/>
        <v>0</v>
      </c>
      <c r="X112" s="116">
        <f t="shared" si="66"/>
        <v>0</v>
      </c>
      <c r="Y112" s="116">
        <f t="shared" si="66"/>
        <v>0</v>
      </c>
      <c r="Z112" s="116">
        <f t="shared" si="66"/>
        <v>0</v>
      </c>
      <c r="AA112" s="116">
        <f t="shared" si="66"/>
        <v>0</v>
      </c>
      <c r="AB112" s="116">
        <f t="shared" si="66"/>
        <v>0</v>
      </c>
      <c r="AC112" s="116">
        <f t="shared" si="66"/>
        <v>0</v>
      </c>
      <c r="AD112" s="116">
        <f t="shared" si="66"/>
        <v>0</v>
      </c>
      <c r="AE112" s="116">
        <f t="shared" si="66"/>
        <v>0</v>
      </c>
      <c r="AF112" s="116">
        <f t="shared" si="66"/>
        <v>0</v>
      </c>
      <c r="AG112" s="116">
        <f t="shared" si="66"/>
        <v>0</v>
      </c>
      <c r="AH112" s="116">
        <f t="shared" si="66"/>
        <v>0</v>
      </c>
      <c r="AI112" s="116">
        <f t="shared" si="66"/>
        <v>0</v>
      </c>
      <c r="AJ112" s="116">
        <f t="shared" si="66"/>
        <v>0</v>
      </c>
      <c r="AK112" s="116">
        <f t="shared" si="66"/>
        <v>0</v>
      </c>
      <c r="AL112" s="116">
        <f t="shared" si="66"/>
        <v>0</v>
      </c>
      <c r="AM112" s="116">
        <f t="shared" si="66"/>
        <v>0</v>
      </c>
      <c r="AN112" s="116">
        <f t="shared" si="66"/>
        <v>0</v>
      </c>
      <c r="AO112" s="116">
        <f t="shared" si="66"/>
        <v>0</v>
      </c>
      <c r="AP112" s="116">
        <f t="shared" si="66"/>
        <v>0</v>
      </c>
      <c r="AQ112" s="116">
        <f t="shared" si="66"/>
        <v>0</v>
      </c>
      <c r="AR112" s="116">
        <f t="shared" si="66"/>
        <v>0</v>
      </c>
      <c r="AS112" s="116">
        <f t="shared" si="66"/>
        <v>0</v>
      </c>
      <c r="AT112" s="116">
        <f t="shared" si="66"/>
        <v>0</v>
      </c>
      <c r="AU112" s="116">
        <f t="shared" si="66"/>
        <v>0</v>
      </c>
      <c r="AV112" s="116">
        <f t="shared" si="66"/>
        <v>0</v>
      </c>
      <c r="AW112" s="116">
        <f t="shared" si="66"/>
        <v>0</v>
      </c>
      <c r="AX112" s="116">
        <f t="shared" si="66"/>
        <v>0</v>
      </c>
      <c r="AY112" s="116">
        <f t="shared" si="66"/>
        <v>0</v>
      </c>
      <c r="AZ112" s="116">
        <f t="shared" si="66"/>
        <v>0</v>
      </c>
      <c r="BA112" s="116">
        <f t="shared" si="66"/>
        <v>0</v>
      </c>
      <c r="BB112" s="116">
        <f t="shared" si="66"/>
        <v>0</v>
      </c>
      <c r="BC112" s="116">
        <f t="shared" si="66"/>
        <v>0</v>
      </c>
      <c r="BD112" s="116">
        <f t="shared" si="66"/>
        <v>0</v>
      </c>
      <c r="BE112" s="116">
        <f t="shared" si="66"/>
        <v>0</v>
      </c>
      <c r="BF112" s="111"/>
      <c r="BG112" s="112"/>
      <c r="BH112" s="112"/>
      <c r="BI112" s="112"/>
      <c r="BJ112" s="112"/>
    </row>
    <row r="113" spans="1:62" ht="15.75" hidden="1" customHeight="1" x14ac:dyDescent="0.25">
      <c r="A113" s="35" t="s">
        <v>150</v>
      </c>
      <c r="B113" s="26" t="s">
        <v>151</v>
      </c>
      <c r="C113" s="28"/>
      <c r="D113" s="28"/>
      <c r="E113" s="28"/>
      <c r="F113" s="28"/>
      <c r="G113" s="30">
        <f t="shared" ref="G113:I115" si="67">S113+V113+Y113+AB113+AE113+AH113+AK113+AN113+AQ113+AT113+AW113+AZ113</f>
        <v>0</v>
      </c>
      <c r="H113" s="30">
        <f t="shared" si="67"/>
        <v>0</v>
      </c>
      <c r="I113" s="30">
        <f t="shared" si="67"/>
        <v>0</v>
      </c>
      <c r="J113" s="30">
        <f t="shared" si="59"/>
        <v>0</v>
      </c>
      <c r="K113" s="30">
        <f t="shared" si="59"/>
        <v>0</v>
      </c>
      <c r="L113" s="30">
        <f t="shared" si="59"/>
        <v>0</v>
      </c>
      <c r="M113" s="30">
        <f t="shared" ref="M113:N115" si="68">C113-G113</f>
        <v>0</v>
      </c>
      <c r="N113" s="30">
        <f t="shared" si="68"/>
        <v>0</v>
      </c>
      <c r="O113" s="30">
        <f t="shared" ref="O113:O115" si="69">F113-I113</f>
        <v>0</v>
      </c>
      <c r="P113" s="32" t="e">
        <f t="shared" ref="P113:Q115" si="70">G113/C113</f>
        <v>#DIV/0!</v>
      </c>
      <c r="Q113" s="32" t="e">
        <f t="shared" si="70"/>
        <v>#DIV/0!</v>
      </c>
      <c r="R113" s="32" t="e">
        <f t="shared" ref="R113:R115" si="71">I113/F113</f>
        <v>#DIV/0!</v>
      </c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33"/>
      <c r="BG113" s="34"/>
      <c r="BH113" s="34"/>
      <c r="BI113" s="34"/>
      <c r="BJ113" s="34"/>
    </row>
    <row r="114" spans="1:62" ht="15.75" hidden="1" customHeight="1" x14ac:dyDescent="0.25">
      <c r="A114" s="35" t="s">
        <v>150</v>
      </c>
      <c r="B114" s="36" t="s">
        <v>152</v>
      </c>
      <c r="C114" s="92"/>
      <c r="D114" s="28"/>
      <c r="E114" s="28"/>
      <c r="F114" s="92"/>
      <c r="G114" s="30">
        <f t="shared" si="67"/>
        <v>0</v>
      </c>
      <c r="H114" s="30">
        <f t="shared" si="67"/>
        <v>0</v>
      </c>
      <c r="I114" s="30">
        <f t="shared" si="67"/>
        <v>0</v>
      </c>
      <c r="J114" s="30">
        <f t="shared" si="59"/>
        <v>0</v>
      </c>
      <c r="K114" s="30">
        <f t="shared" si="59"/>
        <v>0</v>
      </c>
      <c r="L114" s="30">
        <f t="shared" si="59"/>
        <v>0</v>
      </c>
      <c r="M114" s="30">
        <f t="shared" si="68"/>
        <v>0</v>
      </c>
      <c r="N114" s="30">
        <f t="shared" si="68"/>
        <v>0</v>
      </c>
      <c r="O114" s="30">
        <f t="shared" si="69"/>
        <v>0</v>
      </c>
      <c r="P114" s="32" t="e">
        <f t="shared" si="70"/>
        <v>#DIV/0!</v>
      </c>
      <c r="Q114" s="32" t="e">
        <f t="shared" si="70"/>
        <v>#DIV/0!</v>
      </c>
      <c r="R114" s="32" t="e">
        <f t="shared" si="71"/>
        <v>#DIV/0!</v>
      </c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33"/>
      <c r="BG114" s="34"/>
      <c r="BH114" s="34"/>
      <c r="BI114" s="34"/>
      <c r="BJ114" s="34"/>
    </row>
    <row r="115" spans="1:62" ht="15.75" hidden="1" customHeight="1" x14ac:dyDescent="0.25">
      <c r="A115" s="25"/>
      <c r="B115" s="36" t="s">
        <v>152</v>
      </c>
      <c r="C115" s="28"/>
      <c r="D115" s="28"/>
      <c r="E115" s="28"/>
      <c r="F115" s="118"/>
      <c r="G115" s="30">
        <f t="shared" si="67"/>
        <v>0</v>
      </c>
      <c r="H115" s="30">
        <f t="shared" si="67"/>
        <v>0</v>
      </c>
      <c r="I115" s="30">
        <f t="shared" si="67"/>
        <v>0</v>
      </c>
      <c r="J115" s="30">
        <f t="shared" si="59"/>
        <v>0</v>
      </c>
      <c r="K115" s="30">
        <f t="shared" si="59"/>
        <v>0</v>
      </c>
      <c r="L115" s="30">
        <f t="shared" si="59"/>
        <v>0</v>
      </c>
      <c r="M115" s="30">
        <f t="shared" si="68"/>
        <v>0</v>
      </c>
      <c r="N115" s="30">
        <f t="shared" si="68"/>
        <v>0</v>
      </c>
      <c r="O115" s="30">
        <f t="shared" si="69"/>
        <v>0</v>
      </c>
      <c r="P115" s="32" t="e">
        <f t="shared" si="70"/>
        <v>#DIV/0!</v>
      </c>
      <c r="Q115" s="32" t="e">
        <f t="shared" si="70"/>
        <v>#DIV/0!</v>
      </c>
      <c r="R115" s="32" t="e">
        <f t="shared" si="71"/>
        <v>#DIV/0!</v>
      </c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33"/>
      <c r="BG115" s="34"/>
      <c r="BH115" s="34"/>
      <c r="BI115" s="34"/>
      <c r="BJ115" s="34"/>
    </row>
    <row r="116" spans="1:62" ht="15.75" customHeight="1" x14ac:dyDescent="0.25">
      <c r="A116" s="107"/>
      <c r="B116" s="115" t="s">
        <v>153</v>
      </c>
      <c r="C116" s="116">
        <f t="shared" ref="C116:I116" si="72">SUM(C117:C119)</f>
        <v>0</v>
      </c>
      <c r="D116" s="116">
        <f t="shared" si="72"/>
        <v>0</v>
      </c>
      <c r="E116" s="116"/>
      <c r="F116" s="116">
        <f t="shared" si="72"/>
        <v>88551.73000000001</v>
      </c>
      <c r="G116" s="122">
        <f t="shared" si="72"/>
        <v>0</v>
      </c>
      <c r="H116" s="122">
        <f t="shared" si="72"/>
        <v>0</v>
      </c>
      <c r="I116" s="122">
        <f t="shared" si="72"/>
        <v>2147</v>
      </c>
      <c r="J116" s="122">
        <f t="shared" si="59"/>
        <v>0</v>
      </c>
      <c r="K116" s="122">
        <f t="shared" si="59"/>
        <v>0</v>
      </c>
      <c r="L116" s="122">
        <f t="shared" si="59"/>
        <v>2147</v>
      </c>
      <c r="M116" s="116">
        <f t="shared" ref="M116:BE116" si="73">SUM(M117:M119)</f>
        <v>0</v>
      </c>
      <c r="N116" s="84">
        <f t="shared" si="73"/>
        <v>0</v>
      </c>
      <c r="O116" s="84">
        <f t="shared" si="73"/>
        <v>86404.73000000001</v>
      </c>
      <c r="P116" s="84" t="e">
        <f t="shared" si="73"/>
        <v>#DIV/0!</v>
      </c>
      <c r="Q116" s="84" t="e">
        <f t="shared" si="73"/>
        <v>#DIV/0!</v>
      </c>
      <c r="R116" s="84" t="e">
        <f t="shared" si="73"/>
        <v>#DIV/0!</v>
      </c>
      <c r="S116" s="116">
        <f t="shared" si="73"/>
        <v>0</v>
      </c>
      <c r="T116" s="116">
        <f t="shared" si="73"/>
        <v>0</v>
      </c>
      <c r="U116" s="116">
        <f t="shared" si="73"/>
        <v>0</v>
      </c>
      <c r="V116" s="116">
        <f t="shared" si="73"/>
        <v>0</v>
      </c>
      <c r="W116" s="116">
        <f t="shared" si="73"/>
        <v>0</v>
      </c>
      <c r="X116" s="116">
        <f t="shared" si="73"/>
        <v>0</v>
      </c>
      <c r="Y116" s="116">
        <f t="shared" si="73"/>
        <v>0</v>
      </c>
      <c r="Z116" s="116">
        <f t="shared" si="73"/>
        <v>0</v>
      </c>
      <c r="AA116" s="116">
        <f t="shared" si="73"/>
        <v>0</v>
      </c>
      <c r="AB116" s="116">
        <f t="shared" si="73"/>
        <v>0</v>
      </c>
      <c r="AC116" s="116">
        <f t="shared" si="73"/>
        <v>0</v>
      </c>
      <c r="AD116" s="116">
        <f t="shared" si="73"/>
        <v>0</v>
      </c>
      <c r="AE116" s="116">
        <f t="shared" si="73"/>
        <v>0</v>
      </c>
      <c r="AF116" s="116">
        <f t="shared" si="73"/>
        <v>0</v>
      </c>
      <c r="AG116" s="116">
        <f t="shared" si="73"/>
        <v>0</v>
      </c>
      <c r="AH116" s="116">
        <f t="shared" si="73"/>
        <v>0</v>
      </c>
      <c r="AI116" s="116">
        <f t="shared" si="73"/>
        <v>0</v>
      </c>
      <c r="AJ116" s="116">
        <f t="shared" si="73"/>
        <v>0</v>
      </c>
      <c r="AK116" s="116">
        <f t="shared" si="73"/>
        <v>0</v>
      </c>
      <c r="AL116" s="116">
        <f t="shared" si="73"/>
        <v>0</v>
      </c>
      <c r="AM116" s="116">
        <f t="shared" si="73"/>
        <v>0</v>
      </c>
      <c r="AN116" s="116">
        <f t="shared" si="73"/>
        <v>0</v>
      </c>
      <c r="AO116" s="116">
        <f t="shared" si="73"/>
        <v>0</v>
      </c>
      <c r="AP116" s="116">
        <f t="shared" si="73"/>
        <v>0</v>
      </c>
      <c r="AQ116" s="116">
        <f t="shared" si="73"/>
        <v>0</v>
      </c>
      <c r="AR116" s="116">
        <f t="shared" si="73"/>
        <v>0</v>
      </c>
      <c r="AS116" s="116">
        <f t="shared" si="73"/>
        <v>0</v>
      </c>
      <c r="AT116" s="116">
        <f t="shared" si="73"/>
        <v>0</v>
      </c>
      <c r="AU116" s="116">
        <f t="shared" si="73"/>
        <v>0</v>
      </c>
      <c r="AV116" s="116">
        <f t="shared" si="73"/>
        <v>0</v>
      </c>
      <c r="AW116" s="116">
        <f t="shared" si="73"/>
        <v>0</v>
      </c>
      <c r="AX116" s="116">
        <f t="shared" si="73"/>
        <v>0</v>
      </c>
      <c r="AY116" s="116">
        <f t="shared" si="73"/>
        <v>2147</v>
      </c>
      <c r="AZ116" s="116">
        <f t="shared" si="73"/>
        <v>0</v>
      </c>
      <c r="BA116" s="116">
        <f t="shared" si="73"/>
        <v>0</v>
      </c>
      <c r="BB116" s="116">
        <f t="shared" si="73"/>
        <v>0</v>
      </c>
      <c r="BC116" s="116">
        <f t="shared" si="73"/>
        <v>0</v>
      </c>
      <c r="BD116" s="116">
        <f t="shared" si="73"/>
        <v>0</v>
      </c>
      <c r="BE116" s="116">
        <f t="shared" si="73"/>
        <v>0</v>
      </c>
      <c r="BF116" s="111"/>
      <c r="BG116" s="112"/>
      <c r="BH116" s="112"/>
      <c r="BI116" s="112"/>
      <c r="BJ116" s="112"/>
    </row>
    <row r="117" spans="1:62" ht="15.75" customHeight="1" x14ac:dyDescent="0.25">
      <c r="A117" s="162" t="s">
        <v>150</v>
      </c>
      <c r="B117" s="176" t="s">
        <v>154</v>
      </c>
      <c r="C117" s="141"/>
      <c r="D117" s="141"/>
      <c r="E117" s="141"/>
      <c r="F117" s="141"/>
      <c r="G117" s="30">
        <f t="shared" ref="G117:I119" si="74">S117+V117+Y117+AB117+AE117+AH117+AK117+AN117+AQ117+AT117+AW117+AZ117</f>
        <v>0</v>
      </c>
      <c r="H117" s="30">
        <f t="shared" si="74"/>
        <v>0</v>
      </c>
      <c r="I117" s="30">
        <f t="shared" si="74"/>
        <v>0</v>
      </c>
      <c r="J117" s="30">
        <f t="shared" si="59"/>
        <v>0</v>
      </c>
      <c r="K117" s="30">
        <f t="shared" si="59"/>
        <v>0</v>
      </c>
      <c r="L117" s="30">
        <f t="shared" si="59"/>
        <v>0</v>
      </c>
      <c r="M117" s="30">
        <f t="shared" ref="M117:N119" si="75">C117-G117</f>
        <v>0</v>
      </c>
      <c r="N117" s="30">
        <f t="shared" si="75"/>
        <v>0</v>
      </c>
      <c r="O117" s="30">
        <f t="shared" ref="O117:O119" si="76">F117-I117</f>
        <v>0</v>
      </c>
      <c r="P117" s="32" t="e">
        <f t="shared" ref="P117:Q139" si="77">G117/C117</f>
        <v>#DIV/0!</v>
      </c>
      <c r="Q117" s="32" t="e">
        <f t="shared" si="77"/>
        <v>#DIV/0!</v>
      </c>
      <c r="R117" s="32" t="e">
        <f t="shared" ref="R117:R143" si="78">I117/F117</f>
        <v>#DIV/0!</v>
      </c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33"/>
      <c r="BG117" s="34"/>
      <c r="BH117" s="34"/>
      <c r="BI117" s="34"/>
      <c r="BJ117" s="34"/>
    </row>
    <row r="118" spans="1:62" ht="15.75" customHeight="1" x14ac:dyDescent="0.25">
      <c r="A118" s="162" t="s">
        <v>147</v>
      </c>
      <c r="B118" s="170" t="s">
        <v>155</v>
      </c>
      <c r="C118" s="149"/>
      <c r="D118" s="141"/>
      <c r="E118" s="141"/>
      <c r="F118" s="141">
        <f>1806.49+14161.16+2147+50205.9+3498.48+1353.07+1790.92+1093.89+1947+1491.6+9056.22</f>
        <v>88551.73000000001</v>
      </c>
      <c r="G118" s="30">
        <f t="shared" si="74"/>
        <v>0</v>
      </c>
      <c r="H118" s="30">
        <f t="shared" si="74"/>
        <v>0</v>
      </c>
      <c r="I118" s="30">
        <f t="shared" si="74"/>
        <v>2147</v>
      </c>
      <c r="J118" s="30">
        <f t="shared" si="59"/>
        <v>0</v>
      </c>
      <c r="K118" s="30">
        <f t="shared" si="59"/>
        <v>0</v>
      </c>
      <c r="L118" s="30">
        <f t="shared" si="59"/>
        <v>2147</v>
      </c>
      <c r="M118" s="30">
        <f t="shared" si="75"/>
        <v>0</v>
      </c>
      <c r="N118" s="30">
        <f t="shared" si="75"/>
        <v>0</v>
      </c>
      <c r="O118" s="30">
        <f t="shared" si="76"/>
        <v>86404.73000000001</v>
      </c>
      <c r="P118" s="32" t="e">
        <f t="shared" si="77"/>
        <v>#DIV/0!</v>
      </c>
      <c r="Q118" s="32" t="e">
        <f t="shared" si="77"/>
        <v>#DIV/0!</v>
      </c>
      <c r="R118" s="32">
        <f t="shared" si="78"/>
        <v>2.4245714905852204E-2</v>
      </c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>
        <v>2147</v>
      </c>
      <c r="AZ118" s="28"/>
      <c r="BA118" s="28"/>
      <c r="BB118" s="28"/>
      <c r="BC118" s="28"/>
      <c r="BD118" s="28"/>
      <c r="BE118" s="28"/>
      <c r="BF118" s="33"/>
      <c r="BG118" s="34"/>
      <c r="BH118" s="34"/>
      <c r="BI118" s="34"/>
      <c r="BJ118" s="34"/>
    </row>
    <row r="119" spans="1:62" ht="15.75" hidden="1" customHeight="1" x14ac:dyDescent="0.25">
      <c r="A119" s="25" t="s">
        <v>147</v>
      </c>
      <c r="B119" s="52" t="s">
        <v>156</v>
      </c>
      <c r="C119" s="28"/>
      <c r="D119" s="28"/>
      <c r="E119" s="28"/>
      <c r="F119" s="118"/>
      <c r="G119" s="30">
        <f t="shared" si="74"/>
        <v>0</v>
      </c>
      <c r="H119" s="30">
        <f t="shared" si="74"/>
        <v>0</v>
      </c>
      <c r="I119" s="30">
        <f t="shared" si="74"/>
        <v>0</v>
      </c>
      <c r="J119" s="30">
        <f t="shared" si="59"/>
        <v>0</v>
      </c>
      <c r="K119" s="30">
        <f t="shared" si="59"/>
        <v>0</v>
      </c>
      <c r="L119" s="30">
        <f t="shared" si="59"/>
        <v>0</v>
      </c>
      <c r="M119" s="30">
        <f t="shared" si="75"/>
        <v>0</v>
      </c>
      <c r="N119" s="30">
        <f t="shared" si="75"/>
        <v>0</v>
      </c>
      <c r="O119" s="30">
        <f t="shared" si="76"/>
        <v>0</v>
      </c>
      <c r="P119" s="32" t="e">
        <f t="shared" si="77"/>
        <v>#DIV/0!</v>
      </c>
      <c r="Q119" s="32" t="e">
        <f t="shared" si="77"/>
        <v>#DIV/0!</v>
      </c>
      <c r="R119" s="32" t="e">
        <f t="shared" si="78"/>
        <v>#DIV/0!</v>
      </c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33"/>
      <c r="BG119" s="34"/>
      <c r="BH119" s="34"/>
      <c r="BI119" s="34"/>
      <c r="BJ119" s="34"/>
    </row>
    <row r="120" spans="1:62" ht="15.75" hidden="1" x14ac:dyDescent="0.25">
      <c r="A120" s="104"/>
      <c r="B120" s="83" t="s">
        <v>157</v>
      </c>
      <c r="C120" s="84">
        <f t="shared" ref="C120:I120" si="79">SUM(C121:C123)</f>
        <v>0</v>
      </c>
      <c r="D120" s="84">
        <f t="shared" si="79"/>
        <v>0</v>
      </c>
      <c r="E120" s="84"/>
      <c r="F120" s="84">
        <f t="shared" si="79"/>
        <v>0</v>
      </c>
      <c r="G120" s="84">
        <f t="shared" si="79"/>
        <v>0</v>
      </c>
      <c r="H120" s="84">
        <f t="shared" si="79"/>
        <v>0</v>
      </c>
      <c r="I120" s="84">
        <f t="shared" si="79"/>
        <v>0</v>
      </c>
      <c r="J120" s="119">
        <f t="shared" si="59"/>
        <v>0</v>
      </c>
      <c r="K120" s="119">
        <f t="shared" si="59"/>
        <v>0</v>
      </c>
      <c r="L120" s="119">
        <f t="shared" si="59"/>
        <v>0</v>
      </c>
      <c r="M120" s="84">
        <f>SUM(M121:M123)</f>
        <v>0</v>
      </c>
      <c r="N120" s="84">
        <f>SUM(N121:N123)</f>
        <v>0</v>
      </c>
      <c r="O120" s="84">
        <f>SUM(O121:O123)</f>
        <v>0</v>
      </c>
      <c r="P120" s="86" t="e">
        <f t="shared" si="77"/>
        <v>#DIV/0!</v>
      </c>
      <c r="Q120" s="86" t="e">
        <f t="shared" si="77"/>
        <v>#DIV/0!</v>
      </c>
      <c r="R120" s="86" t="e">
        <f t="shared" si="78"/>
        <v>#DIV/0!</v>
      </c>
      <c r="S120" s="84">
        <f t="shared" ref="S120:BE120" si="80">SUM(S121:S123)</f>
        <v>0</v>
      </c>
      <c r="T120" s="84">
        <f t="shared" si="80"/>
        <v>0</v>
      </c>
      <c r="U120" s="84">
        <f t="shared" si="80"/>
        <v>0</v>
      </c>
      <c r="V120" s="84">
        <f t="shared" si="80"/>
        <v>0</v>
      </c>
      <c r="W120" s="84">
        <f t="shared" si="80"/>
        <v>0</v>
      </c>
      <c r="X120" s="84">
        <f t="shared" si="80"/>
        <v>0</v>
      </c>
      <c r="Y120" s="84">
        <f t="shared" si="80"/>
        <v>0</v>
      </c>
      <c r="Z120" s="84">
        <f t="shared" si="80"/>
        <v>0</v>
      </c>
      <c r="AA120" s="84">
        <f t="shared" si="80"/>
        <v>0</v>
      </c>
      <c r="AB120" s="84">
        <f t="shared" si="80"/>
        <v>0</v>
      </c>
      <c r="AC120" s="84">
        <f t="shared" si="80"/>
        <v>0</v>
      </c>
      <c r="AD120" s="84">
        <f t="shared" si="80"/>
        <v>0</v>
      </c>
      <c r="AE120" s="84">
        <f t="shared" si="80"/>
        <v>0</v>
      </c>
      <c r="AF120" s="84">
        <f t="shared" si="80"/>
        <v>0</v>
      </c>
      <c r="AG120" s="84">
        <f t="shared" si="80"/>
        <v>0</v>
      </c>
      <c r="AH120" s="84">
        <f t="shared" si="80"/>
        <v>0</v>
      </c>
      <c r="AI120" s="84">
        <f t="shared" si="80"/>
        <v>0</v>
      </c>
      <c r="AJ120" s="84">
        <f t="shared" si="80"/>
        <v>0</v>
      </c>
      <c r="AK120" s="84">
        <f t="shared" si="80"/>
        <v>0</v>
      </c>
      <c r="AL120" s="84">
        <f t="shared" si="80"/>
        <v>0</v>
      </c>
      <c r="AM120" s="84">
        <f t="shared" si="80"/>
        <v>0</v>
      </c>
      <c r="AN120" s="84">
        <f t="shared" si="80"/>
        <v>0</v>
      </c>
      <c r="AO120" s="84">
        <f t="shared" si="80"/>
        <v>0</v>
      </c>
      <c r="AP120" s="84">
        <f t="shared" si="80"/>
        <v>0</v>
      </c>
      <c r="AQ120" s="84">
        <f t="shared" si="80"/>
        <v>0</v>
      </c>
      <c r="AR120" s="84">
        <f t="shared" si="80"/>
        <v>0</v>
      </c>
      <c r="AS120" s="84">
        <f t="shared" si="80"/>
        <v>0</v>
      </c>
      <c r="AT120" s="84">
        <f t="shared" si="80"/>
        <v>0</v>
      </c>
      <c r="AU120" s="84">
        <f t="shared" si="80"/>
        <v>0</v>
      </c>
      <c r="AV120" s="84">
        <f t="shared" si="80"/>
        <v>0</v>
      </c>
      <c r="AW120" s="84">
        <f t="shared" si="80"/>
        <v>0</v>
      </c>
      <c r="AX120" s="84">
        <f t="shared" si="80"/>
        <v>0</v>
      </c>
      <c r="AY120" s="84">
        <f t="shared" si="80"/>
        <v>0</v>
      </c>
      <c r="AZ120" s="84">
        <f t="shared" si="80"/>
        <v>0</v>
      </c>
      <c r="BA120" s="84">
        <f t="shared" si="80"/>
        <v>0</v>
      </c>
      <c r="BB120" s="84">
        <f t="shared" si="80"/>
        <v>0</v>
      </c>
      <c r="BC120" s="84">
        <f t="shared" si="80"/>
        <v>0</v>
      </c>
      <c r="BD120" s="84">
        <f t="shared" si="80"/>
        <v>0</v>
      </c>
      <c r="BE120" s="84">
        <f t="shared" si="80"/>
        <v>0</v>
      </c>
      <c r="BF120" s="59"/>
      <c r="BG120" s="60"/>
      <c r="BH120" s="60"/>
      <c r="BI120" s="60"/>
      <c r="BJ120" s="60"/>
    </row>
    <row r="121" spans="1:62" ht="15.75" hidden="1" customHeight="1" x14ac:dyDescent="0.25">
      <c r="A121" s="25" t="s">
        <v>84</v>
      </c>
      <c r="B121" s="52" t="s">
        <v>135</v>
      </c>
      <c r="C121" s="61"/>
      <c r="D121" s="28"/>
      <c r="E121" s="28"/>
      <c r="F121" s="92"/>
      <c r="G121" s="30">
        <f t="shared" ref="G121:I123" si="81">S121+V121+Y121+AB121+AE121+AH121+AK121+AN121+AQ121+AT121+AW121+AZ121</f>
        <v>0</v>
      </c>
      <c r="H121" s="30">
        <f t="shared" si="81"/>
        <v>0</v>
      </c>
      <c r="I121" s="30">
        <f t="shared" si="81"/>
        <v>0</v>
      </c>
      <c r="J121" s="30">
        <f t="shared" si="59"/>
        <v>0</v>
      </c>
      <c r="K121" s="30">
        <f t="shared" si="59"/>
        <v>0</v>
      </c>
      <c r="L121" s="30">
        <f t="shared" si="59"/>
        <v>0</v>
      </c>
      <c r="M121" s="30">
        <f t="shared" ref="M121:N123" si="82">C121-G121</f>
        <v>0</v>
      </c>
      <c r="N121" s="30">
        <f t="shared" si="82"/>
        <v>0</v>
      </c>
      <c r="O121" s="30">
        <f t="shared" ref="O121:O123" si="83">F121-I121</f>
        <v>0</v>
      </c>
      <c r="P121" s="32" t="e">
        <f t="shared" si="77"/>
        <v>#DIV/0!</v>
      </c>
      <c r="Q121" s="32" t="e">
        <f t="shared" si="77"/>
        <v>#DIV/0!</v>
      </c>
      <c r="R121" s="32" t="e">
        <f t="shared" si="78"/>
        <v>#DIV/0!</v>
      </c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33"/>
      <c r="BG121" s="34"/>
      <c r="BH121" s="34"/>
      <c r="BI121" s="34"/>
      <c r="BJ121" s="34"/>
    </row>
    <row r="122" spans="1:62" ht="15.75" hidden="1" customHeight="1" x14ac:dyDescent="0.25">
      <c r="A122" s="25" t="s">
        <v>136</v>
      </c>
      <c r="B122" s="52" t="s">
        <v>158</v>
      </c>
      <c r="C122" s="48"/>
      <c r="D122" s="28"/>
      <c r="E122" s="28"/>
      <c r="F122" s="92"/>
      <c r="G122" s="30">
        <f t="shared" si="81"/>
        <v>0</v>
      </c>
      <c r="H122" s="30">
        <f t="shared" si="81"/>
        <v>0</v>
      </c>
      <c r="I122" s="30">
        <f t="shared" si="81"/>
        <v>0</v>
      </c>
      <c r="J122" s="30">
        <f t="shared" si="59"/>
        <v>0</v>
      </c>
      <c r="K122" s="30">
        <f t="shared" si="59"/>
        <v>0</v>
      </c>
      <c r="L122" s="30">
        <f t="shared" si="59"/>
        <v>0</v>
      </c>
      <c r="M122" s="30">
        <f t="shared" si="82"/>
        <v>0</v>
      </c>
      <c r="N122" s="30">
        <f t="shared" si="82"/>
        <v>0</v>
      </c>
      <c r="O122" s="30">
        <f t="shared" si="83"/>
        <v>0</v>
      </c>
      <c r="P122" s="32" t="e">
        <f t="shared" si="77"/>
        <v>#DIV/0!</v>
      </c>
      <c r="Q122" s="32" t="e">
        <f t="shared" si="77"/>
        <v>#DIV/0!</v>
      </c>
      <c r="R122" s="32" t="e">
        <f t="shared" si="78"/>
        <v>#DIV/0!</v>
      </c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33"/>
      <c r="BG122" s="34"/>
      <c r="BH122" s="34"/>
      <c r="BI122" s="34"/>
      <c r="BJ122" s="34"/>
    </row>
    <row r="123" spans="1:62" ht="15.75" hidden="1" customHeight="1" x14ac:dyDescent="0.25">
      <c r="A123" s="25" t="s">
        <v>84</v>
      </c>
      <c r="B123" s="52" t="s">
        <v>159</v>
      </c>
      <c r="C123" s="28"/>
      <c r="D123" s="28"/>
      <c r="E123" s="28"/>
      <c r="F123" s="28"/>
      <c r="G123" s="30">
        <f t="shared" si="81"/>
        <v>0</v>
      </c>
      <c r="H123" s="30">
        <f t="shared" si="81"/>
        <v>0</v>
      </c>
      <c r="I123" s="30">
        <f t="shared" si="81"/>
        <v>0</v>
      </c>
      <c r="J123" s="30">
        <f t="shared" si="59"/>
        <v>0</v>
      </c>
      <c r="K123" s="30">
        <f t="shared" si="59"/>
        <v>0</v>
      </c>
      <c r="L123" s="30">
        <f t="shared" si="59"/>
        <v>0</v>
      </c>
      <c r="M123" s="30">
        <f t="shared" si="82"/>
        <v>0</v>
      </c>
      <c r="N123" s="30">
        <f t="shared" si="82"/>
        <v>0</v>
      </c>
      <c r="O123" s="30">
        <f t="shared" si="83"/>
        <v>0</v>
      </c>
      <c r="P123" s="32" t="e">
        <f t="shared" si="77"/>
        <v>#DIV/0!</v>
      </c>
      <c r="Q123" s="32" t="e">
        <f t="shared" si="77"/>
        <v>#DIV/0!</v>
      </c>
      <c r="R123" s="32" t="e">
        <f t="shared" si="78"/>
        <v>#DIV/0!</v>
      </c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33"/>
      <c r="BG123" s="34"/>
      <c r="BH123" s="34"/>
      <c r="BI123" s="34"/>
      <c r="BJ123" s="34"/>
    </row>
    <row r="124" spans="1:62" ht="15.75" customHeight="1" x14ac:dyDescent="0.25">
      <c r="A124" s="120"/>
      <c r="B124" s="121" t="s">
        <v>160</v>
      </c>
      <c r="C124" s="122">
        <f>SUM(C125:C127)</f>
        <v>10900</v>
      </c>
      <c r="D124" s="122">
        <f t="shared" ref="D124:I124" si="84">SUM(D125:D127)</f>
        <v>60804.639999999999</v>
      </c>
      <c r="E124" s="122"/>
      <c r="F124" s="122">
        <f t="shared" si="84"/>
        <v>0</v>
      </c>
      <c r="G124" s="122">
        <f t="shared" si="84"/>
        <v>9900</v>
      </c>
      <c r="H124" s="122">
        <f t="shared" si="84"/>
        <v>60511.01999999999</v>
      </c>
      <c r="I124" s="122">
        <f t="shared" si="84"/>
        <v>0</v>
      </c>
      <c r="J124" s="113">
        <f t="shared" si="59"/>
        <v>9900</v>
      </c>
      <c r="K124" s="113">
        <f t="shared" si="59"/>
        <v>60511.01999999999</v>
      </c>
      <c r="L124" s="113">
        <f t="shared" si="59"/>
        <v>0</v>
      </c>
      <c r="M124" s="122">
        <f>SUM(M125:M127)</f>
        <v>1000</v>
      </c>
      <c r="N124" s="122">
        <f>SUM(N125:N127)</f>
        <v>293.6200000000099</v>
      </c>
      <c r="O124" s="122">
        <f>SUM(O125:O127)</f>
        <v>0</v>
      </c>
      <c r="P124" s="123">
        <f t="shared" si="77"/>
        <v>0.90825688073394495</v>
      </c>
      <c r="Q124" s="123">
        <f t="shared" si="77"/>
        <v>0.99517109220612099</v>
      </c>
      <c r="R124" s="123" t="e">
        <f t="shared" si="78"/>
        <v>#DIV/0!</v>
      </c>
      <c r="S124" s="122">
        <f t="shared" ref="S124:BE124" si="85">SUM(S125:S127)</f>
        <v>0</v>
      </c>
      <c r="T124" s="122">
        <f t="shared" si="85"/>
        <v>0</v>
      </c>
      <c r="U124" s="122">
        <f t="shared" si="85"/>
        <v>0</v>
      </c>
      <c r="V124" s="122">
        <f t="shared" si="85"/>
        <v>0</v>
      </c>
      <c r="W124" s="122">
        <f t="shared" si="85"/>
        <v>24501.86</v>
      </c>
      <c r="X124" s="122">
        <f t="shared" si="85"/>
        <v>0</v>
      </c>
      <c r="Y124" s="122">
        <f t="shared" si="85"/>
        <v>0</v>
      </c>
      <c r="Z124" s="122">
        <f t="shared" si="85"/>
        <v>21833.119999999999</v>
      </c>
      <c r="AA124" s="122">
        <f t="shared" si="85"/>
        <v>0</v>
      </c>
      <c r="AB124" s="122">
        <f t="shared" si="85"/>
        <v>0</v>
      </c>
      <c r="AC124" s="122">
        <f t="shared" si="85"/>
        <v>0</v>
      </c>
      <c r="AD124" s="122">
        <f t="shared" si="85"/>
        <v>0</v>
      </c>
      <c r="AE124" s="122">
        <f t="shared" si="85"/>
        <v>0</v>
      </c>
      <c r="AF124" s="122">
        <f t="shared" si="85"/>
        <v>8320.4499999999989</v>
      </c>
      <c r="AG124" s="122">
        <f t="shared" si="85"/>
        <v>0</v>
      </c>
      <c r="AH124" s="122">
        <f t="shared" si="85"/>
        <v>0</v>
      </c>
      <c r="AI124" s="122">
        <f t="shared" si="85"/>
        <v>0</v>
      </c>
      <c r="AJ124" s="122">
        <f t="shared" si="85"/>
        <v>0</v>
      </c>
      <c r="AK124" s="122">
        <f t="shared" si="85"/>
        <v>0</v>
      </c>
      <c r="AL124" s="122">
        <f t="shared" si="85"/>
        <v>5855.59</v>
      </c>
      <c r="AM124" s="122">
        <f t="shared" si="85"/>
        <v>0</v>
      </c>
      <c r="AN124" s="122">
        <f t="shared" si="85"/>
        <v>9900</v>
      </c>
      <c r="AO124" s="122">
        <f t="shared" si="85"/>
        <v>0</v>
      </c>
      <c r="AP124" s="122">
        <f t="shared" si="85"/>
        <v>0</v>
      </c>
      <c r="AQ124" s="122">
        <f t="shared" si="85"/>
        <v>0</v>
      </c>
      <c r="AR124" s="122">
        <f t="shared" si="85"/>
        <v>0</v>
      </c>
      <c r="AS124" s="122">
        <f t="shared" si="85"/>
        <v>0</v>
      </c>
      <c r="AT124" s="122">
        <f t="shared" si="85"/>
        <v>0</v>
      </c>
      <c r="AU124" s="122">
        <f t="shared" si="85"/>
        <v>0</v>
      </c>
      <c r="AV124" s="122">
        <f t="shared" si="85"/>
        <v>0</v>
      </c>
      <c r="AW124" s="122">
        <f t="shared" si="85"/>
        <v>0</v>
      </c>
      <c r="AX124" s="122">
        <f t="shared" si="85"/>
        <v>0</v>
      </c>
      <c r="AY124" s="122">
        <f t="shared" si="85"/>
        <v>0</v>
      </c>
      <c r="AZ124" s="122">
        <f t="shared" si="85"/>
        <v>0</v>
      </c>
      <c r="BA124" s="122">
        <f t="shared" si="85"/>
        <v>0</v>
      </c>
      <c r="BB124" s="122">
        <f t="shared" si="85"/>
        <v>0</v>
      </c>
      <c r="BC124" s="122">
        <f t="shared" si="85"/>
        <v>0</v>
      </c>
      <c r="BD124" s="122">
        <f t="shared" si="85"/>
        <v>0</v>
      </c>
      <c r="BE124" s="122">
        <f t="shared" si="85"/>
        <v>0</v>
      </c>
      <c r="BF124" s="111"/>
      <c r="BG124" s="112"/>
      <c r="BH124" s="112"/>
      <c r="BI124" s="112"/>
      <c r="BJ124" s="112"/>
    </row>
    <row r="125" spans="1:62" ht="15.75" customHeight="1" x14ac:dyDescent="0.25">
      <c r="A125" s="162" t="s">
        <v>161</v>
      </c>
      <c r="B125" s="170" t="s">
        <v>162</v>
      </c>
      <c r="C125" s="145"/>
      <c r="D125" s="141">
        <v>60804.639999999999</v>
      </c>
      <c r="E125" s="150"/>
      <c r="F125" s="149"/>
      <c r="G125" s="30">
        <f t="shared" ref="G125:I127" si="86">S125+V125+Y125+AB125+AE125+AH125+AK125+AN125+AQ125+AT125+AW125+AZ125</f>
        <v>0</v>
      </c>
      <c r="H125" s="30">
        <f t="shared" si="86"/>
        <v>60511.01999999999</v>
      </c>
      <c r="I125" s="30">
        <f t="shared" si="86"/>
        <v>0</v>
      </c>
      <c r="J125" s="30">
        <f t="shared" si="59"/>
        <v>0</v>
      </c>
      <c r="K125" s="30">
        <f t="shared" si="59"/>
        <v>60511.01999999999</v>
      </c>
      <c r="L125" s="30">
        <f t="shared" si="59"/>
        <v>0</v>
      </c>
      <c r="M125" s="30">
        <f t="shared" ref="M125:N127" si="87">C125-G125</f>
        <v>0</v>
      </c>
      <c r="N125" s="30">
        <f t="shared" si="87"/>
        <v>293.6200000000099</v>
      </c>
      <c r="O125" s="30">
        <f t="shared" ref="O125:O127" si="88">F125-I125</f>
        <v>0</v>
      </c>
      <c r="P125" s="32" t="e">
        <f t="shared" si="77"/>
        <v>#DIV/0!</v>
      </c>
      <c r="Q125" s="32">
        <f t="shared" si="77"/>
        <v>0.99517109220612099</v>
      </c>
      <c r="R125" s="32" t="e">
        <f t="shared" si="78"/>
        <v>#DIV/0!</v>
      </c>
      <c r="S125" s="28"/>
      <c r="T125" s="28"/>
      <c r="U125" s="28"/>
      <c r="V125" s="28"/>
      <c r="W125" s="28">
        <f>24501.86</f>
        <v>24501.86</v>
      </c>
      <c r="X125" s="28"/>
      <c r="Y125" s="28"/>
      <c r="Z125" s="28">
        <f>21833.12</f>
        <v>21833.119999999999</v>
      </c>
      <c r="AA125" s="28"/>
      <c r="AB125" s="28"/>
      <c r="AC125" s="28"/>
      <c r="AD125" s="28"/>
      <c r="AE125" s="28"/>
      <c r="AF125" s="28">
        <f>706.56+150.48+142.25+473.29+62.09+663.05+913.98+195.36+846.89+892.24+2169.36+1104.9</f>
        <v>8320.4499999999989</v>
      </c>
      <c r="AG125" s="28"/>
      <c r="AH125" s="28"/>
      <c r="AI125" s="28"/>
      <c r="AJ125" s="28"/>
      <c r="AK125" s="28"/>
      <c r="AL125" s="28">
        <f>5855.59</f>
        <v>5855.59</v>
      </c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33"/>
      <c r="BG125" s="34"/>
      <c r="BH125" s="34"/>
      <c r="BI125" s="34"/>
      <c r="BJ125" s="34"/>
    </row>
    <row r="126" spans="1:62" ht="15.75" customHeight="1" x14ac:dyDescent="0.25">
      <c r="A126" s="162" t="s">
        <v>103</v>
      </c>
      <c r="B126" s="170" t="s">
        <v>163</v>
      </c>
      <c r="C126" s="145">
        <v>9900</v>
      </c>
      <c r="D126" s="150"/>
      <c r="E126" s="150"/>
      <c r="F126" s="149"/>
      <c r="G126" s="30">
        <f t="shared" si="86"/>
        <v>9900</v>
      </c>
      <c r="H126" s="30">
        <f t="shared" si="86"/>
        <v>0</v>
      </c>
      <c r="I126" s="30">
        <f t="shared" si="86"/>
        <v>0</v>
      </c>
      <c r="J126" s="30">
        <f t="shared" si="59"/>
        <v>9900</v>
      </c>
      <c r="K126" s="30">
        <f t="shared" si="59"/>
        <v>0</v>
      </c>
      <c r="L126" s="30">
        <f t="shared" si="59"/>
        <v>0</v>
      </c>
      <c r="M126" s="30">
        <f t="shared" si="87"/>
        <v>0</v>
      </c>
      <c r="N126" s="30">
        <f t="shared" si="87"/>
        <v>0</v>
      </c>
      <c r="O126" s="30">
        <f t="shared" si="88"/>
        <v>0</v>
      </c>
      <c r="P126" s="32">
        <f t="shared" si="77"/>
        <v>1</v>
      </c>
      <c r="Q126" s="32" t="e">
        <f t="shared" si="77"/>
        <v>#DIV/0!</v>
      </c>
      <c r="R126" s="32" t="e">
        <f t="shared" si="78"/>
        <v>#DIV/0!</v>
      </c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>
        <v>9900</v>
      </c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33"/>
      <c r="BG126" s="34"/>
      <c r="BH126" s="34"/>
      <c r="BI126" s="34"/>
      <c r="BJ126" s="34"/>
    </row>
    <row r="127" spans="1:62" ht="15.75" customHeight="1" x14ac:dyDescent="0.25">
      <c r="A127" s="162" t="s">
        <v>164</v>
      </c>
      <c r="B127" s="170" t="s">
        <v>165</v>
      </c>
      <c r="C127" s="141">
        <v>1000</v>
      </c>
      <c r="D127" s="141"/>
      <c r="E127" s="141"/>
      <c r="F127" s="141"/>
      <c r="G127" s="30">
        <f t="shared" si="86"/>
        <v>0</v>
      </c>
      <c r="H127" s="30">
        <f t="shared" si="86"/>
        <v>0</v>
      </c>
      <c r="I127" s="30">
        <f t="shared" si="86"/>
        <v>0</v>
      </c>
      <c r="J127" s="30">
        <f t="shared" si="59"/>
        <v>0</v>
      </c>
      <c r="K127" s="30">
        <f t="shared" si="59"/>
        <v>0</v>
      </c>
      <c r="L127" s="30">
        <f t="shared" si="59"/>
        <v>0</v>
      </c>
      <c r="M127" s="30">
        <f t="shared" si="87"/>
        <v>1000</v>
      </c>
      <c r="N127" s="30">
        <f t="shared" si="87"/>
        <v>0</v>
      </c>
      <c r="O127" s="30">
        <f t="shared" si="88"/>
        <v>0</v>
      </c>
      <c r="P127" s="32">
        <f t="shared" si="77"/>
        <v>0</v>
      </c>
      <c r="Q127" s="32" t="e">
        <f t="shared" si="77"/>
        <v>#DIV/0!</v>
      </c>
      <c r="R127" s="32" t="e">
        <f t="shared" si="78"/>
        <v>#DIV/0!</v>
      </c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33"/>
      <c r="BG127" s="34"/>
      <c r="BH127" s="34"/>
      <c r="BI127" s="34"/>
      <c r="BJ127" s="34"/>
    </row>
    <row r="128" spans="1:62" ht="15.75" customHeight="1" x14ac:dyDescent="0.25">
      <c r="A128" s="120"/>
      <c r="B128" s="121" t="s">
        <v>166</v>
      </c>
      <c r="C128" s="122">
        <f t="shared" ref="C128:I128" si="89">SUM(C129:C132)</f>
        <v>0</v>
      </c>
      <c r="D128" s="122">
        <f t="shared" si="89"/>
        <v>24308.400000000001</v>
      </c>
      <c r="E128" s="122"/>
      <c r="F128" s="122">
        <f t="shared" si="89"/>
        <v>4017.1</v>
      </c>
      <c r="G128" s="122">
        <f t="shared" si="89"/>
        <v>0</v>
      </c>
      <c r="H128" s="122">
        <f t="shared" si="89"/>
        <v>15608.400000000001</v>
      </c>
      <c r="I128" s="122">
        <f t="shared" si="89"/>
        <v>4017.1</v>
      </c>
      <c r="J128" s="113">
        <f t="shared" si="59"/>
        <v>0</v>
      </c>
      <c r="K128" s="113">
        <f t="shared" si="59"/>
        <v>15608.400000000001</v>
      </c>
      <c r="L128" s="113">
        <f t="shared" si="59"/>
        <v>4017.1</v>
      </c>
      <c r="M128" s="122">
        <f>SUM(M129:M132)</f>
        <v>0</v>
      </c>
      <c r="N128" s="122">
        <f>SUM(N129:N132)</f>
        <v>8700</v>
      </c>
      <c r="O128" s="122">
        <f>SUM(O129:O132)</f>
        <v>0</v>
      </c>
      <c r="P128" s="123" t="e">
        <f t="shared" si="77"/>
        <v>#DIV/0!</v>
      </c>
      <c r="Q128" s="123">
        <f t="shared" si="77"/>
        <v>0.64209902749666781</v>
      </c>
      <c r="R128" s="123">
        <f t="shared" si="78"/>
        <v>1</v>
      </c>
      <c r="S128" s="122">
        <f t="shared" ref="S128:BE128" si="90">SUM(S129:S132)</f>
        <v>0</v>
      </c>
      <c r="T128" s="122">
        <f t="shared" si="90"/>
        <v>0</v>
      </c>
      <c r="U128" s="122">
        <f t="shared" si="90"/>
        <v>0</v>
      </c>
      <c r="V128" s="122">
        <f t="shared" si="90"/>
        <v>0</v>
      </c>
      <c r="W128" s="122">
        <f t="shared" si="90"/>
        <v>0</v>
      </c>
      <c r="X128" s="122">
        <f t="shared" si="90"/>
        <v>0</v>
      </c>
      <c r="Y128" s="122">
        <f t="shared" si="90"/>
        <v>0</v>
      </c>
      <c r="Z128" s="122">
        <f t="shared" si="90"/>
        <v>13318.720000000001</v>
      </c>
      <c r="AA128" s="122">
        <f t="shared" si="90"/>
        <v>0</v>
      </c>
      <c r="AB128" s="122">
        <f t="shared" si="90"/>
        <v>0</v>
      </c>
      <c r="AC128" s="122">
        <f t="shared" si="90"/>
        <v>2289.6799999999998</v>
      </c>
      <c r="AD128" s="122">
        <f t="shared" si="90"/>
        <v>0</v>
      </c>
      <c r="AE128" s="122">
        <f t="shared" si="90"/>
        <v>0</v>
      </c>
      <c r="AF128" s="122">
        <f t="shared" si="90"/>
        <v>0</v>
      </c>
      <c r="AG128" s="122">
        <f t="shared" si="90"/>
        <v>0</v>
      </c>
      <c r="AH128" s="122">
        <f t="shared" si="90"/>
        <v>0</v>
      </c>
      <c r="AI128" s="122">
        <f t="shared" si="90"/>
        <v>0</v>
      </c>
      <c r="AJ128" s="122">
        <f t="shared" si="90"/>
        <v>0</v>
      </c>
      <c r="AK128" s="122">
        <f t="shared" si="90"/>
        <v>0</v>
      </c>
      <c r="AL128" s="122">
        <f t="shared" si="90"/>
        <v>0</v>
      </c>
      <c r="AM128" s="122">
        <f t="shared" si="90"/>
        <v>0</v>
      </c>
      <c r="AN128" s="122">
        <f t="shared" si="90"/>
        <v>0</v>
      </c>
      <c r="AO128" s="122">
        <f t="shared" si="90"/>
        <v>0</v>
      </c>
      <c r="AP128" s="122">
        <f t="shared" si="90"/>
        <v>0</v>
      </c>
      <c r="AQ128" s="122">
        <f t="shared" si="90"/>
        <v>0</v>
      </c>
      <c r="AR128" s="122">
        <f t="shared" si="90"/>
        <v>0</v>
      </c>
      <c r="AS128" s="122">
        <f t="shared" si="90"/>
        <v>0</v>
      </c>
      <c r="AT128" s="122">
        <f t="shared" si="90"/>
        <v>0</v>
      </c>
      <c r="AU128" s="122">
        <f t="shared" si="90"/>
        <v>0</v>
      </c>
      <c r="AV128" s="122">
        <f t="shared" si="90"/>
        <v>4017.1</v>
      </c>
      <c r="AW128" s="122">
        <f t="shared" si="90"/>
        <v>0</v>
      </c>
      <c r="AX128" s="122">
        <f t="shared" si="90"/>
        <v>0</v>
      </c>
      <c r="AY128" s="122">
        <f t="shared" si="90"/>
        <v>0</v>
      </c>
      <c r="AZ128" s="122">
        <f t="shared" si="90"/>
        <v>0</v>
      </c>
      <c r="BA128" s="122">
        <f t="shared" si="90"/>
        <v>0</v>
      </c>
      <c r="BB128" s="122">
        <f t="shared" si="90"/>
        <v>0</v>
      </c>
      <c r="BC128" s="122">
        <f t="shared" si="90"/>
        <v>0</v>
      </c>
      <c r="BD128" s="122">
        <f t="shared" si="90"/>
        <v>0</v>
      </c>
      <c r="BE128" s="122">
        <f t="shared" si="90"/>
        <v>0</v>
      </c>
      <c r="BF128" s="111"/>
      <c r="BG128" s="112"/>
      <c r="BH128" s="112"/>
      <c r="BI128" s="112"/>
      <c r="BJ128" s="112"/>
    </row>
    <row r="129" spans="1:62" ht="15.75" customHeight="1" x14ac:dyDescent="0.25">
      <c r="A129" s="162" t="s">
        <v>103</v>
      </c>
      <c r="B129" s="170" t="s">
        <v>167</v>
      </c>
      <c r="C129" s="141"/>
      <c r="D129" s="141"/>
      <c r="E129" s="141"/>
      <c r="F129" s="147"/>
      <c r="G129" s="30">
        <f t="shared" ref="G129:I132" si="91">S129+V129+Y129+AB129+AE129+AH129+AK129+AN129+AQ129+AT129+AW129+AZ129</f>
        <v>0</v>
      </c>
      <c r="H129" s="30">
        <f t="shared" si="91"/>
        <v>0</v>
      </c>
      <c r="I129" s="30">
        <f t="shared" si="91"/>
        <v>0</v>
      </c>
      <c r="J129" s="30">
        <f t="shared" si="59"/>
        <v>0</v>
      </c>
      <c r="K129" s="30">
        <f t="shared" si="59"/>
        <v>0</v>
      </c>
      <c r="L129" s="30">
        <f t="shared" si="59"/>
        <v>0</v>
      </c>
      <c r="M129" s="30">
        <f t="shared" ref="M129:N132" si="92">C129-G129</f>
        <v>0</v>
      </c>
      <c r="N129" s="30">
        <f t="shared" si="92"/>
        <v>0</v>
      </c>
      <c r="O129" s="30">
        <f t="shared" ref="O129:O132" si="93">F129-I129</f>
        <v>0</v>
      </c>
      <c r="P129" s="32" t="e">
        <f t="shared" si="77"/>
        <v>#DIV/0!</v>
      </c>
      <c r="Q129" s="32" t="e">
        <f t="shared" si="77"/>
        <v>#DIV/0!</v>
      </c>
      <c r="R129" s="32" t="e">
        <f t="shared" si="78"/>
        <v>#DIV/0!</v>
      </c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9"/>
      <c r="BA129" s="28"/>
      <c r="BB129" s="28"/>
      <c r="BC129" s="29"/>
      <c r="BD129" s="28"/>
      <c r="BE129" s="28"/>
      <c r="BF129" s="33"/>
      <c r="BG129" s="34"/>
      <c r="BH129" s="34"/>
      <c r="BI129" s="34"/>
      <c r="BJ129" s="34"/>
    </row>
    <row r="130" spans="1:62" ht="31.5" x14ac:dyDescent="0.25">
      <c r="A130" s="162"/>
      <c r="B130" s="170" t="s">
        <v>168</v>
      </c>
      <c r="C130" s="141"/>
      <c r="D130" s="142">
        <f>6550+2289.68+6768.72+8700</f>
        <v>24308.400000000001</v>
      </c>
      <c r="E130" s="142"/>
      <c r="F130" s="147"/>
      <c r="G130" s="30">
        <f t="shared" si="91"/>
        <v>0</v>
      </c>
      <c r="H130" s="30">
        <f t="shared" si="91"/>
        <v>15608.400000000001</v>
      </c>
      <c r="I130" s="30">
        <f t="shared" si="91"/>
        <v>0</v>
      </c>
      <c r="J130" s="30">
        <f t="shared" si="59"/>
        <v>0</v>
      </c>
      <c r="K130" s="30">
        <f t="shared" si="59"/>
        <v>15608.400000000001</v>
      </c>
      <c r="L130" s="30">
        <f t="shared" si="59"/>
        <v>0</v>
      </c>
      <c r="M130" s="30">
        <f t="shared" si="92"/>
        <v>0</v>
      </c>
      <c r="N130" s="30">
        <f t="shared" si="92"/>
        <v>8700</v>
      </c>
      <c r="O130" s="30">
        <f t="shared" si="93"/>
        <v>0</v>
      </c>
      <c r="P130" s="32" t="e">
        <f t="shared" si="77"/>
        <v>#DIV/0!</v>
      </c>
      <c r="Q130" s="32">
        <f t="shared" si="77"/>
        <v>0.64209902749666781</v>
      </c>
      <c r="R130" s="32" t="e">
        <f t="shared" si="78"/>
        <v>#DIV/0!</v>
      </c>
      <c r="S130" s="124"/>
      <c r="T130" s="28"/>
      <c r="U130" s="28"/>
      <c r="V130" s="28"/>
      <c r="W130" s="28"/>
      <c r="X130" s="28"/>
      <c r="Y130" s="28"/>
      <c r="Z130" s="28">
        <f>6550+6768.72</f>
        <v>13318.720000000001</v>
      </c>
      <c r="AA130" s="28"/>
      <c r="AB130" s="28"/>
      <c r="AC130" s="28">
        <v>2289.6799999999998</v>
      </c>
      <c r="AD130" s="28"/>
      <c r="AE130" s="28"/>
      <c r="AF130" s="28"/>
      <c r="AG130" s="28"/>
      <c r="AH130" s="28"/>
      <c r="AI130" s="28"/>
      <c r="AJ130" s="28"/>
      <c r="AK130" s="28"/>
      <c r="AL130" s="28"/>
      <c r="AM130" s="92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33"/>
      <c r="BG130" s="34"/>
      <c r="BH130" s="34"/>
      <c r="BI130" s="34"/>
      <c r="BJ130" s="34"/>
    </row>
    <row r="131" spans="1:62" ht="15.75" x14ac:dyDescent="0.25">
      <c r="A131" s="162"/>
      <c r="B131" s="170" t="s">
        <v>169</v>
      </c>
      <c r="C131" s="141"/>
      <c r="D131" s="142"/>
      <c r="E131" s="142"/>
      <c r="F131" s="147">
        <f>3161.1+856</f>
        <v>4017.1</v>
      </c>
      <c r="G131" s="30">
        <f t="shared" si="91"/>
        <v>0</v>
      </c>
      <c r="H131" s="30">
        <f t="shared" si="91"/>
        <v>0</v>
      </c>
      <c r="I131" s="30">
        <f t="shared" si="91"/>
        <v>4017.1</v>
      </c>
      <c r="J131" s="30">
        <f t="shared" si="59"/>
        <v>0</v>
      </c>
      <c r="K131" s="30">
        <f t="shared" si="59"/>
        <v>0</v>
      </c>
      <c r="L131" s="30">
        <f t="shared" si="59"/>
        <v>4017.1</v>
      </c>
      <c r="M131" s="30">
        <f t="shared" si="92"/>
        <v>0</v>
      </c>
      <c r="N131" s="30">
        <f t="shared" si="92"/>
        <v>0</v>
      </c>
      <c r="O131" s="30">
        <f t="shared" si="93"/>
        <v>0</v>
      </c>
      <c r="P131" s="32"/>
      <c r="Q131" s="32"/>
      <c r="R131" s="32"/>
      <c r="S131" s="124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92"/>
      <c r="AN131" s="28"/>
      <c r="AO131" s="28"/>
      <c r="AP131" s="28"/>
      <c r="AQ131" s="28"/>
      <c r="AR131" s="28"/>
      <c r="AS131" s="28"/>
      <c r="AT131" s="28"/>
      <c r="AU131" s="28"/>
      <c r="AV131" s="28">
        <v>4017.1</v>
      </c>
      <c r="AW131" s="28"/>
      <c r="AX131" s="28"/>
      <c r="AY131" s="28"/>
      <c r="AZ131" s="28"/>
      <c r="BA131" s="28"/>
      <c r="BB131" s="28"/>
      <c r="BC131" s="28"/>
      <c r="BD131" s="28"/>
      <c r="BE131" s="28"/>
      <c r="BF131" s="33"/>
      <c r="BG131" s="34"/>
      <c r="BH131" s="34"/>
      <c r="BI131" s="34"/>
      <c r="BJ131" s="34"/>
    </row>
    <row r="132" spans="1:62" ht="15.75" customHeight="1" x14ac:dyDescent="0.25">
      <c r="A132" s="162" t="s">
        <v>98</v>
      </c>
      <c r="B132" s="170" t="s">
        <v>170</v>
      </c>
      <c r="C132" s="149"/>
      <c r="D132" s="150"/>
      <c r="E132" s="150"/>
      <c r="F132" s="149"/>
      <c r="G132" s="30">
        <f t="shared" si="91"/>
        <v>0</v>
      </c>
      <c r="H132" s="30">
        <f t="shared" si="91"/>
        <v>0</v>
      </c>
      <c r="I132" s="30"/>
      <c r="J132" s="30">
        <f t="shared" si="59"/>
        <v>0</v>
      </c>
      <c r="K132" s="30">
        <f t="shared" si="59"/>
        <v>0</v>
      </c>
      <c r="L132" s="30"/>
      <c r="M132" s="30">
        <f t="shared" si="92"/>
        <v>0</v>
      </c>
      <c r="N132" s="30">
        <f t="shared" si="92"/>
        <v>0</v>
      </c>
      <c r="O132" s="30">
        <f t="shared" si="93"/>
        <v>0</v>
      </c>
      <c r="P132" s="32" t="e">
        <f t="shared" si="77"/>
        <v>#DIV/0!</v>
      </c>
      <c r="Q132" s="32" t="e">
        <f t="shared" si="77"/>
        <v>#DIV/0!</v>
      </c>
      <c r="R132" s="32" t="e">
        <f t="shared" si="78"/>
        <v>#DIV/0!</v>
      </c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 t="s">
        <v>171</v>
      </c>
      <c r="AW132" s="94"/>
      <c r="AX132" s="94"/>
      <c r="AY132" s="94"/>
      <c r="AZ132" s="94"/>
      <c r="BA132" s="94"/>
      <c r="BB132" s="94"/>
      <c r="BC132" s="94"/>
      <c r="BD132" s="94"/>
      <c r="BE132" s="94"/>
      <c r="BF132" s="33"/>
      <c r="BG132" s="34"/>
      <c r="BH132" s="34"/>
      <c r="BI132" s="34"/>
      <c r="BJ132" s="34"/>
    </row>
    <row r="133" spans="1:62" ht="21" x14ac:dyDescent="0.25">
      <c r="A133" s="22" t="s">
        <v>172</v>
      </c>
      <c r="B133" s="22"/>
      <c r="C133" s="23">
        <f>C134+C142+C157</f>
        <v>37019.020000000004</v>
      </c>
      <c r="D133" s="23">
        <f>D134+D142+D157</f>
        <v>10631.66</v>
      </c>
      <c r="E133" s="23">
        <f>E134+E142+E157</f>
        <v>1118.73</v>
      </c>
      <c r="F133" s="23">
        <f>F134+F142+F157</f>
        <v>1870</v>
      </c>
      <c r="G133" s="23">
        <f>G134+G142+G157</f>
        <v>17343.54</v>
      </c>
      <c r="H133" s="23">
        <f>H134+H142+H157</f>
        <v>7245.89</v>
      </c>
      <c r="I133" s="23">
        <f>I134+I142+I157</f>
        <v>1870</v>
      </c>
      <c r="J133" s="23">
        <f t="shared" si="59"/>
        <v>17343.54</v>
      </c>
      <c r="K133" s="23">
        <f t="shared" si="59"/>
        <v>7245.89</v>
      </c>
      <c r="L133" s="23">
        <f t="shared" si="59"/>
        <v>1870</v>
      </c>
      <c r="M133" s="23">
        <f>M134+M142+M157</f>
        <v>-2224.5200000000004</v>
      </c>
      <c r="N133" s="23">
        <f>N134+N142+N157</f>
        <v>2267.0400000000009</v>
      </c>
      <c r="O133" s="23">
        <f>O134+O142+O157</f>
        <v>0</v>
      </c>
      <c r="P133" s="24">
        <f t="shared" si="77"/>
        <v>0.4685034882068731</v>
      </c>
      <c r="Q133" s="24">
        <f t="shared" si="77"/>
        <v>0.68153891302016811</v>
      </c>
      <c r="R133" s="24">
        <f t="shared" si="78"/>
        <v>1</v>
      </c>
      <c r="S133" s="23">
        <f>S134+S142+S157</f>
        <v>0</v>
      </c>
      <c r="T133" s="23">
        <f>T134+T142+T157</f>
        <v>0</v>
      </c>
      <c r="U133" s="23">
        <f>U134+U142+U157</f>
        <v>0</v>
      </c>
      <c r="V133" s="23">
        <f>V134+V142+V157</f>
        <v>1621.62</v>
      </c>
      <c r="W133" s="23">
        <f>W134+W142+W157</f>
        <v>6316</v>
      </c>
      <c r="X133" s="23">
        <f>X134+X142+X157</f>
        <v>0</v>
      </c>
      <c r="Y133" s="23">
        <f>Y134+Y142+Y157</f>
        <v>0</v>
      </c>
      <c r="Z133" s="23">
        <f>Z134+Z142+Z157</f>
        <v>0</v>
      </c>
      <c r="AA133" s="23">
        <f>AA134+AA142+AA157</f>
        <v>0</v>
      </c>
      <c r="AB133" s="23">
        <f>AB134+AB142+AB157</f>
        <v>810.81</v>
      </c>
      <c r="AC133" s="23">
        <f>AC134+AC142+AC157</f>
        <v>0</v>
      </c>
      <c r="AD133" s="23">
        <f>AD134+AD142+AD157</f>
        <v>0</v>
      </c>
      <c r="AE133" s="23">
        <f>AE134+AE142+AE157</f>
        <v>13289.49</v>
      </c>
      <c r="AF133" s="23">
        <f>AF134+AF142+AF157</f>
        <v>0</v>
      </c>
      <c r="AG133" s="23">
        <f>AG134+AG142+AG157</f>
        <v>0</v>
      </c>
      <c r="AH133" s="23">
        <f>AH134+AH142+AH157</f>
        <v>1621.62</v>
      </c>
      <c r="AI133" s="23">
        <f>AI134+AI142+AI157</f>
        <v>0</v>
      </c>
      <c r="AJ133" s="23">
        <f>AJ134+AJ142+AJ157</f>
        <v>0</v>
      </c>
      <c r="AK133" s="23">
        <f>AK134+AK142+AK157</f>
        <v>0</v>
      </c>
      <c r="AL133" s="23">
        <f>AL134+AL142+AL157</f>
        <v>0</v>
      </c>
      <c r="AM133" s="23">
        <f>AM134+AM142+AM157</f>
        <v>0</v>
      </c>
      <c r="AN133" s="23">
        <f>AN134+AN142+AN157</f>
        <v>0</v>
      </c>
      <c r="AO133" s="23">
        <f>AO134+AO142+AO157</f>
        <v>0</v>
      </c>
      <c r="AP133" s="23">
        <f>AP134+AP142+AP157</f>
        <v>0</v>
      </c>
      <c r="AQ133" s="23">
        <f>AQ134+AQ142+AQ157</f>
        <v>0</v>
      </c>
      <c r="AR133" s="23">
        <f>AR134+AR142+AR157</f>
        <v>0</v>
      </c>
      <c r="AS133" s="23">
        <f>AS134+AS142+AS157</f>
        <v>0</v>
      </c>
      <c r="AT133" s="23">
        <f>AT134+AT142+AT157</f>
        <v>0</v>
      </c>
      <c r="AU133" s="23">
        <f>AU134+AU142+AU157</f>
        <v>929.89</v>
      </c>
      <c r="AV133" s="23">
        <f>AV134+AV142+AV157</f>
        <v>1870</v>
      </c>
      <c r="AW133" s="23">
        <f>AW134+AW142+AW157</f>
        <v>0</v>
      </c>
      <c r="AX133" s="23">
        <f>AX134+AX142+AX157</f>
        <v>0</v>
      </c>
      <c r="AY133" s="23">
        <f>AY134+AY142+AY157</f>
        <v>0</v>
      </c>
      <c r="AZ133" s="23">
        <f>AZ134+AZ142+AZ157</f>
        <v>0</v>
      </c>
      <c r="BA133" s="23">
        <f>BA134+BA142+BA157</f>
        <v>0</v>
      </c>
      <c r="BB133" s="23">
        <f>BB134+BB142+BB157</f>
        <v>0</v>
      </c>
      <c r="BC133" s="23">
        <f>BC134+BC142+BC157</f>
        <v>0</v>
      </c>
      <c r="BD133" s="23">
        <f>BD134+BD142+BD157</f>
        <v>0</v>
      </c>
      <c r="BE133" s="23">
        <f>BE134+BE142+BE157</f>
        <v>0</v>
      </c>
      <c r="BF133" s="53"/>
      <c r="BG133" s="54"/>
      <c r="BH133" s="54"/>
      <c r="BI133" s="54"/>
      <c r="BJ133" s="54"/>
    </row>
    <row r="134" spans="1:62" ht="15.75" customHeight="1" x14ac:dyDescent="0.25">
      <c r="A134" s="82"/>
      <c r="B134" s="125" t="s">
        <v>173</v>
      </c>
      <c r="C134" s="126">
        <f t="shared" ref="C134:I134" si="94">C135+C139</f>
        <v>5000</v>
      </c>
      <c r="D134" s="126">
        <f t="shared" si="94"/>
        <v>0</v>
      </c>
      <c r="E134" s="126">
        <f t="shared" si="94"/>
        <v>0</v>
      </c>
      <c r="F134" s="126">
        <f t="shared" si="94"/>
        <v>0</v>
      </c>
      <c r="G134" s="126">
        <f t="shared" si="94"/>
        <v>0</v>
      </c>
      <c r="H134" s="126">
        <f t="shared" si="94"/>
        <v>0</v>
      </c>
      <c r="I134" s="126">
        <f t="shared" si="94"/>
        <v>0</v>
      </c>
      <c r="J134" s="119">
        <f t="shared" si="59"/>
        <v>0</v>
      </c>
      <c r="K134" s="119">
        <f t="shared" si="59"/>
        <v>0</v>
      </c>
      <c r="L134" s="119">
        <f t="shared" si="59"/>
        <v>0</v>
      </c>
      <c r="M134" s="126">
        <f>M135+M139</f>
        <v>5000</v>
      </c>
      <c r="N134" s="126">
        <f>N135+N139</f>
        <v>0</v>
      </c>
      <c r="O134" s="126">
        <f>O135+O139</f>
        <v>0</v>
      </c>
      <c r="P134" s="127">
        <f t="shared" si="77"/>
        <v>0</v>
      </c>
      <c r="Q134" s="127" t="e">
        <f t="shared" si="77"/>
        <v>#DIV/0!</v>
      </c>
      <c r="R134" s="127" t="e">
        <f t="shared" si="78"/>
        <v>#DIV/0!</v>
      </c>
      <c r="S134" s="126">
        <f t="shared" ref="S134:BE134" si="95">S135+S139</f>
        <v>0</v>
      </c>
      <c r="T134" s="126">
        <f t="shared" si="95"/>
        <v>0</v>
      </c>
      <c r="U134" s="126">
        <f t="shared" si="95"/>
        <v>0</v>
      </c>
      <c r="V134" s="126">
        <f t="shared" si="95"/>
        <v>0</v>
      </c>
      <c r="W134" s="126">
        <f t="shared" si="95"/>
        <v>0</v>
      </c>
      <c r="X134" s="126">
        <f t="shared" si="95"/>
        <v>0</v>
      </c>
      <c r="Y134" s="126">
        <f t="shared" si="95"/>
        <v>0</v>
      </c>
      <c r="Z134" s="126">
        <f t="shared" si="95"/>
        <v>0</v>
      </c>
      <c r="AA134" s="126">
        <f t="shared" si="95"/>
        <v>0</v>
      </c>
      <c r="AB134" s="126">
        <f t="shared" si="95"/>
        <v>0</v>
      </c>
      <c r="AC134" s="126">
        <f t="shared" si="95"/>
        <v>0</v>
      </c>
      <c r="AD134" s="126">
        <f t="shared" si="95"/>
        <v>0</v>
      </c>
      <c r="AE134" s="126">
        <f t="shared" si="95"/>
        <v>0</v>
      </c>
      <c r="AF134" s="126">
        <f t="shared" si="95"/>
        <v>0</v>
      </c>
      <c r="AG134" s="126">
        <f t="shared" si="95"/>
        <v>0</v>
      </c>
      <c r="AH134" s="126">
        <f t="shared" si="95"/>
        <v>0</v>
      </c>
      <c r="AI134" s="126">
        <f t="shared" si="95"/>
        <v>0</v>
      </c>
      <c r="AJ134" s="126">
        <f t="shared" si="95"/>
        <v>0</v>
      </c>
      <c r="AK134" s="126">
        <f t="shared" si="95"/>
        <v>0</v>
      </c>
      <c r="AL134" s="126">
        <f t="shared" si="95"/>
        <v>0</v>
      </c>
      <c r="AM134" s="126">
        <f t="shared" si="95"/>
        <v>0</v>
      </c>
      <c r="AN134" s="126">
        <f t="shared" si="95"/>
        <v>0</v>
      </c>
      <c r="AO134" s="126">
        <f t="shared" si="95"/>
        <v>0</v>
      </c>
      <c r="AP134" s="126">
        <f t="shared" si="95"/>
        <v>0</v>
      </c>
      <c r="AQ134" s="126">
        <f t="shared" si="95"/>
        <v>0</v>
      </c>
      <c r="AR134" s="126">
        <f t="shared" si="95"/>
        <v>0</v>
      </c>
      <c r="AS134" s="126">
        <f t="shared" si="95"/>
        <v>0</v>
      </c>
      <c r="AT134" s="126">
        <f t="shared" si="95"/>
        <v>0</v>
      </c>
      <c r="AU134" s="126">
        <f t="shared" si="95"/>
        <v>0</v>
      </c>
      <c r="AV134" s="126">
        <f t="shared" si="95"/>
        <v>0</v>
      </c>
      <c r="AW134" s="126">
        <f t="shared" si="95"/>
        <v>0</v>
      </c>
      <c r="AX134" s="126">
        <f t="shared" si="95"/>
        <v>0</v>
      </c>
      <c r="AY134" s="126">
        <f t="shared" si="95"/>
        <v>0</v>
      </c>
      <c r="AZ134" s="126">
        <f t="shared" si="95"/>
        <v>0</v>
      </c>
      <c r="BA134" s="126">
        <f t="shared" si="95"/>
        <v>0</v>
      </c>
      <c r="BB134" s="126">
        <f t="shared" si="95"/>
        <v>0</v>
      </c>
      <c r="BC134" s="126">
        <f t="shared" si="95"/>
        <v>0</v>
      </c>
      <c r="BD134" s="126">
        <f t="shared" si="95"/>
        <v>0</v>
      </c>
      <c r="BE134" s="126">
        <f t="shared" si="95"/>
        <v>0</v>
      </c>
      <c r="BF134" s="59"/>
      <c r="BG134" s="60"/>
      <c r="BH134" s="60"/>
      <c r="BI134" s="60"/>
      <c r="BJ134" s="60"/>
    </row>
    <row r="135" spans="1:62" ht="15.75" x14ac:dyDescent="0.25">
      <c r="A135" s="107"/>
      <c r="B135" s="108" t="s">
        <v>174</v>
      </c>
      <c r="C135" s="109">
        <f t="shared" ref="C135:I135" si="96">SUM(C136:C138)</f>
        <v>5000</v>
      </c>
      <c r="D135" s="109">
        <f t="shared" si="96"/>
        <v>0</v>
      </c>
      <c r="E135" s="109"/>
      <c r="F135" s="109">
        <f t="shared" si="96"/>
        <v>0</v>
      </c>
      <c r="G135" s="109">
        <f t="shared" si="96"/>
        <v>0</v>
      </c>
      <c r="H135" s="109">
        <f t="shared" si="96"/>
        <v>0</v>
      </c>
      <c r="I135" s="109">
        <f t="shared" si="96"/>
        <v>0</v>
      </c>
      <c r="J135" s="109">
        <f t="shared" si="59"/>
        <v>0</v>
      </c>
      <c r="K135" s="109">
        <f t="shared" si="59"/>
        <v>0</v>
      </c>
      <c r="L135" s="109">
        <f t="shared" si="59"/>
        <v>0</v>
      </c>
      <c r="M135" s="109">
        <f>SUM(M136:M138)</f>
        <v>5000</v>
      </c>
      <c r="N135" s="109">
        <f>SUM(N136:N138)</f>
        <v>0</v>
      </c>
      <c r="O135" s="109">
        <f>SUM(O136:O138)</f>
        <v>0</v>
      </c>
      <c r="P135" s="129">
        <f t="shared" si="77"/>
        <v>0</v>
      </c>
      <c r="Q135" s="129" t="e">
        <f t="shared" si="77"/>
        <v>#DIV/0!</v>
      </c>
      <c r="R135" s="129" t="e">
        <f t="shared" si="78"/>
        <v>#DIV/0!</v>
      </c>
      <c r="S135" s="109">
        <f t="shared" ref="S135:BE135" si="97">SUM(S136:S138)</f>
        <v>0</v>
      </c>
      <c r="T135" s="109">
        <f t="shared" si="97"/>
        <v>0</v>
      </c>
      <c r="U135" s="109">
        <f t="shared" si="97"/>
        <v>0</v>
      </c>
      <c r="V135" s="109">
        <f t="shared" si="97"/>
        <v>0</v>
      </c>
      <c r="W135" s="109">
        <f t="shared" si="97"/>
        <v>0</v>
      </c>
      <c r="X135" s="109">
        <f t="shared" si="97"/>
        <v>0</v>
      </c>
      <c r="Y135" s="109">
        <f t="shared" si="97"/>
        <v>0</v>
      </c>
      <c r="Z135" s="109">
        <f t="shared" si="97"/>
        <v>0</v>
      </c>
      <c r="AA135" s="109">
        <f t="shared" si="97"/>
        <v>0</v>
      </c>
      <c r="AB135" s="109">
        <f t="shared" si="97"/>
        <v>0</v>
      </c>
      <c r="AC135" s="109">
        <f t="shared" si="97"/>
        <v>0</v>
      </c>
      <c r="AD135" s="109">
        <f t="shared" si="97"/>
        <v>0</v>
      </c>
      <c r="AE135" s="109">
        <f t="shared" si="97"/>
        <v>0</v>
      </c>
      <c r="AF135" s="109">
        <f t="shared" si="97"/>
        <v>0</v>
      </c>
      <c r="AG135" s="109">
        <f t="shared" si="97"/>
        <v>0</v>
      </c>
      <c r="AH135" s="109">
        <f t="shared" si="97"/>
        <v>0</v>
      </c>
      <c r="AI135" s="109">
        <f t="shared" si="97"/>
        <v>0</v>
      </c>
      <c r="AJ135" s="109">
        <f t="shared" si="97"/>
        <v>0</v>
      </c>
      <c r="AK135" s="109">
        <f t="shared" si="97"/>
        <v>0</v>
      </c>
      <c r="AL135" s="109">
        <f t="shared" si="97"/>
        <v>0</v>
      </c>
      <c r="AM135" s="109">
        <f t="shared" si="97"/>
        <v>0</v>
      </c>
      <c r="AN135" s="109">
        <f t="shared" si="97"/>
        <v>0</v>
      </c>
      <c r="AO135" s="109">
        <f t="shared" si="97"/>
        <v>0</v>
      </c>
      <c r="AP135" s="109">
        <f t="shared" si="97"/>
        <v>0</v>
      </c>
      <c r="AQ135" s="109">
        <f t="shared" si="97"/>
        <v>0</v>
      </c>
      <c r="AR135" s="109">
        <f t="shared" si="97"/>
        <v>0</v>
      </c>
      <c r="AS135" s="109">
        <f t="shared" si="97"/>
        <v>0</v>
      </c>
      <c r="AT135" s="109">
        <f t="shared" si="97"/>
        <v>0</v>
      </c>
      <c r="AU135" s="109">
        <f t="shared" si="97"/>
        <v>0</v>
      </c>
      <c r="AV135" s="109">
        <f t="shared" si="97"/>
        <v>0</v>
      </c>
      <c r="AW135" s="109">
        <f t="shared" si="97"/>
        <v>0</v>
      </c>
      <c r="AX135" s="109">
        <f t="shared" si="97"/>
        <v>0</v>
      </c>
      <c r="AY135" s="109">
        <f t="shared" si="97"/>
        <v>0</v>
      </c>
      <c r="AZ135" s="109">
        <f t="shared" si="97"/>
        <v>0</v>
      </c>
      <c r="BA135" s="109">
        <f t="shared" si="97"/>
        <v>0</v>
      </c>
      <c r="BB135" s="109">
        <f t="shared" si="97"/>
        <v>0</v>
      </c>
      <c r="BC135" s="109">
        <f t="shared" si="97"/>
        <v>0</v>
      </c>
      <c r="BD135" s="109">
        <f t="shared" si="97"/>
        <v>0</v>
      </c>
      <c r="BE135" s="109">
        <f t="shared" si="97"/>
        <v>0</v>
      </c>
      <c r="BF135" s="111"/>
      <c r="BG135" s="112"/>
      <c r="BH135" s="112"/>
      <c r="BI135" s="112"/>
      <c r="BJ135" s="112"/>
    </row>
    <row r="136" spans="1:62" ht="16.5" customHeight="1" x14ac:dyDescent="0.25">
      <c r="A136" s="162" t="s">
        <v>126</v>
      </c>
      <c r="B136" s="170" t="s">
        <v>175</v>
      </c>
      <c r="C136" s="145">
        <v>5000</v>
      </c>
      <c r="D136" s="141"/>
      <c r="E136" s="141"/>
      <c r="F136" s="141"/>
      <c r="G136" s="30">
        <f t="shared" ref="G136:I138" si="98">S136+V136+Y136+AB136+AE136+AH136+AK136+AN136+AQ136+AT136+AW136+AZ136</f>
        <v>0</v>
      </c>
      <c r="H136" s="30">
        <f t="shared" si="98"/>
        <v>0</v>
      </c>
      <c r="I136" s="30">
        <f t="shared" si="98"/>
        <v>0</v>
      </c>
      <c r="J136" s="30">
        <f t="shared" si="59"/>
        <v>0</v>
      </c>
      <c r="K136" s="30">
        <f t="shared" si="59"/>
        <v>0</v>
      </c>
      <c r="L136" s="30">
        <f t="shared" si="59"/>
        <v>0</v>
      </c>
      <c r="M136" s="30">
        <f t="shared" ref="M136:N138" si="99">C136-G136</f>
        <v>5000</v>
      </c>
      <c r="N136" s="30">
        <f t="shared" si="99"/>
        <v>0</v>
      </c>
      <c r="O136" s="30">
        <f t="shared" ref="O136:O138" si="100">F136-I136</f>
        <v>0</v>
      </c>
      <c r="P136" s="32">
        <f t="shared" si="77"/>
        <v>0</v>
      </c>
      <c r="Q136" s="32" t="e">
        <f t="shared" si="77"/>
        <v>#DIV/0!</v>
      </c>
      <c r="R136" s="32" t="e">
        <f t="shared" si="78"/>
        <v>#DIV/0!</v>
      </c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33"/>
      <c r="BG136" s="34"/>
      <c r="BH136" s="34"/>
      <c r="BI136" s="34"/>
      <c r="BJ136" s="34"/>
    </row>
    <row r="137" spans="1:62" ht="15.75" hidden="1" customHeight="1" x14ac:dyDescent="0.25">
      <c r="A137" s="25" t="s">
        <v>32</v>
      </c>
      <c r="B137" s="52" t="s">
        <v>87</v>
      </c>
      <c r="C137" s="29"/>
      <c r="D137" s="28"/>
      <c r="E137" s="28"/>
      <c r="F137" s="130"/>
      <c r="G137" s="30">
        <f t="shared" si="98"/>
        <v>0</v>
      </c>
      <c r="H137" s="30">
        <f t="shared" si="98"/>
        <v>0</v>
      </c>
      <c r="I137" s="30">
        <f t="shared" si="98"/>
        <v>0</v>
      </c>
      <c r="J137" s="30">
        <f t="shared" si="59"/>
        <v>0</v>
      </c>
      <c r="K137" s="30">
        <f t="shared" si="59"/>
        <v>0</v>
      </c>
      <c r="L137" s="30">
        <f t="shared" si="59"/>
        <v>0</v>
      </c>
      <c r="M137" s="30">
        <f t="shared" si="99"/>
        <v>0</v>
      </c>
      <c r="N137" s="30">
        <f t="shared" si="99"/>
        <v>0</v>
      </c>
      <c r="O137" s="30">
        <f t="shared" si="100"/>
        <v>0</v>
      </c>
      <c r="P137" s="32" t="e">
        <f t="shared" si="77"/>
        <v>#DIV/0!</v>
      </c>
      <c r="Q137" s="32" t="e">
        <f t="shared" si="77"/>
        <v>#DIV/0!</v>
      </c>
      <c r="R137" s="32" t="e">
        <f t="shared" si="78"/>
        <v>#DIV/0!</v>
      </c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33"/>
      <c r="BG137" s="34"/>
      <c r="BH137" s="34"/>
      <c r="BI137" s="34"/>
      <c r="BJ137" s="34"/>
    </row>
    <row r="138" spans="1:62" ht="15.75" hidden="1" customHeight="1" x14ac:dyDescent="0.25">
      <c r="A138" s="25" t="s">
        <v>34</v>
      </c>
      <c r="B138" s="52" t="s">
        <v>35</v>
      </c>
      <c r="C138" s="29"/>
      <c r="D138" s="28"/>
      <c r="E138" s="28"/>
      <c r="F138" s="29"/>
      <c r="G138" s="30">
        <f t="shared" si="98"/>
        <v>0</v>
      </c>
      <c r="H138" s="30">
        <f t="shared" si="98"/>
        <v>0</v>
      </c>
      <c r="I138" s="30">
        <f t="shared" si="98"/>
        <v>0</v>
      </c>
      <c r="J138" s="30">
        <f t="shared" si="59"/>
        <v>0</v>
      </c>
      <c r="K138" s="30">
        <f t="shared" si="59"/>
        <v>0</v>
      </c>
      <c r="L138" s="30">
        <f t="shared" si="59"/>
        <v>0</v>
      </c>
      <c r="M138" s="30">
        <f t="shared" si="99"/>
        <v>0</v>
      </c>
      <c r="N138" s="30">
        <f t="shared" si="99"/>
        <v>0</v>
      </c>
      <c r="O138" s="30">
        <f t="shared" si="100"/>
        <v>0</v>
      </c>
      <c r="P138" s="32" t="e">
        <f t="shared" si="77"/>
        <v>#DIV/0!</v>
      </c>
      <c r="Q138" s="32" t="e">
        <f t="shared" si="77"/>
        <v>#DIV/0!</v>
      </c>
      <c r="R138" s="32" t="e">
        <f t="shared" si="78"/>
        <v>#DIV/0!</v>
      </c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33"/>
      <c r="BG138" s="34"/>
      <c r="BH138" s="34"/>
      <c r="BI138" s="34"/>
      <c r="BJ138" s="34"/>
    </row>
    <row r="139" spans="1:62" ht="15.75" hidden="1" x14ac:dyDescent="0.25">
      <c r="A139" s="107"/>
      <c r="B139" s="108" t="s">
        <v>176</v>
      </c>
      <c r="C139" s="109">
        <f t="shared" ref="C139:I139" si="101">SUM(C140:C141)</f>
        <v>0</v>
      </c>
      <c r="D139" s="109">
        <f t="shared" si="101"/>
        <v>0</v>
      </c>
      <c r="E139" s="109">
        <f t="shared" si="101"/>
        <v>0</v>
      </c>
      <c r="F139" s="109">
        <f t="shared" si="101"/>
        <v>0</v>
      </c>
      <c r="G139" s="109">
        <f t="shared" si="101"/>
        <v>0</v>
      </c>
      <c r="H139" s="109">
        <f t="shared" si="101"/>
        <v>0</v>
      </c>
      <c r="I139" s="109">
        <f t="shared" si="101"/>
        <v>0</v>
      </c>
      <c r="J139" s="128">
        <f t="shared" si="59"/>
        <v>0</v>
      </c>
      <c r="K139" s="128">
        <f t="shared" si="59"/>
        <v>0</v>
      </c>
      <c r="L139" s="128">
        <f t="shared" si="59"/>
        <v>0</v>
      </c>
      <c r="M139" s="109">
        <f>SUM(M140:M141)</f>
        <v>0</v>
      </c>
      <c r="N139" s="109">
        <f>SUM(N140:N141)</f>
        <v>0</v>
      </c>
      <c r="O139" s="109">
        <f>SUM(O140:O141)</f>
        <v>0</v>
      </c>
      <c r="P139" s="129" t="e">
        <f t="shared" si="77"/>
        <v>#DIV/0!</v>
      </c>
      <c r="Q139" s="129" t="e">
        <f t="shared" si="77"/>
        <v>#DIV/0!</v>
      </c>
      <c r="R139" s="129" t="e">
        <f t="shared" si="78"/>
        <v>#DIV/0!</v>
      </c>
      <c r="S139" s="109">
        <f t="shared" ref="S139:BE139" si="102">SUM(S140:S141)</f>
        <v>0</v>
      </c>
      <c r="T139" s="109">
        <f t="shared" si="102"/>
        <v>0</v>
      </c>
      <c r="U139" s="109">
        <f t="shared" si="102"/>
        <v>0</v>
      </c>
      <c r="V139" s="109">
        <f t="shared" si="102"/>
        <v>0</v>
      </c>
      <c r="W139" s="109">
        <f t="shared" si="102"/>
        <v>0</v>
      </c>
      <c r="X139" s="109">
        <f t="shared" si="102"/>
        <v>0</v>
      </c>
      <c r="Y139" s="109">
        <f t="shared" si="102"/>
        <v>0</v>
      </c>
      <c r="Z139" s="109">
        <f t="shared" si="102"/>
        <v>0</v>
      </c>
      <c r="AA139" s="109">
        <f t="shared" si="102"/>
        <v>0</v>
      </c>
      <c r="AB139" s="109">
        <f t="shared" si="102"/>
        <v>0</v>
      </c>
      <c r="AC139" s="109">
        <f t="shared" si="102"/>
        <v>0</v>
      </c>
      <c r="AD139" s="109">
        <f t="shared" si="102"/>
        <v>0</v>
      </c>
      <c r="AE139" s="109">
        <f t="shared" si="102"/>
        <v>0</v>
      </c>
      <c r="AF139" s="109">
        <f t="shared" si="102"/>
        <v>0</v>
      </c>
      <c r="AG139" s="109">
        <f t="shared" si="102"/>
        <v>0</v>
      </c>
      <c r="AH139" s="109">
        <f t="shared" si="102"/>
        <v>0</v>
      </c>
      <c r="AI139" s="109">
        <f t="shared" si="102"/>
        <v>0</v>
      </c>
      <c r="AJ139" s="109">
        <f t="shared" si="102"/>
        <v>0</v>
      </c>
      <c r="AK139" s="109">
        <f t="shared" si="102"/>
        <v>0</v>
      </c>
      <c r="AL139" s="109">
        <f t="shared" si="102"/>
        <v>0</v>
      </c>
      <c r="AM139" s="109">
        <f t="shared" si="102"/>
        <v>0</v>
      </c>
      <c r="AN139" s="109">
        <f t="shared" si="102"/>
        <v>0</v>
      </c>
      <c r="AO139" s="109">
        <f t="shared" si="102"/>
        <v>0</v>
      </c>
      <c r="AP139" s="109">
        <f t="shared" si="102"/>
        <v>0</v>
      </c>
      <c r="AQ139" s="109">
        <f t="shared" si="102"/>
        <v>0</v>
      </c>
      <c r="AR139" s="109">
        <f t="shared" si="102"/>
        <v>0</v>
      </c>
      <c r="AS139" s="109">
        <f t="shared" si="102"/>
        <v>0</v>
      </c>
      <c r="AT139" s="109">
        <f t="shared" si="102"/>
        <v>0</v>
      </c>
      <c r="AU139" s="109">
        <f t="shared" si="102"/>
        <v>0</v>
      </c>
      <c r="AV139" s="109">
        <f t="shared" si="102"/>
        <v>0</v>
      </c>
      <c r="AW139" s="109">
        <f t="shared" si="102"/>
        <v>0</v>
      </c>
      <c r="AX139" s="109">
        <f t="shared" si="102"/>
        <v>0</v>
      </c>
      <c r="AY139" s="109">
        <f t="shared" si="102"/>
        <v>0</v>
      </c>
      <c r="AZ139" s="109">
        <f t="shared" si="102"/>
        <v>0</v>
      </c>
      <c r="BA139" s="109">
        <f t="shared" si="102"/>
        <v>0</v>
      </c>
      <c r="BB139" s="109">
        <f t="shared" si="102"/>
        <v>0</v>
      </c>
      <c r="BC139" s="109">
        <f t="shared" si="102"/>
        <v>0</v>
      </c>
      <c r="BD139" s="109">
        <f t="shared" si="102"/>
        <v>0</v>
      </c>
      <c r="BE139" s="109">
        <f t="shared" si="102"/>
        <v>0</v>
      </c>
      <c r="BF139" s="111"/>
      <c r="BG139" s="112"/>
      <c r="BH139" s="112"/>
      <c r="BI139" s="112"/>
      <c r="BJ139" s="112"/>
    </row>
    <row r="140" spans="1:62" ht="15.75" hidden="1" customHeight="1" x14ac:dyDescent="0.25">
      <c r="A140" s="25" t="s">
        <v>126</v>
      </c>
      <c r="B140" s="52" t="s">
        <v>177</v>
      </c>
      <c r="C140" s="29"/>
      <c r="D140" s="28"/>
      <c r="E140" s="28"/>
      <c r="F140" s="29"/>
      <c r="G140" s="30">
        <f>S140+V140+Y140+AB140+AE140+AH140+AK140+AN140+AQ140+AT140+AW140+AZ140</f>
        <v>0</v>
      </c>
      <c r="H140" s="30">
        <f>T140+W140+Z140+AC140+AF140+AI140+AL140+AO140+AR140+AU140+AX140+BA140</f>
        <v>0</v>
      </c>
      <c r="I140" s="30">
        <f>U140+X140+AA140+AD140+AG140+AJ140+AM140+AP140+AS140+AV140+AY140+BB140</f>
        <v>0</v>
      </c>
      <c r="J140" s="30">
        <f t="shared" ref="J140:L141" si="103">IF(BC140=0,SUM(S140+V140+Y140+AB140+AE140+AH140+AK140+AN140+AQ140+AT140+AW140+AZ140),BC140)</f>
        <v>0</v>
      </c>
      <c r="K140" s="30">
        <f t="shared" ref="K140:K143" si="104">IF(BD140=0,SUM(T140+W140+Z140+AC140+AF140+AI140+AL140+AO140+AR140+AU140+AX140+BA140),BD140)</f>
        <v>0</v>
      </c>
      <c r="L140" s="30">
        <f t="shared" si="103"/>
        <v>0</v>
      </c>
      <c r="M140" s="30">
        <f t="shared" ref="M140:N141" si="105">C140-G140</f>
        <v>0</v>
      </c>
      <c r="N140" s="30">
        <f t="shared" si="105"/>
        <v>0</v>
      </c>
      <c r="O140" s="30">
        <f t="shared" ref="O140:O141" si="106">F140-I140</f>
        <v>0</v>
      </c>
      <c r="P140" s="32" t="e">
        <f t="shared" ref="P140:Q155" si="107">G140/C140</f>
        <v>#DIV/0!</v>
      </c>
      <c r="Q140" s="32" t="e">
        <f t="shared" si="107"/>
        <v>#DIV/0!</v>
      </c>
      <c r="R140" s="32" t="e">
        <f t="shared" si="78"/>
        <v>#DIV/0!</v>
      </c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33"/>
      <c r="BG140" s="34"/>
      <c r="BH140" s="34"/>
      <c r="BI140" s="34"/>
      <c r="BJ140" s="34"/>
    </row>
    <row r="141" spans="1:62" ht="15.75" hidden="1" customHeight="1" x14ac:dyDescent="0.25">
      <c r="A141" s="97"/>
      <c r="B141" s="131"/>
      <c r="C141" s="29"/>
      <c r="D141" s="28"/>
      <c r="E141" s="28"/>
      <c r="F141" s="29"/>
      <c r="G141" s="30"/>
      <c r="H141" s="30">
        <f t="shared" ref="H141" si="108">T141+W141+Z141+AC141+AF141+AI141+AL141+AO141+AR141+AU141+AX141+BA141</f>
        <v>0</v>
      </c>
      <c r="I141" s="30">
        <f>U141+X141+AA141+AD141+AG141+AJ141+AM141+AP141+AS141+AV141+AY141+BB141</f>
        <v>0</v>
      </c>
      <c r="J141" s="30">
        <f t="shared" si="103"/>
        <v>0</v>
      </c>
      <c r="K141" s="30">
        <f t="shared" si="104"/>
        <v>0</v>
      </c>
      <c r="L141" s="30">
        <f t="shared" si="103"/>
        <v>0</v>
      </c>
      <c r="M141" s="30">
        <f t="shared" si="105"/>
        <v>0</v>
      </c>
      <c r="N141" s="30">
        <f t="shared" si="105"/>
        <v>0</v>
      </c>
      <c r="O141" s="30">
        <f t="shared" si="106"/>
        <v>0</v>
      </c>
      <c r="P141" s="32" t="e">
        <f t="shared" si="107"/>
        <v>#DIV/0!</v>
      </c>
      <c r="Q141" s="32" t="e">
        <f t="shared" si="107"/>
        <v>#DIV/0!</v>
      </c>
      <c r="R141" s="32" t="e">
        <f t="shared" si="78"/>
        <v>#DIV/0!</v>
      </c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33"/>
      <c r="BG141" s="34"/>
      <c r="BH141" s="34"/>
      <c r="BI141" s="34"/>
      <c r="BJ141" s="34"/>
    </row>
    <row r="142" spans="1:62" ht="15.75" customHeight="1" x14ac:dyDescent="0.25">
      <c r="A142" s="82"/>
      <c r="B142" s="125" t="s">
        <v>178</v>
      </c>
      <c r="C142" s="126">
        <f t="shared" ref="C142:I142" si="109">C143+C150</f>
        <v>32019.02</v>
      </c>
      <c r="D142" s="126">
        <f t="shared" si="109"/>
        <v>2048.62</v>
      </c>
      <c r="E142" s="126">
        <f t="shared" si="109"/>
        <v>1118.73</v>
      </c>
      <c r="F142" s="126">
        <f t="shared" si="109"/>
        <v>1870</v>
      </c>
      <c r="G142" s="126">
        <f t="shared" si="109"/>
        <v>17343.54</v>
      </c>
      <c r="H142" s="126">
        <f t="shared" si="109"/>
        <v>929.89</v>
      </c>
      <c r="I142" s="126">
        <f t="shared" si="109"/>
        <v>1870</v>
      </c>
      <c r="J142" s="126">
        <f>IF(BC142=0,SUM(S142+V142+Y142+AB142+AE142+AH142+AK142+AN142+AQ142+AT142+AW142+AZ142),BC142)</f>
        <v>17343.54</v>
      </c>
      <c r="K142" s="126">
        <f t="shared" si="104"/>
        <v>929.89</v>
      </c>
      <c r="L142" s="126">
        <f>IF(BE142=0,SUM(U142+X142+AA142+AD142+AG142+AJ142+AM142+AP142+AS142+AV142+AY142+BB142),BE142)</f>
        <v>1870</v>
      </c>
      <c r="M142" s="126">
        <f>M143+M150</f>
        <v>-7224.52</v>
      </c>
      <c r="N142" s="126">
        <f>N143+N150</f>
        <v>0</v>
      </c>
      <c r="O142" s="126">
        <f>O143+O150</f>
        <v>0</v>
      </c>
      <c r="P142" s="127">
        <f t="shared" si="107"/>
        <v>0.54166367365397194</v>
      </c>
      <c r="Q142" s="127">
        <f>H142/D142</f>
        <v>0.4539104372699671</v>
      </c>
      <c r="R142" s="127">
        <f t="shared" si="78"/>
        <v>1</v>
      </c>
      <c r="S142" s="126">
        <f t="shared" ref="S142:BE142" si="110">S143+S150</f>
        <v>0</v>
      </c>
      <c r="T142" s="126">
        <f t="shared" si="110"/>
        <v>0</v>
      </c>
      <c r="U142" s="126">
        <f t="shared" si="110"/>
        <v>0</v>
      </c>
      <c r="V142" s="126">
        <f t="shared" si="110"/>
        <v>1621.62</v>
      </c>
      <c r="W142" s="126">
        <f t="shared" si="110"/>
        <v>0</v>
      </c>
      <c r="X142" s="126">
        <f t="shared" si="110"/>
        <v>0</v>
      </c>
      <c r="Y142" s="126">
        <f t="shared" si="110"/>
        <v>0</v>
      </c>
      <c r="Z142" s="126">
        <f t="shared" si="110"/>
        <v>0</v>
      </c>
      <c r="AA142" s="126">
        <f t="shared" si="110"/>
        <v>0</v>
      </c>
      <c r="AB142" s="126">
        <f t="shared" si="110"/>
        <v>810.81</v>
      </c>
      <c r="AC142" s="126">
        <f t="shared" si="110"/>
        <v>0</v>
      </c>
      <c r="AD142" s="126">
        <f t="shared" si="110"/>
        <v>0</v>
      </c>
      <c r="AE142" s="126">
        <f t="shared" si="110"/>
        <v>13289.49</v>
      </c>
      <c r="AF142" s="126">
        <f t="shared" si="110"/>
        <v>0</v>
      </c>
      <c r="AG142" s="126">
        <f t="shared" si="110"/>
        <v>0</v>
      </c>
      <c r="AH142" s="126">
        <f t="shared" si="110"/>
        <v>1621.62</v>
      </c>
      <c r="AI142" s="126">
        <f t="shared" si="110"/>
        <v>0</v>
      </c>
      <c r="AJ142" s="126">
        <f t="shared" si="110"/>
        <v>0</v>
      </c>
      <c r="AK142" s="126">
        <f t="shared" si="110"/>
        <v>0</v>
      </c>
      <c r="AL142" s="126">
        <f t="shared" si="110"/>
        <v>0</v>
      </c>
      <c r="AM142" s="126">
        <f t="shared" si="110"/>
        <v>0</v>
      </c>
      <c r="AN142" s="126">
        <f t="shared" si="110"/>
        <v>0</v>
      </c>
      <c r="AO142" s="126">
        <f t="shared" si="110"/>
        <v>0</v>
      </c>
      <c r="AP142" s="126">
        <f t="shared" si="110"/>
        <v>0</v>
      </c>
      <c r="AQ142" s="126">
        <f t="shared" si="110"/>
        <v>0</v>
      </c>
      <c r="AR142" s="126">
        <f t="shared" si="110"/>
        <v>0</v>
      </c>
      <c r="AS142" s="126">
        <f t="shared" si="110"/>
        <v>0</v>
      </c>
      <c r="AT142" s="126">
        <f t="shared" si="110"/>
        <v>0</v>
      </c>
      <c r="AU142" s="126">
        <f t="shared" si="110"/>
        <v>929.89</v>
      </c>
      <c r="AV142" s="126">
        <f t="shared" si="110"/>
        <v>1870</v>
      </c>
      <c r="AW142" s="126">
        <f t="shared" si="110"/>
        <v>0</v>
      </c>
      <c r="AX142" s="126">
        <f t="shared" si="110"/>
        <v>0</v>
      </c>
      <c r="AY142" s="126">
        <f t="shared" si="110"/>
        <v>0</v>
      </c>
      <c r="AZ142" s="126">
        <f t="shared" si="110"/>
        <v>0</v>
      </c>
      <c r="BA142" s="126">
        <f t="shared" si="110"/>
        <v>0</v>
      </c>
      <c r="BB142" s="126">
        <f t="shared" si="110"/>
        <v>0</v>
      </c>
      <c r="BC142" s="126">
        <f t="shared" si="110"/>
        <v>0</v>
      </c>
      <c r="BD142" s="126">
        <f t="shared" si="110"/>
        <v>0</v>
      </c>
      <c r="BE142" s="126">
        <f t="shared" si="110"/>
        <v>0</v>
      </c>
      <c r="BF142" s="59"/>
      <c r="BG142" s="60"/>
      <c r="BH142" s="60"/>
      <c r="BI142" s="60"/>
      <c r="BJ142" s="60"/>
    </row>
    <row r="143" spans="1:62" ht="15.75" x14ac:dyDescent="0.25">
      <c r="A143" s="107"/>
      <c r="B143" s="108" t="s">
        <v>179</v>
      </c>
      <c r="C143" s="109">
        <f>SUM(C144:C149)</f>
        <v>32019.02</v>
      </c>
      <c r="D143" s="109">
        <f>SUM(D144:D149)</f>
        <v>1118.73</v>
      </c>
      <c r="E143" s="109">
        <f>SUM(E144:E149)</f>
        <v>1118.73</v>
      </c>
      <c r="F143" s="109">
        <f>SUM(F144:F148)</f>
        <v>0</v>
      </c>
      <c r="G143" s="109">
        <f>SUM(G144:G148)</f>
        <v>17343.54</v>
      </c>
      <c r="H143" s="109">
        <f>SUM(H144:H148)</f>
        <v>0</v>
      </c>
      <c r="I143" s="109">
        <f>SUM(I144:I148)</f>
        <v>0</v>
      </c>
      <c r="J143" s="109">
        <f>IF(BC143=0,SUM(S143+V143+Y143+AB143+AE143+AH143+AK143+AN143+AQ143+AT143+AW143+AZ143),BC143)</f>
        <v>17343.54</v>
      </c>
      <c r="K143" s="109">
        <f t="shared" si="104"/>
        <v>0</v>
      </c>
      <c r="L143" s="109">
        <f>IF(BE143=0,SUM(U143+X143+AA143+AD143+AG143+AJ143+AM143+AP143+AS143+AV143+AY143+BB143),BE143)</f>
        <v>0</v>
      </c>
      <c r="M143" s="109">
        <f>SUM(M144:M149)</f>
        <v>-7224.52</v>
      </c>
      <c r="N143" s="109">
        <f>SUM(N144:N149)</f>
        <v>0</v>
      </c>
      <c r="O143" s="109">
        <f>SUM(O144:O148)</f>
        <v>0</v>
      </c>
      <c r="P143" s="129">
        <f t="shared" si="107"/>
        <v>0.54166367365397194</v>
      </c>
      <c r="Q143" s="129">
        <f>H143/D143</f>
        <v>0</v>
      </c>
      <c r="R143" s="129" t="e">
        <f t="shared" si="78"/>
        <v>#DIV/0!</v>
      </c>
      <c r="S143" s="109">
        <f t="shared" ref="S143:Y143" si="111">SUM(S144:S148)</f>
        <v>0</v>
      </c>
      <c r="T143" s="109">
        <f t="shared" si="111"/>
        <v>0</v>
      </c>
      <c r="U143" s="109">
        <f t="shared" si="111"/>
        <v>0</v>
      </c>
      <c r="V143" s="109">
        <f t="shared" si="111"/>
        <v>1621.62</v>
      </c>
      <c r="W143" s="109">
        <f t="shared" si="111"/>
        <v>0</v>
      </c>
      <c r="X143" s="109">
        <f t="shared" si="111"/>
        <v>0</v>
      </c>
      <c r="Y143" s="109">
        <f t="shared" si="111"/>
        <v>0</v>
      </c>
      <c r="Z143" s="109">
        <f>SUM(Z144:Z149)</f>
        <v>0</v>
      </c>
      <c r="AA143" s="109">
        <f t="shared" ref="AA143:BE143" si="112">SUM(AA144:AA148)</f>
        <v>0</v>
      </c>
      <c r="AB143" s="109">
        <f t="shared" si="112"/>
        <v>810.81</v>
      </c>
      <c r="AC143" s="109">
        <f t="shared" si="112"/>
        <v>0</v>
      </c>
      <c r="AD143" s="109">
        <f t="shared" si="112"/>
        <v>0</v>
      </c>
      <c r="AE143" s="109">
        <f t="shared" si="112"/>
        <v>13289.49</v>
      </c>
      <c r="AF143" s="109">
        <f t="shared" si="112"/>
        <v>0</v>
      </c>
      <c r="AG143" s="109">
        <f t="shared" si="112"/>
        <v>0</v>
      </c>
      <c r="AH143" s="109">
        <f t="shared" si="112"/>
        <v>1621.62</v>
      </c>
      <c r="AI143" s="109">
        <f t="shared" si="112"/>
        <v>0</v>
      </c>
      <c r="AJ143" s="109">
        <f t="shared" si="112"/>
        <v>0</v>
      </c>
      <c r="AK143" s="109">
        <f t="shared" si="112"/>
        <v>0</v>
      </c>
      <c r="AL143" s="109">
        <f t="shared" si="112"/>
        <v>0</v>
      </c>
      <c r="AM143" s="109">
        <f t="shared" si="112"/>
        <v>0</v>
      </c>
      <c r="AN143" s="109">
        <f t="shared" si="112"/>
        <v>0</v>
      </c>
      <c r="AO143" s="109">
        <f t="shared" si="112"/>
        <v>0</v>
      </c>
      <c r="AP143" s="109">
        <f t="shared" si="112"/>
        <v>0</v>
      </c>
      <c r="AQ143" s="109">
        <f t="shared" si="112"/>
        <v>0</v>
      </c>
      <c r="AR143" s="109">
        <f t="shared" si="112"/>
        <v>0</v>
      </c>
      <c r="AS143" s="109">
        <f t="shared" si="112"/>
        <v>0</v>
      </c>
      <c r="AT143" s="109">
        <f t="shared" si="112"/>
        <v>0</v>
      </c>
      <c r="AU143" s="109">
        <f t="shared" si="112"/>
        <v>0</v>
      </c>
      <c r="AV143" s="109">
        <f t="shared" si="112"/>
        <v>0</v>
      </c>
      <c r="AW143" s="109">
        <f t="shared" si="112"/>
        <v>0</v>
      </c>
      <c r="AX143" s="109">
        <f t="shared" si="112"/>
        <v>0</v>
      </c>
      <c r="AY143" s="109">
        <f t="shared" si="112"/>
        <v>0</v>
      </c>
      <c r="AZ143" s="109">
        <f t="shared" si="112"/>
        <v>0</v>
      </c>
      <c r="BA143" s="109">
        <f t="shared" si="112"/>
        <v>0</v>
      </c>
      <c r="BB143" s="109">
        <f t="shared" si="112"/>
        <v>0</v>
      </c>
      <c r="BC143" s="109">
        <f t="shared" si="112"/>
        <v>0</v>
      </c>
      <c r="BD143" s="109">
        <f t="shared" si="112"/>
        <v>0</v>
      </c>
      <c r="BE143" s="109">
        <f t="shared" si="112"/>
        <v>0</v>
      </c>
      <c r="BF143" s="111"/>
      <c r="BG143" s="112"/>
      <c r="BH143" s="112"/>
      <c r="BI143" s="112"/>
      <c r="BJ143" s="112"/>
    </row>
    <row r="144" spans="1:62" ht="15.75" customHeight="1" x14ac:dyDescent="0.25">
      <c r="A144" s="172" t="s">
        <v>128</v>
      </c>
      <c r="B144" s="177" t="s">
        <v>180</v>
      </c>
      <c r="C144" s="147"/>
      <c r="D144" s="147"/>
      <c r="E144" s="147"/>
      <c r="F144" s="151"/>
      <c r="G144" s="30"/>
      <c r="H144" s="30"/>
      <c r="I144" s="30"/>
      <c r="J144" s="18"/>
      <c r="K144" s="18"/>
      <c r="L144" s="18"/>
      <c r="M144" s="30"/>
      <c r="N144" s="30"/>
      <c r="O144" s="30"/>
      <c r="P144" s="32"/>
      <c r="Q144" s="32"/>
      <c r="R144" s="32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33"/>
      <c r="BG144" s="34"/>
      <c r="BH144" s="34"/>
      <c r="BI144" s="34"/>
      <c r="BJ144" s="34"/>
    </row>
    <row r="145" spans="1:62" ht="15.75" customHeight="1" x14ac:dyDescent="0.25">
      <c r="A145" s="162" t="s">
        <v>126</v>
      </c>
      <c r="B145" s="170" t="s">
        <v>181</v>
      </c>
      <c r="C145" s="147">
        <f>3600+1800+1800+3600+3600+1800+3000+1500+1200</f>
        <v>21900</v>
      </c>
      <c r="D145" s="147"/>
      <c r="E145" s="147"/>
      <c r="F145" s="151"/>
      <c r="G145" s="30"/>
      <c r="H145" s="30"/>
      <c r="I145" s="30"/>
      <c r="J145" s="18"/>
      <c r="K145" s="18"/>
      <c r="L145" s="18"/>
      <c r="M145" s="30"/>
      <c r="N145" s="30"/>
      <c r="O145" s="30"/>
      <c r="P145" s="32"/>
      <c r="Q145" s="32"/>
      <c r="R145" s="32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33"/>
      <c r="BG145" s="34"/>
      <c r="BH145" s="34"/>
      <c r="BI145" s="34"/>
      <c r="BJ145" s="34"/>
    </row>
    <row r="146" spans="1:62" ht="15.75" customHeight="1" x14ac:dyDescent="0.25">
      <c r="A146" s="162" t="s">
        <v>32</v>
      </c>
      <c r="B146" s="170" t="s">
        <v>87</v>
      </c>
      <c r="C146" s="147"/>
      <c r="D146" s="147"/>
      <c r="E146" s="147"/>
      <c r="F146" s="149"/>
      <c r="G146" s="30">
        <f t="shared" ref="G146:I149" si="113">S146+V146+Y146+AB146+AE146+AH146+AK146+AN146+AQ146+AT146+AW146+AZ146</f>
        <v>0</v>
      </c>
      <c r="H146" s="30">
        <f t="shared" si="113"/>
        <v>0</v>
      </c>
      <c r="I146" s="30">
        <f t="shared" si="113"/>
        <v>0</v>
      </c>
      <c r="J146" s="30">
        <f t="shared" ref="J146:L158" si="114">IF(BC146=0,SUM(S146+V146+Y146+AB146+AE146+AH146+AK146+AN146+AQ146+AT146+AW146+AZ146),BC146)</f>
        <v>0</v>
      </c>
      <c r="K146" s="30">
        <f t="shared" si="114"/>
        <v>0</v>
      </c>
      <c r="L146" s="30">
        <f t="shared" si="114"/>
        <v>0</v>
      </c>
      <c r="M146" s="30">
        <f t="shared" ref="M146:N149" si="115">C146-G146</f>
        <v>0</v>
      </c>
      <c r="N146" s="30">
        <f t="shared" si="115"/>
        <v>0</v>
      </c>
      <c r="O146" s="30">
        <f t="shared" ref="O146:O149" si="116">F146-I146</f>
        <v>0</v>
      </c>
      <c r="P146" s="32" t="e">
        <f t="shared" si="107"/>
        <v>#DIV/0!</v>
      </c>
      <c r="Q146" s="32" t="e">
        <f t="shared" si="107"/>
        <v>#DIV/0!</v>
      </c>
      <c r="R146" s="32" t="e">
        <f t="shared" ref="R146:R149" si="117">I146/F146</f>
        <v>#DIV/0!</v>
      </c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33"/>
      <c r="BG146" s="34"/>
      <c r="BH146" s="34"/>
      <c r="BI146" s="34"/>
      <c r="BJ146" s="34"/>
    </row>
    <row r="147" spans="1:62" ht="15.75" customHeight="1" x14ac:dyDescent="0.25">
      <c r="A147" s="164" t="s">
        <v>182</v>
      </c>
      <c r="B147" s="170" t="s">
        <v>183</v>
      </c>
      <c r="C147" s="147">
        <f>5254.16</f>
        <v>5254.16</v>
      </c>
      <c r="D147" s="147"/>
      <c r="E147" s="147"/>
      <c r="F147" s="149"/>
      <c r="G147" s="30">
        <f t="shared" si="113"/>
        <v>12478.68</v>
      </c>
      <c r="H147" s="30">
        <f t="shared" si="113"/>
        <v>0</v>
      </c>
      <c r="I147" s="30">
        <f t="shared" si="113"/>
        <v>0</v>
      </c>
      <c r="J147" s="30">
        <f t="shared" si="114"/>
        <v>12478.68</v>
      </c>
      <c r="K147" s="30">
        <f t="shared" si="114"/>
        <v>0</v>
      </c>
      <c r="L147" s="30">
        <f t="shared" si="114"/>
        <v>0</v>
      </c>
      <c r="M147" s="30">
        <f t="shared" si="115"/>
        <v>-7224.52</v>
      </c>
      <c r="N147" s="30">
        <f t="shared" si="115"/>
        <v>0</v>
      </c>
      <c r="O147" s="30">
        <f t="shared" si="116"/>
        <v>0</v>
      </c>
      <c r="P147" s="32">
        <f t="shared" si="107"/>
        <v>2.3750095162690137</v>
      </c>
      <c r="Q147" s="32" t="e">
        <f t="shared" si="107"/>
        <v>#DIV/0!</v>
      </c>
      <c r="R147" s="32" t="e">
        <f t="shared" si="117"/>
        <v>#DIV/0!</v>
      </c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49">
        <f>5254.16+7224.52</f>
        <v>12478.68</v>
      </c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33"/>
      <c r="BG147" s="34"/>
      <c r="BH147" s="34"/>
      <c r="BI147" s="34"/>
      <c r="BJ147" s="34"/>
    </row>
    <row r="148" spans="1:62" ht="15.75" customHeight="1" x14ac:dyDescent="0.25">
      <c r="A148" s="164" t="s">
        <v>128</v>
      </c>
      <c r="B148" s="163" t="s">
        <v>221</v>
      </c>
      <c r="C148" s="147">
        <v>4864.8599999999997</v>
      </c>
      <c r="D148" s="147"/>
      <c r="E148" s="147"/>
      <c r="F148" s="149"/>
      <c r="G148" s="30">
        <f t="shared" si="113"/>
        <v>4864.8599999999997</v>
      </c>
      <c r="H148" s="30">
        <f t="shared" si="113"/>
        <v>0</v>
      </c>
      <c r="I148" s="30">
        <f t="shared" si="113"/>
        <v>0</v>
      </c>
      <c r="J148" s="30">
        <f t="shared" si="114"/>
        <v>4864.8599999999997</v>
      </c>
      <c r="K148" s="30">
        <f t="shared" si="114"/>
        <v>0</v>
      </c>
      <c r="L148" s="30">
        <f t="shared" si="114"/>
        <v>0</v>
      </c>
      <c r="M148" s="30">
        <f t="shared" si="115"/>
        <v>0</v>
      </c>
      <c r="N148" s="30">
        <f t="shared" si="115"/>
        <v>0</v>
      </c>
      <c r="O148" s="30">
        <f t="shared" si="116"/>
        <v>0</v>
      </c>
      <c r="P148" s="32">
        <f t="shared" si="107"/>
        <v>1</v>
      </c>
      <c r="Q148" s="32" t="e">
        <f t="shared" si="107"/>
        <v>#DIV/0!</v>
      </c>
      <c r="R148" s="32" t="e">
        <f t="shared" si="117"/>
        <v>#DIV/0!</v>
      </c>
      <c r="S148" s="28"/>
      <c r="T148" s="28"/>
      <c r="U148" s="28"/>
      <c r="V148" s="28">
        <v>1621.62</v>
      </c>
      <c r="W148" s="28"/>
      <c r="X148" s="28"/>
      <c r="Y148" s="28"/>
      <c r="Z148" s="28"/>
      <c r="AA148" s="28"/>
      <c r="AB148" s="28">
        <v>810.81</v>
      </c>
      <c r="AC148" s="28"/>
      <c r="AD148" s="28"/>
      <c r="AE148" s="28">
        <v>810.81</v>
      </c>
      <c r="AF148" s="28"/>
      <c r="AG148" s="28"/>
      <c r="AH148" s="28">
        <f>810.81+810.81</f>
        <v>1621.62</v>
      </c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33"/>
      <c r="BG148" s="34"/>
      <c r="BH148" s="34"/>
      <c r="BI148" s="34"/>
      <c r="BJ148" s="34"/>
    </row>
    <row r="149" spans="1:62" ht="15.75" customHeight="1" x14ac:dyDescent="0.25">
      <c r="A149" s="164" t="s">
        <v>91</v>
      </c>
      <c r="B149" s="163" t="s">
        <v>184</v>
      </c>
      <c r="C149" s="147"/>
      <c r="D149" s="152">
        <f>177+67.47+108+766.26</f>
        <v>1118.73</v>
      </c>
      <c r="E149" s="152">
        <v>1118.73</v>
      </c>
      <c r="F149" s="149"/>
      <c r="G149" s="30">
        <f t="shared" si="113"/>
        <v>0</v>
      </c>
      <c r="H149" s="30">
        <f t="shared" si="113"/>
        <v>0</v>
      </c>
      <c r="I149" s="30">
        <f t="shared" si="113"/>
        <v>0</v>
      </c>
      <c r="J149" s="30">
        <f t="shared" si="114"/>
        <v>0</v>
      </c>
      <c r="K149" s="30">
        <f t="shared" si="114"/>
        <v>0</v>
      </c>
      <c r="L149" s="30">
        <f t="shared" si="114"/>
        <v>0</v>
      </c>
      <c r="M149" s="30">
        <f t="shared" si="115"/>
        <v>0</v>
      </c>
      <c r="N149" s="30">
        <f>D149-H149-E149</f>
        <v>0</v>
      </c>
      <c r="O149" s="30">
        <f t="shared" si="116"/>
        <v>0</v>
      </c>
      <c r="P149" s="32" t="e">
        <f t="shared" si="107"/>
        <v>#DIV/0!</v>
      </c>
      <c r="Q149" s="32">
        <f t="shared" si="107"/>
        <v>0</v>
      </c>
      <c r="R149" s="32" t="e">
        <f t="shared" si="117"/>
        <v>#DIV/0!</v>
      </c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33"/>
      <c r="BG149" s="34"/>
      <c r="BH149" s="34"/>
      <c r="BI149" s="34"/>
      <c r="BJ149" s="34"/>
    </row>
    <row r="150" spans="1:62" ht="15.75" x14ac:dyDescent="0.25">
      <c r="A150" s="107"/>
      <c r="B150" s="108" t="s">
        <v>185</v>
      </c>
      <c r="C150" s="109">
        <f>SUM(C151:C156)</f>
        <v>0</v>
      </c>
      <c r="D150" s="109">
        <f>SUM(D151:D156)</f>
        <v>929.89</v>
      </c>
      <c r="E150" s="109"/>
      <c r="F150" s="109">
        <f>SUM(F151:F156)</f>
        <v>1870</v>
      </c>
      <c r="G150" s="109">
        <f>SUM(G151:G156)</f>
        <v>0</v>
      </c>
      <c r="H150" s="109">
        <f>SUM(H151:H156)</f>
        <v>929.89</v>
      </c>
      <c r="I150" s="109">
        <f>SUM(I151:I156)</f>
        <v>1870</v>
      </c>
      <c r="J150" s="109">
        <f t="shared" si="114"/>
        <v>0</v>
      </c>
      <c r="K150" s="109">
        <f t="shared" si="114"/>
        <v>929.89</v>
      </c>
      <c r="L150" s="109">
        <f t="shared" si="114"/>
        <v>1870</v>
      </c>
      <c r="M150" s="109">
        <f>SUM(M151:M156)</f>
        <v>0</v>
      </c>
      <c r="N150" s="109">
        <f>SUM(N151:N156)</f>
        <v>0</v>
      </c>
      <c r="O150" s="109">
        <f>SUM(O151:O156)</f>
        <v>0</v>
      </c>
      <c r="P150" s="129" t="e">
        <f t="shared" si="107"/>
        <v>#DIV/0!</v>
      </c>
      <c r="Q150" s="129">
        <f t="shared" si="107"/>
        <v>1</v>
      </c>
      <c r="R150" s="129">
        <f>I150/F150</f>
        <v>1</v>
      </c>
      <c r="S150" s="109">
        <f>SUM(S151:S156)</f>
        <v>0</v>
      </c>
      <c r="T150" s="109">
        <f>SUM(T151:T156)</f>
        <v>0</v>
      </c>
      <c r="U150" s="109">
        <f>SUM(U151:U156)</f>
        <v>0</v>
      </c>
      <c r="V150" s="109">
        <f>SUM(V151:V156)</f>
        <v>0</v>
      </c>
      <c r="W150" s="109">
        <f>SUM(W151:W156)</f>
        <v>0</v>
      </c>
      <c r="X150" s="109">
        <f>SUM(X151:X156)</f>
        <v>0</v>
      </c>
      <c r="Y150" s="109">
        <f>SUM(Y151:Y156)</f>
        <v>0</v>
      </c>
      <c r="Z150" s="109">
        <f>SUM(Z151:Z156)</f>
        <v>0</v>
      </c>
      <c r="AA150" s="109">
        <f>SUM(AA151:AA156)</f>
        <v>0</v>
      </c>
      <c r="AB150" s="109">
        <f>SUM(AB151:AB156)</f>
        <v>0</v>
      </c>
      <c r="AC150" s="109">
        <f>SUM(AC151:AC156)</f>
        <v>0</v>
      </c>
      <c r="AD150" s="109">
        <f>SUM(AD151:AD156)</f>
        <v>0</v>
      </c>
      <c r="AE150" s="109">
        <f>SUM(AE151:AE156)</f>
        <v>0</v>
      </c>
      <c r="AF150" s="109">
        <f>SUM(AF151:AF156)</f>
        <v>0</v>
      </c>
      <c r="AG150" s="109">
        <f>SUM(AG151:AG156)</f>
        <v>0</v>
      </c>
      <c r="AH150" s="109">
        <f>SUM(AH151:AH156)</f>
        <v>0</v>
      </c>
      <c r="AI150" s="109">
        <f>SUM(AI151:AI156)</f>
        <v>0</v>
      </c>
      <c r="AJ150" s="109">
        <f>SUM(AJ151:AJ156)</f>
        <v>0</v>
      </c>
      <c r="AK150" s="109">
        <f>SUM(AK151:AK156)</f>
        <v>0</v>
      </c>
      <c r="AL150" s="109">
        <f>SUM(AL151:AL156)</f>
        <v>0</v>
      </c>
      <c r="AM150" s="109">
        <f>SUM(AM151:AM156)</f>
        <v>0</v>
      </c>
      <c r="AN150" s="109">
        <f>SUM(AN151:AN156)</f>
        <v>0</v>
      </c>
      <c r="AO150" s="109">
        <f>SUM(AO151:AO156)</f>
        <v>0</v>
      </c>
      <c r="AP150" s="109">
        <f>SUM(AP151:AP156)</f>
        <v>0</v>
      </c>
      <c r="AQ150" s="109">
        <f>SUM(AQ151:AQ156)</f>
        <v>0</v>
      </c>
      <c r="AR150" s="109">
        <f>SUM(AR151:AR156)</f>
        <v>0</v>
      </c>
      <c r="AS150" s="109">
        <f>SUM(AS151:AS156)</f>
        <v>0</v>
      </c>
      <c r="AT150" s="109">
        <f>SUM(AT151:AT156)</f>
        <v>0</v>
      </c>
      <c r="AU150" s="109">
        <f>SUM(AU151:AU156)</f>
        <v>929.89</v>
      </c>
      <c r="AV150" s="109">
        <f>SUM(AV151:AV156)</f>
        <v>1870</v>
      </c>
      <c r="AW150" s="109">
        <f>SUM(AW151:AW156)</f>
        <v>0</v>
      </c>
      <c r="AX150" s="109">
        <f>SUM(AX151:AX156)</f>
        <v>0</v>
      </c>
      <c r="AY150" s="109">
        <f>SUM(AY151:AY156)</f>
        <v>0</v>
      </c>
      <c r="AZ150" s="109">
        <f>SUM(AZ151:AZ156)</f>
        <v>0</v>
      </c>
      <c r="BA150" s="109">
        <f>SUM(BA151:BA156)</f>
        <v>0</v>
      </c>
      <c r="BB150" s="109">
        <f>SUM(BB151:BB156)</f>
        <v>0</v>
      </c>
      <c r="BC150" s="109">
        <f>SUM(BC151:BC156)</f>
        <v>0</v>
      </c>
      <c r="BD150" s="109">
        <f>SUM(BD151:BD156)</f>
        <v>0</v>
      </c>
      <c r="BE150" s="109">
        <f>SUM(BE151:BE156)</f>
        <v>0</v>
      </c>
      <c r="BF150" s="111"/>
      <c r="BG150" s="112"/>
      <c r="BH150" s="112"/>
      <c r="BI150" s="112"/>
      <c r="BJ150" s="112"/>
    </row>
    <row r="151" spans="1:62" ht="15.75" customHeight="1" x14ac:dyDescent="0.25">
      <c r="A151" s="162" t="s">
        <v>98</v>
      </c>
      <c r="B151" s="178" t="s">
        <v>186</v>
      </c>
      <c r="C151" s="147"/>
      <c r="D151" s="152">
        <v>929.89</v>
      </c>
      <c r="E151" s="152"/>
      <c r="F151" s="149"/>
      <c r="G151" s="30">
        <f t="shared" ref="G151:I155" si="118">S151+V151+Y151+AB151+AE151+AH151+AK151+AN151+AQ151+AT151+AW151+AZ151</f>
        <v>0</v>
      </c>
      <c r="H151" s="30">
        <f t="shared" si="118"/>
        <v>929.89</v>
      </c>
      <c r="I151" s="30">
        <f t="shared" si="118"/>
        <v>0</v>
      </c>
      <c r="J151" s="30">
        <f t="shared" si="114"/>
        <v>0</v>
      </c>
      <c r="K151" s="30">
        <f t="shared" si="114"/>
        <v>929.89</v>
      </c>
      <c r="L151" s="30">
        <f t="shared" si="114"/>
        <v>0</v>
      </c>
      <c r="M151" s="30">
        <f>C151-G151</f>
        <v>0</v>
      </c>
      <c r="N151" s="30">
        <f>D151-H151</f>
        <v>0</v>
      </c>
      <c r="O151" s="30">
        <f t="shared" ref="O151:O155" si="119">F151-I151</f>
        <v>0</v>
      </c>
      <c r="P151" s="32" t="e">
        <f t="shared" si="107"/>
        <v>#DIV/0!</v>
      </c>
      <c r="Q151" s="32">
        <f t="shared" si="107"/>
        <v>1</v>
      </c>
      <c r="R151" s="32" t="e">
        <f>I151/F151</f>
        <v>#DIV/0!</v>
      </c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>
        <v>929.89</v>
      </c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33"/>
      <c r="BG151" s="34"/>
      <c r="BH151" s="34"/>
      <c r="BI151" s="34"/>
      <c r="BJ151" s="34"/>
    </row>
    <row r="152" spans="1:62" ht="15.75" customHeight="1" x14ac:dyDescent="0.25">
      <c r="A152" s="162" t="s">
        <v>98</v>
      </c>
      <c r="B152" s="178" t="s">
        <v>187</v>
      </c>
      <c r="C152" s="147"/>
      <c r="D152" s="147"/>
      <c r="E152" s="147"/>
      <c r="F152" s="149"/>
      <c r="G152" s="30">
        <f t="shared" si="118"/>
        <v>0</v>
      </c>
      <c r="H152" s="30">
        <f t="shared" si="118"/>
        <v>0</v>
      </c>
      <c r="I152" s="30">
        <f t="shared" si="118"/>
        <v>0</v>
      </c>
      <c r="J152" s="30">
        <f t="shared" si="114"/>
        <v>0</v>
      </c>
      <c r="K152" s="30">
        <f t="shared" si="114"/>
        <v>0</v>
      </c>
      <c r="L152" s="30">
        <f t="shared" si="114"/>
        <v>0</v>
      </c>
      <c r="M152" s="30">
        <f>C152-G152</f>
        <v>0</v>
      </c>
      <c r="N152" s="30">
        <f>D152-H152</f>
        <v>0</v>
      </c>
      <c r="O152" s="30">
        <f t="shared" si="119"/>
        <v>0</v>
      </c>
      <c r="P152" s="32" t="e">
        <f t="shared" si="107"/>
        <v>#DIV/0!</v>
      </c>
      <c r="Q152" s="32" t="e">
        <f t="shared" si="107"/>
        <v>#DIV/0!</v>
      </c>
      <c r="R152" s="32" t="e">
        <f>I152/F152</f>
        <v>#DIV/0!</v>
      </c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33"/>
      <c r="BG152" s="34"/>
      <c r="BH152" s="34"/>
      <c r="BI152" s="34"/>
      <c r="BJ152" s="34"/>
    </row>
    <row r="153" spans="1:62" ht="15.75" hidden="1" customHeight="1" x14ac:dyDescent="0.25">
      <c r="A153" s="172" t="s">
        <v>64</v>
      </c>
      <c r="B153" s="173" t="s">
        <v>188</v>
      </c>
      <c r="C153" s="147"/>
      <c r="D153" s="147"/>
      <c r="E153" s="147"/>
      <c r="F153" s="149"/>
      <c r="G153" s="30">
        <f t="shared" si="118"/>
        <v>0</v>
      </c>
      <c r="H153" s="30">
        <f t="shared" si="118"/>
        <v>0</v>
      </c>
      <c r="I153" s="30">
        <f t="shared" si="118"/>
        <v>0</v>
      </c>
      <c r="J153" s="30">
        <f t="shared" si="114"/>
        <v>0</v>
      </c>
      <c r="K153" s="30">
        <f t="shared" si="114"/>
        <v>0</v>
      </c>
      <c r="L153" s="30">
        <f t="shared" si="114"/>
        <v>0</v>
      </c>
      <c r="M153" s="30">
        <f t="shared" ref="M153:N155" si="120">C153-G153</f>
        <v>0</v>
      </c>
      <c r="N153" s="30">
        <f t="shared" si="120"/>
        <v>0</v>
      </c>
      <c r="O153" s="30">
        <f t="shared" si="119"/>
        <v>0</v>
      </c>
      <c r="P153" s="32" t="e">
        <f t="shared" si="107"/>
        <v>#DIV/0!</v>
      </c>
      <c r="Q153" s="32" t="e">
        <f t="shared" si="107"/>
        <v>#DIV/0!</v>
      </c>
      <c r="R153" s="32" t="e">
        <f t="shared" ref="R153:R158" si="121">I153/F153</f>
        <v>#DIV/0!</v>
      </c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33"/>
      <c r="BG153" s="34"/>
      <c r="BH153" s="34"/>
      <c r="BI153" s="34"/>
      <c r="BJ153" s="34"/>
    </row>
    <row r="154" spans="1:62" ht="15.75" hidden="1" customHeight="1" x14ac:dyDescent="0.25">
      <c r="A154" s="172" t="s">
        <v>189</v>
      </c>
      <c r="B154" s="173" t="s">
        <v>188</v>
      </c>
      <c r="C154" s="147"/>
      <c r="D154" s="147"/>
      <c r="E154" s="147"/>
      <c r="F154" s="149"/>
      <c r="G154" s="30">
        <f t="shared" si="118"/>
        <v>0</v>
      </c>
      <c r="H154" s="30">
        <f t="shared" si="118"/>
        <v>0</v>
      </c>
      <c r="I154" s="30">
        <f t="shared" si="118"/>
        <v>0</v>
      </c>
      <c r="J154" s="30">
        <f t="shared" si="114"/>
        <v>0</v>
      </c>
      <c r="K154" s="30">
        <f t="shared" si="114"/>
        <v>0</v>
      </c>
      <c r="L154" s="30">
        <f t="shared" si="114"/>
        <v>0</v>
      </c>
      <c r="M154" s="30">
        <f t="shared" si="120"/>
        <v>0</v>
      </c>
      <c r="N154" s="30">
        <f t="shared" si="120"/>
        <v>0</v>
      </c>
      <c r="O154" s="30">
        <f t="shared" si="119"/>
        <v>0</v>
      </c>
      <c r="P154" s="32" t="e">
        <f t="shared" si="107"/>
        <v>#DIV/0!</v>
      </c>
      <c r="Q154" s="32" t="e">
        <f t="shared" si="107"/>
        <v>#DIV/0!</v>
      </c>
      <c r="R154" s="32" t="e">
        <f t="shared" si="121"/>
        <v>#DIV/0!</v>
      </c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33"/>
      <c r="BG154" s="34"/>
      <c r="BH154" s="34"/>
      <c r="BI154" s="34"/>
      <c r="BJ154" s="34"/>
    </row>
    <row r="155" spans="1:62" ht="15.75" hidden="1" customHeight="1" x14ac:dyDescent="0.25">
      <c r="A155" s="172" t="s">
        <v>51</v>
      </c>
      <c r="B155" s="173" t="s">
        <v>188</v>
      </c>
      <c r="C155" s="147"/>
      <c r="D155" s="147"/>
      <c r="E155" s="147"/>
      <c r="F155" s="149"/>
      <c r="G155" s="30">
        <f t="shared" si="118"/>
        <v>0</v>
      </c>
      <c r="H155" s="30">
        <f t="shared" si="118"/>
        <v>0</v>
      </c>
      <c r="I155" s="30">
        <f t="shared" si="118"/>
        <v>0</v>
      </c>
      <c r="J155" s="30">
        <f t="shared" si="114"/>
        <v>0</v>
      </c>
      <c r="K155" s="30">
        <f t="shared" si="114"/>
        <v>0</v>
      </c>
      <c r="L155" s="30">
        <f t="shared" si="114"/>
        <v>0</v>
      </c>
      <c r="M155" s="30">
        <f t="shared" si="120"/>
        <v>0</v>
      </c>
      <c r="N155" s="30">
        <f t="shared" si="120"/>
        <v>0</v>
      </c>
      <c r="O155" s="30">
        <f t="shared" si="119"/>
        <v>0</v>
      </c>
      <c r="P155" s="32" t="e">
        <f t="shared" si="107"/>
        <v>#DIV/0!</v>
      </c>
      <c r="Q155" s="32" t="e">
        <f t="shared" si="107"/>
        <v>#DIV/0!</v>
      </c>
      <c r="R155" s="32" t="e">
        <f t="shared" si="121"/>
        <v>#DIV/0!</v>
      </c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33"/>
      <c r="BG155" s="34"/>
      <c r="BH155" s="34"/>
      <c r="BI155" s="34"/>
      <c r="BJ155" s="34"/>
    </row>
    <row r="156" spans="1:62" ht="15.75" customHeight="1" x14ac:dyDescent="0.25">
      <c r="A156" s="162" t="s">
        <v>103</v>
      </c>
      <c r="B156" s="170" t="s">
        <v>222</v>
      </c>
      <c r="C156" s="147"/>
      <c r="D156" s="147"/>
      <c r="E156" s="147"/>
      <c r="F156" s="153">
        <f>1870</f>
        <v>1870</v>
      </c>
      <c r="G156" s="30">
        <f>S156+V156+Y156+AB156+AE156+AH156+AK156+AN156+AQ156+AT156+AW156+AZ156</f>
        <v>0</v>
      </c>
      <c r="H156" s="30">
        <f>T156+W156+Z156+AC156+AF156+AI156+AL156+AO156+AR156+AU156+AX156+BA156</f>
        <v>0</v>
      </c>
      <c r="I156" s="30">
        <f>U156+X156+AA156+AD156+AG156+AJ156+AM156+AP156+AS156+AV156+AY156+BB156</f>
        <v>1870</v>
      </c>
      <c r="J156" s="30">
        <f t="shared" si="114"/>
        <v>0</v>
      </c>
      <c r="K156" s="30">
        <f t="shared" si="114"/>
        <v>0</v>
      </c>
      <c r="L156" s="30">
        <f t="shared" si="114"/>
        <v>1870</v>
      </c>
      <c r="M156" s="30">
        <f>C156-G156</f>
        <v>0</v>
      </c>
      <c r="N156" s="30">
        <f>D156-H156</f>
        <v>0</v>
      </c>
      <c r="O156" s="30">
        <f>F156-I156</f>
        <v>0</v>
      </c>
      <c r="P156" s="32" t="e">
        <f t="shared" ref="P156:Q158" si="122">G156/C156</f>
        <v>#DIV/0!</v>
      </c>
      <c r="Q156" s="32" t="e">
        <f t="shared" si="122"/>
        <v>#DIV/0!</v>
      </c>
      <c r="R156" s="32">
        <f t="shared" si="121"/>
        <v>1</v>
      </c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>
        <f>1870</f>
        <v>1870</v>
      </c>
      <c r="AW156" s="28"/>
      <c r="AX156" s="28"/>
      <c r="AY156" s="28"/>
      <c r="AZ156" s="28"/>
      <c r="BA156" s="28"/>
      <c r="BB156" s="28"/>
      <c r="BC156" s="28"/>
      <c r="BD156" s="28"/>
      <c r="BE156" s="28"/>
      <c r="BF156" s="33"/>
      <c r="BG156" s="34"/>
      <c r="BH156" s="34"/>
      <c r="BI156" s="34"/>
      <c r="BJ156" s="34"/>
    </row>
    <row r="157" spans="1:62" ht="15.75" x14ac:dyDescent="0.25">
      <c r="A157" s="132"/>
      <c r="B157" s="133" t="s">
        <v>190</v>
      </c>
      <c r="C157" s="134">
        <f>SUM(C158:C158)</f>
        <v>0</v>
      </c>
      <c r="D157" s="134">
        <f>SUM(D158:D158)</f>
        <v>8583.0400000000009</v>
      </c>
      <c r="E157" s="134"/>
      <c r="F157" s="134">
        <f>SUM(F158:F158)</f>
        <v>0</v>
      </c>
      <c r="G157" s="134">
        <f>SUM(G158:G158)</f>
        <v>0</v>
      </c>
      <c r="H157" s="134">
        <f>SUM(H158:H158)</f>
        <v>6316</v>
      </c>
      <c r="I157" s="134">
        <f>SUM(I158:I158)</f>
        <v>0</v>
      </c>
      <c r="J157" s="113">
        <f t="shared" si="114"/>
        <v>0</v>
      </c>
      <c r="K157" s="113">
        <f t="shared" si="114"/>
        <v>6316</v>
      </c>
      <c r="L157" s="113">
        <f t="shared" si="114"/>
        <v>0</v>
      </c>
      <c r="M157" s="134">
        <f>SUM(M158:M158)</f>
        <v>0</v>
      </c>
      <c r="N157" s="134">
        <f>SUM(N158:N158)</f>
        <v>2267.0400000000009</v>
      </c>
      <c r="O157" s="134">
        <f>SUM(O158:O158)</f>
        <v>0</v>
      </c>
      <c r="P157" s="135" t="e">
        <f t="shared" si="122"/>
        <v>#DIV/0!</v>
      </c>
      <c r="Q157" s="135">
        <f t="shared" si="122"/>
        <v>0.73586980836626648</v>
      </c>
      <c r="R157" s="135" t="e">
        <f t="shared" si="121"/>
        <v>#DIV/0!</v>
      </c>
      <c r="S157" s="134">
        <f>SUM(S158:S158)</f>
        <v>0</v>
      </c>
      <c r="T157" s="134">
        <f>SUM(T158:T158)</f>
        <v>0</v>
      </c>
      <c r="U157" s="134">
        <f>SUM(U158:U158)</f>
        <v>0</v>
      </c>
      <c r="V157" s="134">
        <f>SUM(V158:V158)</f>
        <v>0</v>
      </c>
      <c r="W157" s="134">
        <f>SUM(W158:W158)</f>
        <v>6316</v>
      </c>
      <c r="X157" s="134">
        <f>SUM(X158:X158)</f>
        <v>0</v>
      </c>
      <c r="Y157" s="134">
        <f>SUM(Y158:Y158)</f>
        <v>0</v>
      </c>
      <c r="Z157" s="134">
        <f>SUM(Z158:Z158)</f>
        <v>0</v>
      </c>
      <c r="AA157" s="134">
        <f>SUM(AA158:AA158)</f>
        <v>0</v>
      </c>
      <c r="AB157" s="134">
        <f>SUM(AB158:AB158)</f>
        <v>0</v>
      </c>
      <c r="AC157" s="134">
        <f>SUM(AC158:AC158)</f>
        <v>0</v>
      </c>
      <c r="AD157" s="134">
        <f>SUM(AD158:AD158)</f>
        <v>0</v>
      </c>
      <c r="AE157" s="134">
        <f>SUM(AE158:AE158)</f>
        <v>0</v>
      </c>
      <c r="AF157" s="134">
        <f>SUM(AF158:AF158)</f>
        <v>0</v>
      </c>
      <c r="AG157" s="134">
        <f>SUM(AG158:AG158)</f>
        <v>0</v>
      </c>
      <c r="AH157" s="134">
        <f>SUM(AH158:AH158)</f>
        <v>0</v>
      </c>
      <c r="AI157" s="134">
        <f>SUM(AI158:AI158)</f>
        <v>0</v>
      </c>
      <c r="AJ157" s="134">
        <f>SUM(AJ158:AJ158)</f>
        <v>0</v>
      </c>
      <c r="AK157" s="134">
        <f>SUM(AK158:AK158)</f>
        <v>0</v>
      </c>
      <c r="AL157" s="134">
        <f>SUM(AL158:AL158)</f>
        <v>0</v>
      </c>
      <c r="AM157" s="134">
        <f>SUM(AM158:AM158)</f>
        <v>0</v>
      </c>
      <c r="AN157" s="134">
        <f>SUM(AN158:AN158)</f>
        <v>0</v>
      </c>
      <c r="AO157" s="134">
        <f>SUM(AO158:AO158)</f>
        <v>0</v>
      </c>
      <c r="AP157" s="134">
        <f>SUM(AP158:AP158)</f>
        <v>0</v>
      </c>
      <c r="AQ157" s="134">
        <f>SUM(AQ158:AQ158)</f>
        <v>0</v>
      </c>
      <c r="AR157" s="134">
        <f>SUM(AR158:AR158)</f>
        <v>0</v>
      </c>
      <c r="AS157" s="134">
        <f>SUM(AS158:AS158)</f>
        <v>0</v>
      </c>
      <c r="AT157" s="134">
        <f>SUM(AT158:AT158)</f>
        <v>0</v>
      </c>
      <c r="AU157" s="134">
        <f>SUM(AU158:AU158)</f>
        <v>0</v>
      </c>
      <c r="AV157" s="134">
        <f>SUM(AV158:AV158)</f>
        <v>0</v>
      </c>
      <c r="AW157" s="134">
        <f>SUM(AW158:AW158)</f>
        <v>0</v>
      </c>
      <c r="AX157" s="134">
        <f>SUM(AX158:AX158)</f>
        <v>0</v>
      </c>
      <c r="AY157" s="134">
        <f>SUM(AY158:AY158)</f>
        <v>0</v>
      </c>
      <c r="AZ157" s="134">
        <f>SUM(AZ158:AZ158)</f>
        <v>0</v>
      </c>
      <c r="BA157" s="134">
        <f>SUM(BA158:BA158)</f>
        <v>0</v>
      </c>
      <c r="BB157" s="134">
        <f>SUM(BB158:BB158)</f>
        <v>0</v>
      </c>
      <c r="BC157" s="134">
        <f>SUM(BC158:BC158)</f>
        <v>0</v>
      </c>
      <c r="BD157" s="134">
        <f>SUM(BD158:BD158)</f>
        <v>0</v>
      </c>
      <c r="BE157" s="134">
        <f>SUM(BE158:BE158)</f>
        <v>0</v>
      </c>
      <c r="BF157" s="111"/>
      <c r="BG157" s="112"/>
      <c r="BH157" s="112"/>
      <c r="BI157" s="112"/>
      <c r="BJ157" s="112"/>
    </row>
    <row r="158" spans="1:62" ht="15.75" customHeight="1" x14ac:dyDescent="0.25">
      <c r="A158" s="164" t="s">
        <v>103</v>
      </c>
      <c r="B158" s="163" t="s">
        <v>191</v>
      </c>
      <c r="C158" s="147"/>
      <c r="D158" s="152">
        <f>558+3202+552+358.04+2004+780+675+454</f>
        <v>8583.0400000000009</v>
      </c>
      <c r="E158" s="152"/>
      <c r="F158" s="154"/>
      <c r="G158" s="30">
        <f t="shared" ref="G158:I158" si="123">S158+V158+Y158+AB158+AE158+AH158+AK158+AN158+AQ158+AT158+AW158+AZ158</f>
        <v>0</v>
      </c>
      <c r="H158" s="30">
        <f t="shared" si="123"/>
        <v>6316</v>
      </c>
      <c r="I158" s="30">
        <f t="shared" si="123"/>
        <v>0</v>
      </c>
      <c r="J158" s="30">
        <f t="shared" si="114"/>
        <v>0</v>
      </c>
      <c r="K158" s="30">
        <f t="shared" si="114"/>
        <v>6316</v>
      </c>
      <c r="L158" s="30">
        <f t="shared" si="114"/>
        <v>0</v>
      </c>
      <c r="M158" s="30">
        <f t="shared" ref="M158:N158" si="124">C158-G158</f>
        <v>0</v>
      </c>
      <c r="N158" s="30">
        <f t="shared" si="124"/>
        <v>2267.0400000000009</v>
      </c>
      <c r="O158" s="30">
        <f t="shared" ref="O158" si="125">F158-I158</f>
        <v>0</v>
      </c>
      <c r="P158" s="32" t="e">
        <f t="shared" si="122"/>
        <v>#DIV/0!</v>
      </c>
      <c r="Q158" s="32">
        <f t="shared" si="122"/>
        <v>0.73586980836626648</v>
      </c>
      <c r="R158" s="32" t="e">
        <f t="shared" si="121"/>
        <v>#DIV/0!</v>
      </c>
      <c r="S158" s="28"/>
      <c r="T158" s="28"/>
      <c r="U158" s="28"/>
      <c r="V158" s="28"/>
      <c r="W158" s="28">
        <f>2004+4312</f>
        <v>6316</v>
      </c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33"/>
      <c r="BG158" s="34"/>
      <c r="BH158" s="34"/>
      <c r="BI158" s="34"/>
      <c r="BJ158" s="34"/>
    </row>
    <row r="159" spans="1:62" ht="15.75" customHeight="1" x14ac:dyDescent="0.25">
      <c r="Q159" s="136"/>
    </row>
    <row r="160" spans="1:62" ht="15.75" customHeight="1" x14ac:dyDescent="0.25">
      <c r="Q160" s="136"/>
    </row>
    <row r="161" spans="17:17" ht="15.75" customHeight="1" x14ac:dyDescent="0.25">
      <c r="Q161" s="136"/>
    </row>
    <row r="162" spans="17:17" ht="15.75" customHeight="1" x14ac:dyDescent="0.25">
      <c r="Q162" s="136"/>
    </row>
    <row r="163" spans="17:17" ht="15.75" customHeight="1" x14ac:dyDescent="0.25">
      <c r="Q163" s="136"/>
    </row>
    <row r="164" spans="17:17" ht="15.75" customHeight="1" x14ac:dyDescent="0.25">
      <c r="Q164" s="136"/>
    </row>
    <row r="165" spans="17:17" ht="15.75" customHeight="1" x14ac:dyDescent="0.25">
      <c r="Q165" s="136"/>
    </row>
    <row r="166" spans="17:17" ht="15.75" customHeight="1" x14ac:dyDescent="0.25">
      <c r="Q166" s="136"/>
    </row>
    <row r="167" spans="17:17" ht="15.75" customHeight="1" x14ac:dyDescent="0.25">
      <c r="Q167" s="136"/>
    </row>
    <row r="168" spans="17:17" ht="15.75" customHeight="1" x14ac:dyDescent="0.25">
      <c r="Q168" s="136"/>
    </row>
    <row r="169" spans="17:17" ht="15.75" customHeight="1" x14ac:dyDescent="0.25">
      <c r="Q169" s="136"/>
    </row>
    <row r="170" spans="17:17" ht="15.75" customHeight="1" x14ac:dyDescent="0.25">
      <c r="Q170" s="136"/>
    </row>
    <row r="171" spans="17:17" ht="15.75" customHeight="1" x14ac:dyDescent="0.25">
      <c r="Q171" s="136"/>
    </row>
    <row r="172" spans="17:17" ht="15.75" customHeight="1" x14ac:dyDescent="0.25">
      <c r="Q172" s="136"/>
    </row>
    <row r="173" spans="17:17" ht="15.75" customHeight="1" x14ac:dyDescent="0.25">
      <c r="Q173" s="136"/>
    </row>
    <row r="174" spans="17:17" ht="15.75" customHeight="1" x14ac:dyDescent="0.25">
      <c r="Q174" s="136"/>
    </row>
    <row r="175" spans="17:17" ht="15.75" customHeight="1" x14ac:dyDescent="0.25">
      <c r="Q175" s="136"/>
    </row>
    <row r="176" spans="17:17" ht="15.75" customHeight="1" x14ac:dyDescent="0.25">
      <c r="Q176" s="136"/>
    </row>
    <row r="177" spans="17:17" ht="15.75" customHeight="1" x14ac:dyDescent="0.25">
      <c r="Q177" s="136"/>
    </row>
    <row r="178" spans="17:17" ht="15.75" customHeight="1" x14ac:dyDescent="0.25">
      <c r="Q178" s="136"/>
    </row>
    <row r="179" spans="17:17" ht="15.75" customHeight="1" x14ac:dyDescent="0.25">
      <c r="Q179" s="136"/>
    </row>
    <row r="180" spans="17:17" ht="15.75" customHeight="1" x14ac:dyDescent="0.25">
      <c r="Q180" s="136"/>
    </row>
    <row r="181" spans="17:17" ht="15.75" customHeight="1" x14ac:dyDescent="0.25">
      <c r="Q181" s="136"/>
    </row>
    <row r="182" spans="17:17" ht="15.75" customHeight="1" x14ac:dyDescent="0.25">
      <c r="Q182" s="136"/>
    </row>
    <row r="183" spans="17:17" ht="15.75" customHeight="1" x14ac:dyDescent="0.25">
      <c r="Q183" s="136"/>
    </row>
    <row r="184" spans="17:17" ht="15.75" customHeight="1" x14ac:dyDescent="0.25">
      <c r="Q184" s="136"/>
    </row>
    <row r="185" spans="17:17" ht="15.75" customHeight="1" x14ac:dyDescent="0.25">
      <c r="Q185" s="136"/>
    </row>
    <row r="186" spans="17:17" ht="15.75" customHeight="1" x14ac:dyDescent="0.25">
      <c r="Q186" s="136"/>
    </row>
    <row r="187" spans="17:17" ht="15.75" customHeight="1" x14ac:dyDescent="0.25">
      <c r="Q187" s="136"/>
    </row>
    <row r="188" spans="17:17" ht="15.75" customHeight="1" x14ac:dyDescent="0.25">
      <c r="Q188" s="136"/>
    </row>
    <row r="189" spans="17:17" ht="15.75" customHeight="1" x14ac:dyDescent="0.25">
      <c r="Q189" s="136"/>
    </row>
    <row r="190" spans="17:17" ht="15.75" customHeight="1" x14ac:dyDescent="0.25">
      <c r="Q190" s="136"/>
    </row>
    <row r="191" spans="17:17" ht="15.75" customHeight="1" x14ac:dyDescent="0.25">
      <c r="Q191" s="136"/>
    </row>
    <row r="192" spans="17:17" ht="15.75" customHeight="1" x14ac:dyDescent="0.25">
      <c r="Q192" s="136"/>
    </row>
    <row r="193" spans="17:17" ht="15.75" customHeight="1" x14ac:dyDescent="0.25">
      <c r="Q193" s="136"/>
    </row>
    <row r="194" spans="17:17" ht="15.75" customHeight="1" x14ac:dyDescent="0.25">
      <c r="Q194" s="136"/>
    </row>
    <row r="195" spans="17:17" ht="15.75" customHeight="1" x14ac:dyDescent="0.25">
      <c r="Q195" s="136"/>
    </row>
    <row r="196" spans="17:17" ht="15.75" customHeight="1" x14ac:dyDescent="0.25">
      <c r="Q196" s="136"/>
    </row>
    <row r="197" spans="17:17" ht="15.75" customHeight="1" x14ac:dyDescent="0.25">
      <c r="Q197" s="136"/>
    </row>
    <row r="198" spans="17:17" ht="15.75" customHeight="1" x14ac:dyDescent="0.25">
      <c r="Q198" s="136"/>
    </row>
    <row r="199" spans="17:17" ht="15.75" customHeight="1" x14ac:dyDescent="0.25">
      <c r="Q199" s="136"/>
    </row>
    <row r="200" spans="17:17" ht="15.75" customHeight="1" x14ac:dyDescent="0.25">
      <c r="Q200" s="136"/>
    </row>
    <row r="201" spans="17:17" ht="15.75" customHeight="1" x14ac:dyDescent="0.25">
      <c r="Q201" s="136"/>
    </row>
    <row r="202" spans="17:17" ht="15.75" customHeight="1" x14ac:dyDescent="0.25">
      <c r="Q202" s="136"/>
    </row>
    <row r="203" spans="17:17" ht="15.75" customHeight="1" x14ac:dyDescent="0.25">
      <c r="Q203" s="136"/>
    </row>
    <row r="204" spans="17:17" ht="15.75" customHeight="1" x14ac:dyDescent="0.25">
      <c r="Q204" s="136"/>
    </row>
    <row r="205" spans="17:17" ht="15.75" customHeight="1" x14ac:dyDescent="0.25">
      <c r="Q205" s="136"/>
    </row>
    <row r="206" spans="17:17" ht="15.75" customHeight="1" x14ac:dyDescent="0.25">
      <c r="Q206" s="136"/>
    </row>
    <row r="207" spans="17:17" ht="15.75" customHeight="1" x14ac:dyDescent="0.25">
      <c r="Q207" s="136"/>
    </row>
    <row r="208" spans="17:17" ht="15.75" customHeight="1" x14ac:dyDescent="0.25">
      <c r="Q208" s="136"/>
    </row>
    <row r="209" spans="17:17" ht="15.75" customHeight="1" x14ac:dyDescent="0.25">
      <c r="Q209" s="136"/>
    </row>
    <row r="210" spans="17:17" ht="15.75" customHeight="1" x14ac:dyDescent="0.25">
      <c r="Q210" s="136"/>
    </row>
    <row r="211" spans="17:17" ht="15.75" customHeight="1" x14ac:dyDescent="0.25">
      <c r="Q211" s="136"/>
    </row>
    <row r="212" spans="17:17" ht="15.75" customHeight="1" x14ac:dyDescent="0.25">
      <c r="Q212" s="136"/>
    </row>
    <row r="213" spans="17:17" ht="15.75" customHeight="1" x14ac:dyDescent="0.25">
      <c r="Q213" s="136"/>
    </row>
    <row r="214" spans="17:17" ht="15.75" customHeight="1" x14ac:dyDescent="0.25">
      <c r="Q214" s="136"/>
    </row>
    <row r="215" spans="17:17" ht="15.75" customHeight="1" x14ac:dyDescent="0.25">
      <c r="Q215" s="136"/>
    </row>
    <row r="216" spans="17:17" ht="15.75" customHeight="1" x14ac:dyDescent="0.25">
      <c r="Q216" s="136"/>
    </row>
    <row r="217" spans="17:17" ht="15.75" customHeight="1" x14ac:dyDescent="0.25">
      <c r="Q217" s="136"/>
    </row>
    <row r="218" spans="17:17" ht="15.75" customHeight="1" x14ac:dyDescent="0.25">
      <c r="Q218" s="136"/>
    </row>
    <row r="219" spans="17:17" ht="15.75" customHeight="1" x14ac:dyDescent="0.25">
      <c r="Q219" s="136"/>
    </row>
    <row r="220" spans="17:17" ht="15.75" customHeight="1" x14ac:dyDescent="0.25">
      <c r="Q220" s="136"/>
    </row>
    <row r="221" spans="17:17" ht="15.75" customHeight="1" x14ac:dyDescent="0.25">
      <c r="Q221" s="136"/>
    </row>
    <row r="222" spans="17:17" ht="15.75" customHeight="1" x14ac:dyDescent="0.25">
      <c r="Q222" s="136"/>
    </row>
    <row r="223" spans="17:17" ht="15.75" customHeight="1" x14ac:dyDescent="0.25">
      <c r="Q223" s="136"/>
    </row>
    <row r="224" spans="17:17" ht="15.75" customHeight="1" x14ac:dyDescent="0.25">
      <c r="Q224" s="136"/>
    </row>
    <row r="225" spans="17:17" ht="15.75" customHeight="1" x14ac:dyDescent="0.25">
      <c r="Q225" s="136"/>
    </row>
    <row r="226" spans="17:17" ht="15.75" customHeight="1" x14ac:dyDescent="0.25">
      <c r="Q226" s="136"/>
    </row>
    <row r="227" spans="17:17" ht="15.75" customHeight="1" x14ac:dyDescent="0.25">
      <c r="Q227" s="136"/>
    </row>
    <row r="228" spans="17:17" ht="15.75" customHeight="1" x14ac:dyDescent="0.25">
      <c r="Q228" s="136"/>
    </row>
    <row r="229" spans="17:17" ht="15.75" customHeight="1" x14ac:dyDescent="0.25">
      <c r="Q229" s="136"/>
    </row>
    <row r="230" spans="17:17" ht="15.75" customHeight="1" x14ac:dyDescent="0.25">
      <c r="Q230" s="136"/>
    </row>
    <row r="231" spans="17:17" ht="15.75" customHeight="1" x14ac:dyDescent="0.25">
      <c r="Q231" s="136"/>
    </row>
    <row r="232" spans="17:17" ht="15.75" customHeight="1" x14ac:dyDescent="0.25">
      <c r="Q232" s="136"/>
    </row>
    <row r="233" spans="17:17" ht="15.75" customHeight="1" x14ac:dyDescent="0.25">
      <c r="Q233" s="136"/>
    </row>
    <row r="234" spans="17:17" ht="15.75" customHeight="1" x14ac:dyDescent="0.25">
      <c r="Q234" s="136"/>
    </row>
    <row r="235" spans="17:17" ht="15.75" customHeight="1" x14ac:dyDescent="0.25">
      <c r="Q235" s="136"/>
    </row>
    <row r="236" spans="17:17" ht="15.75" customHeight="1" x14ac:dyDescent="0.25">
      <c r="Q236" s="136"/>
    </row>
    <row r="237" spans="17:17" ht="15.75" customHeight="1" x14ac:dyDescent="0.25">
      <c r="Q237" s="136"/>
    </row>
    <row r="238" spans="17:17" ht="15.75" customHeight="1" x14ac:dyDescent="0.25">
      <c r="Q238" s="136"/>
    </row>
    <row r="239" spans="17:17" ht="15.75" customHeight="1" x14ac:dyDescent="0.25">
      <c r="Q239" s="136"/>
    </row>
    <row r="240" spans="17:17" ht="15.75" customHeight="1" x14ac:dyDescent="0.25">
      <c r="Q240" s="136"/>
    </row>
    <row r="241" spans="17:17" ht="15.75" customHeight="1" x14ac:dyDescent="0.25">
      <c r="Q241" s="136"/>
    </row>
    <row r="242" spans="17:17" ht="15.75" customHeight="1" x14ac:dyDescent="0.25">
      <c r="Q242" s="136"/>
    </row>
    <row r="243" spans="17:17" ht="15.75" customHeight="1" x14ac:dyDescent="0.25">
      <c r="Q243" s="136"/>
    </row>
    <row r="244" spans="17:17" ht="15.75" customHeight="1" x14ac:dyDescent="0.25">
      <c r="Q244" s="136"/>
    </row>
    <row r="245" spans="17:17" ht="15.75" customHeight="1" x14ac:dyDescent="0.25">
      <c r="Q245" s="136"/>
    </row>
    <row r="246" spans="17:17" ht="15.75" customHeight="1" x14ac:dyDescent="0.25">
      <c r="Q246" s="136"/>
    </row>
    <row r="247" spans="17:17" ht="15.75" customHeight="1" x14ac:dyDescent="0.25">
      <c r="Q247" s="136"/>
    </row>
    <row r="248" spans="17:17" ht="15.75" customHeight="1" x14ac:dyDescent="0.25">
      <c r="Q248" s="136"/>
    </row>
    <row r="249" spans="17:17" ht="15.75" customHeight="1" x14ac:dyDescent="0.25">
      <c r="Q249" s="136"/>
    </row>
    <row r="250" spans="17:17" ht="15.75" customHeight="1" x14ac:dyDescent="0.25">
      <c r="Q250" s="136"/>
    </row>
    <row r="251" spans="17:17" ht="15.75" customHeight="1" x14ac:dyDescent="0.25">
      <c r="Q251" s="136"/>
    </row>
    <row r="252" spans="17:17" ht="15.75" customHeight="1" x14ac:dyDescent="0.25">
      <c r="Q252" s="136"/>
    </row>
    <row r="253" spans="17:17" ht="15.75" customHeight="1" x14ac:dyDescent="0.25">
      <c r="Q253" s="136"/>
    </row>
    <row r="254" spans="17:17" ht="15.75" customHeight="1" x14ac:dyDescent="0.25">
      <c r="Q254" s="136"/>
    </row>
    <row r="255" spans="17:17" ht="15.75" customHeight="1" x14ac:dyDescent="0.25">
      <c r="Q255" s="136"/>
    </row>
    <row r="256" spans="17:17" ht="15.75" customHeight="1" x14ac:dyDescent="0.25">
      <c r="Q256" s="136"/>
    </row>
    <row r="257" spans="17:17" ht="15.75" customHeight="1" x14ac:dyDescent="0.25">
      <c r="Q257" s="136"/>
    </row>
    <row r="258" spans="17:17" ht="15.75" customHeight="1" x14ac:dyDescent="0.25">
      <c r="Q258" s="136"/>
    </row>
    <row r="259" spans="17:17" ht="15.75" customHeight="1" x14ac:dyDescent="0.25">
      <c r="Q259" s="136"/>
    </row>
    <row r="260" spans="17:17" ht="15.75" customHeight="1" x14ac:dyDescent="0.25">
      <c r="Q260" s="136"/>
    </row>
    <row r="261" spans="17:17" ht="15.75" customHeight="1" x14ac:dyDescent="0.25">
      <c r="Q261" s="136"/>
    </row>
    <row r="262" spans="17:17" ht="15.75" customHeight="1" x14ac:dyDescent="0.25">
      <c r="Q262" s="136"/>
    </row>
    <row r="263" spans="17:17" ht="15.75" customHeight="1" x14ac:dyDescent="0.25">
      <c r="Q263" s="136"/>
    </row>
    <row r="264" spans="17:17" ht="15.75" customHeight="1" x14ac:dyDescent="0.25">
      <c r="Q264" s="136"/>
    </row>
    <row r="265" spans="17:17" ht="15.75" customHeight="1" x14ac:dyDescent="0.25">
      <c r="Q265" s="136"/>
    </row>
    <row r="266" spans="17:17" ht="15.75" customHeight="1" x14ac:dyDescent="0.25">
      <c r="Q266" s="136"/>
    </row>
    <row r="267" spans="17:17" ht="15.75" customHeight="1" x14ac:dyDescent="0.25">
      <c r="Q267" s="136"/>
    </row>
    <row r="268" spans="17:17" ht="15.75" customHeight="1" x14ac:dyDescent="0.25">
      <c r="Q268" s="136"/>
    </row>
    <row r="269" spans="17:17" ht="15.75" customHeight="1" x14ac:dyDescent="0.25">
      <c r="Q269" s="136"/>
    </row>
    <row r="270" spans="17:17" ht="15.75" customHeight="1" x14ac:dyDescent="0.25">
      <c r="Q270" s="136"/>
    </row>
    <row r="271" spans="17:17" ht="15.75" customHeight="1" x14ac:dyDescent="0.25">
      <c r="Q271" s="136"/>
    </row>
    <row r="272" spans="17:17" ht="15.75" customHeight="1" x14ac:dyDescent="0.25">
      <c r="Q272" s="136"/>
    </row>
    <row r="273" spans="17:17" ht="15.75" customHeight="1" x14ac:dyDescent="0.25">
      <c r="Q273" s="136"/>
    </row>
    <row r="274" spans="17:17" ht="15.75" customHeight="1" x14ac:dyDescent="0.25">
      <c r="Q274" s="136"/>
    </row>
    <row r="275" spans="17:17" ht="15.75" customHeight="1" x14ac:dyDescent="0.25">
      <c r="Q275" s="136"/>
    </row>
    <row r="276" spans="17:17" ht="15.75" customHeight="1" x14ac:dyDescent="0.25">
      <c r="Q276" s="136"/>
    </row>
    <row r="277" spans="17:17" ht="15.75" customHeight="1" x14ac:dyDescent="0.25">
      <c r="Q277" s="136"/>
    </row>
    <row r="278" spans="17:17" ht="15.75" customHeight="1" x14ac:dyDescent="0.25">
      <c r="Q278" s="136"/>
    </row>
    <row r="279" spans="17:17" ht="15.75" customHeight="1" x14ac:dyDescent="0.25">
      <c r="Q279" s="136"/>
    </row>
    <row r="280" spans="17:17" ht="15.75" customHeight="1" x14ac:dyDescent="0.25">
      <c r="Q280" s="136"/>
    </row>
    <row r="281" spans="17:17" ht="15.75" customHeight="1" x14ac:dyDescent="0.25">
      <c r="Q281" s="136"/>
    </row>
    <row r="282" spans="17:17" ht="15.75" customHeight="1" x14ac:dyDescent="0.25">
      <c r="Q282" s="136"/>
    </row>
    <row r="283" spans="17:17" ht="15.75" customHeight="1" x14ac:dyDescent="0.25">
      <c r="Q283" s="136"/>
    </row>
    <row r="284" spans="17:17" ht="15.75" customHeight="1" x14ac:dyDescent="0.25">
      <c r="Q284" s="136"/>
    </row>
    <row r="285" spans="17:17" ht="15.75" customHeight="1" x14ac:dyDescent="0.25">
      <c r="Q285" s="136"/>
    </row>
    <row r="286" spans="17:17" ht="15.75" customHeight="1" x14ac:dyDescent="0.25">
      <c r="Q286" s="136"/>
    </row>
    <row r="287" spans="17:17" ht="15.75" customHeight="1" x14ac:dyDescent="0.25">
      <c r="Q287" s="136"/>
    </row>
    <row r="288" spans="17:17" ht="15.75" customHeight="1" x14ac:dyDescent="0.25">
      <c r="Q288" s="136"/>
    </row>
    <row r="289" spans="17:17" ht="15.75" customHeight="1" x14ac:dyDescent="0.25">
      <c r="Q289" s="136"/>
    </row>
    <row r="290" spans="17:17" ht="15.75" customHeight="1" x14ac:dyDescent="0.25">
      <c r="Q290" s="136"/>
    </row>
    <row r="291" spans="17:17" ht="15.75" customHeight="1" x14ac:dyDescent="0.25">
      <c r="Q291" s="136"/>
    </row>
    <row r="292" spans="17:17" ht="15.75" customHeight="1" x14ac:dyDescent="0.25">
      <c r="Q292" s="136"/>
    </row>
    <row r="293" spans="17:17" ht="15.75" customHeight="1" x14ac:dyDescent="0.25">
      <c r="Q293" s="136"/>
    </row>
    <row r="294" spans="17:17" ht="15.75" customHeight="1" x14ac:dyDescent="0.25">
      <c r="Q294" s="136"/>
    </row>
    <row r="295" spans="17:17" ht="15.75" customHeight="1" x14ac:dyDescent="0.25">
      <c r="Q295" s="136"/>
    </row>
    <row r="296" spans="17:17" ht="15.75" customHeight="1" x14ac:dyDescent="0.25">
      <c r="Q296" s="136"/>
    </row>
    <row r="297" spans="17:17" ht="15.75" customHeight="1" x14ac:dyDescent="0.25">
      <c r="Q297" s="136"/>
    </row>
    <row r="298" spans="17:17" ht="15.75" customHeight="1" x14ac:dyDescent="0.25">
      <c r="Q298" s="136"/>
    </row>
    <row r="299" spans="17:17" ht="15.75" customHeight="1" x14ac:dyDescent="0.25">
      <c r="Q299" s="136"/>
    </row>
    <row r="300" spans="17:17" ht="15.75" customHeight="1" x14ac:dyDescent="0.25">
      <c r="Q300" s="136"/>
    </row>
    <row r="301" spans="17:17" ht="15.75" customHeight="1" x14ac:dyDescent="0.25">
      <c r="Q301" s="136"/>
    </row>
    <row r="302" spans="17:17" ht="15.75" customHeight="1" x14ac:dyDescent="0.25">
      <c r="Q302" s="136"/>
    </row>
    <row r="303" spans="17:17" ht="15.75" customHeight="1" x14ac:dyDescent="0.25">
      <c r="Q303" s="136"/>
    </row>
    <row r="304" spans="17:17" ht="15.75" customHeight="1" x14ac:dyDescent="0.25">
      <c r="Q304" s="136"/>
    </row>
    <row r="305" spans="17:17" ht="15.75" customHeight="1" x14ac:dyDescent="0.25">
      <c r="Q305" s="136"/>
    </row>
    <row r="306" spans="17:17" ht="15.75" customHeight="1" x14ac:dyDescent="0.25">
      <c r="Q306" s="136"/>
    </row>
    <row r="307" spans="17:17" ht="15.75" customHeight="1" x14ac:dyDescent="0.25">
      <c r="Q307" s="136"/>
    </row>
    <row r="308" spans="17:17" ht="15.75" customHeight="1" x14ac:dyDescent="0.25">
      <c r="Q308" s="136"/>
    </row>
    <row r="309" spans="17:17" ht="15.75" customHeight="1" x14ac:dyDescent="0.25">
      <c r="Q309" s="136"/>
    </row>
    <row r="310" spans="17:17" ht="15.75" customHeight="1" x14ac:dyDescent="0.25">
      <c r="Q310" s="136"/>
    </row>
    <row r="311" spans="17:17" ht="15.75" customHeight="1" x14ac:dyDescent="0.25">
      <c r="Q311" s="136"/>
    </row>
    <row r="312" spans="17:17" ht="15.75" customHeight="1" x14ac:dyDescent="0.25">
      <c r="Q312" s="136"/>
    </row>
    <row r="313" spans="17:17" ht="15.75" customHeight="1" x14ac:dyDescent="0.25">
      <c r="Q313" s="136"/>
    </row>
    <row r="314" spans="17:17" ht="15.75" customHeight="1" x14ac:dyDescent="0.25">
      <c r="Q314" s="136"/>
    </row>
    <row r="315" spans="17:17" ht="15.75" customHeight="1" x14ac:dyDescent="0.25">
      <c r="Q315" s="136"/>
    </row>
    <row r="316" spans="17:17" ht="15.75" customHeight="1" x14ac:dyDescent="0.25">
      <c r="Q316" s="136"/>
    </row>
    <row r="317" spans="17:17" ht="15.75" customHeight="1" x14ac:dyDescent="0.25">
      <c r="Q317" s="136"/>
    </row>
    <row r="318" spans="17:17" ht="15.75" customHeight="1" x14ac:dyDescent="0.25">
      <c r="Q318" s="136"/>
    </row>
    <row r="319" spans="17:17" ht="15.75" customHeight="1" x14ac:dyDescent="0.25">
      <c r="Q319" s="136"/>
    </row>
    <row r="320" spans="17:17" ht="15.75" customHeight="1" x14ac:dyDescent="0.25">
      <c r="Q320" s="136"/>
    </row>
    <row r="321" spans="17:17" ht="15.75" customHeight="1" x14ac:dyDescent="0.25">
      <c r="Q321" s="136"/>
    </row>
    <row r="322" spans="17:17" ht="15.75" customHeight="1" x14ac:dyDescent="0.25">
      <c r="Q322" s="136"/>
    </row>
    <row r="323" spans="17:17" ht="15.75" customHeight="1" x14ac:dyDescent="0.25">
      <c r="Q323" s="136"/>
    </row>
    <row r="324" spans="17:17" ht="15.75" customHeight="1" x14ac:dyDescent="0.25">
      <c r="Q324" s="136"/>
    </row>
    <row r="325" spans="17:17" ht="15.75" customHeight="1" x14ac:dyDescent="0.25">
      <c r="Q325" s="136"/>
    </row>
    <row r="326" spans="17:17" ht="15.75" customHeight="1" x14ac:dyDescent="0.25">
      <c r="Q326" s="136"/>
    </row>
    <row r="327" spans="17:17" ht="15.75" customHeight="1" x14ac:dyDescent="0.25">
      <c r="Q327" s="136"/>
    </row>
    <row r="328" spans="17:17" ht="15.75" customHeight="1" x14ac:dyDescent="0.25">
      <c r="Q328" s="136"/>
    </row>
    <row r="329" spans="17:17" ht="15.75" customHeight="1" x14ac:dyDescent="0.25">
      <c r="Q329" s="136"/>
    </row>
    <row r="330" spans="17:17" ht="15.75" customHeight="1" x14ac:dyDescent="0.25">
      <c r="Q330" s="136"/>
    </row>
    <row r="331" spans="17:17" ht="15.75" customHeight="1" x14ac:dyDescent="0.25">
      <c r="Q331" s="136"/>
    </row>
    <row r="332" spans="17:17" ht="15.75" customHeight="1" x14ac:dyDescent="0.25">
      <c r="Q332" s="136"/>
    </row>
    <row r="333" spans="17:17" ht="15.75" customHeight="1" x14ac:dyDescent="0.25">
      <c r="Q333" s="136"/>
    </row>
    <row r="334" spans="17:17" ht="15.75" customHeight="1" x14ac:dyDescent="0.25">
      <c r="Q334" s="136"/>
    </row>
    <row r="335" spans="17:17" ht="15.75" customHeight="1" x14ac:dyDescent="0.25">
      <c r="Q335" s="136"/>
    </row>
    <row r="336" spans="17:17" ht="15.75" customHeight="1" x14ac:dyDescent="0.25">
      <c r="Q336" s="136"/>
    </row>
    <row r="337" spans="17:17" ht="15.75" customHeight="1" x14ac:dyDescent="0.25">
      <c r="Q337" s="136"/>
    </row>
    <row r="338" spans="17:17" ht="15.75" customHeight="1" x14ac:dyDescent="0.25">
      <c r="Q338" s="136"/>
    </row>
    <row r="339" spans="17:17" ht="15.75" customHeight="1" x14ac:dyDescent="0.25">
      <c r="Q339" s="136"/>
    </row>
    <row r="340" spans="17:17" ht="15.75" customHeight="1" x14ac:dyDescent="0.25">
      <c r="Q340" s="136"/>
    </row>
    <row r="341" spans="17:17" ht="15.75" customHeight="1" x14ac:dyDescent="0.25">
      <c r="Q341" s="136"/>
    </row>
    <row r="342" spans="17:17" ht="15.75" customHeight="1" x14ac:dyDescent="0.25">
      <c r="Q342" s="136"/>
    </row>
    <row r="343" spans="17:17" ht="15.75" customHeight="1" x14ac:dyDescent="0.25">
      <c r="Q343" s="136"/>
    </row>
    <row r="344" spans="17:17" ht="15.75" customHeight="1" x14ac:dyDescent="0.25">
      <c r="Q344" s="136"/>
    </row>
    <row r="345" spans="17:17" ht="15.75" customHeight="1" x14ac:dyDescent="0.25">
      <c r="Q345" s="136"/>
    </row>
    <row r="346" spans="17:17" ht="15.75" customHeight="1" x14ac:dyDescent="0.25">
      <c r="Q346" s="136"/>
    </row>
    <row r="347" spans="17:17" ht="15.75" customHeight="1" x14ac:dyDescent="0.25">
      <c r="Q347" s="136"/>
    </row>
    <row r="348" spans="17:17" ht="15.75" customHeight="1" x14ac:dyDescent="0.25">
      <c r="Q348" s="136"/>
    </row>
    <row r="349" spans="17:17" ht="15.75" customHeight="1" x14ac:dyDescent="0.25">
      <c r="Q349" s="136"/>
    </row>
    <row r="350" spans="17:17" ht="15.75" customHeight="1" x14ac:dyDescent="0.25">
      <c r="Q350" s="136"/>
    </row>
    <row r="351" spans="17:17" ht="15.75" customHeight="1" x14ac:dyDescent="0.25">
      <c r="Q351" s="136"/>
    </row>
    <row r="352" spans="17:17" ht="15.75" customHeight="1" x14ac:dyDescent="0.25">
      <c r="Q352" s="136"/>
    </row>
    <row r="353" spans="17:17" ht="15.75" customHeight="1" x14ac:dyDescent="0.25">
      <c r="Q353" s="136"/>
    </row>
    <row r="354" spans="17:17" ht="15.75" customHeight="1" x14ac:dyDescent="0.25">
      <c r="Q354" s="136"/>
    </row>
    <row r="355" spans="17:17" ht="15.75" customHeight="1" x14ac:dyDescent="0.25">
      <c r="Q355" s="136"/>
    </row>
    <row r="356" spans="17:17" ht="15.75" customHeight="1" x14ac:dyDescent="0.25">
      <c r="Q356" s="136"/>
    </row>
    <row r="357" spans="17:17" ht="15.75" customHeight="1" x14ac:dyDescent="0.25">
      <c r="Q357" s="136"/>
    </row>
    <row r="358" spans="17:17" ht="15.75" customHeight="1" x14ac:dyDescent="0.25">
      <c r="Q358" s="136"/>
    </row>
    <row r="359" spans="17:17" ht="15.75" customHeight="1" x14ac:dyDescent="0.25">
      <c r="Q359" s="136"/>
    </row>
    <row r="360" spans="17:17" ht="15.75" customHeight="1" x14ac:dyDescent="0.25">
      <c r="Q360" s="136"/>
    </row>
    <row r="361" spans="17:17" ht="15.75" customHeight="1" x14ac:dyDescent="0.25">
      <c r="Q361" s="136"/>
    </row>
    <row r="362" spans="17:17" ht="15.75" customHeight="1" x14ac:dyDescent="0.25">
      <c r="Q362" s="136"/>
    </row>
    <row r="363" spans="17:17" ht="15.75" customHeight="1" x14ac:dyDescent="0.25">
      <c r="Q363" s="136"/>
    </row>
    <row r="364" spans="17:17" ht="15.75" customHeight="1" x14ac:dyDescent="0.25">
      <c r="Q364" s="136"/>
    </row>
    <row r="365" spans="17:17" ht="15.75" customHeight="1" x14ac:dyDescent="0.25">
      <c r="Q365" s="136"/>
    </row>
    <row r="366" spans="17:17" ht="15.75" customHeight="1" x14ac:dyDescent="0.25">
      <c r="Q366" s="136"/>
    </row>
    <row r="367" spans="17:17" ht="15.75" customHeight="1" x14ac:dyDescent="0.25">
      <c r="Q367" s="136"/>
    </row>
    <row r="368" spans="17:17" ht="15.75" customHeight="1" x14ac:dyDescent="0.25">
      <c r="Q368" s="136"/>
    </row>
    <row r="369" spans="17:17" ht="15.75" customHeight="1" x14ac:dyDescent="0.25">
      <c r="Q369" s="136"/>
    </row>
    <row r="370" spans="17:17" ht="15.75" customHeight="1" x14ac:dyDescent="0.25">
      <c r="Q370" s="136"/>
    </row>
    <row r="371" spans="17:17" ht="15.75" customHeight="1" x14ac:dyDescent="0.25">
      <c r="Q371" s="136"/>
    </row>
    <row r="372" spans="17:17" ht="15.75" customHeight="1" x14ac:dyDescent="0.25">
      <c r="Q372" s="136"/>
    </row>
    <row r="373" spans="17:17" ht="15.75" customHeight="1" x14ac:dyDescent="0.25">
      <c r="Q373" s="136"/>
    </row>
    <row r="374" spans="17:17" ht="15.75" customHeight="1" x14ac:dyDescent="0.25">
      <c r="Q374" s="136"/>
    </row>
    <row r="375" spans="17:17" ht="15.75" customHeight="1" x14ac:dyDescent="0.25">
      <c r="Q375" s="136"/>
    </row>
    <row r="376" spans="17:17" ht="15.75" customHeight="1" x14ac:dyDescent="0.25">
      <c r="Q376" s="136"/>
    </row>
    <row r="377" spans="17:17" ht="15.75" customHeight="1" x14ac:dyDescent="0.25">
      <c r="Q377" s="136"/>
    </row>
    <row r="378" spans="17:17" ht="15.75" customHeight="1" x14ac:dyDescent="0.25">
      <c r="Q378" s="136"/>
    </row>
    <row r="379" spans="17:17" ht="15.75" customHeight="1" x14ac:dyDescent="0.25">
      <c r="Q379" s="136"/>
    </row>
    <row r="380" spans="17:17" ht="15.75" customHeight="1" x14ac:dyDescent="0.25">
      <c r="Q380" s="136"/>
    </row>
    <row r="381" spans="17:17" ht="15.75" customHeight="1" x14ac:dyDescent="0.25">
      <c r="Q381" s="136"/>
    </row>
    <row r="382" spans="17:17" ht="15.75" customHeight="1" x14ac:dyDescent="0.25">
      <c r="Q382" s="136"/>
    </row>
    <row r="383" spans="17:17" ht="15.75" customHeight="1" x14ac:dyDescent="0.25">
      <c r="Q383" s="136"/>
    </row>
    <row r="384" spans="17:17" ht="15.75" customHeight="1" x14ac:dyDescent="0.25">
      <c r="Q384" s="136"/>
    </row>
    <row r="385" spans="17:17" ht="15.75" customHeight="1" x14ac:dyDescent="0.25">
      <c r="Q385" s="136"/>
    </row>
    <row r="386" spans="17:17" ht="15.75" customHeight="1" x14ac:dyDescent="0.25">
      <c r="Q386" s="136"/>
    </row>
    <row r="387" spans="17:17" ht="15.75" customHeight="1" x14ac:dyDescent="0.25">
      <c r="Q387" s="136"/>
    </row>
    <row r="388" spans="17:17" ht="15.75" customHeight="1" x14ac:dyDescent="0.25">
      <c r="Q388" s="136"/>
    </row>
    <row r="389" spans="17:17" ht="15.75" customHeight="1" x14ac:dyDescent="0.25">
      <c r="Q389" s="136"/>
    </row>
    <row r="390" spans="17:17" ht="15.75" customHeight="1" x14ac:dyDescent="0.25">
      <c r="Q390" s="136"/>
    </row>
    <row r="391" spans="17:17" ht="15.75" customHeight="1" x14ac:dyDescent="0.25">
      <c r="Q391" s="136"/>
    </row>
    <row r="392" spans="17:17" ht="15.75" customHeight="1" x14ac:dyDescent="0.25">
      <c r="Q392" s="136"/>
    </row>
    <row r="393" spans="17:17" ht="15.75" customHeight="1" x14ac:dyDescent="0.25">
      <c r="Q393" s="136"/>
    </row>
    <row r="394" spans="17:17" ht="15.75" customHeight="1" x14ac:dyDescent="0.25">
      <c r="Q394" s="136"/>
    </row>
    <row r="395" spans="17:17" ht="15.75" customHeight="1" x14ac:dyDescent="0.25">
      <c r="Q395" s="136"/>
    </row>
    <row r="396" spans="17:17" ht="15.75" customHeight="1" x14ac:dyDescent="0.25">
      <c r="Q396" s="136"/>
    </row>
    <row r="397" spans="17:17" ht="15.75" customHeight="1" x14ac:dyDescent="0.25">
      <c r="Q397" s="136"/>
    </row>
    <row r="398" spans="17:17" ht="15.75" customHeight="1" x14ac:dyDescent="0.25">
      <c r="Q398" s="136"/>
    </row>
    <row r="399" spans="17:17" ht="15.75" customHeight="1" x14ac:dyDescent="0.25">
      <c r="Q399" s="136"/>
    </row>
    <row r="400" spans="17:17" ht="15.75" customHeight="1" x14ac:dyDescent="0.25">
      <c r="Q400" s="136"/>
    </row>
    <row r="401" spans="17:17" ht="15.75" customHeight="1" x14ac:dyDescent="0.25">
      <c r="Q401" s="136"/>
    </row>
    <row r="402" spans="17:17" ht="15.75" customHeight="1" x14ac:dyDescent="0.25">
      <c r="Q402" s="136"/>
    </row>
    <row r="403" spans="17:17" ht="15.75" customHeight="1" x14ac:dyDescent="0.25">
      <c r="Q403" s="136"/>
    </row>
    <row r="404" spans="17:17" ht="15.75" customHeight="1" x14ac:dyDescent="0.25">
      <c r="Q404" s="136"/>
    </row>
    <row r="405" spans="17:17" ht="15.75" customHeight="1" x14ac:dyDescent="0.25">
      <c r="Q405" s="136"/>
    </row>
    <row r="406" spans="17:17" ht="15.75" customHeight="1" x14ac:dyDescent="0.25">
      <c r="Q406" s="136"/>
    </row>
    <row r="407" spans="17:17" ht="15.75" customHeight="1" x14ac:dyDescent="0.25">
      <c r="Q407" s="136"/>
    </row>
    <row r="408" spans="17:17" ht="15.75" customHeight="1" x14ac:dyDescent="0.25">
      <c r="Q408" s="136"/>
    </row>
    <row r="409" spans="17:17" ht="15.75" customHeight="1" x14ac:dyDescent="0.25">
      <c r="Q409" s="136"/>
    </row>
    <row r="410" spans="17:17" ht="15.75" customHeight="1" x14ac:dyDescent="0.25">
      <c r="Q410" s="136"/>
    </row>
    <row r="411" spans="17:17" ht="15.75" customHeight="1" x14ac:dyDescent="0.25">
      <c r="Q411" s="136"/>
    </row>
    <row r="412" spans="17:17" ht="15.75" customHeight="1" x14ac:dyDescent="0.25">
      <c r="Q412" s="136"/>
    </row>
    <row r="413" spans="17:17" ht="15.75" customHeight="1" x14ac:dyDescent="0.25">
      <c r="Q413" s="136"/>
    </row>
    <row r="414" spans="17:17" ht="15.75" customHeight="1" x14ac:dyDescent="0.25">
      <c r="Q414" s="136"/>
    </row>
    <row r="415" spans="17:17" ht="15.75" customHeight="1" x14ac:dyDescent="0.25">
      <c r="Q415" s="136"/>
    </row>
    <row r="416" spans="17:17" ht="15.75" customHeight="1" x14ac:dyDescent="0.25">
      <c r="Q416" s="136"/>
    </row>
    <row r="417" spans="17:17" ht="15.75" customHeight="1" x14ac:dyDescent="0.25">
      <c r="Q417" s="136"/>
    </row>
    <row r="418" spans="17:17" ht="15.75" customHeight="1" x14ac:dyDescent="0.25">
      <c r="Q418" s="136"/>
    </row>
    <row r="419" spans="17:17" ht="15.75" customHeight="1" x14ac:dyDescent="0.25">
      <c r="Q419" s="136"/>
    </row>
    <row r="420" spans="17:17" ht="15.75" customHeight="1" x14ac:dyDescent="0.25">
      <c r="Q420" s="136"/>
    </row>
    <row r="421" spans="17:17" ht="15.75" customHeight="1" x14ac:dyDescent="0.25">
      <c r="Q421" s="136"/>
    </row>
    <row r="422" spans="17:17" ht="15.75" customHeight="1" x14ac:dyDescent="0.25">
      <c r="Q422" s="136"/>
    </row>
    <row r="423" spans="17:17" ht="15.75" customHeight="1" x14ac:dyDescent="0.25">
      <c r="Q423" s="136"/>
    </row>
    <row r="424" spans="17:17" ht="15.75" customHeight="1" x14ac:dyDescent="0.25">
      <c r="Q424" s="136"/>
    </row>
    <row r="425" spans="17:17" ht="15.75" customHeight="1" x14ac:dyDescent="0.25">
      <c r="Q425" s="136"/>
    </row>
    <row r="426" spans="17:17" ht="15.75" customHeight="1" x14ac:dyDescent="0.25">
      <c r="Q426" s="136"/>
    </row>
    <row r="427" spans="17:17" ht="15.75" customHeight="1" x14ac:dyDescent="0.25">
      <c r="Q427" s="136"/>
    </row>
    <row r="428" spans="17:17" ht="15.75" customHeight="1" x14ac:dyDescent="0.25">
      <c r="Q428" s="136"/>
    </row>
    <row r="429" spans="17:17" ht="15.75" customHeight="1" x14ac:dyDescent="0.25">
      <c r="Q429" s="136"/>
    </row>
    <row r="430" spans="17:17" ht="15.75" customHeight="1" x14ac:dyDescent="0.25">
      <c r="Q430" s="136"/>
    </row>
    <row r="431" spans="17:17" ht="15.75" customHeight="1" x14ac:dyDescent="0.25">
      <c r="Q431" s="136"/>
    </row>
    <row r="432" spans="17:17" ht="15.75" customHeight="1" x14ac:dyDescent="0.25">
      <c r="Q432" s="136"/>
    </row>
    <row r="433" spans="17:17" ht="15.75" customHeight="1" x14ac:dyDescent="0.25">
      <c r="Q433" s="136"/>
    </row>
    <row r="434" spans="17:17" ht="15.75" customHeight="1" x14ac:dyDescent="0.25">
      <c r="Q434" s="136"/>
    </row>
    <row r="435" spans="17:17" ht="15.75" customHeight="1" x14ac:dyDescent="0.25">
      <c r="Q435" s="136"/>
    </row>
    <row r="436" spans="17:17" ht="15.75" customHeight="1" x14ac:dyDescent="0.25">
      <c r="Q436" s="136"/>
    </row>
    <row r="437" spans="17:17" ht="15.75" customHeight="1" x14ac:dyDescent="0.25">
      <c r="Q437" s="136"/>
    </row>
    <row r="438" spans="17:17" ht="15.75" customHeight="1" x14ac:dyDescent="0.25">
      <c r="Q438" s="136"/>
    </row>
    <row r="439" spans="17:17" ht="15.75" customHeight="1" x14ac:dyDescent="0.25">
      <c r="Q439" s="136"/>
    </row>
    <row r="440" spans="17:17" ht="15.75" customHeight="1" x14ac:dyDescent="0.25">
      <c r="Q440" s="136"/>
    </row>
    <row r="441" spans="17:17" ht="15.75" customHeight="1" x14ac:dyDescent="0.25">
      <c r="Q441" s="136"/>
    </row>
    <row r="442" spans="17:17" ht="15.75" customHeight="1" x14ac:dyDescent="0.25">
      <c r="Q442" s="136"/>
    </row>
    <row r="443" spans="17:17" ht="15.75" customHeight="1" x14ac:dyDescent="0.25">
      <c r="Q443" s="136"/>
    </row>
    <row r="444" spans="17:17" ht="15.75" customHeight="1" x14ac:dyDescent="0.25">
      <c r="Q444" s="136"/>
    </row>
    <row r="445" spans="17:17" ht="15.75" customHeight="1" x14ac:dyDescent="0.25">
      <c r="Q445" s="136"/>
    </row>
    <row r="446" spans="17:17" ht="15.75" customHeight="1" x14ac:dyDescent="0.25">
      <c r="Q446" s="136"/>
    </row>
    <row r="447" spans="17:17" ht="15.75" customHeight="1" x14ac:dyDescent="0.25">
      <c r="Q447" s="136"/>
    </row>
    <row r="448" spans="17:17" ht="15.75" customHeight="1" x14ac:dyDescent="0.25">
      <c r="Q448" s="136"/>
    </row>
    <row r="449" spans="17:17" ht="15.75" customHeight="1" x14ac:dyDescent="0.25">
      <c r="Q449" s="136"/>
    </row>
    <row r="450" spans="17:17" ht="15.75" customHeight="1" x14ac:dyDescent="0.25">
      <c r="Q450" s="136"/>
    </row>
    <row r="451" spans="17:17" ht="15.75" customHeight="1" x14ac:dyDescent="0.25">
      <c r="Q451" s="136"/>
    </row>
    <row r="452" spans="17:17" ht="15.75" customHeight="1" x14ac:dyDescent="0.25">
      <c r="Q452" s="136"/>
    </row>
    <row r="453" spans="17:17" ht="15.75" customHeight="1" x14ac:dyDescent="0.25">
      <c r="Q453" s="136"/>
    </row>
    <row r="454" spans="17:17" ht="15.75" customHeight="1" x14ac:dyDescent="0.25">
      <c r="Q454" s="136"/>
    </row>
    <row r="455" spans="17:17" ht="15.75" customHeight="1" x14ac:dyDescent="0.25">
      <c r="Q455" s="136"/>
    </row>
    <row r="456" spans="17:17" ht="15.75" customHeight="1" x14ac:dyDescent="0.25">
      <c r="Q456" s="136"/>
    </row>
    <row r="457" spans="17:17" ht="15.75" customHeight="1" x14ac:dyDescent="0.25">
      <c r="Q457" s="136"/>
    </row>
    <row r="458" spans="17:17" ht="15.75" customHeight="1" x14ac:dyDescent="0.25">
      <c r="Q458" s="136"/>
    </row>
    <row r="459" spans="17:17" ht="15.75" customHeight="1" x14ac:dyDescent="0.25">
      <c r="Q459" s="136"/>
    </row>
    <row r="460" spans="17:17" ht="15.75" customHeight="1" x14ac:dyDescent="0.25">
      <c r="Q460" s="136"/>
    </row>
    <row r="461" spans="17:17" ht="15.75" customHeight="1" x14ac:dyDescent="0.25">
      <c r="Q461" s="136"/>
    </row>
    <row r="462" spans="17:17" ht="15.75" customHeight="1" x14ac:dyDescent="0.25">
      <c r="Q462" s="136"/>
    </row>
    <row r="463" spans="17:17" ht="15.75" customHeight="1" x14ac:dyDescent="0.25">
      <c r="Q463" s="136"/>
    </row>
    <row r="464" spans="17:17" ht="15.75" customHeight="1" x14ac:dyDescent="0.25">
      <c r="Q464" s="136"/>
    </row>
    <row r="465" spans="17:17" ht="15.75" customHeight="1" x14ac:dyDescent="0.25">
      <c r="Q465" s="136"/>
    </row>
    <row r="466" spans="17:17" ht="15.75" customHeight="1" x14ac:dyDescent="0.25">
      <c r="Q466" s="136"/>
    </row>
    <row r="467" spans="17:17" ht="15.75" customHeight="1" x14ac:dyDescent="0.25">
      <c r="Q467" s="136"/>
    </row>
    <row r="468" spans="17:17" ht="15.75" customHeight="1" x14ac:dyDescent="0.25">
      <c r="Q468" s="136"/>
    </row>
    <row r="469" spans="17:17" ht="15.75" customHeight="1" x14ac:dyDescent="0.25">
      <c r="Q469" s="136"/>
    </row>
    <row r="470" spans="17:17" ht="15.75" customHeight="1" x14ac:dyDescent="0.25">
      <c r="Q470" s="136"/>
    </row>
    <row r="471" spans="17:17" ht="15.75" customHeight="1" x14ac:dyDescent="0.25">
      <c r="Q471" s="136"/>
    </row>
    <row r="472" spans="17:17" ht="15.75" customHeight="1" x14ac:dyDescent="0.25">
      <c r="Q472" s="136"/>
    </row>
    <row r="473" spans="17:17" ht="15.75" customHeight="1" x14ac:dyDescent="0.25">
      <c r="Q473" s="136"/>
    </row>
    <row r="474" spans="17:17" ht="15.75" customHeight="1" x14ac:dyDescent="0.25">
      <c r="Q474" s="136"/>
    </row>
    <row r="475" spans="17:17" ht="15.75" customHeight="1" x14ac:dyDescent="0.25">
      <c r="Q475" s="136"/>
    </row>
    <row r="476" spans="17:17" ht="15.75" customHeight="1" x14ac:dyDescent="0.25">
      <c r="Q476" s="136"/>
    </row>
    <row r="477" spans="17:17" ht="15.75" customHeight="1" x14ac:dyDescent="0.25">
      <c r="Q477" s="136"/>
    </row>
    <row r="478" spans="17:17" ht="15.75" customHeight="1" x14ac:dyDescent="0.25">
      <c r="Q478" s="136"/>
    </row>
    <row r="479" spans="17:17" ht="15.75" customHeight="1" x14ac:dyDescent="0.25">
      <c r="Q479" s="136"/>
    </row>
    <row r="480" spans="17:17" ht="15.75" customHeight="1" x14ac:dyDescent="0.25">
      <c r="Q480" s="136"/>
    </row>
    <row r="481" spans="17:17" ht="15.75" customHeight="1" x14ac:dyDescent="0.25">
      <c r="Q481" s="136"/>
    </row>
    <row r="482" spans="17:17" ht="15.75" customHeight="1" x14ac:dyDescent="0.25">
      <c r="Q482" s="136"/>
    </row>
    <row r="483" spans="17:17" ht="15.75" customHeight="1" x14ac:dyDescent="0.25">
      <c r="Q483" s="136"/>
    </row>
    <row r="484" spans="17:17" ht="15.75" customHeight="1" x14ac:dyDescent="0.25">
      <c r="Q484" s="136"/>
    </row>
    <row r="485" spans="17:17" ht="15.75" customHeight="1" x14ac:dyDescent="0.25">
      <c r="Q485" s="136"/>
    </row>
    <row r="486" spans="17:17" ht="15.75" customHeight="1" x14ac:dyDescent="0.25">
      <c r="Q486" s="136"/>
    </row>
    <row r="487" spans="17:17" ht="15.75" customHeight="1" x14ac:dyDescent="0.25">
      <c r="Q487" s="136"/>
    </row>
    <row r="488" spans="17:17" ht="15.75" customHeight="1" x14ac:dyDescent="0.25">
      <c r="Q488" s="136"/>
    </row>
    <row r="489" spans="17:17" ht="15.75" customHeight="1" x14ac:dyDescent="0.25">
      <c r="Q489" s="136"/>
    </row>
    <row r="490" spans="17:17" ht="15.75" customHeight="1" x14ac:dyDescent="0.25">
      <c r="Q490" s="136"/>
    </row>
    <row r="491" spans="17:17" ht="15.75" customHeight="1" x14ac:dyDescent="0.25">
      <c r="Q491" s="136"/>
    </row>
    <row r="492" spans="17:17" ht="15.75" customHeight="1" x14ac:dyDescent="0.25">
      <c r="Q492" s="136"/>
    </row>
    <row r="493" spans="17:17" ht="15.75" customHeight="1" x14ac:dyDescent="0.25">
      <c r="Q493" s="136"/>
    </row>
    <row r="494" spans="17:17" ht="15.75" customHeight="1" x14ac:dyDescent="0.25">
      <c r="Q494" s="136"/>
    </row>
    <row r="495" spans="17:17" ht="15.75" customHeight="1" x14ac:dyDescent="0.25">
      <c r="Q495" s="136"/>
    </row>
    <row r="496" spans="17:17" ht="15.75" customHeight="1" x14ac:dyDescent="0.25">
      <c r="Q496" s="136"/>
    </row>
    <row r="497" spans="17:17" ht="15.75" customHeight="1" x14ac:dyDescent="0.25">
      <c r="Q497" s="136"/>
    </row>
    <row r="498" spans="17:17" ht="15.75" customHeight="1" x14ac:dyDescent="0.25">
      <c r="Q498" s="136"/>
    </row>
    <row r="499" spans="17:17" ht="15.75" customHeight="1" x14ac:dyDescent="0.25">
      <c r="Q499" s="136"/>
    </row>
    <row r="500" spans="17:17" ht="15.75" customHeight="1" x14ac:dyDescent="0.25">
      <c r="Q500" s="136"/>
    </row>
    <row r="501" spans="17:17" ht="15.75" customHeight="1" x14ac:dyDescent="0.25">
      <c r="Q501" s="136"/>
    </row>
    <row r="502" spans="17:17" ht="15.75" customHeight="1" x14ac:dyDescent="0.25">
      <c r="Q502" s="136"/>
    </row>
    <row r="503" spans="17:17" ht="15.75" customHeight="1" x14ac:dyDescent="0.25">
      <c r="Q503" s="136"/>
    </row>
    <row r="504" spans="17:17" ht="15.75" customHeight="1" x14ac:dyDescent="0.25">
      <c r="Q504" s="136"/>
    </row>
    <row r="505" spans="17:17" ht="15.75" customHeight="1" x14ac:dyDescent="0.25">
      <c r="Q505" s="136"/>
    </row>
    <row r="506" spans="17:17" ht="15.75" customHeight="1" x14ac:dyDescent="0.25">
      <c r="Q506" s="136"/>
    </row>
    <row r="507" spans="17:17" ht="15.75" customHeight="1" x14ac:dyDescent="0.25">
      <c r="Q507" s="136"/>
    </row>
    <row r="508" spans="17:17" ht="15.75" customHeight="1" x14ac:dyDescent="0.25">
      <c r="Q508" s="136"/>
    </row>
    <row r="509" spans="17:17" ht="15.75" customHeight="1" x14ac:dyDescent="0.25">
      <c r="Q509" s="136"/>
    </row>
    <row r="510" spans="17:17" ht="15.75" customHeight="1" x14ac:dyDescent="0.25">
      <c r="Q510" s="136"/>
    </row>
    <row r="511" spans="17:17" ht="15.75" customHeight="1" x14ac:dyDescent="0.25">
      <c r="Q511" s="136"/>
    </row>
    <row r="512" spans="17:17" ht="15.75" customHeight="1" x14ac:dyDescent="0.25">
      <c r="Q512" s="136"/>
    </row>
    <row r="513" spans="17:17" ht="15.75" customHeight="1" x14ac:dyDescent="0.25">
      <c r="Q513" s="136"/>
    </row>
    <row r="514" spans="17:17" ht="15.75" customHeight="1" x14ac:dyDescent="0.25">
      <c r="Q514" s="136"/>
    </row>
    <row r="515" spans="17:17" ht="15.75" customHeight="1" x14ac:dyDescent="0.25">
      <c r="Q515" s="136"/>
    </row>
    <row r="516" spans="17:17" ht="15.75" customHeight="1" x14ac:dyDescent="0.25">
      <c r="Q516" s="136"/>
    </row>
    <row r="517" spans="17:17" ht="15.75" customHeight="1" x14ac:dyDescent="0.25">
      <c r="Q517" s="136"/>
    </row>
    <row r="518" spans="17:17" ht="15.75" customHeight="1" x14ac:dyDescent="0.25">
      <c r="Q518" s="136"/>
    </row>
    <row r="519" spans="17:17" ht="15.75" customHeight="1" x14ac:dyDescent="0.25">
      <c r="Q519" s="136"/>
    </row>
    <row r="520" spans="17:17" ht="15.75" customHeight="1" x14ac:dyDescent="0.25">
      <c r="Q520" s="136"/>
    </row>
    <row r="521" spans="17:17" ht="15.75" customHeight="1" x14ac:dyDescent="0.25">
      <c r="Q521" s="136"/>
    </row>
    <row r="522" spans="17:17" ht="15.75" customHeight="1" x14ac:dyDescent="0.25">
      <c r="Q522" s="136"/>
    </row>
    <row r="523" spans="17:17" ht="15.75" customHeight="1" x14ac:dyDescent="0.25">
      <c r="Q523" s="136"/>
    </row>
    <row r="524" spans="17:17" ht="15.75" customHeight="1" x14ac:dyDescent="0.25">
      <c r="Q524" s="136"/>
    </row>
    <row r="525" spans="17:17" ht="15.75" customHeight="1" x14ac:dyDescent="0.25">
      <c r="Q525" s="136"/>
    </row>
    <row r="526" spans="17:17" ht="15.75" customHeight="1" x14ac:dyDescent="0.25">
      <c r="Q526" s="136"/>
    </row>
    <row r="527" spans="17:17" ht="15.75" customHeight="1" x14ac:dyDescent="0.25">
      <c r="Q527" s="136"/>
    </row>
    <row r="528" spans="17:17" ht="15.75" customHeight="1" x14ac:dyDescent="0.25">
      <c r="Q528" s="136"/>
    </row>
    <row r="529" spans="17:17" ht="15.75" customHeight="1" x14ac:dyDescent="0.25">
      <c r="Q529" s="136"/>
    </row>
    <row r="530" spans="17:17" ht="15.75" customHeight="1" x14ac:dyDescent="0.25">
      <c r="Q530" s="136"/>
    </row>
    <row r="531" spans="17:17" ht="15.75" customHeight="1" x14ac:dyDescent="0.25">
      <c r="Q531" s="136"/>
    </row>
    <row r="532" spans="17:17" ht="15.75" customHeight="1" x14ac:dyDescent="0.25">
      <c r="Q532" s="136"/>
    </row>
    <row r="533" spans="17:17" ht="15.75" customHeight="1" x14ac:dyDescent="0.25">
      <c r="Q533" s="136"/>
    </row>
    <row r="534" spans="17:17" ht="15.75" customHeight="1" x14ac:dyDescent="0.25">
      <c r="Q534" s="136"/>
    </row>
    <row r="535" spans="17:17" ht="15.75" customHeight="1" x14ac:dyDescent="0.25">
      <c r="Q535" s="136"/>
    </row>
    <row r="536" spans="17:17" ht="15.75" customHeight="1" x14ac:dyDescent="0.25">
      <c r="Q536" s="136"/>
    </row>
    <row r="537" spans="17:17" ht="15.75" customHeight="1" x14ac:dyDescent="0.25">
      <c r="Q537" s="136"/>
    </row>
    <row r="538" spans="17:17" ht="15.75" customHeight="1" x14ac:dyDescent="0.25">
      <c r="Q538" s="136"/>
    </row>
    <row r="539" spans="17:17" ht="15.75" customHeight="1" x14ac:dyDescent="0.25">
      <c r="Q539" s="136"/>
    </row>
    <row r="540" spans="17:17" ht="15.75" customHeight="1" x14ac:dyDescent="0.25">
      <c r="Q540" s="136"/>
    </row>
    <row r="541" spans="17:17" ht="15.75" customHeight="1" x14ac:dyDescent="0.25">
      <c r="Q541" s="136"/>
    </row>
    <row r="542" spans="17:17" ht="15.75" customHeight="1" x14ac:dyDescent="0.25">
      <c r="Q542" s="136"/>
    </row>
    <row r="543" spans="17:17" ht="15.75" customHeight="1" x14ac:dyDescent="0.25">
      <c r="Q543" s="136"/>
    </row>
    <row r="544" spans="17:17" ht="15.75" customHeight="1" x14ac:dyDescent="0.25">
      <c r="Q544" s="136"/>
    </row>
    <row r="545" spans="17:17" ht="15.75" customHeight="1" x14ac:dyDescent="0.25">
      <c r="Q545" s="136"/>
    </row>
    <row r="546" spans="17:17" ht="15.75" customHeight="1" x14ac:dyDescent="0.25">
      <c r="Q546" s="136"/>
    </row>
    <row r="547" spans="17:17" ht="15.75" customHeight="1" x14ac:dyDescent="0.25">
      <c r="Q547" s="136"/>
    </row>
    <row r="548" spans="17:17" ht="15.75" customHeight="1" x14ac:dyDescent="0.25">
      <c r="Q548" s="136"/>
    </row>
    <row r="549" spans="17:17" ht="15.75" customHeight="1" x14ac:dyDescent="0.25">
      <c r="Q549" s="136"/>
    </row>
    <row r="550" spans="17:17" ht="15.75" customHeight="1" x14ac:dyDescent="0.25">
      <c r="Q550" s="136"/>
    </row>
    <row r="551" spans="17:17" ht="15.75" customHeight="1" x14ac:dyDescent="0.25">
      <c r="Q551" s="136"/>
    </row>
    <row r="552" spans="17:17" ht="15.75" customHeight="1" x14ac:dyDescent="0.25">
      <c r="Q552" s="136"/>
    </row>
    <row r="553" spans="17:17" ht="15.75" customHeight="1" x14ac:dyDescent="0.25">
      <c r="Q553" s="136"/>
    </row>
    <row r="554" spans="17:17" ht="15.75" customHeight="1" x14ac:dyDescent="0.25">
      <c r="Q554" s="136"/>
    </row>
    <row r="555" spans="17:17" ht="15.75" customHeight="1" x14ac:dyDescent="0.25">
      <c r="Q555" s="136"/>
    </row>
    <row r="556" spans="17:17" ht="15.75" customHeight="1" x14ac:dyDescent="0.25">
      <c r="Q556" s="136"/>
    </row>
    <row r="557" spans="17:17" ht="15.75" customHeight="1" x14ac:dyDescent="0.25">
      <c r="Q557" s="136"/>
    </row>
    <row r="558" spans="17:17" ht="15.75" customHeight="1" x14ac:dyDescent="0.25">
      <c r="Q558" s="136"/>
    </row>
    <row r="559" spans="17:17" ht="15.75" customHeight="1" x14ac:dyDescent="0.25">
      <c r="Q559" s="136"/>
    </row>
    <row r="560" spans="17:17" ht="15.75" customHeight="1" x14ac:dyDescent="0.25">
      <c r="Q560" s="136"/>
    </row>
    <row r="561" spans="17:17" ht="15.75" customHeight="1" x14ac:dyDescent="0.25">
      <c r="Q561" s="136"/>
    </row>
    <row r="562" spans="17:17" ht="15.75" customHeight="1" x14ac:dyDescent="0.25">
      <c r="Q562" s="136"/>
    </row>
    <row r="563" spans="17:17" ht="15.75" customHeight="1" x14ac:dyDescent="0.25">
      <c r="Q563" s="136"/>
    </row>
    <row r="564" spans="17:17" ht="15.75" customHeight="1" x14ac:dyDescent="0.25">
      <c r="Q564" s="136"/>
    </row>
    <row r="565" spans="17:17" ht="15.75" customHeight="1" x14ac:dyDescent="0.25">
      <c r="Q565" s="136"/>
    </row>
    <row r="566" spans="17:17" ht="15.75" customHeight="1" x14ac:dyDescent="0.25">
      <c r="Q566" s="136"/>
    </row>
    <row r="567" spans="17:17" ht="15.75" customHeight="1" x14ac:dyDescent="0.25">
      <c r="Q567" s="136"/>
    </row>
    <row r="568" spans="17:17" ht="15.75" customHeight="1" x14ac:dyDescent="0.25">
      <c r="Q568" s="136"/>
    </row>
    <row r="569" spans="17:17" ht="15.75" customHeight="1" x14ac:dyDescent="0.25">
      <c r="Q569" s="136"/>
    </row>
    <row r="570" spans="17:17" ht="15.75" customHeight="1" x14ac:dyDescent="0.25">
      <c r="Q570" s="136"/>
    </row>
    <row r="571" spans="17:17" ht="15.75" customHeight="1" x14ac:dyDescent="0.25">
      <c r="Q571" s="136"/>
    </row>
    <row r="572" spans="17:17" ht="15.75" customHeight="1" x14ac:dyDescent="0.25">
      <c r="Q572" s="136"/>
    </row>
    <row r="573" spans="17:17" ht="15.75" customHeight="1" x14ac:dyDescent="0.25">
      <c r="Q573" s="136"/>
    </row>
    <row r="574" spans="17:17" ht="15.75" customHeight="1" x14ac:dyDescent="0.25">
      <c r="Q574" s="136"/>
    </row>
    <row r="575" spans="17:17" ht="15.75" customHeight="1" x14ac:dyDescent="0.25">
      <c r="Q575" s="136"/>
    </row>
    <row r="576" spans="17:17" ht="15.75" customHeight="1" x14ac:dyDescent="0.25">
      <c r="Q576" s="136"/>
    </row>
    <row r="577" spans="17:17" ht="15.75" customHeight="1" x14ac:dyDescent="0.25">
      <c r="Q577" s="136"/>
    </row>
    <row r="578" spans="17:17" ht="15.75" customHeight="1" x14ac:dyDescent="0.25">
      <c r="Q578" s="136"/>
    </row>
    <row r="579" spans="17:17" ht="15.75" customHeight="1" x14ac:dyDescent="0.25">
      <c r="Q579" s="136"/>
    </row>
    <row r="580" spans="17:17" ht="15.75" customHeight="1" x14ac:dyDescent="0.25">
      <c r="Q580" s="136"/>
    </row>
    <row r="581" spans="17:17" ht="15.75" customHeight="1" x14ac:dyDescent="0.25">
      <c r="Q581" s="136"/>
    </row>
    <row r="582" spans="17:17" ht="15.75" customHeight="1" x14ac:dyDescent="0.25">
      <c r="Q582" s="136"/>
    </row>
    <row r="583" spans="17:17" ht="15.75" customHeight="1" x14ac:dyDescent="0.25">
      <c r="Q583" s="136"/>
    </row>
    <row r="584" spans="17:17" ht="15.75" customHeight="1" x14ac:dyDescent="0.25">
      <c r="Q584" s="136"/>
    </row>
    <row r="585" spans="17:17" ht="15.75" customHeight="1" x14ac:dyDescent="0.25">
      <c r="Q585" s="136"/>
    </row>
    <row r="586" spans="17:17" ht="15.75" customHeight="1" x14ac:dyDescent="0.25">
      <c r="Q586" s="136"/>
    </row>
    <row r="587" spans="17:17" ht="15.75" customHeight="1" x14ac:dyDescent="0.25">
      <c r="Q587" s="136"/>
    </row>
    <row r="588" spans="17:17" ht="15.75" customHeight="1" x14ac:dyDescent="0.25">
      <c r="Q588" s="136"/>
    </row>
    <row r="589" spans="17:17" ht="15.75" customHeight="1" x14ac:dyDescent="0.25">
      <c r="Q589" s="136"/>
    </row>
    <row r="590" spans="17:17" ht="15.75" customHeight="1" x14ac:dyDescent="0.25">
      <c r="Q590" s="136"/>
    </row>
    <row r="591" spans="17:17" ht="15.75" customHeight="1" x14ac:dyDescent="0.25">
      <c r="Q591" s="136"/>
    </row>
    <row r="592" spans="17:17" ht="15.75" customHeight="1" x14ac:dyDescent="0.25">
      <c r="Q592" s="136"/>
    </row>
    <row r="593" spans="17:17" ht="15.75" customHeight="1" x14ac:dyDescent="0.25">
      <c r="Q593" s="136"/>
    </row>
    <row r="594" spans="17:17" ht="15.75" customHeight="1" x14ac:dyDescent="0.25">
      <c r="Q594" s="136"/>
    </row>
    <row r="595" spans="17:17" ht="15.75" customHeight="1" x14ac:dyDescent="0.25">
      <c r="Q595" s="136"/>
    </row>
    <row r="596" spans="17:17" ht="15.75" customHeight="1" x14ac:dyDescent="0.25">
      <c r="Q596" s="136"/>
    </row>
    <row r="597" spans="17:17" ht="15.75" customHeight="1" x14ac:dyDescent="0.25">
      <c r="Q597" s="136"/>
    </row>
    <row r="598" spans="17:17" ht="15.75" customHeight="1" x14ac:dyDescent="0.25">
      <c r="Q598" s="136"/>
    </row>
    <row r="599" spans="17:17" ht="15.75" customHeight="1" x14ac:dyDescent="0.25">
      <c r="Q599" s="136"/>
    </row>
    <row r="600" spans="17:17" ht="15.75" customHeight="1" x14ac:dyDescent="0.25">
      <c r="Q600" s="136"/>
    </row>
    <row r="601" spans="17:17" ht="15.75" customHeight="1" x14ac:dyDescent="0.25">
      <c r="Q601" s="136"/>
    </row>
    <row r="602" spans="17:17" ht="15.75" customHeight="1" x14ac:dyDescent="0.25">
      <c r="Q602" s="136"/>
    </row>
    <row r="603" spans="17:17" ht="15.75" customHeight="1" x14ac:dyDescent="0.25">
      <c r="Q603" s="136"/>
    </row>
    <row r="604" spans="17:17" ht="15.75" customHeight="1" x14ac:dyDescent="0.25">
      <c r="Q604" s="136"/>
    </row>
    <row r="605" spans="17:17" ht="15.75" customHeight="1" x14ac:dyDescent="0.25">
      <c r="Q605" s="136"/>
    </row>
    <row r="606" spans="17:17" ht="15.75" customHeight="1" x14ac:dyDescent="0.25">
      <c r="Q606" s="136"/>
    </row>
    <row r="607" spans="17:17" ht="15.75" customHeight="1" x14ac:dyDescent="0.25">
      <c r="Q607" s="136"/>
    </row>
    <row r="608" spans="17:17" ht="15.75" customHeight="1" x14ac:dyDescent="0.25">
      <c r="Q608" s="136"/>
    </row>
    <row r="609" spans="17:17" ht="15.75" customHeight="1" x14ac:dyDescent="0.25">
      <c r="Q609" s="136"/>
    </row>
    <row r="610" spans="17:17" ht="15.75" customHeight="1" x14ac:dyDescent="0.25">
      <c r="Q610" s="136"/>
    </row>
    <row r="611" spans="17:17" ht="15.75" customHeight="1" x14ac:dyDescent="0.25">
      <c r="Q611" s="136"/>
    </row>
    <row r="612" spans="17:17" ht="15.75" customHeight="1" x14ac:dyDescent="0.25">
      <c r="Q612" s="136"/>
    </row>
    <row r="613" spans="17:17" ht="15.75" customHeight="1" x14ac:dyDescent="0.25">
      <c r="Q613" s="136"/>
    </row>
    <row r="614" spans="17:17" ht="15.75" customHeight="1" x14ac:dyDescent="0.25">
      <c r="Q614" s="136"/>
    </row>
    <row r="615" spans="17:17" ht="15.75" customHeight="1" x14ac:dyDescent="0.25">
      <c r="Q615" s="136"/>
    </row>
    <row r="616" spans="17:17" ht="15.75" customHeight="1" x14ac:dyDescent="0.25">
      <c r="Q616" s="136"/>
    </row>
    <row r="617" spans="17:17" ht="15.75" customHeight="1" x14ac:dyDescent="0.25">
      <c r="Q617" s="136"/>
    </row>
    <row r="618" spans="17:17" ht="15.75" customHeight="1" x14ac:dyDescent="0.25">
      <c r="Q618" s="136"/>
    </row>
    <row r="619" spans="17:17" ht="15.75" customHeight="1" x14ac:dyDescent="0.25">
      <c r="Q619" s="136"/>
    </row>
    <row r="620" spans="17:17" ht="15.75" customHeight="1" x14ac:dyDescent="0.25">
      <c r="Q620" s="136"/>
    </row>
    <row r="621" spans="17:17" ht="15.75" customHeight="1" x14ac:dyDescent="0.25">
      <c r="Q621" s="136"/>
    </row>
    <row r="622" spans="17:17" ht="15.75" customHeight="1" x14ac:dyDescent="0.25">
      <c r="Q622" s="136"/>
    </row>
    <row r="623" spans="17:17" ht="15.75" customHeight="1" x14ac:dyDescent="0.25">
      <c r="Q623" s="136"/>
    </row>
    <row r="624" spans="17:17" ht="15.75" customHeight="1" x14ac:dyDescent="0.25">
      <c r="Q624" s="136"/>
    </row>
    <row r="625" spans="17:17" ht="15.75" customHeight="1" x14ac:dyDescent="0.25">
      <c r="Q625" s="136"/>
    </row>
    <row r="626" spans="17:17" ht="15.75" customHeight="1" x14ac:dyDescent="0.25">
      <c r="Q626" s="136"/>
    </row>
    <row r="627" spans="17:17" ht="15.75" customHeight="1" x14ac:dyDescent="0.25">
      <c r="Q627" s="136"/>
    </row>
    <row r="628" spans="17:17" ht="15.75" customHeight="1" x14ac:dyDescent="0.25">
      <c r="Q628" s="136"/>
    </row>
    <row r="629" spans="17:17" ht="15.75" customHeight="1" x14ac:dyDescent="0.25">
      <c r="Q629" s="136"/>
    </row>
    <row r="630" spans="17:17" ht="15.75" customHeight="1" x14ac:dyDescent="0.25">
      <c r="Q630" s="136"/>
    </row>
    <row r="631" spans="17:17" ht="15.75" customHeight="1" x14ac:dyDescent="0.25">
      <c r="Q631" s="136"/>
    </row>
    <row r="632" spans="17:17" ht="15.75" customHeight="1" x14ac:dyDescent="0.25">
      <c r="Q632" s="136"/>
    </row>
    <row r="633" spans="17:17" ht="15.75" customHeight="1" x14ac:dyDescent="0.25">
      <c r="Q633" s="136"/>
    </row>
    <row r="634" spans="17:17" ht="15.75" customHeight="1" x14ac:dyDescent="0.25">
      <c r="Q634" s="136"/>
    </row>
    <row r="635" spans="17:17" ht="15.75" customHeight="1" x14ac:dyDescent="0.25">
      <c r="Q635" s="136"/>
    </row>
    <row r="636" spans="17:17" ht="15.75" customHeight="1" x14ac:dyDescent="0.25">
      <c r="Q636" s="136"/>
    </row>
    <row r="637" spans="17:17" ht="15.75" customHeight="1" x14ac:dyDescent="0.25">
      <c r="Q637" s="136"/>
    </row>
    <row r="638" spans="17:17" ht="15.75" customHeight="1" x14ac:dyDescent="0.25">
      <c r="Q638" s="136"/>
    </row>
    <row r="639" spans="17:17" ht="15.75" customHeight="1" x14ac:dyDescent="0.25">
      <c r="Q639" s="136"/>
    </row>
    <row r="640" spans="17:17" ht="15.75" customHeight="1" x14ac:dyDescent="0.25">
      <c r="Q640" s="136"/>
    </row>
    <row r="641" spans="17:17" ht="15.75" customHeight="1" x14ac:dyDescent="0.25">
      <c r="Q641" s="136"/>
    </row>
    <row r="642" spans="17:17" ht="15.75" customHeight="1" x14ac:dyDescent="0.25">
      <c r="Q642" s="136"/>
    </row>
    <row r="643" spans="17:17" ht="15.75" customHeight="1" x14ac:dyDescent="0.25">
      <c r="Q643" s="136"/>
    </row>
    <row r="644" spans="17:17" ht="15.75" customHeight="1" x14ac:dyDescent="0.25">
      <c r="Q644" s="136"/>
    </row>
    <row r="645" spans="17:17" ht="15.75" customHeight="1" x14ac:dyDescent="0.25">
      <c r="Q645" s="136"/>
    </row>
    <row r="646" spans="17:17" ht="15.75" customHeight="1" x14ac:dyDescent="0.25">
      <c r="Q646" s="136"/>
    </row>
    <row r="647" spans="17:17" ht="15.75" customHeight="1" x14ac:dyDescent="0.25">
      <c r="Q647" s="136"/>
    </row>
    <row r="648" spans="17:17" ht="15.75" customHeight="1" x14ac:dyDescent="0.25">
      <c r="Q648" s="136"/>
    </row>
    <row r="649" spans="17:17" ht="15.75" customHeight="1" x14ac:dyDescent="0.25">
      <c r="Q649" s="136"/>
    </row>
    <row r="650" spans="17:17" ht="15.75" customHeight="1" x14ac:dyDescent="0.25">
      <c r="Q650" s="136"/>
    </row>
    <row r="651" spans="17:17" ht="15.75" customHeight="1" x14ac:dyDescent="0.25">
      <c r="Q651" s="136"/>
    </row>
    <row r="652" spans="17:17" ht="15.75" customHeight="1" x14ac:dyDescent="0.25">
      <c r="Q652" s="136"/>
    </row>
    <row r="653" spans="17:17" ht="15.75" customHeight="1" x14ac:dyDescent="0.25">
      <c r="Q653" s="136"/>
    </row>
    <row r="654" spans="17:17" ht="15.75" customHeight="1" x14ac:dyDescent="0.25">
      <c r="Q654" s="136"/>
    </row>
    <row r="655" spans="17:17" ht="15.75" customHeight="1" x14ac:dyDescent="0.25">
      <c r="Q655" s="136"/>
    </row>
    <row r="656" spans="17:17" ht="15.75" customHeight="1" x14ac:dyDescent="0.25">
      <c r="Q656" s="136"/>
    </row>
    <row r="657" spans="17:17" ht="15.75" customHeight="1" x14ac:dyDescent="0.25">
      <c r="Q657" s="136"/>
    </row>
    <row r="658" spans="17:17" ht="15.75" customHeight="1" x14ac:dyDescent="0.25">
      <c r="Q658" s="136"/>
    </row>
    <row r="659" spans="17:17" ht="15.75" customHeight="1" x14ac:dyDescent="0.25">
      <c r="Q659" s="136"/>
    </row>
    <row r="660" spans="17:17" ht="15.75" customHeight="1" x14ac:dyDescent="0.25">
      <c r="Q660" s="136"/>
    </row>
    <row r="661" spans="17:17" ht="15.75" customHeight="1" x14ac:dyDescent="0.25">
      <c r="Q661" s="136"/>
    </row>
    <row r="662" spans="17:17" ht="15.75" customHeight="1" x14ac:dyDescent="0.25">
      <c r="Q662" s="136"/>
    </row>
    <row r="663" spans="17:17" ht="15.75" customHeight="1" x14ac:dyDescent="0.25">
      <c r="Q663" s="136"/>
    </row>
    <row r="664" spans="17:17" ht="15.75" customHeight="1" x14ac:dyDescent="0.25">
      <c r="Q664" s="136"/>
    </row>
    <row r="665" spans="17:17" ht="15.75" customHeight="1" x14ac:dyDescent="0.25">
      <c r="Q665" s="136"/>
    </row>
    <row r="666" spans="17:17" ht="15.75" customHeight="1" x14ac:dyDescent="0.25">
      <c r="Q666" s="136"/>
    </row>
    <row r="667" spans="17:17" ht="15.75" customHeight="1" x14ac:dyDescent="0.25">
      <c r="Q667" s="136"/>
    </row>
    <row r="668" spans="17:17" ht="15.75" customHeight="1" x14ac:dyDescent="0.25">
      <c r="Q668" s="136"/>
    </row>
    <row r="669" spans="17:17" ht="15.75" customHeight="1" x14ac:dyDescent="0.25">
      <c r="Q669" s="136"/>
    </row>
    <row r="670" spans="17:17" ht="15.75" customHeight="1" x14ac:dyDescent="0.25">
      <c r="Q670" s="136"/>
    </row>
    <row r="671" spans="17:17" ht="15.75" customHeight="1" x14ac:dyDescent="0.25">
      <c r="Q671" s="136"/>
    </row>
    <row r="672" spans="17:17" ht="15.75" customHeight="1" x14ac:dyDescent="0.25">
      <c r="Q672" s="136"/>
    </row>
    <row r="673" spans="17:17" ht="15.75" customHeight="1" x14ac:dyDescent="0.25">
      <c r="Q673" s="136"/>
    </row>
    <row r="674" spans="17:17" ht="15.75" customHeight="1" x14ac:dyDescent="0.25">
      <c r="Q674" s="136"/>
    </row>
    <row r="675" spans="17:17" ht="15.75" customHeight="1" x14ac:dyDescent="0.25">
      <c r="Q675" s="136"/>
    </row>
    <row r="676" spans="17:17" ht="15.75" customHeight="1" x14ac:dyDescent="0.25">
      <c r="Q676" s="136"/>
    </row>
    <row r="677" spans="17:17" ht="15.75" customHeight="1" x14ac:dyDescent="0.25">
      <c r="Q677" s="136"/>
    </row>
    <row r="678" spans="17:17" ht="15.75" customHeight="1" x14ac:dyDescent="0.25">
      <c r="Q678" s="136"/>
    </row>
    <row r="679" spans="17:17" ht="15.75" customHeight="1" x14ac:dyDescent="0.25">
      <c r="Q679" s="136"/>
    </row>
    <row r="680" spans="17:17" ht="15.75" customHeight="1" x14ac:dyDescent="0.25">
      <c r="Q680" s="136"/>
    </row>
    <row r="681" spans="17:17" ht="15.75" customHeight="1" x14ac:dyDescent="0.25">
      <c r="Q681" s="136"/>
    </row>
    <row r="682" spans="17:17" ht="15.75" customHeight="1" x14ac:dyDescent="0.25">
      <c r="Q682" s="136"/>
    </row>
    <row r="683" spans="17:17" ht="15.75" customHeight="1" x14ac:dyDescent="0.25">
      <c r="Q683" s="136"/>
    </row>
    <row r="684" spans="17:17" ht="15.75" customHeight="1" x14ac:dyDescent="0.25">
      <c r="Q684" s="136"/>
    </row>
    <row r="685" spans="17:17" ht="15.75" customHeight="1" x14ac:dyDescent="0.25">
      <c r="Q685" s="136"/>
    </row>
    <row r="686" spans="17:17" ht="15.75" customHeight="1" x14ac:dyDescent="0.25">
      <c r="Q686" s="136"/>
    </row>
    <row r="687" spans="17:17" ht="15.75" customHeight="1" x14ac:dyDescent="0.25">
      <c r="Q687" s="136"/>
    </row>
    <row r="688" spans="17:17" ht="15.75" customHeight="1" x14ac:dyDescent="0.25">
      <c r="Q688" s="136"/>
    </row>
    <row r="689" spans="17:17" ht="15.75" customHeight="1" x14ac:dyDescent="0.25">
      <c r="Q689" s="136"/>
    </row>
    <row r="690" spans="17:17" ht="15.75" customHeight="1" x14ac:dyDescent="0.25">
      <c r="Q690" s="136"/>
    </row>
    <row r="691" spans="17:17" ht="15.75" customHeight="1" x14ac:dyDescent="0.25">
      <c r="Q691" s="136"/>
    </row>
    <row r="692" spans="17:17" ht="15.75" customHeight="1" x14ac:dyDescent="0.25">
      <c r="Q692" s="136"/>
    </row>
    <row r="693" spans="17:17" ht="15.75" customHeight="1" x14ac:dyDescent="0.25">
      <c r="Q693" s="136"/>
    </row>
    <row r="694" spans="17:17" ht="15.75" customHeight="1" x14ac:dyDescent="0.25">
      <c r="Q694" s="136"/>
    </row>
    <row r="695" spans="17:17" ht="15.75" customHeight="1" x14ac:dyDescent="0.25">
      <c r="Q695" s="136"/>
    </row>
    <row r="696" spans="17:17" ht="15.75" customHeight="1" x14ac:dyDescent="0.25">
      <c r="Q696" s="136"/>
    </row>
    <row r="697" spans="17:17" ht="15.75" customHeight="1" x14ac:dyDescent="0.25">
      <c r="Q697" s="136"/>
    </row>
    <row r="698" spans="17:17" ht="15.75" customHeight="1" x14ac:dyDescent="0.25">
      <c r="Q698" s="136"/>
    </row>
    <row r="699" spans="17:17" ht="15.75" customHeight="1" x14ac:dyDescent="0.25">
      <c r="Q699" s="136"/>
    </row>
    <row r="700" spans="17:17" ht="15.75" customHeight="1" x14ac:dyDescent="0.25">
      <c r="Q700" s="136"/>
    </row>
    <row r="701" spans="17:17" ht="15.75" customHeight="1" x14ac:dyDescent="0.25">
      <c r="Q701" s="136"/>
    </row>
    <row r="702" spans="17:17" ht="15.75" customHeight="1" x14ac:dyDescent="0.25">
      <c r="Q702" s="136"/>
    </row>
    <row r="703" spans="17:17" ht="15.75" customHeight="1" x14ac:dyDescent="0.25">
      <c r="Q703" s="136"/>
    </row>
    <row r="704" spans="17:17" ht="15.75" customHeight="1" x14ac:dyDescent="0.25">
      <c r="Q704" s="136"/>
    </row>
    <row r="705" spans="17:17" ht="15.75" customHeight="1" x14ac:dyDescent="0.25">
      <c r="Q705" s="136"/>
    </row>
    <row r="706" spans="17:17" ht="15.75" customHeight="1" x14ac:dyDescent="0.25">
      <c r="Q706" s="136"/>
    </row>
    <row r="707" spans="17:17" ht="15.75" customHeight="1" x14ac:dyDescent="0.25">
      <c r="Q707" s="136"/>
    </row>
    <row r="708" spans="17:17" ht="15.75" customHeight="1" x14ac:dyDescent="0.25">
      <c r="Q708" s="136"/>
    </row>
    <row r="709" spans="17:17" ht="15.75" customHeight="1" x14ac:dyDescent="0.25">
      <c r="Q709" s="136"/>
    </row>
    <row r="710" spans="17:17" ht="15.75" customHeight="1" x14ac:dyDescent="0.25">
      <c r="Q710" s="136"/>
    </row>
    <row r="711" spans="17:17" ht="15.75" customHeight="1" x14ac:dyDescent="0.25">
      <c r="Q711" s="136"/>
    </row>
    <row r="712" spans="17:17" ht="15.75" customHeight="1" x14ac:dyDescent="0.25">
      <c r="Q712" s="136"/>
    </row>
    <row r="713" spans="17:17" ht="15.75" customHeight="1" x14ac:dyDescent="0.25">
      <c r="Q713" s="136"/>
    </row>
    <row r="714" spans="17:17" ht="15.75" customHeight="1" x14ac:dyDescent="0.25">
      <c r="Q714" s="136"/>
    </row>
    <row r="715" spans="17:17" ht="15.75" customHeight="1" x14ac:dyDescent="0.25">
      <c r="Q715" s="136"/>
    </row>
    <row r="716" spans="17:17" ht="15.75" customHeight="1" x14ac:dyDescent="0.25">
      <c r="Q716" s="136"/>
    </row>
    <row r="717" spans="17:17" ht="15.75" customHeight="1" x14ac:dyDescent="0.25">
      <c r="Q717" s="136"/>
    </row>
    <row r="718" spans="17:17" ht="15.75" customHeight="1" x14ac:dyDescent="0.25">
      <c r="Q718" s="136"/>
    </row>
    <row r="719" spans="17:17" ht="15.75" customHeight="1" x14ac:dyDescent="0.25">
      <c r="Q719" s="136"/>
    </row>
    <row r="720" spans="17:17" ht="15.75" customHeight="1" x14ac:dyDescent="0.25">
      <c r="Q720" s="136"/>
    </row>
    <row r="721" spans="17:17" ht="15.75" customHeight="1" x14ac:dyDescent="0.25">
      <c r="Q721" s="136"/>
    </row>
    <row r="722" spans="17:17" ht="15.75" customHeight="1" x14ac:dyDescent="0.25">
      <c r="Q722" s="136"/>
    </row>
    <row r="723" spans="17:17" ht="15.75" customHeight="1" x14ac:dyDescent="0.25">
      <c r="Q723" s="136"/>
    </row>
    <row r="724" spans="17:17" ht="15.75" customHeight="1" x14ac:dyDescent="0.25">
      <c r="Q724" s="136"/>
    </row>
    <row r="725" spans="17:17" ht="15.75" customHeight="1" x14ac:dyDescent="0.25">
      <c r="Q725" s="136"/>
    </row>
    <row r="726" spans="17:17" ht="15.75" customHeight="1" x14ac:dyDescent="0.25">
      <c r="Q726" s="136"/>
    </row>
    <row r="727" spans="17:17" ht="15.75" customHeight="1" x14ac:dyDescent="0.25">
      <c r="Q727" s="136"/>
    </row>
    <row r="728" spans="17:17" ht="15.75" customHeight="1" x14ac:dyDescent="0.25">
      <c r="Q728" s="136"/>
    </row>
    <row r="729" spans="17:17" ht="15.75" customHeight="1" x14ac:dyDescent="0.25">
      <c r="Q729" s="136"/>
    </row>
    <row r="730" spans="17:17" ht="15.75" customHeight="1" x14ac:dyDescent="0.25">
      <c r="Q730" s="136"/>
    </row>
    <row r="731" spans="17:17" ht="15.75" customHeight="1" x14ac:dyDescent="0.25">
      <c r="Q731" s="136"/>
    </row>
    <row r="732" spans="17:17" ht="15.75" customHeight="1" x14ac:dyDescent="0.25">
      <c r="Q732" s="136"/>
    </row>
    <row r="733" spans="17:17" ht="15.75" customHeight="1" x14ac:dyDescent="0.25">
      <c r="Q733" s="136"/>
    </row>
    <row r="734" spans="17:17" ht="15.75" customHeight="1" x14ac:dyDescent="0.25">
      <c r="Q734" s="136"/>
    </row>
    <row r="735" spans="17:17" ht="15.75" customHeight="1" x14ac:dyDescent="0.25">
      <c r="Q735" s="136"/>
    </row>
    <row r="736" spans="17:17" ht="15.75" customHeight="1" x14ac:dyDescent="0.25">
      <c r="Q736" s="136"/>
    </row>
    <row r="737" spans="17:17" ht="15.75" customHeight="1" x14ac:dyDescent="0.25">
      <c r="Q737" s="136"/>
    </row>
    <row r="738" spans="17:17" ht="15.75" customHeight="1" x14ac:dyDescent="0.25">
      <c r="Q738" s="136"/>
    </row>
    <row r="739" spans="17:17" ht="15.75" customHeight="1" x14ac:dyDescent="0.25">
      <c r="Q739" s="136"/>
    </row>
    <row r="740" spans="17:17" ht="15.75" customHeight="1" x14ac:dyDescent="0.25">
      <c r="Q740" s="136"/>
    </row>
    <row r="741" spans="17:17" ht="15.75" customHeight="1" x14ac:dyDescent="0.25">
      <c r="Q741" s="136"/>
    </row>
    <row r="742" spans="17:17" ht="15.75" customHeight="1" x14ac:dyDescent="0.25">
      <c r="Q742" s="136"/>
    </row>
    <row r="743" spans="17:17" ht="15.75" customHeight="1" x14ac:dyDescent="0.25">
      <c r="Q743" s="136"/>
    </row>
    <row r="744" spans="17:17" ht="15.75" customHeight="1" x14ac:dyDescent="0.25">
      <c r="Q744" s="136"/>
    </row>
    <row r="745" spans="17:17" ht="15.75" customHeight="1" x14ac:dyDescent="0.25">
      <c r="Q745" s="136"/>
    </row>
    <row r="746" spans="17:17" ht="15.75" customHeight="1" x14ac:dyDescent="0.25">
      <c r="Q746" s="136"/>
    </row>
    <row r="747" spans="17:17" ht="15.75" customHeight="1" x14ac:dyDescent="0.25">
      <c r="Q747" s="136"/>
    </row>
    <row r="748" spans="17:17" ht="15.75" customHeight="1" x14ac:dyDescent="0.25">
      <c r="Q748" s="136"/>
    </row>
    <row r="749" spans="17:17" ht="15.75" customHeight="1" x14ac:dyDescent="0.25">
      <c r="Q749" s="136"/>
    </row>
    <row r="750" spans="17:17" ht="15.75" customHeight="1" x14ac:dyDescent="0.25">
      <c r="Q750" s="136"/>
    </row>
    <row r="751" spans="17:17" ht="15.75" customHeight="1" x14ac:dyDescent="0.25">
      <c r="Q751" s="136"/>
    </row>
    <row r="752" spans="17:17" ht="15.75" customHeight="1" x14ac:dyDescent="0.25">
      <c r="Q752" s="136"/>
    </row>
    <row r="753" spans="17:17" ht="15.75" customHeight="1" x14ac:dyDescent="0.25">
      <c r="Q753" s="136"/>
    </row>
    <row r="754" spans="17:17" ht="15.75" customHeight="1" x14ac:dyDescent="0.25">
      <c r="Q754" s="136"/>
    </row>
    <row r="755" spans="17:17" ht="15.75" customHeight="1" x14ac:dyDescent="0.25">
      <c r="Q755" s="136"/>
    </row>
    <row r="756" spans="17:17" ht="15.75" customHeight="1" x14ac:dyDescent="0.25">
      <c r="Q756" s="136"/>
    </row>
    <row r="757" spans="17:17" ht="15.75" customHeight="1" x14ac:dyDescent="0.25">
      <c r="Q757" s="136"/>
    </row>
    <row r="758" spans="17:17" ht="15.75" customHeight="1" x14ac:dyDescent="0.25">
      <c r="Q758" s="136"/>
    </row>
    <row r="759" spans="17:17" ht="15.75" customHeight="1" x14ac:dyDescent="0.25">
      <c r="Q759" s="136"/>
    </row>
    <row r="760" spans="17:17" ht="15.75" customHeight="1" x14ac:dyDescent="0.25">
      <c r="Q760" s="136"/>
    </row>
    <row r="761" spans="17:17" ht="15.75" customHeight="1" x14ac:dyDescent="0.25">
      <c r="Q761" s="136"/>
    </row>
    <row r="762" spans="17:17" ht="15.75" customHeight="1" x14ac:dyDescent="0.25">
      <c r="Q762" s="136"/>
    </row>
    <row r="763" spans="17:17" ht="15.75" customHeight="1" x14ac:dyDescent="0.25">
      <c r="Q763" s="136"/>
    </row>
    <row r="764" spans="17:17" ht="15.75" customHeight="1" x14ac:dyDescent="0.25">
      <c r="Q764" s="136"/>
    </row>
    <row r="765" spans="17:17" ht="15.75" customHeight="1" x14ac:dyDescent="0.25">
      <c r="Q765" s="136"/>
    </row>
    <row r="766" spans="17:17" ht="15.75" customHeight="1" x14ac:dyDescent="0.25">
      <c r="Q766" s="136"/>
    </row>
    <row r="767" spans="17:17" ht="15.75" customHeight="1" x14ac:dyDescent="0.25">
      <c r="Q767" s="136"/>
    </row>
    <row r="768" spans="17:17" ht="15.75" customHeight="1" x14ac:dyDescent="0.25">
      <c r="Q768" s="136"/>
    </row>
    <row r="769" spans="17:17" ht="15.75" customHeight="1" x14ac:dyDescent="0.25">
      <c r="Q769" s="136"/>
    </row>
    <row r="770" spans="17:17" ht="15.75" customHeight="1" x14ac:dyDescent="0.25">
      <c r="Q770" s="136"/>
    </row>
    <row r="771" spans="17:17" ht="15.75" customHeight="1" x14ac:dyDescent="0.25">
      <c r="Q771" s="136"/>
    </row>
    <row r="772" spans="17:17" ht="15.75" customHeight="1" x14ac:dyDescent="0.25">
      <c r="Q772" s="136"/>
    </row>
    <row r="773" spans="17:17" ht="15.75" customHeight="1" x14ac:dyDescent="0.25">
      <c r="Q773" s="136"/>
    </row>
    <row r="774" spans="17:17" ht="15.75" customHeight="1" x14ac:dyDescent="0.25">
      <c r="Q774" s="136"/>
    </row>
    <row r="775" spans="17:17" ht="15.75" customHeight="1" x14ac:dyDescent="0.25">
      <c r="Q775" s="136"/>
    </row>
    <row r="776" spans="17:17" ht="15.75" customHeight="1" x14ac:dyDescent="0.25">
      <c r="Q776" s="136"/>
    </row>
    <row r="777" spans="17:17" ht="15.75" customHeight="1" x14ac:dyDescent="0.25">
      <c r="Q777" s="136"/>
    </row>
    <row r="778" spans="17:17" ht="15.75" customHeight="1" x14ac:dyDescent="0.25">
      <c r="Q778" s="136"/>
    </row>
    <row r="779" spans="17:17" ht="15.75" customHeight="1" x14ac:dyDescent="0.25">
      <c r="Q779" s="136"/>
    </row>
    <row r="780" spans="17:17" ht="15.75" customHeight="1" x14ac:dyDescent="0.25">
      <c r="Q780" s="136"/>
    </row>
    <row r="781" spans="17:17" ht="15.75" customHeight="1" x14ac:dyDescent="0.25">
      <c r="Q781" s="136"/>
    </row>
    <row r="782" spans="17:17" ht="15.75" customHeight="1" x14ac:dyDescent="0.25">
      <c r="Q782" s="136"/>
    </row>
    <row r="783" spans="17:17" ht="15.75" customHeight="1" x14ac:dyDescent="0.25">
      <c r="Q783" s="136"/>
    </row>
    <row r="784" spans="17:17" ht="15.75" customHeight="1" x14ac:dyDescent="0.25">
      <c r="Q784" s="136"/>
    </row>
    <row r="785" spans="17:17" ht="15.75" customHeight="1" x14ac:dyDescent="0.25">
      <c r="Q785" s="136"/>
    </row>
    <row r="786" spans="17:17" ht="15.75" customHeight="1" x14ac:dyDescent="0.25">
      <c r="Q786" s="136"/>
    </row>
    <row r="787" spans="17:17" ht="15.75" customHeight="1" x14ac:dyDescent="0.25">
      <c r="Q787" s="136"/>
    </row>
    <row r="788" spans="17:17" ht="15.75" customHeight="1" x14ac:dyDescent="0.25">
      <c r="Q788" s="136"/>
    </row>
    <row r="789" spans="17:17" ht="15.75" customHeight="1" x14ac:dyDescent="0.25">
      <c r="Q789" s="136"/>
    </row>
    <row r="790" spans="17:17" ht="15.75" customHeight="1" x14ac:dyDescent="0.25">
      <c r="Q790" s="136"/>
    </row>
    <row r="791" spans="17:17" ht="15.75" customHeight="1" x14ac:dyDescent="0.25">
      <c r="Q791" s="136"/>
    </row>
    <row r="792" spans="17:17" ht="15.75" customHeight="1" x14ac:dyDescent="0.25">
      <c r="Q792" s="136"/>
    </row>
    <row r="793" spans="17:17" ht="15.75" customHeight="1" x14ac:dyDescent="0.25">
      <c r="Q793" s="136"/>
    </row>
    <row r="794" spans="17:17" ht="15.75" customHeight="1" x14ac:dyDescent="0.25">
      <c r="Q794" s="136"/>
    </row>
    <row r="795" spans="17:17" ht="15.75" customHeight="1" x14ac:dyDescent="0.25">
      <c r="Q795" s="136"/>
    </row>
    <row r="796" spans="17:17" ht="15.75" customHeight="1" x14ac:dyDescent="0.25">
      <c r="Q796" s="136"/>
    </row>
    <row r="797" spans="17:17" ht="15.75" customHeight="1" x14ac:dyDescent="0.25">
      <c r="Q797" s="136"/>
    </row>
    <row r="798" spans="17:17" ht="15.75" customHeight="1" x14ac:dyDescent="0.25">
      <c r="Q798" s="136"/>
    </row>
    <row r="799" spans="17:17" ht="15.75" customHeight="1" x14ac:dyDescent="0.25">
      <c r="Q799" s="136"/>
    </row>
    <row r="800" spans="17:17" ht="15.75" customHeight="1" x14ac:dyDescent="0.25">
      <c r="Q800" s="136"/>
    </row>
    <row r="801" spans="17:17" ht="15.75" customHeight="1" x14ac:dyDescent="0.25">
      <c r="Q801" s="136"/>
    </row>
    <row r="802" spans="17:17" ht="15.75" customHeight="1" x14ac:dyDescent="0.25">
      <c r="Q802" s="136"/>
    </row>
    <row r="803" spans="17:17" ht="15.75" customHeight="1" x14ac:dyDescent="0.25">
      <c r="Q803" s="136"/>
    </row>
    <row r="804" spans="17:17" ht="15.75" customHeight="1" x14ac:dyDescent="0.25">
      <c r="Q804" s="136"/>
    </row>
    <row r="805" spans="17:17" ht="15.75" customHeight="1" x14ac:dyDescent="0.25">
      <c r="Q805" s="136"/>
    </row>
    <row r="806" spans="17:17" ht="15.75" customHeight="1" x14ac:dyDescent="0.25">
      <c r="Q806" s="136"/>
    </row>
    <row r="807" spans="17:17" ht="15.75" customHeight="1" x14ac:dyDescent="0.25">
      <c r="Q807" s="136"/>
    </row>
    <row r="808" spans="17:17" ht="15.75" customHeight="1" x14ac:dyDescent="0.25">
      <c r="Q808" s="136"/>
    </row>
    <row r="809" spans="17:17" ht="15.75" customHeight="1" x14ac:dyDescent="0.25">
      <c r="Q809" s="136"/>
    </row>
    <row r="810" spans="17:17" ht="15.75" customHeight="1" x14ac:dyDescent="0.25">
      <c r="Q810" s="136"/>
    </row>
    <row r="811" spans="17:17" ht="15.75" customHeight="1" x14ac:dyDescent="0.25">
      <c r="Q811" s="136"/>
    </row>
    <row r="812" spans="17:17" ht="15.75" customHeight="1" x14ac:dyDescent="0.25">
      <c r="Q812" s="136"/>
    </row>
    <row r="813" spans="17:17" ht="15.75" customHeight="1" x14ac:dyDescent="0.25">
      <c r="Q813" s="136"/>
    </row>
    <row r="814" spans="17:17" ht="15.75" customHeight="1" x14ac:dyDescent="0.25">
      <c r="Q814" s="136"/>
    </row>
    <row r="815" spans="17:17" ht="15.75" customHeight="1" x14ac:dyDescent="0.25">
      <c r="Q815" s="136"/>
    </row>
    <row r="816" spans="17:17" ht="15.75" customHeight="1" x14ac:dyDescent="0.25">
      <c r="Q816" s="136"/>
    </row>
    <row r="817" spans="17:17" ht="15.75" customHeight="1" x14ac:dyDescent="0.25">
      <c r="Q817" s="136"/>
    </row>
    <row r="818" spans="17:17" ht="15.75" customHeight="1" x14ac:dyDescent="0.25">
      <c r="Q818" s="136"/>
    </row>
    <row r="819" spans="17:17" ht="15.75" customHeight="1" x14ac:dyDescent="0.25">
      <c r="Q819" s="136"/>
    </row>
    <row r="820" spans="17:17" ht="15.75" customHeight="1" x14ac:dyDescent="0.25">
      <c r="Q820" s="136"/>
    </row>
    <row r="821" spans="17:17" ht="15.75" customHeight="1" x14ac:dyDescent="0.25">
      <c r="Q821" s="136"/>
    </row>
    <row r="822" spans="17:17" ht="15.75" customHeight="1" x14ac:dyDescent="0.25">
      <c r="Q822" s="136"/>
    </row>
    <row r="823" spans="17:17" ht="15.75" customHeight="1" x14ac:dyDescent="0.25">
      <c r="Q823" s="136"/>
    </row>
    <row r="824" spans="17:17" ht="15.75" customHeight="1" x14ac:dyDescent="0.25">
      <c r="Q824" s="136"/>
    </row>
    <row r="825" spans="17:17" ht="15.75" customHeight="1" x14ac:dyDescent="0.25">
      <c r="Q825" s="136"/>
    </row>
    <row r="826" spans="17:17" ht="15.75" customHeight="1" x14ac:dyDescent="0.25">
      <c r="Q826" s="136"/>
    </row>
    <row r="827" spans="17:17" ht="15.75" customHeight="1" x14ac:dyDescent="0.25">
      <c r="Q827" s="136"/>
    </row>
    <row r="828" spans="17:17" ht="15.75" customHeight="1" x14ac:dyDescent="0.25">
      <c r="Q828" s="136"/>
    </row>
    <row r="829" spans="17:17" ht="15.75" customHeight="1" x14ac:dyDescent="0.25">
      <c r="Q829" s="136"/>
    </row>
    <row r="830" spans="17:17" ht="15.75" customHeight="1" x14ac:dyDescent="0.25">
      <c r="Q830" s="136"/>
    </row>
    <row r="831" spans="17:17" ht="15.75" customHeight="1" x14ac:dyDescent="0.25">
      <c r="Q831" s="136"/>
    </row>
    <row r="832" spans="17:17" ht="15.75" customHeight="1" x14ac:dyDescent="0.25">
      <c r="Q832" s="136"/>
    </row>
    <row r="833" spans="17:17" ht="15.75" customHeight="1" x14ac:dyDescent="0.25">
      <c r="Q833" s="136"/>
    </row>
    <row r="834" spans="17:17" ht="15.75" customHeight="1" x14ac:dyDescent="0.25">
      <c r="Q834" s="136"/>
    </row>
    <row r="835" spans="17:17" ht="15.75" customHeight="1" x14ac:dyDescent="0.25">
      <c r="Q835" s="136"/>
    </row>
    <row r="836" spans="17:17" ht="15.75" customHeight="1" x14ac:dyDescent="0.25">
      <c r="Q836" s="136"/>
    </row>
    <row r="837" spans="17:17" ht="15.75" customHeight="1" x14ac:dyDescent="0.25">
      <c r="Q837" s="136"/>
    </row>
    <row r="838" spans="17:17" ht="15.75" customHeight="1" x14ac:dyDescent="0.25">
      <c r="Q838" s="136"/>
    </row>
    <row r="839" spans="17:17" ht="15.75" customHeight="1" x14ac:dyDescent="0.25">
      <c r="Q839" s="136"/>
    </row>
    <row r="840" spans="17:17" ht="15.75" customHeight="1" x14ac:dyDescent="0.25">
      <c r="Q840" s="136"/>
    </row>
    <row r="841" spans="17:17" ht="15.75" customHeight="1" x14ac:dyDescent="0.25">
      <c r="Q841" s="136"/>
    </row>
    <row r="842" spans="17:17" ht="15.75" customHeight="1" x14ac:dyDescent="0.25">
      <c r="Q842" s="136"/>
    </row>
    <row r="843" spans="17:17" ht="15.75" customHeight="1" x14ac:dyDescent="0.25">
      <c r="Q843" s="136"/>
    </row>
    <row r="844" spans="17:17" ht="15.75" customHeight="1" x14ac:dyDescent="0.25">
      <c r="Q844" s="136"/>
    </row>
    <row r="845" spans="17:17" ht="15.75" customHeight="1" x14ac:dyDescent="0.25">
      <c r="Q845" s="136"/>
    </row>
    <row r="846" spans="17:17" ht="15.75" customHeight="1" x14ac:dyDescent="0.25">
      <c r="Q846" s="136"/>
    </row>
    <row r="847" spans="17:17" ht="15.75" customHeight="1" x14ac:dyDescent="0.25">
      <c r="Q847" s="136"/>
    </row>
    <row r="848" spans="17:17" ht="15.75" customHeight="1" x14ac:dyDescent="0.25">
      <c r="Q848" s="136"/>
    </row>
    <row r="849" spans="17:17" ht="15.75" customHeight="1" x14ac:dyDescent="0.25">
      <c r="Q849" s="136"/>
    </row>
    <row r="850" spans="17:17" ht="15.75" customHeight="1" x14ac:dyDescent="0.25">
      <c r="Q850" s="136"/>
    </row>
    <row r="851" spans="17:17" ht="15.75" customHeight="1" x14ac:dyDescent="0.25">
      <c r="Q851" s="136"/>
    </row>
    <row r="852" spans="17:17" ht="15.75" customHeight="1" x14ac:dyDescent="0.25">
      <c r="Q852" s="136"/>
    </row>
    <row r="853" spans="17:17" ht="15.75" customHeight="1" x14ac:dyDescent="0.25">
      <c r="Q853" s="136"/>
    </row>
    <row r="854" spans="17:17" ht="15.75" customHeight="1" x14ac:dyDescent="0.25">
      <c r="Q854" s="136"/>
    </row>
    <row r="855" spans="17:17" ht="15.75" customHeight="1" x14ac:dyDescent="0.25">
      <c r="Q855" s="136"/>
    </row>
    <row r="856" spans="17:17" ht="15.75" customHeight="1" x14ac:dyDescent="0.25">
      <c r="Q856" s="136"/>
    </row>
    <row r="857" spans="17:17" ht="15.75" customHeight="1" x14ac:dyDescent="0.25">
      <c r="Q857" s="136"/>
    </row>
    <row r="858" spans="17:17" ht="15.75" customHeight="1" x14ac:dyDescent="0.25">
      <c r="Q858" s="136"/>
    </row>
    <row r="859" spans="17:17" ht="15.75" customHeight="1" x14ac:dyDescent="0.25">
      <c r="Q859" s="136"/>
    </row>
    <row r="860" spans="17:17" ht="15.75" customHeight="1" x14ac:dyDescent="0.25">
      <c r="Q860" s="136"/>
    </row>
    <row r="861" spans="17:17" ht="15.75" customHeight="1" x14ac:dyDescent="0.25">
      <c r="Q861" s="136"/>
    </row>
    <row r="862" spans="17:17" ht="15.75" customHeight="1" x14ac:dyDescent="0.25">
      <c r="Q862" s="136"/>
    </row>
    <row r="863" spans="17:17" ht="15.75" customHeight="1" x14ac:dyDescent="0.25">
      <c r="Q863" s="136"/>
    </row>
    <row r="864" spans="17:17" ht="15.75" customHeight="1" x14ac:dyDescent="0.25">
      <c r="Q864" s="136"/>
    </row>
    <row r="865" spans="17:17" ht="15.75" customHeight="1" x14ac:dyDescent="0.25">
      <c r="Q865" s="136"/>
    </row>
    <row r="866" spans="17:17" ht="15.75" customHeight="1" x14ac:dyDescent="0.25">
      <c r="Q866" s="136"/>
    </row>
    <row r="867" spans="17:17" ht="15.75" customHeight="1" x14ac:dyDescent="0.25">
      <c r="Q867" s="136"/>
    </row>
    <row r="868" spans="17:17" ht="15.75" customHeight="1" x14ac:dyDescent="0.25">
      <c r="Q868" s="136"/>
    </row>
    <row r="869" spans="17:17" ht="15.75" customHeight="1" x14ac:dyDescent="0.25">
      <c r="Q869" s="136"/>
    </row>
    <row r="870" spans="17:17" ht="15.75" customHeight="1" x14ac:dyDescent="0.25">
      <c r="Q870" s="136"/>
    </row>
    <row r="871" spans="17:17" ht="15.75" customHeight="1" x14ac:dyDescent="0.25">
      <c r="Q871" s="136"/>
    </row>
    <row r="872" spans="17:17" ht="15.75" customHeight="1" x14ac:dyDescent="0.25">
      <c r="Q872" s="136"/>
    </row>
    <row r="873" spans="17:17" ht="15.75" customHeight="1" x14ac:dyDescent="0.25">
      <c r="Q873" s="136"/>
    </row>
    <row r="874" spans="17:17" ht="15.75" customHeight="1" x14ac:dyDescent="0.25">
      <c r="Q874" s="136"/>
    </row>
    <row r="875" spans="17:17" ht="15.75" customHeight="1" x14ac:dyDescent="0.25">
      <c r="Q875" s="136"/>
    </row>
    <row r="876" spans="17:17" ht="15.75" customHeight="1" x14ac:dyDescent="0.25">
      <c r="Q876" s="136"/>
    </row>
    <row r="877" spans="17:17" ht="15.75" customHeight="1" x14ac:dyDescent="0.25">
      <c r="Q877" s="136"/>
    </row>
    <row r="878" spans="17:17" ht="15.75" customHeight="1" x14ac:dyDescent="0.25">
      <c r="Q878" s="136"/>
    </row>
    <row r="879" spans="17:17" ht="15.75" customHeight="1" x14ac:dyDescent="0.25">
      <c r="Q879" s="136"/>
    </row>
    <row r="880" spans="17:17" ht="15.75" customHeight="1" x14ac:dyDescent="0.25">
      <c r="Q880" s="136"/>
    </row>
    <row r="881" spans="17:17" ht="15.75" customHeight="1" x14ac:dyDescent="0.25">
      <c r="Q881" s="136"/>
    </row>
    <row r="882" spans="17:17" ht="15.75" customHeight="1" x14ac:dyDescent="0.25">
      <c r="Q882" s="136"/>
    </row>
    <row r="883" spans="17:17" ht="15.75" customHeight="1" x14ac:dyDescent="0.25">
      <c r="Q883" s="136"/>
    </row>
    <row r="884" spans="17:17" ht="15.75" customHeight="1" x14ac:dyDescent="0.25">
      <c r="Q884" s="136"/>
    </row>
    <row r="885" spans="17:17" ht="15.75" customHeight="1" x14ac:dyDescent="0.25">
      <c r="Q885" s="136"/>
    </row>
    <row r="886" spans="17:17" ht="15.75" customHeight="1" x14ac:dyDescent="0.25">
      <c r="Q886" s="136"/>
    </row>
    <row r="887" spans="17:17" ht="15.75" customHeight="1" x14ac:dyDescent="0.25">
      <c r="Q887" s="136"/>
    </row>
    <row r="888" spans="17:17" ht="15.75" customHeight="1" x14ac:dyDescent="0.25">
      <c r="Q888" s="136"/>
    </row>
    <row r="889" spans="17:17" ht="15.75" customHeight="1" x14ac:dyDescent="0.25">
      <c r="Q889" s="136"/>
    </row>
    <row r="890" spans="17:17" ht="15.75" customHeight="1" x14ac:dyDescent="0.25">
      <c r="Q890" s="136"/>
    </row>
    <row r="891" spans="17:17" ht="15.75" customHeight="1" x14ac:dyDescent="0.25">
      <c r="Q891" s="136"/>
    </row>
    <row r="892" spans="17:17" ht="15.75" customHeight="1" x14ac:dyDescent="0.25">
      <c r="Q892" s="136"/>
    </row>
    <row r="893" spans="17:17" ht="15.75" customHeight="1" x14ac:dyDescent="0.25">
      <c r="Q893" s="136"/>
    </row>
    <row r="894" spans="17:17" ht="15.75" customHeight="1" x14ac:dyDescent="0.25">
      <c r="Q894" s="136"/>
    </row>
    <row r="895" spans="17:17" ht="15.75" customHeight="1" x14ac:dyDescent="0.25">
      <c r="Q895" s="136"/>
    </row>
    <row r="896" spans="17:17" ht="15.75" customHeight="1" x14ac:dyDescent="0.25">
      <c r="Q896" s="136"/>
    </row>
    <row r="897" spans="17:17" ht="15.75" customHeight="1" x14ac:dyDescent="0.25">
      <c r="Q897" s="136"/>
    </row>
    <row r="898" spans="17:17" ht="15.75" customHeight="1" x14ac:dyDescent="0.25">
      <c r="Q898" s="136"/>
    </row>
    <row r="899" spans="17:17" ht="15.75" customHeight="1" x14ac:dyDescent="0.25">
      <c r="Q899" s="136"/>
    </row>
    <row r="900" spans="17:17" ht="15.75" customHeight="1" x14ac:dyDescent="0.25">
      <c r="Q900" s="136"/>
    </row>
    <row r="901" spans="17:17" ht="15.75" customHeight="1" x14ac:dyDescent="0.25">
      <c r="Q901" s="136"/>
    </row>
    <row r="902" spans="17:17" ht="15.75" customHeight="1" x14ac:dyDescent="0.25">
      <c r="Q902" s="136"/>
    </row>
    <row r="903" spans="17:17" ht="15.75" customHeight="1" x14ac:dyDescent="0.25">
      <c r="Q903" s="136"/>
    </row>
    <row r="904" spans="17:17" ht="15.75" customHeight="1" x14ac:dyDescent="0.25">
      <c r="Q904" s="136"/>
    </row>
    <row r="905" spans="17:17" ht="15.75" customHeight="1" x14ac:dyDescent="0.25">
      <c r="Q905" s="136"/>
    </row>
    <row r="906" spans="17:17" ht="15.75" customHeight="1" x14ac:dyDescent="0.25">
      <c r="Q906" s="136"/>
    </row>
    <row r="907" spans="17:17" ht="15.75" customHeight="1" x14ac:dyDescent="0.25">
      <c r="Q907" s="136"/>
    </row>
    <row r="908" spans="17:17" ht="15.75" customHeight="1" x14ac:dyDescent="0.25">
      <c r="Q908" s="136"/>
    </row>
    <row r="909" spans="17:17" ht="15.75" customHeight="1" x14ac:dyDescent="0.25">
      <c r="Q909" s="136"/>
    </row>
    <row r="910" spans="17:17" ht="15.75" customHeight="1" x14ac:dyDescent="0.25">
      <c r="Q910" s="136"/>
    </row>
    <row r="911" spans="17:17" ht="15.75" customHeight="1" x14ac:dyDescent="0.25">
      <c r="Q911" s="136"/>
    </row>
    <row r="912" spans="17:17" ht="15.75" customHeight="1" x14ac:dyDescent="0.25">
      <c r="Q912" s="136"/>
    </row>
    <row r="913" spans="17:17" ht="15.75" customHeight="1" x14ac:dyDescent="0.25">
      <c r="Q913" s="136"/>
    </row>
    <row r="914" spans="17:17" ht="15.75" customHeight="1" x14ac:dyDescent="0.25">
      <c r="Q914" s="136"/>
    </row>
    <row r="915" spans="17:17" ht="15.75" customHeight="1" x14ac:dyDescent="0.25">
      <c r="Q915" s="136"/>
    </row>
    <row r="916" spans="17:17" ht="15.75" customHeight="1" x14ac:dyDescent="0.25">
      <c r="Q916" s="136"/>
    </row>
    <row r="917" spans="17:17" ht="15.75" customHeight="1" x14ac:dyDescent="0.25">
      <c r="Q917" s="136"/>
    </row>
    <row r="918" spans="17:17" ht="15.75" customHeight="1" x14ac:dyDescent="0.25">
      <c r="Q918" s="136"/>
    </row>
    <row r="919" spans="17:17" ht="15.75" customHeight="1" x14ac:dyDescent="0.25">
      <c r="Q919" s="136"/>
    </row>
    <row r="920" spans="17:17" ht="15.75" customHeight="1" x14ac:dyDescent="0.25">
      <c r="Q920" s="136"/>
    </row>
    <row r="921" spans="17:17" ht="15.75" customHeight="1" x14ac:dyDescent="0.25">
      <c r="Q921" s="136"/>
    </row>
    <row r="922" spans="17:17" ht="15.75" customHeight="1" x14ac:dyDescent="0.25">
      <c r="Q922" s="136"/>
    </row>
  </sheetData>
  <mergeCells count="19">
    <mergeCell ref="A1:B1"/>
    <mergeCell ref="AZ1:BB1"/>
    <mergeCell ref="BC1:BE1"/>
    <mergeCell ref="AH1:AJ1"/>
    <mergeCell ref="AK1:AM1"/>
    <mergeCell ref="AN1:AP1"/>
    <mergeCell ref="AQ1:AS1"/>
    <mergeCell ref="AT1:AV1"/>
    <mergeCell ref="AW1:AY1"/>
    <mergeCell ref="P1:R1"/>
    <mergeCell ref="S1:U1"/>
    <mergeCell ref="V1:X1"/>
    <mergeCell ref="Y1:AA1"/>
    <mergeCell ref="AB1:AD1"/>
    <mergeCell ref="AE1:AG1"/>
    <mergeCell ref="C1:F1"/>
    <mergeCell ref="G1:I1"/>
    <mergeCell ref="J1:L1"/>
    <mergeCell ref="M1:O1"/>
  </mergeCells>
  <conditionalFormatting sqref="P107:R111 P69:R105 P117:R158 P3:R66">
    <cfRule type="cellIs" dxfId="14" priority="6" operator="between">
      <formula>"0%"</formula>
      <formula>"25%"</formula>
    </cfRule>
  </conditionalFormatting>
  <conditionalFormatting sqref="P107:R111 P69:R105 P117:R158 P3:R66">
    <cfRule type="cellIs" dxfId="13" priority="7" operator="between">
      <formula>"25.01%"</formula>
      <formula>"50%"</formula>
    </cfRule>
  </conditionalFormatting>
  <conditionalFormatting sqref="P107:R111 P69:R105 P117:R158 P3:R66">
    <cfRule type="cellIs" dxfId="12" priority="8" operator="between">
      <formula>"50.01%"</formula>
      <formula>"75%"</formula>
    </cfRule>
  </conditionalFormatting>
  <conditionalFormatting sqref="P107:R111 P69:R105 P117:R158 P3:R66">
    <cfRule type="cellIs" dxfId="11" priority="9" operator="between">
      <formula>"75.01%"</formula>
      <formula>"99.99%"</formula>
    </cfRule>
  </conditionalFormatting>
  <conditionalFormatting sqref="P107:R111 P69:R105 P117:R158 P3:R66">
    <cfRule type="cellIs" dxfId="10" priority="10" operator="greaterThanOrEqual">
      <formula>"100%"</formula>
    </cfRule>
  </conditionalFormatting>
  <conditionalFormatting sqref="P113:R115">
    <cfRule type="cellIs" dxfId="9" priority="11" operator="between">
      <formula>"0%"</formula>
      <formula>"25%"</formula>
    </cfRule>
  </conditionalFormatting>
  <conditionalFormatting sqref="P113:R115">
    <cfRule type="cellIs" dxfId="8" priority="12" operator="between">
      <formula>"25.01%"</formula>
      <formula>"50%"</formula>
    </cfRule>
  </conditionalFormatting>
  <conditionalFormatting sqref="P113:R115">
    <cfRule type="cellIs" dxfId="7" priority="13" operator="between">
      <formula>"50.01%"</formula>
      <formula>"75%"</formula>
    </cfRule>
  </conditionalFormatting>
  <conditionalFormatting sqref="P113:R115">
    <cfRule type="cellIs" dxfId="6" priority="14" operator="between">
      <formula>"75.01%"</formula>
      <formula>"99.99%"</formula>
    </cfRule>
  </conditionalFormatting>
  <conditionalFormatting sqref="P113:R115">
    <cfRule type="cellIs" dxfId="5" priority="15" operator="greaterThanOrEqual">
      <formula>"100%"</formula>
    </cfRule>
  </conditionalFormatting>
  <conditionalFormatting sqref="P67:R68">
    <cfRule type="cellIs" dxfId="4" priority="1" operator="between">
      <formula>"0%"</formula>
      <formula>"25%"</formula>
    </cfRule>
  </conditionalFormatting>
  <conditionalFormatting sqref="P67:R68">
    <cfRule type="cellIs" dxfId="3" priority="2" operator="between">
      <formula>"25.01%"</formula>
      <formula>"50%"</formula>
    </cfRule>
  </conditionalFormatting>
  <conditionalFormatting sqref="P67:R68">
    <cfRule type="cellIs" dxfId="2" priority="3" operator="between">
      <formula>"50.01%"</formula>
      <formula>"75%"</formula>
    </cfRule>
  </conditionalFormatting>
  <conditionalFormatting sqref="P67:R68">
    <cfRule type="cellIs" dxfId="1" priority="4" operator="between">
      <formula>"75.01%"</formula>
      <formula>"99.99%"</formula>
    </cfRule>
  </conditionalFormatting>
  <conditionalFormatting sqref="P67:R68">
    <cfRule type="cellIs" dxfId="0" priority="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dcterms:created xsi:type="dcterms:W3CDTF">2022-02-11T11:30:23Z</dcterms:created>
  <dcterms:modified xsi:type="dcterms:W3CDTF">2022-02-11T11:55:32Z</dcterms:modified>
</cp:coreProperties>
</file>