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3485" activeTab="1"/>
  </bookViews>
  <sheets>
    <sheet name="Instruções" sheetId="1" r:id="rId1"/>
    <sheet name="2022" sheetId="2" r:id="rId2"/>
    <sheet name="Gráficos " sheetId="3" r:id="rId3"/>
  </sheets>
  <definedNames>
    <definedName name="_xlnm.Print_Area" localSheetId="1">'2022'!$A$1:$BN$309</definedName>
  </definedNames>
  <calcPr calcId="145621"/>
  <extLst>
    <ext uri="GoogleSheetsCustomDataVersion1">
      <go:sheetsCustomData xmlns:go="http://customooxmlschemas.google.com/" r:id="rId7" roundtripDataSignature="AMtx7mjOscZiCQ+NbmVw4Ljh9PNLBHRMdg=="/>
    </ext>
  </extLst>
</workbook>
</file>

<file path=xl/calcChain.xml><?xml version="1.0" encoding="utf-8"?>
<calcChain xmlns="http://schemas.openxmlformats.org/spreadsheetml/2006/main">
  <c r="E66" i="3" l="1"/>
  <c r="E65" i="3"/>
  <c r="B65" i="3"/>
  <c r="E64" i="3"/>
  <c r="B64" i="3"/>
  <c r="E63" i="3"/>
  <c r="M45" i="3"/>
  <c r="M44" i="3"/>
  <c r="M43" i="3"/>
  <c r="M42" i="3"/>
  <c r="M41" i="3"/>
  <c r="M40" i="3"/>
  <c r="M39" i="3"/>
  <c r="M38" i="3"/>
  <c r="H38" i="3"/>
  <c r="E38" i="3"/>
  <c r="B38" i="3"/>
  <c r="M37" i="3"/>
  <c r="H37" i="3"/>
  <c r="E37" i="3"/>
  <c r="B37" i="3"/>
  <c r="M36" i="3"/>
  <c r="H36" i="3"/>
  <c r="E36" i="3"/>
  <c r="B36" i="3"/>
  <c r="M35" i="3"/>
  <c r="H35" i="3"/>
  <c r="E35" i="3"/>
  <c r="B35" i="3"/>
  <c r="M34" i="3"/>
  <c r="H34" i="3"/>
  <c r="E34" i="3"/>
  <c r="B34" i="3"/>
  <c r="E13" i="3"/>
  <c r="E12" i="3"/>
  <c r="E11" i="3"/>
  <c r="E10" i="3"/>
  <c r="E9" i="3"/>
  <c r="H8" i="3"/>
  <c r="E8" i="3"/>
  <c r="B8" i="3"/>
  <c r="H7" i="3"/>
  <c r="F7" i="3"/>
  <c r="E7" i="3"/>
  <c r="B7" i="3"/>
  <c r="H6" i="3"/>
  <c r="F6" i="3"/>
  <c r="E6" i="3"/>
  <c r="B6" i="3"/>
  <c r="H5" i="3"/>
  <c r="F5" i="3"/>
  <c r="E5" i="3"/>
  <c r="B5" i="3"/>
  <c r="H4" i="3"/>
  <c r="F294" i="2"/>
  <c r="E294" i="2"/>
  <c r="C65" i="3" s="1"/>
  <c r="Q290" i="2"/>
  <c r="P290" i="2"/>
  <c r="O290" i="2"/>
  <c r="N290" i="2"/>
  <c r="T290" i="2" s="1"/>
  <c r="M290" i="2"/>
  <c r="V290" i="2" s="1"/>
  <c r="L290" i="2"/>
  <c r="R290" i="2" s="1"/>
  <c r="G290" i="2"/>
  <c r="V289" i="2"/>
  <c r="R289" i="2"/>
  <c r="Q289" i="2"/>
  <c r="P289" i="2"/>
  <c r="O289" i="2"/>
  <c r="N289" i="2"/>
  <c r="T289" i="2" s="1"/>
  <c r="M289" i="2"/>
  <c r="S289" i="2" s="1"/>
  <c r="L289" i="2"/>
  <c r="H289" i="2" s="1"/>
  <c r="G289" i="2"/>
  <c r="V288" i="2"/>
  <c r="T288" i="2"/>
  <c r="T287" i="2" s="1"/>
  <c r="Q288" i="2"/>
  <c r="P288" i="2"/>
  <c r="O288" i="2"/>
  <c r="N288" i="2"/>
  <c r="W288" i="2" s="1"/>
  <c r="M288" i="2"/>
  <c r="S288" i="2" s="1"/>
  <c r="L288" i="2"/>
  <c r="R288" i="2" s="1"/>
  <c r="G288" i="2"/>
  <c r="BJ287" i="2"/>
  <c r="BI287" i="2"/>
  <c r="P287" i="2" s="1"/>
  <c r="BH287" i="2"/>
  <c r="BG287" i="2"/>
  <c r="BF287" i="2"/>
  <c r="BE287" i="2"/>
  <c r="BD287" i="2"/>
  <c r="BC287" i="2"/>
  <c r="BB287" i="2"/>
  <c r="BA287" i="2"/>
  <c r="AZ287" i="2"/>
  <c r="AY287" i="2"/>
  <c r="AX287" i="2"/>
  <c r="AW287" i="2"/>
  <c r="AV287" i="2"/>
  <c r="AU287" i="2"/>
  <c r="AT287" i="2"/>
  <c r="AS287" i="2"/>
  <c r="AR287" i="2"/>
  <c r="AQ287" i="2"/>
  <c r="AP287" i="2"/>
  <c r="AO287" i="2"/>
  <c r="AN287" i="2"/>
  <c r="AM287" i="2"/>
  <c r="AL287" i="2"/>
  <c r="AK287" i="2"/>
  <c r="AJ287" i="2"/>
  <c r="AI287" i="2"/>
  <c r="AH287" i="2"/>
  <c r="AG287" i="2"/>
  <c r="O287" i="2" s="1"/>
  <c r="AF287" i="2"/>
  <c r="AE287" i="2"/>
  <c r="AD287" i="2"/>
  <c r="AC287" i="2"/>
  <c r="AB287" i="2"/>
  <c r="AA287" i="2"/>
  <c r="Z287" i="2"/>
  <c r="Y287" i="2"/>
  <c r="X287" i="2"/>
  <c r="Q287" i="2"/>
  <c r="N287" i="2"/>
  <c r="M287" i="2"/>
  <c r="V287" i="2" s="1"/>
  <c r="K287" i="2"/>
  <c r="W287" i="2" s="1"/>
  <c r="J287" i="2"/>
  <c r="I287" i="2"/>
  <c r="G287" i="2" s="1"/>
  <c r="F287" i="2"/>
  <c r="E287" i="2"/>
  <c r="T286" i="2"/>
  <c r="Q286" i="2"/>
  <c r="P286" i="2"/>
  <c r="O286" i="2"/>
  <c r="N286" i="2"/>
  <c r="W286" i="2" s="1"/>
  <c r="M286" i="2"/>
  <c r="V286" i="2" s="1"/>
  <c r="L286" i="2"/>
  <c r="R286" i="2" s="1"/>
  <c r="G286" i="2"/>
  <c r="AG285" i="2"/>
  <c r="AD285" i="2"/>
  <c r="O285" i="2" s="1"/>
  <c r="AA285" i="2"/>
  <c r="W285" i="2"/>
  <c r="Q285" i="2"/>
  <c r="P285" i="2"/>
  <c r="N285" i="2"/>
  <c r="T285" i="2" s="1"/>
  <c r="M285" i="2"/>
  <c r="S285" i="2" s="1"/>
  <c r="G285" i="2"/>
  <c r="W284" i="2"/>
  <c r="T284" i="2"/>
  <c r="S284" i="2"/>
  <c r="Q284" i="2"/>
  <c r="P284" i="2"/>
  <c r="O284" i="2"/>
  <c r="N284" i="2"/>
  <c r="M284" i="2"/>
  <c r="V284" i="2" s="1"/>
  <c r="L284" i="2"/>
  <c r="U284" i="2" s="1"/>
  <c r="H284" i="2"/>
  <c r="G284" i="2"/>
  <c r="U283" i="2"/>
  <c r="R283" i="2"/>
  <c r="Q283" i="2"/>
  <c r="P283" i="2"/>
  <c r="O283" i="2"/>
  <c r="N283" i="2"/>
  <c r="W283" i="2" s="1"/>
  <c r="M283" i="2"/>
  <c r="S283" i="2" s="1"/>
  <c r="L283" i="2"/>
  <c r="H283" i="2"/>
  <c r="G283" i="2"/>
  <c r="BJ282" i="2"/>
  <c r="Q282" i="2" s="1"/>
  <c r="BI282" i="2"/>
  <c r="BH282" i="2"/>
  <c r="BG282" i="2"/>
  <c r="BF282" i="2"/>
  <c r="BE282" i="2"/>
  <c r="BD282" i="2"/>
  <c r="BC282" i="2"/>
  <c r="BB282" i="2"/>
  <c r="BA282" i="2"/>
  <c r="AZ282" i="2"/>
  <c r="AY282" i="2"/>
  <c r="AX282" i="2"/>
  <c r="AW282" i="2"/>
  <c r="AV282" i="2"/>
  <c r="AU282" i="2"/>
  <c r="AT282" i="2"/>
  <c r="AS282" i="2"/>
  <c r="AR282" i="2"/>
  <c r="AQ282" i="2"/>
  <c r="AP282" i="2"/>
  <c r="AO282" i="2"/>
  <c r="AN282" i="2"/>
  <c r="AM282" i="2"/>
  <c r="AL282" i="2"/>
  <c r="AK282" i="2"/>
  <c r="AJ282" i="2"/>
  <c r="AI282" i="2"/>
  <c r="AH282" i="2"/>
  <c r="P282" i="2" s="1"/>
  <c r="AG282" i="2"/>
  <c r="AF282" i="2"/>
  <c r="AE282" i="2"/>
  <c r="AD282" i="2"/>
  <c r="O282" i="2" s="1"/>
  <c r="AC282" i="2"/>
  <c r="AB282" i="2"/>
  <c r="AA282" i="2"/>
  <c r="Z282" i="2"/>
  <c r="Y282" i="2"/>
  <c r="X282" i="2"/>
  <c r="N282" i="2"/>
  <c r="W282" i="2" s="1"/>
  <c r="K282" i="2"/>
  <c r="J282" i="2"/>
  <c r="I282" i="2"/>
  <c r="G282" i="2"/>
  <c r="F282" i="2"/>
  <c r="E282" i="2"/>
  <c r="H281" i="2"/>
  <c r="G281" i="2"/>
  <c r="AE280" i="2"/>
  <c r="P280" i="2" s="1"/>
  <c r="AB280" i="2"/>
  <c r="U280" i="2"/>
  <c r="R280" i="2"/>
  <c r="Q280" i="2"/>
  <c r="O280" i="2"/>
  <c r="N280" i="2"/>
  <c r="W280" i="2" s="1"/>
  <c r="M280" i="2"/>
  <c r="S280" i="2" s="1"/>
  <c r="L280" i="2"/>
  <c r="H280" i="2"/>
  <c r="G280" i="2"/>
  <c r="W279" i="2"/>
  <c r="T279" i="2"/>
  <c r="S279" i="2"/>
  <c r="Q279" i="2"/>
  <c r="P279" i="2"/>
  <c r="O279" i="2"/>
  <c r="N279" i="2"/>
  <c r="M279" i="2"/>
  <c r="V279" i="2" s="1"/>
  <c r="L279" i="2"/>
  <c r="U279" i="2" s="1"/>
  <c r="H279" i="2"/>
  <c r="G279" i="2"/>
  <c r="U278" i="2"/>
  <c r="R278" i="2"/>
  <c r="Q278" i="2"/>
  <c r="P278" i="2"/>
  <c r="O278" i="2"/>
  <c r="N278" i="2"/>
  <c r="W278" i="2" s="1"/>
  <c r="M278" i="2"/>
  <c r="S278" i="2" s="1"/>
  <c r="L278" i="2"/>
  <c r="H278" i="2"/>
  <c r="G278" i="2"/>
  <c r="W277" i="2"/>
  <c r="T277" i="2"/>
  <c r="S277" i="2"/>
  <c r="Q277" i="2"/>
  <c r="P277" i="2"/>
  <c r="O277" i="2"/>
  <c r="N277" i="2"/>
  <c r="M277" i="2"/>
  <c r="V277" i="2" s="1"/>
  <c r="L277" i="2"/>
  <c r="U277" i="2" s="1"/>
  <c r="H277" i="2"/>
  <c r="G277" i="2"/>
  <c r="U276" i="2"/>
  <c r="R276" i="2"/>
  <c r="Q276" i="2"/>
  <c r="P276" i="2"/>
  <c r="O276" i="2"/>
  <c r="N276" i="2"/>
  <c r="W276" i="2" s="1"/>
  <c r="M276" i="2"/>
  <c r="S276" i="2" s="1"/>
  <c r="L276" i="2"/>
  <c r="H276" i="2" s="1"/>
  <c r="G276" i="2"/>
  <c r="W275" i="2"/>
  <c r="T275" i="2"/>
  <c r="S275" i="2"/>
  <c r="Q275" i="2"/>
  <c r="P275" i="2"/>
  <c r="O275" i="2"/>
  <c r="N275" i="2"/>
  <c r="M275" i="2"/>
  <c r="V275" i="2" s="1"/>
  <c r="L275" i="2"/>
  <c r="U275" i="2" s="1"/>
  <c r="H275" i="2"/>
  <c r="G275" i="2"/>
  <c r="U274" i="2"/>
  <c r="R274" i="2"/>
  <c r="Q274" i="2"/>
  <c r="P274" i="2"/>
  <c r="O274" i="2"/>
  <c r="N274" i="2"/>
  <c r="W274" i="2" s="1"/>
  <c r="M274" i="2"/>
  <c r="S274" i="2" s="1"/>
  <c r="L274" i="2"/>
  <c r="H274" i="2" s="1"/>
  <c r="G274" i="2"/>
  <c r="W273" i="2"/>
  <c r="T273" i="2"/>
  <c r="S273" i="2"/>
  <c r="Q273" i="2"/>
  <c r="P273" i="2"/>
  <c r="O273" i="2"/>
  <c r="N273" i="2"/>
  <c r="M273" i="2"/>
  <c r="V273" i="2" s="1"/>
  <c r="L273" i="2"/>
  <c r="U273" i="2" s="1"/>
  <c r="H273" i="2"/>
  <c r="G273" i="2"/>
  <c r="AH272" i="2"/>
  <c r="AE272" i="2"/>
  <c r="AB272" i="2"/>
  <c r="M272" i="2" s="1"/>
  <c r="T272" i="2"/>
  <c r="Q272" i="2"/>
  <c r="P272" i="2"/>
  <c r="O272" i="2"/>
  <c r="N272" i="2"/>
  <c r="W272" i="2" s="1"/>
  <c r="L272" i="2"/>
  <c r="R272" i="2" s="1"/>
  <c r="G272" i="2"/>
  <c r="AE271" i="2"/>
  <c r="M271" i="2" s="1"/>
  <c r="W271" i="2"/>
  <c r="T271" i="2"/>
  <c r="Q271" i="2"/>
  <c r="P271" i="2"/>
  <c r="O271" i="2"/>
  <c r="N271" i="2"/>
  <c r="L271" i="2"/>
  <c r="U271" i="2" s="1"/>
  <c r="H271" i="2"/>
  <c r="G271" i="2"/>
  <c r="AE270" i="2"/>
  <c r="V270" i="2"/>
  <c r="S270" i="2"/>
  <c r="R270" i="2"/>
  <c r="Q270" i="2"/>
  <c r="P270" i="2"/>
  <c r="O270" i="2"/>
  <c r="N270" i="2"/>
  <c r="T270" i="2" s="1"/>
  <c r="M270" i="2"/>
  <c r="L270" i="2"/>
  <c r="U270" i="2" s="1"/>
  <c r="H270" i="2"/>
  <c r="G270" i="2"/>
  <c r="AE269" i="2"/>
  <c r="U269" i="2"/>
  <c r="R269" i="2"/>
  <c r="Q269" i="2"/>
  <c r="P269" i="2"/>
  <c r="O269" i="2"/>
  <c r="N269" i="2"/>
  <c r="W269" i="2" s="1"/>
  <c r="M269" i="2"/>
  <c r="L269" i="2"/>
  <c r="H269" i="2" s="1"/>
  <c r="G269" i="2"/>
  <c r="AE268" i="2"/>
  <c r="M268" i="2" s="1"/>
  <c r="W268" i="2"/>
  <c r="T268" i="2"/>
  <c r="Q268" i="2"/>
  <c r="P268" i="2"/>
  <c r="O268" i="2"/>
  <c r="N268" i="2"/>
  <c r="L268" i="2"/>
  <c r="G268" i="2"/>
  <c r="AH267" i="2"/>
  <c r="AE267" i="2"/>
  <c r="W267" i="2"/>
  <c r="T267" i="2"/>
  <c r="Q267" i="2"/>
  <c r="P267" i="2"/>
  <c r="O267" i="2"/>
  <c r="N267" i="2"/>
  <c r="L267" i="2"/>
  <c r="G267" i="2"/>
  <c r="BJ266" i="2"/>
  <c r="BI266" i="2"/>
  <c r="BI265" i="2" s="1"/>
  <c r="BH266" i="2"/>
  <c r="BG266" i="2"/>
  <c r="BF266" i="2"/>
  <c r="BE266" i="2"/>
  <c r="BE265" i="2" s="1"/>
  <c r="BD266" i="2"/>
  <c r="BC266" i="2"/>
  <c r="BB266" i="2"/>
  <c r="BA266" i="2"/>
  <c r="BA265" i="2" s="1"/>
  <c r="AZ266" i="2"/>
  <c r="AY266" i="2"/>
  <c r="AX266" i="2"/>
  <c r="AX265" i="2" s="1"/>
  <c r="AX264" i="2" s="1"/>
  <c r="AX249" i="2" s="1"/>
  <c r="AW266" i="2"/>
  <c r="AW265" i="2" s="1"/>
  <c r="AV266" i="2"/>
  <c r="AU266" i="2"/>
  <c r="AT266" i="2"/>
  <c r="AT265" i="2" s="1"/>
  <c r="AT264" i="2" s="1"/>
  <c r="AT249" i="2" s="1"/>
  <c r="AS266" i="2"/>
  <c r="AS265" i="2" s="1"/>
  <c r="AR266" i="2"/>
  <c r="AQ266" i="2"/>
  <c r="AP266" i="2"/>
  <c r="AO266" i="2"/>
  <c r="AO265" i="2" s="1"/>
  <c r="AN266" i="2"/>
  <c r="AM266" i="2"/>
  <c r="AL266" i="2"/>
  <c r="AL265" i="2" s="1"/>
  <c r="AL264" i="2" s="1"/>
  <c r="AL249" i="2" s="1"/>
  <c r="AL233" i="2" s="1"/>
  <c r="AK266" i="2"/>
  <c r="AK265" i="2" s="1"/>
  <c r="AJ266" i="2"/>
  <c r="AI266" i="2"/>
  <c r="AH266" i="2"/>
  <c r="AH265" i="2" s="1"/>
  <c r="AH264" i="2" s="1"/>
  <c r="AH249" i="2" s="1"/>
  <c r="AG266" i="2"/>
  <c r="AG265" i="2" s="1"/>
  <c r="AF266" i="2"/>
  <c r="AD266" i="2"/>
  <c r="AD265" i="2" s="1"/>
  <c r="AC266" i="2"/>
  <c r="AC265" i="2" s="1"/>
  <c r="AB266" i="2"/>
  <c r="AA266" i="2"/>
  <c r="Z266" i="2"/>
  <c r="Q266" i="2" s="1"/>
  <c r="Y266" i="2"/>
  <c r="Y265" i="2" s="1"/>
  <c r="X266" i="2"/>
  <c r="N266" i="2"/>
  <c r="W266" i="2" s="1"/>
  <c r="K266" i="2"/>
  <c r="J266" i="2"/>
  <c r="I266" i="2"/>
  <c r="F266" i="2"/>
  <c r="E266" i="2"/>
  <c r="BJ265" i="2"/>
  <c r="BH265" i="2"/>
  <c r="BG265" i="2"/>
  <c r="BG264" i="2" s="1"/>
  <c r="BF265" i="2"/>
  <c r="BF264" i="2" s="1"/>
  <c r="BF249" i="2" s="1"/>
  <c r="BD265" i="2"/>
  <c r="BC265" i="2"/>
  <c r="BC264" i="2" s="1"/>
  <c r="BB265" i="2"/>
  <c r="BB264" i="2" s="1"/>
  <c r="BB249" i="2" s="1"/>
  <c r="BB233" i="2" s="1"/>
  <c r="AZ265" i="2"/>
  <c r="AY265" i="2"/>
  <c r="AV265" i="2"/>
  <c r="AU265" i="2"/>
  <c r="AU264" i="2" s="1"/>
  <c r="AU249" i="2" s="1"/>
  <c r="AU233" i="2" s="1"/>
  <c r="AU221" i="2" s="1"/>
  <c r="AU220" i="2" s="1"/>
  <c r="AR265" i="2"/>
  <c r="AQ265" i="2"/>
  <c r="AQ264" i="2" s="1"/>
  <c r="AP265" i="2"/>
  <c r="AP264" i="2" s="1"/>
  <c r="AP249" i="2" s="1"/>
  <c r="AN265" i="2"/>
  <c r="AM265" i="2"/>
  <c r="AM264" i="2" s="1"/>
  <c r="AM249" i="2" s="1"/>
  <c r="AM233" i="2" s="1"/>
  <c r="AM221" i="2" s="1"/>
  <c r="AM220" i="2" s="1"/>
  <c r="AJ265" i="2"/>
  <c r="AI265" i="2"/>
  <c r="AF265" i="2"/>
  <c r="AB265" i="2"/>
  <c r="AA265" i="2"/>
  <c r="AA264" i="2" s="1"/>
  <c r="Z265" i="2"/>
  <c r="Z264" i="2" s="1"/>
  <c r="Z249" i="2" s="1"/>
  <c r="X265" i="2"/>
  <c r="K265" i="2"/>
  <c r="K264" i="2" s="1"/>
  <c r="J265" i="2"/>
  <c r="J264" i="2" s="1"/>
  <c r="J249" i="2" s="1"/>
  <c r="F265" i="2"/>
  <c r="BJ264" i="2"/>
  <c r="BI264" i="2"/>
  <c r="BH264" i="2"/>
  <c r="BE264" i="2"/>
  <c r="BD264" i="2"/>
  <c r="BA264" i="2"/>
  <c r="AZ264" i="2"/>
  <c r="AY264" i="2"/>
  <c r="AW264" i="2"/>
  <c r="AV264" i="2"/>
  <c r="AS264" i="2"/>
  <c r="AR264" i="2"/>
  <c r="AO264" i="2"/>
  <c r="AN264" i="2"/>
  <c r="AK264" i="2"/>
  <c r="AJ264" i="2"/>
  <c r="AI264" i="2"/>
  <c r="AG264" i="2"/>
  <c r="AF264" i="2"/>
  <c r="AC264" i="2"/>
  <c r="AB264" i="2"/>
  <c r="Y264" i="2"/>
  <c r="X264" i="2"/>
  <c r="W263" i="2"/>
  <c r="T263" i="2"/>
  <c r="S263" i="2"/>
  <c r="Q263" i="2"/>
  <c r="P263" i="2"/>
  <c r="O263" i="2"/>
  <c r="N263" i="2"/>
  <c r="M263" i="2"/>
  <c r="V263" i="2" s="1"/>
  <c r="L263" i="2"/>
  <c r="U263" i="2" s="1"/>
  <c r="H263" i="2"/>
  <c r="G263" i="2"/>
  <c r="U262" i="2"/>
  <c r="R262" i="2"/>
  <c r="Q262" i="2"/>
  <c r="P262" i="2"/>
  <c r="O262" i="2"/>
  <c r="N262" i="2"/>
  <c r="W262" i="2" s="1"/>
  <c r="M262" i="2"/>
  <c r="S262" i="2" s="1"/>
  <c r="L262" i="2"/>
  <c r="H262" i="2"/>
  <c r="G262" i="2"/>
  <c r="W261" i="2"/>
  <c r="T261" i="2"/>
  <c r="S261" i="2"/>
  <c r="Q261" i="2"/>
  <c r="P261" i="2"/>
  <c r="O261" i="2"/>
  <c r="N261" i="2"/>
  <c r="M261" i="2"/>
  <c r="V261" i="2" s="1"/>
  <c r="L261" i="2"/>
  <c r="U261" i="2" s="1"/>
  <c r="H261" i="2"/>
  <c r="G261" i="2"/>
  <c r="U260" i="2"/>
  <c r="R260" i="2"/>
  <c r="Q260" i="2"/>
  <c r="P260" i="2"/>
  <c r="O260" i="2"/>
  <c r="N260" i="2"/>
  <c r="W260" i="2" s="1"/>
  <c r="M260" i="2"/>
  <c r="S260" i="2" s="1"/>
  <c r="L260" i="2"/>
  <c r="H260" i="2"/>
  <c r="G260" i="2"/>
  <c r="W259" i="2"/>
  <c r="T259" i="2"/>
  <c r="S259" i="2"/>
  <c r="Q259" i="2"/>
  <c r="P259" i="2"/>
  <c r="O259" i="2"/>
  <c r="N259" i="2"/>
  <c r="M259" i="2"/>
  <c r="V259" i="2" s="1"/>
  <c r="L259" i="2"/>
  <c r="U259" i="2" s="1"/>
  <c r="H259" i="2"/>
  <c r="G259" i="2"/>
  <c r="U258" i="2"/>
  <c r="R258" i="2"/>
  <c r="Q258" i="2"/>
  <c r="P258" i="2"/>
  <c r="O258" i="2"/>
  <c r="N258" i="2"/>
  <c r="W258" i="2" s="1"/>
  <c r="M258" i="2"/>
  <c r="S258" i="2" s="1"/>
  <c r="L258" i="2"/>
  <c r="H258" i="2"/>
  <c r="G258" i="2"/>
  <c r="W257" i="2"/>
  <c r="T257" i="2"/>
  <c r="S257" i="2"/>
  <c r="Q257" i="2"/>
  <c r="P257" i="2"/>
  <c r="O257" i="2"/>
  <c r="N257" i="2"/>
  <c r="M257" i="2"/>
  <c r="V257" i="2" s="1"/>
  <c r="L257" i="2"/>
  <c r="U257" i="2" s="1"/>
  <c r="H257" i="2"/>
  <c r="G257" i="2"/>
  <c r="U256" i="2"/>
  <c r="R256" i="2"/>
  <c r="Q256" i="2"/>
  <c r="P256" i="2"/>
  <c r="O256" i="2"/>
  <c r="N256" i="2"/>
  <c r="W256" i="2" s="1"/>
  <c r="M256" i="2"/>
  <c r="S256" i="2" s="1"/>
  <c r="L256" i="2"/>
  <c r="H256" i="2"/>
  <c r="G256" i="2"/>
  <c r="W255" i="2"/>
  <c r="T255" i="2"/>
  <c r="S255" i="2"/>
  <c r="Q255" i="2"/>
  <c r="P255" i="2"/>
  <c r="O255" i="2"/>
  <c r="N255" i="2"/>
  <c r="M255" i="2"/>
  <c r="V255" i="2" s="1"/>
  <c r="L255" i="2"/>
  <c r="U255" i="2" s="1"/>
  <c r="H255" i="2"/>
  <c r="G255" i="2"/>
  <c r="U254" i="2"/>
  <c r="R254" i="2"/>
  <c r="Q254" i="2"/>
  <c r="P254" i="2"/>
  <c r="O254" i="2"/>
  <c r="N254" i="2"/>
  <c r="W254" i="2" s="1"/>
  <c r="M254" i="2"/>
  <c r="S254" i="2" s="1"/>
  <c r="L254" i="2"/>
  <c r="H254" i="2"/>
  <c r="G254" i="2"/>
  <c r="AB253" i="2"/>
  <c r="M253" i="2" s="1"/>
  <c r="T253" i="2"/>
  <c r="Q253" i="2"/>
  <c r="P253" i="2"/>
  <c r="O253" i="2"/>
  <c r="N253" i="2"/>
  <c r="W253" i="2" s="1"/>
  <c r="L253" i="2"/>
  <c r="R253" i="2" s="1"/>
  <c r="G253" i="2"/>
  <c r="V252" i="2"/>
  <c r="S252" i="2"/>
  <c r="R252" i="2"/>
  <c r="Q252" i="2"/>
  <c r="P252" i="2"/>
  <c r="O252" i="2"/>
  <c r="N252" i="2"/>
  <c r="T252" i="2" s="1"/>
  <c r="M252" i="2"/>
  <c r="L252" i="2"/>
  <c r="U252" i="2" s="1"/>
  <c r="H252" i="2"/>
  <c r="G252" i="2"/>
  <c r="T251" i="2"/>
  <c r="Q251" i="2"/>
  <c r="P251" i="2"/>
  <c r="O251" i="2"/>
  <c r="N251" i="2"/>
  <c r="W251" i="2" s="1"/>
  <c r="M251" i="2"/>
  <c r="V251" i="2" s="1"/>
  <c r="L251" i="2"/>
  <c r="R251" i="2" s="1"/>
  <c r="G251" i="2"/>
  <c r="V250" i="2"/>
  <c r="S250" i="2"/>
  <c r="R250" i="2"/>
  <c r="Q250" i="2"/>
  <c r="P250" i="2"/>
  <c r="O250" i="2"/>
  <c r="N250" i="2"/>
  <c r="M250" i="2"/>
  <c r="L250" i="2"/>
  <c r="U250" i="2" s="1"/>
  <c r="H250" i="2"/>
  <c r="G250" i="2"/>
  <c r="BI249" i="2"/>
  <c r="BH249" i="2"/>
  <c r="BG249" i="2"/>
  <c r="BG233" i="2" s="1"/>
  <c r="BE249" i="2"/>
  <c r="BD249" i="2"/>
  <c r="BC249" i="2"/>
  <c r="BC233" i="2" s="1"/>
  <c r="BA249" i="2"/>
  <c r="AZ249" i="2"/>
  <c r="AY249" i="2"/>
  <c r="AY233" i="2" s="1"/>
  <c r="AW249" i="2"/>
  <c r="AV249" i="2"/>
  <c r="AS249" i="2"/>
  <c r="AR249" i="2"/>
  <c r="AQ249" i="2"/>
  <c r="AQ233" i="2" s="1"/>
  <c r="AO249" i="2"/>
  <c r="AN249" i="2"/>
  <c r="AK249" i="2"/>
  <c r="AJ249" i="2"/>
  <c r="AI249" i="2"/>
  <c r="AI233" i="2" s="1"/>
  <c r="AG249" i="2"/>
  <c r="AF249" i="2"/>
  <c r="AC249" i="2"/>
  <c r="AB249" i="2"/>
  <c r="AA249" i="2"/>
  <c r="AA233" i="2" s="1"/>
  <c r="Y249" i="2"/>
  <c r="X249" i="2"/>
  <c r="K249" i="2"/>
  <c r="F249" i="2"/>
  <c r="E249" i="2"/>
  <c r="V247" i="2"/>
  <c r="S247" i="2"/>
  <c r="R247" i="2"/>
  <c r="Q247" i="2"/>
  <c r="P247" i="2"/>
  <c r="O247" i="2"/>
  <c r="N247" i="2"/>
  <c r="M247" i="2"/>
  <c r="L247" i="2"/>
  <c r="U247" i="2" s="1"/>
  <c r="H247" i="2"/>
  <c r="G247" i="2"/>
  <c r="AD246" i="2"/>
  <c r="U246" i="2"/>
  <c r="R246" i="2"/>
  <c r="Q246" i="2"/>
  <c r="P246" i="2"/>
  <c r="O246" i="2"/>
  <c r="N246" i="2"/>
  <c r="W246" i="2" s="1"/>
  <c r="M246" i="2"/>
  <c r="L246" i="2"/>
  <c r="H246" i="2"/>
  <c r="G246" i="2"/>
  <c r="W245" i="2"/>
  <c r="T245" i="2"/>
  <c r="S245" i="2"/>
  <c r="Q245" i="2"/>
  <c r="P245" i="2"/>
  <c r="O245" i="2"/>
  <c r="N245" i="2"/>
  <c r="M245" i="2"/>
  <c r="V245" i="2" s="1"/>
  <c r="L245" i="2"/>
  <c r="H245" i="2" s="1"/>
  <c r="G245" i="2"/>
  <c r="U244" i="2"/>
  <c r="R244" i="2"/>
  <c r="Q244" i="2"/>
  <c r="P244" i="2"/>
  <c r="O244" i="2"/>
  <c r="N244" i="2"/>
  <c r="M244" i="2"/>
  <c r="S244" i="2" s="1"/>
  <c r="L244" i="2"/>
  <c r="H244" i="2"/>
  <c r="G244" i="2"/>
  <c r="W243" i="2"/>
  <c r="T243" i="2"/>
  <c r="S243" i="2"/>
  <c r="Q243" i="2"/>
  <c r="P243" i="2"/>
  <c r="O243" i="2"/>
  <c r="N243" i="2"/>
  <c r="M243" i="2"/>
  <c r="V243" i="2" s="1"/>
  <c r="L243" i="2"/>
  <c r="H243" i="2" s="1"/>
  <c r="G243" i="2"/>
  <c r="U242" i="2"/>
  <c r="R242" i="2"/>
  <c r="Q242" i="2"/>
  <c r="P242" i="2"/>
  <c r="O242" i="2"/>
  <c r="N242" i="2"/>
  <c r="M242" i="2"/>
  <c r="S242" i="2" s="1"/>
  <c r="L242" i="2"/>
  <c r="H242" i="2"/>
  <c r="G242" i="2"/>
  <c r="W241" i="2"/>
  <c r="T241" i="2"/>
  <c r="S241" i="2"/>
  <c r="Q241" i="2"/>
  <c r="P241" i="2"/>
  <c r="O241" i="2"/>
  <c r="N241" i="2"/>
  <c r="M241" i="2"/>
  <c r="V241" i="2" s="1"/>
  <c r="L241" i="2"/>
  <c r="H241" i="2" s="1"/>
  <c r="G241" i="2"/>
  <c r="U240" i="2"/>
  <c r="R240" i="2"/>
  <c r="Q240" i="2"/>
  <c r="P240" i="2"/>
  <c r="O240" i="2"/>
  <c r="N240" i="2"/>
  <c r="M240" i="2"/>
  <c r="S240" i="2" s="1"/>
  <c r="L240" i="2"/>
  <c r="H240" i="2"/>
  <c r="G240" i="2"/>
  <c r="W239" i="2"/>
  <c r="T239" i="2"/>
  <c r="S239" i="2"/>
  <c r="Q239" i="2"/>
  <c r="P239" i="2"/>
  <c r="O239" i="2"/>
  <c r="N239" i="2"/>
  <c r="M239" i="2"/>
  <c r="V239" i="2" s="1"/>
  <c r="L239" i="2"/>
  <c r="H239" i="2" s="1"/>
  <c r="G239" i="2"/>
  <c r="AD238" i="2"/>
  <c r="W238" i="2"/>
  <c r="V238" i="2"/>
  <c r="S238" i="2"/>
  <c r="Q238" i="2"/>
  <c r="P238" i="2"/>
  <c r="O238" i="2"/>
  <c r="N238" i="2"/>
  <c r="T238" i="2" s="1"/>
  <c r="M238" i="2"/>
  <c r="L238" i="2"/>
  <c r="I238" i="2"/>
  <c r="G238" i="2" s="1"/>
  <c r="H238" i="2"/>
  <c r="AD237" i="2"/>
  <c r="V237" i="2"/>
  <c r="S237" i="2"/>
  <c r="R237" i="2"/>
  <c r="Q237" i="2"/>
  <c r="P237" i="2"/>
  <c r="O237" i="2"/>
  <c r="N237" i="2"/>
  <c r="T237" i="2" s="1"/>
  <c r="M237" i="2"/>
  <c r="L237" i="2"/>
  <c r="U237" i="2" s="1"/>
  <c r="H237" i="2"/>
  <c r="G237" i="2"/>
  <c r="T236" i="2"/>
  <c r="Q236" i="2"/>
  <c r="P236" i="2"/>
  <c r="O236" i="2"/>
  <c r="N236" i="2"/>
  <c r="W236" i="2" s="1"/>
  <c r="M236" i="2"/>
  <c r="L236" i="2"/>
  <c r="U236" i="2" s="1"/>
  <c r="G236" i="2"/>
  <c r="W235" i="2"/>
  <c r="V235" i="2"/>
  <c r="S235" i="2"/>
  <c r="R235" i="2"/>
  <c r="Q235" i="2"/>
  <c r="P235" i="2"/>
  <c r="O235" i="2"/>
  <c r="N235" i="2"/>
  <c r="T235" i="2" s="1"/>
  <c r="M235" i="2"/>
  <c r="L235" i="2"/>
  <c r="U235" i="2" s="1"/>
  <c r="H235" i="2"/>
  <c r="G235" i="2"/>
  <c r="U234" i="2"/>
  <c r="T234" i="2"/>
  <c r="Q234" i="2"/>
  <c r="P234" i="2"/>
  <c r="O234" i="2"/>
  <c r="N234" i="2"/>
  <c r="W234" i="2" s="1"/>
  <c r="M234" i="2"/>
  <c r="L234" i="2"/>
  <c r="G234" i="2"/>
  <c r="BI233" i="2"/>
  <c r="BH233" i="2"/>
  <c r="BF233" i="2"/>
  <c r="BE233" i="2"/>
  <c r="BD233" i="2"/>
  <c r="BA233" i="2"/>
  <c r="AZ233" i="2"/>
  <c r="AX233" i="2"/>
  <c r="AW233" i="2"/>
  <c r="AV233" i="2"/>
  <c r="AT233" i="2"/>
  <c r="AS233" i="2"/>
  <c r="AR233" i="2"/>
  <c r="AP233" i="2"/>
  <c r="AO233" i="2"/>
  <c r="AN233" i="2"/>
  <c r="AK233" i="2"/>
  <c r="AJ233" i="2"/>
  <c r="AH233" i="2"/>
  <c r="AG233" i="2"/>
  <c r="AF233" i="2"/>
  <c r="AC233" i="2"/>
  <c r="AB233" i="2"/>
  <c r="Z233" i="2"/>
  <c r="Y233" i="2"/>
  <c r="X233" i="2"/>
  <c r="K233" i="2"/>
  <c r="J233" i="2"/>
  <c r="F233" i="2"/>
  <c r="E233" i="2"/>
  <c r="U232" i="2"/>
  <c r="T232" i="2"/>
  <c r="S232" i="2"/>
  <c r="Q232" i="2"/>
  <c r="P232" i="2"/>
  <c r="O232" i="2"/>
  <c r="N232" i="2"/>
  <c r="W232" i="2" s="1"/>
  <c r="M232" i="2"/>
  <c r="V232" i="2" s="1"/>
  <c r="L232" i="2"/>
  <c r="R232" i="2" s="1"/>
  <c r="H232" i="2"/>
  <c r="G232" i="2"/>
  <c r="AG231" i="2"/>
  <c r="L231" i="2" s="1"/>
  <c r="AD231" i="2"/>
  <c r="W231" i="2"/>
  <c r="T231" i="2"/>
  <c r="S231" i="2"/>
  <c r="Q231" i="2"/>
  <c r="P231" i="2"/>
  <c r="O231" i="2"/>
  <c r="N231" i="2"/>
  <c r="M231" i="2"/>
  <c r="V231" i="2" s="1"/>
  <c r="G231" i="2"/>
  <c r="W230" i="2"/>
  <c r="U230" i="2"/>
  <c r="R230" i="2"/>
  <c r="Q230" i="2"/>
  <c r="P230" i="2"/>
  <c r="O230" i="2"/>
  <c r="N230" i="2"/>
  <c r="T230" i="2" s="1"/>
  <c r="M230" i="2"/>
  <c r="S230" i="2" s="1"/>
  <c r="L230" i="2"/>
  <c r="H230" i="2"/>
  <c r="G230" i="2"/>
  <c r="W229" i="2"/>
  <c r="U229" i="2"/>
  <c r="T229" i="2"/>
  <c r="S229" i="2"/>
  <c r="Q229" i="2"/>
  <c r="P229" i="2"/>
  <c r="O229" i="2"/>
  <c r="N229" i="2"/>
  <c r="M229" i="2"/>
  <c r="V229" i="2" s="1"/>
  <c r="L229" i="2"/>
  <c r="R229" i="2" s="1"/>
  <c r="H229" i="2"/>
  <c r="G229" i="2"/>
  <c r="W228" i="2"/>
  <c r="U228" i="2"/>
  <c r="R228" i="2"/>
  <c r="Q228" i="2"/>
  <c r="P228" i="2"/>
  <c r="O228" i="2"/>
  <c r="N228" i="2"/>
  <c r="T228" i="2" s="1"/>
  <c r="M228" i="2"/>
  <c r="S228" i="2" s="1"/>
  <c r="L228" i="2"/>
  <c r="H228" i="2"/>
  <c r="G228" i="2"/>
  <c r="W227" i="2"/>
  <c r="U227" i="2"/>
  <c r="T227" i="2"/>
  <c r="S227" i="2"/>
  <c r="Q227" i="2"/>
  <c r="P227" i="2"/>
  <c r="O227" i="2"/>
  <c r="N227" i="2"/>
  <c r="M227" i="2"/>
  <c r="V227" i="2" s="1"/>
  <c r="L227" i="2"/>
  <c r="R227" i="2" s="1"/>
  <c r="H227" i="2"/>
  <c r="G227" i="2"/>
  <c r="W226" i="2"/>
  <c r="U226" i="2"/>
  <c r="R226" i="2"/>
  <c r="Q226" i="2"/>
  <c r="P226" i="2"/>
  <c r="O226" i="2"/>
  <c r="N226" i="2"/>
  <c r="T226" i="2" s="1"/>
  <c r="M226" i="2"/>
  <c r="S226" i="2" s="1"/>
  <c r="L226" i="2"/>
  <c r="H226" i="2"/>
  <c r="G226" i="2"/>
  <c r="W225" i="2"/>
  <c r="U225" i="2"/>
  <c r="T225" i="2"/>
  <c r="S225" i="2"/>
  <c r="Q225" i="2"/>
  <c r="P225" i="2"/>
  <c r="O225" i="2"/>
  <c r="N225" i="2"/>
  <c r="M225" i="2"/>
  <c r="V225" i="2" s="1"/>
  <c r="L225" i="2"/>
  <c r="R225" i="2" s="1"/>
  <c r="H225" i="2"/>
  <c r="G225" i="2"/>
  <c r="W224" i="2"/>
  <c r="U224" i="2"/>
  <c r="R224" i="2"/>
  <c r="Q224" i="2"/>
  <c r="P224" i="2"/>
  <c r="O224" i="2"/>
  <c r="N224" i="2"/>
  <c r="T224" i="2" s="1"/>
  <c r="M224" i="2"/>
  <c r="S224" i="2" s="1"/>
  <c r="L224" i="2"/>
  <c r="H224" i="2"/>
  <c r="G224" i="2"/>
  <c r="AG223" i="2"/>
  <c r="O223" i="2" s="1"/>
  <c r="V223" i="2"/>
  <c r="T223" i="2"/>
  <c r="Q223" i="2"/>
  <c r="P223" i="2"/>
  <c r="N223" i="2"/>
  <c r="N222" i="2" s="1"/>
  <c r="M223" i="2"/>
  <c r="S223" i="2" s="1"/>
  <c r="L223" i="2"/>
  <c r="R223" i="2" s="1"/>
  <c r="G223" i="2"/>
  <c r="BJ222" i="2"/>
  <c r="BI222" i="2"/>
  <c r="BI221" i="2" s="1"/>
  <c r="BH222" i="2"/>
  <c r="BG222" i="2"/>
  <c r="BF222" i="2"/>
  <c r="BF221" i="2" s="1"/>
  <c r="BF220" i="2" s="1"/>
  <c r="BE222" i="2"/>
  <c r="BE221" i="2" s="1"/>
  <c r="BE220" i="2" s="1"/>
  <c r="BD222" i="2"/>
  <c r="BC222" i="2"/>
  <c r="BB222" i="2"/>
  <c r="BB221" i="2" s="1"/>
  <c r="BB220" i="2" s="1"/>
  <c r="BA222" i="2"/>
  <c r="BA221" i="2" s="1"/>
  <c r="BA220" i="2" s="1"/>
  <c r="AZ222" i="2"/>
  <c r="AY222" i="2"/>
  <c r="AX222" i="2"/>
  <c r="AX221" i="2" s="1"/>
  <c r="AX220" i="2" s="1"/>
  <c r="AW222" i="2"/>
  <c r="AW221" i="2" s="1"/>
  <c r="AW220" i="2" s="1"/>
  <c r="AV222" i="2"/>
  <c r="AU222" i="2"/>
  <c r="AT222" i="2"/>
  <c r="AT221" i="2" s="1"/>
  <c r="AT220" i="2" s="1"/>
  <c r="AS222" i="2"/>
  <c r="AS221" i="2" s="1"/>
  <c r="AS220" i="2" s="1"/>
  <c r="AR222" i="2"/>
  <c r="AQ222" i="2"/>
  <c r="AP222" i="2"/>
  <c r="AP221" i="2" s="1"/>
  <c r="AP220" i="2" s="1"/>
  <c r="AO222" i="2"/>
  <c r="AO221" i="2" s="1"/>
  <c r="AO220" i="2" s="1"/>
  <c r="AN222" i="2"/>
  <c r="AM222" i="2"/>
  <c r="AL222" i="2"/>
  <c r="AL221" i="2" s="1"/>
  <c r="AL220" i="2" s="1"/>
  <c r="AK222" i="2"/>
  <c r="AK221" i="2" s="1"/>
  <c r="AK220" i="2" s="1"/>
  <c r="AJ222" i="2"/>
  <c r="AI222" i="2"/>
  <c r="AH222" i="2"/>
  <c r="AH221" i="2" s="1"/>
  <c r="AH220" i="2" s="1"/>
  <c r="AG222" i="2"/>
  <c r="O222" i="2" s="1"/>
  <c r="AF222" i="2"/>
  <c r="AE222" i="2"/>
  <c r="AD222" i="2"/>
  <c r="AC222" i="2"/>
  <c r="AC221" i="2" s="1"/>
  <c r="AC220" i="2" s="1"/>
  <c r="AB222" i="2"/>
  <c r="AA222" i="2"/>
  <c r="Z222" i="2"/>
  <c r="Z221" i="2" s="1"/>
  <c r="Z220" i="2" s="1"/>
  <c r="Y222" i="2"/>
  <c r="Y221" i="2" s="1"/>
  <c r="Y220" i="2" s="1"/>
  <c r="X222" i="2"/>
  <c r="Q222" i="2"/>
  <c r="M222" i="2"/>
  <c r="K222" i="2"/>
  <c r="J222" i="2"/>
  <c r="J221" i="2" s="1"/>
  <c r="J220" i="2" s="1"/>
  <c r="I222" i="2"/>
  <c r="G222" i="2" s="1"/>
  <c r="F222" i="2"/>
  <c r="F221" i="2" s="1"/>
  <c r="F220" i="2" s="1"/>
  <c r="E222" i="2"/>
  <c r="F12" i="3" s="1"/>
  <c r="BH221" i="2"/>
  <c r="BH220" i="2" s="1"/>
  <c r="BG221" i="2"/>
  <c r="BG220" i="2" s="1"/>
  <c r="BD221" i="2"/>
  <c r="BD220" i="2" s="1"/>
  <c r="BC221" i="2"/>
  <c r="BC220" i="2" s="1"/>
  <c r="AZ221" i="2"/>
  <c r="AZ220" i="2" s="1"/>
  <c r="AY221" i="2"/>
  <c r="AY220" i="2" s="1"/>
  <c r="AV221" i="2"/>
  <c r="AV220" i="2" s="1"/>
  <c r="AR221" i="2"/>
  <c r="AR220" i="2" s="1"/>
  <c r="AQ221" i="2"/>
  <c r="AQ220" i="2" s="1"/>
  <c r="AN221" i="2"/>
  <c r="AN220" i="2" s="1"/>
  <c r="AJ221" i="2"/>
  <c r="AJ220" i="2" s="1"/>
  <c r="AI221" i="2"/>
  <c r="AI220" i="2" s="1"/>
  <c r="AF221" i="2"/>
  <c r="AF220" i="2" s="1"/>
  <c r="AB221" i="2"/>
  <c r="AB220" i="2" s="1"/>
  <c r="AA221" i="2"/>
  <c r="AA220" i="2" s="1"/>
  <c r="X221" i="2"/>
  <c r="X220" i="2" s="1"/>
  <c r="K221" i="2"/>
  <c r="K220" i="2" s="1"/>
  <c r="V219" i="2"/>
  <c r="T219" i="2"/>
  <c r="Q219" i="2"/>
  <c r="P219" i="2"/>
  <c r="O219" i="2"/>
  <c r="N219" i="2"/>
  <c r="W219" i="2" s="1"/>
  <c r="M219" i="2"/>
  <c r="S219" i="2" s="1"/>
  <c r="L219" i="2"/>
  <c r="R219" i="2" s="1"/>
  <c r="G219" i="2"/>
  <c r="V218" i="2"/>
  <c r="S218" i="2"/>
  <c r="R218" i="2"/>
  <c r="Q218" i="2"/>
  <c r="P218" i="2"/>
  <c r="O218" i="2"/>
  <c r="N218" i="2"/>
  <c r="T218" i="2" s="1"/>
  <c r="M218" i="2"/>
  <c r="L218" i="2"/>
  <c r="H218" i="2" s="1"/>
  <c r="G218" i="2"/>
  <c r="V217" i="2"/>
  <c r="T217" i="2"/>
  <c r="T216" i="2" s="1"/>
  <c r="Q217" i="2"/>
  <c r="P217" i="2"/>
  <c r="O217" i="2"/>
  <c r="N217" i="2"/>
  <c r="N216" i="2" s="1"/>
  <c r="W216" i="2" s="1"/>
  <c r="M217" i="2"/>
  <c r="S217" i="2" s="1"/>
  <c r="S216" i="2" s="1"/>
  <c r="L217" i="2"/>
  <c r="R217" i="2" s="1"/>
  <c r="R216" i="2" s="1"/>
  <c r="G217" i="2"/>
  <c r="BJ216" i="2"/>
  <c r="BI216" i="2"/>
  <c r="P216" i="2" s="1"/>
  <c r="BH216" i="2"/>
  <c r="BG216" i="2"/>
  <c r="BF216" i="2"/>
  <c r="BE216" i="2"/>
  <c r="BD216" i="2"/>
  <c r="BC216" i="2"/>
  <c r="BB216" i="2"/>
  <c r="BA216" i="2"/>
  <c r="AZ216" i="2"/>
  <c r="AY216" i="2"/>
  <c r="AX216" i="2"/>
  <c r="AW216" i="2"/>
  <c r="AV216" i="2"/>
  <c r="AU216" i="2"/>
  <c r="AT216" i="2"/>
  <c r="AS216" i="2"/>
  <c r="AR216" i="2"/>
  <c r="AQ216" i="2"/>
  <c r="AP216" i="2"/>
  <c r="AO216" i="2"/>
  <c r="AN216" i="2"/>
  <c r="AM216" i="2"/>
  <c r="AL216" i="2"/>
  <c r="AK216" i="2"/>
  <c r="AJ216" i="2"/>
  <c r="AI216" i="2"/>
  <c r="AH216" i="2"/>
  <c r="AG216" i="2"/>
  <c r="O216" i="2" s="1"/>
  <c r="AF216" i="2"/>
  <c r="AE216" i="2"/>
  <c r="AD216" i="2"/>
  <c r="AC216" i="2"/>
  <c r="AB216" i="2"/>
  <c r="AA216" i="2"/>
  <c r="Z216" i="2"/>
  <c r="Y216" i="2"/>
  <c r="X216" i="2"/>
  <c r="Q216" i="2"/>
  <c r="M216" i="2"/>
  <c r="V216" i="2" s="1"/>
  <c r="K216" i="2"/>
  <c r="J216" i="2"/>
  <c r="I216" i="2"/>
  <c r="G216" i="2" s="1"/>
  <c r="F216" i="2"/>
  <c r="E216" i="2"/>
  <c r="V215" i="2"/>
  <c r="T215" i="2"/>
  <c r="Q215" i="2"/>
  <c r="P215" i="2"/>
  <c r="O215" i="2"/>
  <c r="N215" i="2"/>
  <c r="W215" i="2" s="1"/>
  <c r="M215" i="2"/>
  <c r="S215" i="2" s="1"/>
  <c r="S213" i="2" s="1"/>
  <c r="L215" i="2"/>
  <c r="R215" i="2" s="1"/>
  <c r="G215" i="2"/>
  <c r="V214" i="2"/>
  <c r="S214" i="2"/>
  <c r="R214" i="2"/>
  <c r="R213" i="2" s="1"/>
  <c r="Q214" i="2"/>
  <c r="P214" i="2"/>
  <c r="O214" i="2"/>
  <c r="N214" i="2"/>
  <c r="T214" i="2" s="1"/>
  <c r="T213" i="2" s="1"/>
  <c r="M214" i="2"/>
  <c r="L214" i="2"/>
  <c r="H214" i="2" s="1"/>
  <c r="G214" i="2"/>
  <c r="BJ213" i="2"/>
  <c r="BI213" i="2"/>
  <c r="P213" i="2" s="1"/>
  <c r="BH213" i="2"/>
  <c r="BG213" i="2"/>
  <c r="BF213" i="2"/>
  <c r="BE213" i="2"/>
  <c r="BD213" i="2"/>
  <c r="BC213" i="2"/>
  <c r="BB213" i="2"/>
  <c r="BA213" i="2"/>
  <c r="AZ213" i="2"/>
  <c r="AY213" i="2"/>
  <c r="AX213" i="2"/>
  <c r="AW213" i="2"/>
  <c r="AV213" i="2"/>
  <c r="AU213" i="2"/>
  <c r="AT213" i="2"/>
  <c r="AS213" i="2"/>
  <c r="AR213" i="2"/>
  <c r="AQ213" i="2"/>
  <c r="AP213" i="2"/>
  <c r="AO213" i="2"/>
  <c r="AN213" i="2"/>
  <c r="AM213" i="2"/>
  <c r="AL213" i="2"/>
  <c r="AK213" i="2"/>
  <c r="AJ213" i="2"/>
  <c r="AI213" i="2"/>
  <c r="Q213" i="2" s="1"/>
  <c r="AH213" i="2"/>
  <c r="AG213" i="2"/>
  <c r="AF213" i="2"/>
  <c r="AE213" i="2"/>
  <c r="AD213" i="2"/>
  <c r="AC213" i="2"/>
  <c r="AB213" i="2"/>
  <c r="AA213" i="2"/>
  <c r="Z213" i="2"/>
  <c r="Y213" i="2"/>
  <c r="X213" i="2"/>
  <c r="O213" i="2"/>
  <c r="M213" i="2"/>
  <c r="V213" i="2" s="1"/>
  <c r="K213" i="2"/>
  <c r="J213" i="2"/>
  <c r="I213" i="2"/>
  <c r="G213" i="2"/>
  <c r="F213" i="2"/>
  <c r="E213" i="2"/>
  <c r="V212" i="2"/>
  <c r="S212" i="2"/>
  <c r="R212" i="2"/>
  <c r="Q212" i="2"/>
  <c r="P212" i="2"/>
  <c r="O212" i="2"/>
  <c r="N212" i="2"/>
  <c r="T212" i="2" s="1"/>
  <c r="M212" i="2"/>
  <c r="L212" i="2"/>
  <c r="H212" i="2" s="1"/>
  <c r="G212" i="2"/>
  <c r="V211" i="2"/>
  <c r="T211" i="2"/>
  <c r="Q211" i="2"/>
  <c r="P211" i="2"/>
  <c r="O211" i="2"/>
  <c r="N211" i="2"/>
  <c r="W211" i="2" s="1"/>
  <c r="M211" i="2"/>
  <c r="S211" i="2" s="1"/>
  <c r="L211" i="2"/>
  <c r="R211" i="2" s="1"/>
  <c r="G211" i="2"/>
  <c r="V210" i="2"/>
  <c r="S210" i="2"/>
  <c r="R210" i="2"/>
  <c r="R209" i="2" s="1"/>
  <c r="Q210" i="2"/>
  <c r="P210" i="2"/>
  <c r="O210" i="2"/>
  <c r="N210" i="2"/>
  <c r="M210" i="2"/>
  <c r="L210" i="2"/>
  <c r="H210" i="2" s="1"/>
  <c r="G210" i="2"/>
  <c r="BJ209" i="2"/>
  <c r="BI209" i="2"/>
  <c r="BH209" i="2"/>
  <c r="BG209" i="2"/>
  <c r="BF209" i="2"/>
  <c r="BE209" i="2"/>
  <c r="BD209" i="2"/>
  <c r="BC209" i="2"/>
  <c r="BB209" i="2"/>
  <c r="BA209" i="2"/>
  <c r="AZ209" i="2"/>
  <c r="AY209" i="2"/>
  <c r="AX209" i="2"/>
  <c r="AW209" i="2"/>
  <c r="AV209" i="2"/>
  <c r="AU209" i="2"/>
  <c r="AT209" i="2"/>
  <c r="AS209" i="2"/>
  <c r="AR209" i="2"/>
  <c r="AQ209" i="2"/>
  <c r="AP209" i="2"/>
  <c r="AO209" i="2"/>
  <c r="AN209" i="2"/>
  <c r="AM209" i="2"/>
  <c r="AL209" i="2"/>
  <c r="AK209" i="2"/>
  <c r="AJ209" i="2"/>
  <c r="AI209" i="2"/>
  <c r="Q209" i="2" s="1"/>
  <c r="AH209" i="2"/>
  <c r="AG209" i="2"/>
  <c r="AF209" i="2"/>
  <c r="AE209" i="2"/>
  <c r="P209" i="2" s="1"/>
  <c r="AD209" i="2"/>
  <c r="AC209" i="2"/>
  <c r="AB209" i="2"/>
  <c r="AA209" i="2"/>
  <c r="O209" i="2" s="1"/>
  <c r="Z209" i="2"/>
  <c r="Y209" i="2"/>
  <c r="X209" i="2"/>
  <c r="S209" i="2"/>
  <c r="M209" i="2"/>
  <c r="V209" i="2" s="1"/>
  <c r="K209" i="2"/>
  <c r="J209" i="2"/>
  <c r="I209" i="2"/>
  <c r="G209" i="2"/>
  <c r="F209" i="2"/>
  <c r="E209" i="2"/>
  <c r="F11" i="3" s="1"/>
  <c r="V208" i="2"/>
  <c r="S208" i="2"/>
  <c r="R208" i="2"/>
  <c r="Q208" i="2"/>
  <c r="P208" i="2"/>
  <c r="O208" i="2"/>
  <c r="N208" i="2"/>
  <c r="M208" i="2"/>
  <c r="L208" i="2"/>
  <c r="H208" i="2" s="1"/>
  <c r="G208" i="2"/>
  <c r="T207" i="2"/>
  <c r="Q207" i="2"/>
  <c r="P207" i="2"/>
  <c r="O207" i="2"/>
  <c r="N207" i="2"/>
  <c r="W207" i="2" s="1"/>
  <c r="M207" i="2"/>
  <c r="V207" i="2" s="1"/>
  <c r="L207" i="2"/>
  <c r="G207" i="2"/>
  <c r="V206" i="2"/>
  <c r="V205" i="2" s="1"/>
  <c r="S206" i="2"/>
  <c r="R206" i="2"/>
  <c r="Q206" i="2"/>
  <c r="P206" i="2"/>
  <c r="O206" i="2"/>
  <c r="N206" i="2"/>
  <c r="M206" i="2"/>
  <c r="L206" i="2"/>
  <c r="H206" i="2" s="1"/>
  <c r="G206" i="2"/>
  <c r="BJ205" i="2"/>
  <c r="BI205" i="2"/>
  <c r="BH205" i="2"/>
  <c r="BG205" i="2"/>
  <c r="BF205" i="2"/>
  <c r="BE205" i="2"/>
  <c r="BD205" i="2"/>
  <c r="BC205" i="2"/>
  <c r="BB205" i="2"/>
  <c r="BA205" i="2"/>
  <c r="AZ205" i="2"/>
  <c r="AY205" i="2"/>
  <c r="AX205" i="2"/>
  <c r="AW205" i="2"/>
  <c r="AV205" i="2"/>
  <c r="AU205" i="2"/>
  <c r="AT205" i="2"/>
  <c r="AS205" i="2"/>
  <c r="AR205" i="2"/>
  <c r="AQ205" i="2"/>
  <c r="AP205" i="2"/>
  <c r="AO205" i="2"/>
  <c r="AN205" i="2"/>
  <c r="AM205" i="2"/>
  <c r="AL205" i="2"/>
  <c r="AK205" i="2"/>
  <c r="AJ205" i="2"/>
  <c r="AI205" i="2"/>
  <c r="Q205" i="2" s="1"/>
  <c r="AH205" i="2"/>
  <c r="AG205" i="2"/>
  <c r="AF205" i="2"/>
  <c r="AE205" i="2"/>
  <c r="P205" i="2" s="1"/>
  <c r="AD205" i="2"/>
  <c r="AC205" i="2"/>
  <c r="AB205" i="2"/>
  <c r="AA205" i="2"/>
  <c r="O205" i="2" s="1"/>
  <c r="Z205" i="2"/>
  <c r="Y205" i="2"/>
  <c r="X205" i="2"/>
  <c r="M205" i="2"/>
  <c r="K205" i="2"/>
  <c r="J205" i="2"/>
  <c r="I205" i="2"/>
  <c r="G205" i="2"/>
  <c r="F205" i="2"/>
  <c r="E205" i="2"/>
  <c r="V204" i="2"/>
  <c r="S204" i="2"/>
  <c r="R204" i="2"/>
  <c r="Q204" i="2"/>
  <c r="P204" i="2"/>
  <c r="O204" i="2"/>
  <c r="N204" i="2"/>
  <c r="M204" i="2"/>
  <c r="L204" i="2"/>
  <c r="H204" i="2" s="1"/>
  <c r="G204" i="2"/>
  <c r="T203" i="2"/>
  <c r="Q203" i="2"/>
  <c r="P203" i="2"/>
  <c r="O203" i="2"/>
  <c r="N203" i="2"/>
  <c r="W203" i="2" s="1"/>
  <c r="M203" i="2"/>
  <c r="V203" i="2" s="1"/>
  <c r="L203" i="2"/>
  <c r="G203" i="2"/>
  <c r="V202" i="2"/>
  <c r="V201" i="2" s="1"/>
  <c r="S202" i="2"/>
  <c r="R202" i="2"/>
  <c r="Q202" i="2"/>
  <c r="P202" i="2"/>
  <c r="O202" i="2"/>
  <c r="N202" i="2"/>
  <c r="M202" i="2"/>
  <c r="L202" i="2"/>
  <c r="H202" i="2" s="1"/>
  <c r="G202" i="2"/>
  <c r="BJ201" i="2"/>
  <c r="BI201" i="2"/>
  <c r="BH201" i="2"/>
  <c r="BG201" i="2"/>
  <c r="BF201" i="2"/>
  <c r="BE201" i="2"/>
  <c r="BD201" i="2"/>
  <c r="BC201" i="2"/>
  <c r="BB201" i="2"/>
  <c r="BA201" i="2"/>
  <c r="AZ201" i="2"/>
  <c r="AY201" i="2"/>
  <c r="AX201" i="2"/>
  <c r="AW201" i="2"/>
  <c r="AV201" i="2"/>
  <c r="AU201" i="2"/>
  <c r="AT201" i="2"/>
  <c r="AS201" i="2"/>
  <c r="AR201" i="2"/>
  <c r="AQ201" i="2"/>
  <c r="AP201" i="2"/>
  <c r="AO201" i="2"/>
  <c r="AN201" i="2"/>
  <c r="AM201" i="2"/>
  <c r="AL201" i="2"/>
  <c r="AK201" i="2"/>
  <c r="AJ201" i="2"/>
  <c r="AI201" i="2"/>
  <c r="Q201" i="2" s="1"/>
  <c r="AH201" i="2"/>
  <c r="AG201" i="2"/>
  <c r="AF201" i="2"/>
  <c r="AE201" i="2"/>
  <c r="P201" i="2" s="1"/>
  <c r="AD201" i="2"/>
  <c r="AC201" i="2"/>
  <c r="AB201" i="2"/>
  <c r="AA201" i="2"/>
  <c r="Z201" i="2"/>
  <c r="Y201" i="2"/>
  <c r="X201" i="2"/>
  <c r="O201" i="2"/>
  <c r="M201" i="2"/>
  <c r="K201" i="2"/>
  <c r="J201" i="2"/>
  <c r="I201" i="2"/>
  <c r="G201" i="2"/>
  <c r="F201" i="2"/>
  <c r="I6" i="3" s="1"/>
  <c r="E201" i="2"/>
  <c r="V200" i="2"/>
  <c r="S200" i="2"/>
  <c r="R200" i="2"/>
  <c r="Q200" i="2"/>
  <c r="P200" i="2"/>
  <c r="O200" i="2"/>
  <c r="N200" i="2"/>
  <c r="M200" i="2"/>
  <c r="L200" i="2"/>
  <c r="U200" i="2" s="1"/>
  <c r="H200" i="2"/>
  <c r="G200" i="2"/>
  <c r="T199" i="2"/>
  <c r="Q199" i="2"/>
  <c r="P199" i="2"/>
  <c r="O199" i="2"/>
  <c r="N199" i="2"/>
  <c r="W199" i="2" s="1"/>
  <c r="M199" i="2"/>
  <c r="V199" i="2" s="1"/>
  <c r="L199" i="2"/>
  <c r="G199" i="2"/>
  <c r="V198" i="2"/>
  <c r="S198" i="2"/>
  <c r="R198" i="2"/>
  <c r="Q198" i="2"/>
  <c r="P198" i="2"/>
  <c r="O198" i="2"/>
  <c r="N198" i="2"/>
  <c r="M198" i="2"/>
  <c r="L198" i="2"/>
  <c r="U198" i="2" s="1"/>
  <c r="H198" i="2"/>
  <c r="G198" i="2"/>
  <c r="R197" i="2"/>
  <c r="Q197" i="2"/>
  <c r="P197" i="2"/>
  <c r="O197" i="2"/>
  <c r="N197" i="2"/>
  <c r="W197" i="2" s="1"/>
  <c r="M197" i="2"/>
  <c r="S197" i="2" s="1"/>
  <c r="L197" i="2"/>
  <c r="H197" i="2" s="1"/>
  <c r="G197" i="2"/>
  <c r="V196" i="2"/>
  <c r="S196" i="2"/>
  <c r="R196" i="2"/>
  <c r="Q196" i="2"/>
  <c r="P196" i="2"/>
  <c r="O196" i="2"/>
  <c r="N196" i="2"/>
  <c r="W196" i="2" s="1"/>
  <c r="M196" i="2"/>
  <c r="L196" i="2"/>
  <c r="U196" i="2" s="1"/>
  <c r="H196" i="2"/>
  <c r="G196" i="2"/>
  <c r="R195" i="2"/>
  <c r="Q195" i="2"/>
  <c r="P195" i="2"/>
  <c r="O195" i="2"/>
  <c r="N195" i="2"/>
  <c r="W195" i="2" s="1"/>
  <c r="W194" i="2" s="1"/>
  <c r="M195" i="2"/>
  <c r="S195" i="2" s="1"/>
  <c r="L195" i="2"/>
  <c r="G195" i="2"/>
  <c r="BJ194" i="2"/>
  <c r="BI194" i="2"/>
  <c r="BH194" i="2"/>
  <c r="BG194" i="2"/>
  <c r="BF194" i="2"/>
  <c r="BE194" i="2"/>
  <c r="BE187" i="2" s="1"/>
  <c r="BD194" i="2"/>
  <c r="BC194" i="2"/>
  <c r="BB194" i="2"/>
  <c r="BA194" i="2"/>
  <c r="AZ194" i="2"/>
  <c r="AY194" i="2"/>
  <c r="AX194" i="2"/>
  <c r="AW194" i="2"/>
  <c r="AV194" i="2"/>
  <c r="AU194" i="2"/>
  <c r="AT194" i="2"/>
  <c r="AS194" i="2"/>
  <c r="AR194" i="2"/>
  <c r="AQ194" i="2"/>
  <c r="AP194" i="2"/>
  <c r="AO194" i="2"/>
  <c r="AO187" i="2" s="1"/>
  <c r="AN194" i="2"/>
  <c r="AM194" i="2"/>
  <c r="AL194" i="2"/>
  <c r="AK194" i="2"/>
  <c r="AJ194" i="2"/>
  <c r="AI194" i="2"/>
  <c r="AH194" i="2"/>
  <c r="AG194" i="2"/>
  <c r="AF194" i="2"/>
  <c r="AE194" i="2"/>
  <c r="AD194" i="2"/>
  <c r="AC194" i="2"/>
  <c r="AB194" i="2"/>
  <c r="AA194" i="2"/>
  <c r="O194" i="2" s="1"/>
  <c r="Z194" i="2"/>
  <c r="Y194" i="2"/>
  <c r="Y187" i="2" s="1"/>
  <c r="X194" i="2"/>
  <c r="Q194" i="2"/>
  <c r="M194" i="2"/>
  <c r="K194" i="2"/>
  <c r="K187" i="2" s="1"/>
  <c r="K141" i="2" s="1"/>
  <c r="J194" i="2"/>
  <c r="I194" i="2"/>
  <c r="G194" i="2"/>
  <c r="F194" i="2"/>
  <c r="E194" i="2"/>
  <c r="T193" i="2"/>
  <c r="Q193" i="2"/>
  <c r="P193" i="2"/>
  <c r="O193" i="2"/>
  <c r="N193" i="2"/>
  <c r="W193" i="2" s="1"/>
  <c r="M193" i="2"/>
  <c r="S193" i="2" s="1"/>
  <c r="L193" i="2"/>
  <c r="H193" i="2" s="1"/>
  <c r="G193" i="2"/>
  <c r="V192" i="2"/>
  <c r="T192" i="2"/>
  <c r="S192" i="2"/>
  <c r="Q192" i="2"/>
  <c r="P192" i="2"/>
  <c r="O192" i="2"/>
  <c r="N192" i="2"/>
  <c r="W192" i="2" s="1"/>
  <c r="M192" i="2"/>
  <c r="L192" i="2"/>
  <c r="U192" i="2" s="1"/>
  <c r="H192" i="2"/>
  <c r="G192" i="2"/>
  <c r="T191" i="2"/>
  <c r="Q191" i="2"/>
  <c r="P191" i="2"/>
  <c r="O191" i="2"/>
  <c r="N191" i="2"/>
  <c r="W191" i="2" s="1"/>
  <c r="M191" i="2"/>
  <c r="S191" i="2" s="1"/>
  <c r="L191" i="2"/>
  <c r="H191" i="2" s="1"/>
  <c r="G191" i="2"/>
  <c r="V190" i="2"/>
  <c r="T190" i="2"/>
  <c r="S190" i="2"/>
  <c r="S188" i="2" s="1"/>
  <c r="Q190" i="2"/>
  <c r="P190" i="2"/>
  <c r="O190" i="2"/>
  <c r="N190" i="2"/>
  <c r="W190" i="2" s="1"/>
  <c r="M190" i="2"/>
  <c r="L190" i="2"/>
  <c r="U190" i="2" s="1"/>
  <c r="H190" i="2"/>
  <c r="G190" i="2"/>
  <c r="T189" i="2"/>
  <c r="T188" i="2" s="1"/>
  <c r="Q189" i="2"/>
  <c r="P189" i="2"/>
  <c r="O189" i="2"/>
  <c r="N189" i="2"/>
  <c r="W189" i="2" s="1"/>
  <c r="M189" i="2"/>
  <c r="S189" i="2" s="1"/>
  <c r="L189" i="2"/>
  <c r="R189" i="2" s="1"/>
  <c r="G189" i="2"/>
  <c r="BJ188" i="2"/>
  <c r="BI188" i="2"/>
  <c r="BH188" i="2"/>
  <c r="BG188" i="2"/>
  <c r="BG187" i="2" s="1"/>
  <c r="BG141" i="2" s="1"/>
  <c r="BF188" i="2"/>
  <c r="BE188" i="2"/>
  <c r="BD188" i="2"/>
  <c r="BC188" i="2"/>
  <c r="BB188" i="2"/>
  <c r="BA188" i="2"/>
  <c r="AZ188" i="2"/>
  <c r="AY188" i="2"/>
  <c r="AY187" i="2" s="1"/>
  <c r="AY141" i="2" s="1"/>
  <c r="AX188" i="2"/>
  <c r="AW188" i="2"/>
  <c r="AV188" i="2"/>
  <c r="AU188" i="2"/>
  <c r="AU187" i="2" s="1"/>
  <c r="AU141" i="2" s="1"/>
  <c r="AT188" i="2"/>
  <c r="AS188" i="2"/>
  <c r="AR188" i="2"/>
  <c r="AQ188" i="2"/>
  <c r="AQ187" i="2" s="1"/>
  <c r="AQ141" i="2" s="1"/>
  <c r="AP188" i="2"/>
  <c r="AO188" i="2"/>
  <c r="AN188" i="2"/>
  <c r="AM188" i="2"/>
  <c r="AL188" i="2"/>
  <c r="AK188" i="2"/>
  <c r="AJ188" i="2"/>
  <c r="AI188" i="2"/>
  <c r="AI187" i="2" s="1"/>
  <c r="AI141" i="2" s="1"/>
  <c r="AH188" i="2"/>
  <c r="AG188" i="2"/>
  <c r="AF188" i="2"/>
  <c r="AE188" i="2"/>
  <c r="AE187" i="2" s="1"/>
  <c r="AD188" i="2"/>
  <c r="AC188" i="2"/>
  <c r="AB188" i="2"/>
  <c r="AA188" i="2"/>
  <c r="AA187" i="2" s="1"/>
  <c r="Z188" i="2"/>
  <c r="Y188" i="2"/>
  <c r="X188" i="2"/>
  <c r="W188" i="2"/>
  <c r="N188" i="2"/>
  <c r="M188" i="2"/>
  <c r="M187" i="2" s="1"/>
  <c r="K188" i="2"/>
  <c r="J188" i="2"/>
  <c r="I188" i="2"/>
  <c r="I187" i="2" s="1"/>
  <c r="G188" i="2"/>
  <c r="F188" i="2"/>
  <c r="E188" i="2"/>
  <c r="BI187" i="2"/>
  <c r="BH187" i="2"/>
  <c r="BD187" i="2"/>
  <c r="BC187" i="2"/>
  <c r="BA187" i="2"/>
  <c r="AZ187" i="2"/>
  <c r="AW187" i="2"/>
  <c r="AV187" i="2"/>
  <c r="AS187" i="2"/>
  <c r="AR187" i="2"/>
  <c r="AN187" i="2"/>
  <c r="AM187" i="2"/>
  <c r="AK187" i="2"/>
  <c r="AJ187" i="2"/>
  <c r="AG187" i="2"/>
  <c r="AF187" i="2"/>
  <c r="AC187" i="2"/>
  <c r="AB187" i="2"/>
  <c r="X187" i="2"/>
  <c r="G187" i="2"/>
  <c r="E187" i="2"/>
  <c r="V186" i="2"/>
  <c r="T186" i="2"/>
  <c r="S186" i="2"/>
  <c r="Q186" i="2"/>
  <c r="P186" i="2"/>
  <c r="O186" i="2"/>
  <c r="N186" i="2"/>
  <c r="W186" i="2" s="1"/>
  <c r="M186" i="2"/>
  <c r="L186" i="2"/>
  <c r="U186" i="2" s="1"/>
  <c r="G186" i="2"/>
  <c r="T185" i="2"/>
  <c r="Q185" i="2"/>
  <c r="P185" i="2"/>
  <c r="O185" i="2"/>
  <c r="N185" i="2"/>
  <c r="W185" i="2" s="1"/>
  <c r="M185" i="2"/>
  <c r="S185" i="2" s="1"/>
  <c r="L185" i="2"/>
  <c r="H185" i="2" s="1"/>
  <c r="G185" i="2"/>
  <c r="V184" i="2"/>
  <c r="T184" i="2"/>
  <c r="S184" i="2"/>
  <c r="Q184" i="2"/>
  <c r="P184" i="2"/>
  <c r="O184" i="2"/>
  <c r="N184" i="2"/>
  <c r="W184" i="2" s="1"/>
  <c r="M184" i="2"/>
  <c r="L184" i="2"/>
  <c r="U184" i="2" s="1"/>
  <c r="G184" i="2"/>
  <c r="AH183" i="2"/>
  <c r="AE183" i="2"/>
  <c r="AE169" i="2" s="1"/>
  <c r="AB183" i="2"/>
  <c r="M183" i="2" s="1"/>
  <c r="Y183" i="2"/>
  <c r="T183" i="2"/>
  <c r="Q183" i="2"/>
  <c r="P183" i="2"/>
  <c r="O183" i="2"/>
  <c r="N183" i="2"/>
  <c r="W183" i="2" s="1"/>
  <c r="L183" i="2"/>
  <c r="H183" i="2" s="1"/>
  <c r="G183" i="2"/>
  <c r="V182" i="2"/>
  <c r="T182" i="2"/>
  <c r="S182" i="2"/>
  <c r="Q182" i="2"/>
  <c r="P182" i="2"/>
  <c r="O182" i="2"/>
  <c r="N182" i="2"/>
  <c r="W182" i="2" s="1"/>
  <c r="M182" i="2"/>
  <c r="L182" i="2"/>
  <c r="U182" i="2" s="1"/>
  <c r="G182" i="2"/>
  <c r="V181" i="2"/>
  <c r="U181" i="2"/>
  <c r="R181" i="2"/>
  <c r="Q181" i="2"/>
  <c r="P181" i="2"/>
  <c r="O181" i="2"/>
  <c r="N181" i="2"/>
  <c r="W181" i="2" s="1"/>
  <c r="M181" i="2"/>
  <c r="S181" i="2" s="1"/>
  <c r="L181" i="2"/>
  <c r="H181" i="2"/>
  <c r="G181" i="2"/>
  <c r="W180" i="2"/>
  <c r="T180" i="2"/>
  <c r="S180" i="2"/>
  <c r="Q180" i="2"/>
  <c r="P180" i="2"/>
  <c r="O180" i="2"/>
  <c r="N180" i="2"/>
  <c r="M180" i="2"/>
  <c r="V180" i="2" s="1"/>
  <c r="L180" i="2"/>
  <c r="U180" i="2" s="1"/>
  <c r="G180" i="2"/>
  <c r="AG179" i="2"/>
  <c r="AD179" i="2"/>
  <c r="O179" i="2" s="1"/>
  <c r="W179" i="2"/>
  <c r="T179" i="2"/>
  <c r="S179" i="2"/>
  <c r="Q179" i="2"/>
  <c r="P179" i="2"/>
  <c r="N179" i="2"/>
  <c r="M179" i="2"/>
  <c r="V179" i="2" s="1"/>
  <c r="L179" i="2"/>
  <c r="U179" i="2" s="1"/>
  <c r="G179" i="2"/>
  <c r="AG178" i="2"/>
  <c r="AD178" i="2"/>
  <c r="O178" i="2" s="1"/>
  <c r="W178" i="2"/>
  <c r="T178" i="2"/>
  <c r="S178" i="2"/>
  <c r="Q178" i="2"/>
  <c r="P178" i="2"/>
  <c r="N178" i="2"/>
  <c r="M178" i="2"/>
  <c r="V178" i="2" s="1"/>
  <c r="L178" i="2"/>
  <c r="U178" i="2" s="1"/>
  <c r="G178" i="2"/>
  <c r="AG177" i="2"/>
  <c r="AD177" i="2"/>
  <c r="O177" i="2" s="1"/>
  <c r="W177" i="2"/>
  <c r="T177" i="2"/>
  <c r="S177" i="2"/>
  <c r="Q177" i="2"/>
  <c r="P177" i="2"/>
  <c r="N177" i="2"/>
  <c r="M177" i="2"/>
  <c r="V177" i="2" s="1"/>
  <c r="L177" i="2"/>
  <c r="U177" i="2" s="1"/>
  <c r="G177" i="2"/>
  <c r="AG176" i="2"/>
  <c r="AD176" i="2"/>
  <c r="O176" i="2" s="1"/>
  <c r="W176" i="2"/>
  <c r="T176" i="2"/>
  <c r="S176" i="2"/>
  <c r="Q176" i="2"/>
  <c r="P176" i="2"/>
  <c r="N176" i="2"/>
  <c r="M176" i="2"/>
  <c r="V176" i="2" s="1"/>
  <c r="L176" i="2"/>
  <c r="U176" i="2" s="1"/>
  <c r="G176" i="2"/>
  <c r="AG175" i="2"/>
  <c r="AD175" i="2"/>
  <c r="O175" i="2" s="1"/>
  <c r="W175" i="2"/>
  <c r="T175" i="2"/>
  <c r="S175" i="2"/>
  <c r="Q175" i="2"/>
  <c r="P175" i="2"/>
  <c r="N175" i="2"/>
  <c r="M175" i="2"/>
  <c r="V175" i="2" s="1"/>
  <c r="L175" i="2"/>
  <c r="U175" i="2" s="1"/>
  <c r="G175" i="2"/>
  <c r="AG174" i="2"/>
  <c r="AD174" i="2"/>
  <c r="AD169" i="2" s="1"/>
  <c r="W174" i="2"/>
  <c r="T174" i="2"/>
  <c r="S174" i="2"/>
  <c r="Q174" i="2"/>
  <c r="P174" i="2"/>
  <c r="N174" i="2"/>
  <c r="M174" i="2"/>
  <c r="V174" i="2" s="1"/>
  <c r="L174" i="2"/>
  <c r="U174" i="2" s="1"/>
  <c r="G174" i="2"/>
  <c r="V173" i="2"/>
  <c r="U173" i="2"/>
  <c r="R173" i="2"/>
  <c r="Q173" i="2"/>
  <c r="P173" i="2"/>
  <c r="O173" i="2"/>
  <c r="N173" i="2"/>
  <c r="W173" i="2" s="1"/>
  <c r="M173" i="2"/>
  <c r="S173" i="2" s="1"/>
  <c r="L173" i="2"/>
  <c r="H173" i="2"/>
  <c r="G173" i="2"/>
  <c r="W172" i="2"/>
  <c r="T172" i="2"/>
  <c r="S172" i="2"/>
  <c r="Q172" i="2"/>
  <c r="P172" i="2"/>
  <c r="O172" i="2"/>
  <c r="N172" i="2"/>
  <c r="M172" i="2"/>
  <c r="V172" i="2" s="1"/>
  <c r="L172" i="2"/>
  <c r="U172" i="2" s="1"/>
  <c r="G172" i="2"/>
  <c r="V171" i="2"/>
  <c r="U171" i="2"/>
  <c r="R171" i="2"/>
  <c r="Q171" i="2"/>
  <c r="P171" i="2"/>
  <c r="O171" i="2"/>
  <c r="N171" i="2"/>
  <c r="W171" i="2" s="1"/>
  <c r="M171" i="2"/>
  <c r="S171" i="2" s="1"/>
  <c r="L171" i="2"/>
  <c r="H171" i="2"/>
  <c r="G171" i="2"/>
  <c r="W170" i="2"/>
  <c r="T170" i="2"/>
  <c r="S170" i="2"/>
  <c r="Q170" i="2"/>
  <c r="P170" i="2"/>
  <c r="O170" i="2"/>
  <c r="N170" i="2"/>
  <c r="M170" i="2"/>
  <c r="V170" i="2" s="1"/>
  <c r="L170" i="2"/>
  <c r="U170" i="2" s="1"/>
  <c r="G170" i="2"/>
  <c r="BJ169" i="2"/>
  <c r="BI169" i="2"/>
  <c r="P169" i="2" s="1"/>
  <c r="BH169" i="2"/>
  <c r="BG169" i="2"/>
  <c r="BF169" i="2"/>
  <c r="BE169" i="2"/>
  <c r="BD169" i="2"/>
  <c r="BC169" i="2"/>
  <c r="BB169" i="2"/>
  <c r="BA169" i="2"/>
  <c r="AZ169" i="2"/>
  <c r="AY169" i="2"/>
  <c r="AX169" i="2"/>
  <c r="AW169" i="2"/>
  <c r="AV169" i="2"/>
  <c r="AU169" i="2"/>
  <c r="AT169" i="2"/>
  <c r="AS169" i="2"/>
  <c r="AR169" i="2"/>
  <c r="AQ169" i="2"/>
  <c r="AP169" i="2"/>
  <c r="AO169" i="2"/>
  <c r="AN169" i="2"/>
  <c r="AM169" i="2"/>
  <c r="AL169" i="2"/>
  <c r="AK169" i="2"/>
  <c r="AJ169" i="2"/>
  <c r="AI169" i="2"/>
  <c r="AH169" i="2"/>
  <c r="AG169" i="2"/>
  <c r="AF169" i="2"/>
  <c r="AC169" i="2"/>
  <c r="AB169" i="2"/>
  <c r="AA169" i="2"/>
  <c r="Z169" i="2"/>
  <c r="Y169" i="2"/>
  <c r="X169" i="2"/>
  <c r="Q169" i="2"/>
  <c r="K169" i="2"/>
  <c r="J169" i="2"/>
  <c r="I169" i="2"/>
  <c r="G169" i="2" s="1"/>
  <c r="F169" i="2"/>
  <c r="E169" i="2"/>
  <c r="F9" i="3" s="1"/>
  <c r="W168" i="2"/>
  <c r="T168" i="2"/>
  <c r="S168" i="2"/>
  <c r="Q168" i="2"/>
  <c r="P168" i="2"/>
  <c r="O168" i="2"/>
  <c r="N168" i="2"/>
  <c r="M168" i="2"/>
  <c r="V168" i="2" s="1"/>
  <c r="L168" i="2"/>
  <c r="U168" i="2" s="1"/>
  <c r="G168" i="2"/>
  <c r="V167" i="2"/>
  <c r="U167" i="2"/>
  <c r="R167" i="2"/>
  <c r="Q167" i="2"/>
  <c r="P167" i="2"/>
  <c r="O167" i="2"/>
  <c r="N167" i="2"/>
  <c r="W167" i="2" s="1"/>
  <c r="M167" i="2"/>
  <c r="S167" i="2" s="1"/>
  <c r="L167" i="2"/>
  <c r="H167" i="2"/>
  <c r="G167" i="2"/>
  <c r="W166" i="2"/>
  <c r="T166" i="2"/>
  <c r="S166" i="2"/>
  <c r="Q166" i="2"/>
  <c r="P166" i="2"/>
  <c r="O166" i="2"/>
  <c r="N166" i="2"/>
  <c r="M166" i="2"/>
  <c r="V166" i="2" s="1"/>
  <c r="L166" i="2"/>
  <c r="U166" i="2" s="1"/>
  <c r="G166" i="2"/>
  <c r="V165" i="2"/>
  <c r="U165" i="2"/>
  <c r="R165" i="2"/>
  <c r="Q165" i="2"/>
  <c r="P165" i="2"/>
  <c r="O165" i="2"/>
  <c r="N165" i="2"/>
  <c r="W165" i="2" s="1"/>
  <c r="M165" i="2"/>
  <c r="S165" i="2" s="1"/>
  <c r="L165" i="2"/>
  <c r="H165" i="2"/>
  <c r="G165" i="2"/>
  <c r="W164" i="2"/>
  <c r="T164" i="2"/>
  <c r="S164" i="2"/>
  <c r="Q164" i="2"/>
  <c r="P164" i="2"/>
  <c r="O164" i="2"/>
  <c r="N164" i="2"/>
  <c r="M164" i="2"/>
  <c r="V164" i="2" s="1"/>
  <c r="L164" i="2"/>
  <c r="U164" i="2" s="1"/>
  <c r="I164" i="2"/>
  <c r="G164" i="2" s="1"/>
  <c r="W163" i="2"/>
  <c r="V163" i="2"/>
  <c r="S163" i="2"/>
  <c r="R163" i="2"/>
  <c r="Q163" i="2"/>
  <c r="P163" i="2"/>
  <c r="O163" i="2"/>
  <c r="N163" i="2"/>
  <c r="T163" i="2" s="1"/>
  <c r="M163" i="2"/>
  <c r="L163" i="2"/>
  <c r="U163" i="2" s="1"/>
  <c r="H163" i="2"/>
  <c r="G163" i="2"/>
  <c r="U162" i="2"/>
  <c r="T162" i="2"/>
  <c r="Q162" i="2"/>
  <c r="P162" i="2"/>
  <c r="O162" i="2"/>
  <c r="N162" i="2"/>
  <c r="W162" i="2" s="1"/>
  <c r="M162" i="2"/>
  <c r="V162" i="2" s="1"/>
  <c r="L162" i="2"/>
  <c r="R162" i="2" s="1"/>
  <c r="G162" i="2"/>
  <c r="AG161" i="2"/>
  <c r="L161" i="2" s="1"/>
  <c r="AE161" i="2"/>
  <c r="P161" i="2" s="1"/>
  <c r="AB161" i="2"/>
  <c r="Y161" i="2"/>
  <c r="M161" i="2" s="1"/>
  <c r="W161" i="2"/>
  <c r="Q161" i="2"/>
  <c r="O161" i="2"/>
  <c r="N161" i="2"/>
  <c r="T161" i="2" s="1"/>
  <c r="I161" i="2"/>
  <c r="R161" i="2" s="1"/>
  <c r="AH160" i="2"/>
  <c r="AE160" i="2"/>
  <c r="M160" i="2" s="1"/>
  <c r="AB160" i="2"/>
  <c r="P160" i="2" s="1"/>
  <c r="Y160" i="2"/>
  <c r="U160" i="2"/>
  <c r="R160" i="2"/>
  <c r="Q160" i="2"/>
  <c r="O160" i="2"/>
  <c r="N160" i="2"/>
  <c r="W160" i="2" s="1"/>
  <c r="L160" i="2"/>
  <c r="H160" i="2"/>
  <c r="G160" i="2"/>
  <c r="W159" i="2"/>
  <c r="T159" i="2"/>
  <c r="S159" i="2"/>
  <c r="Q159" i="2"/>
  <c r="P159" i="2"/>
  <c r="O159" i="2"/>
  <c r="N159" i="2"/>
  <c r="M159" i="2"/>
  <c r="V159" i="2" s="1"/>
  <c r="L159" i="2"/>
  <c r="U159" i="2" s="1"/>
  <c r="G159" i="2"/>
  <c r="V158" i="2"/>
  <c r="U158" i="2"/>
  <c r="R158" i="2"/>
  <c r="Q158" i="2"/>
  <c r="P158" i="2"/>
  <c r="O158" i="2"/>
  <c r="N158" i="2"/>
  <c r="W158" i="2" s="1"/>
  <c r="M158" i="2"/>
  <c r="S158" i="2" s="1"/>
  <c r="L158" i="2"/>
  <c r="H158" i="2"/>
  <c r="G158" i="2"/>
  <c r="W157" i="2"/>
  <c r="T157" i="2"/>
  <c r="S157" i="2"/>
  <c r="Q157" i="2"/>
  <c r="P157" i="2"/>
  <c r="O157" i="2"/>
  <c r="N157" i="2"/>
  <c r="M157" i="2"/>
  <c r="V157" i="2" s="1"/>
  <c r="L157" i="2"/>
  <c r="U157" i="2" s="1"/>
  <c r="G157" i="2"/>
  <c r="V156" i="2"/>
  <c r="U156" i="2"/>
  <c r="R156" i="2"/>
  <c r="Q156" i="2"/>
  <c r="P156" i="2"/>
  <c r="O156" i="2"/>
  <c r="N156" i="2"/>
  <c r="W156" i="2" s="1"/>
  <c r="M156" i="2"/>
  <c r="S156" i="2" s="1"/>
  <c r="L156" i="2"/>
  <c r="H156" i="2"/>
  <c r="G156" i="2"/>
  <c r="W155" i="2"/>
  <c r="T155" i="2"/>
  <c r="S155" i="2"/>
  <c r="Q155" i="2"/>
  <c r="P155" i="2"/>
  <c r="O155" i="2"/>
  <c r="N155" i="2"/>
  <c r="M155" i="2"/>
  <c r="V155" i="2" s="1"/>
  <c r="L155" i="2"/>
  <c r="U155" i="2" s="1"/>
  <c r="G155" i="2"/>
  <c r="V154" i="2"/>
  <c r="U154" i="2"/>
  <c r="R154" i="2"/>
  <c r="Q154" i="2"/>
  <c r="P154" i="2"/>
  <c r="O154" i="2"/>
  <c r="N154" i="2"/>
  <c r="W154" i="2" s="1"/>
  <c r="M154" i="2"/>
  <c r="S154" i="2" s="1"/>
  <c r="L154" i="2"/>
  <c r="H154" i="2"/>
  <c r="G154" i="2"/>
  <c r="W153" i="2"/>
  <c r="T153" i="2"/>
  <c r="S153" i="2"/>
  <c r="Q153" i="2"/>
  <c r="P153" i="2"/>
  <c r="O153" i="2"/>
  <c r="N153" i="2"/>
  <c r="M153" i="2"/>
  <c r="V153" i="2" s="1"/>
  <c r="L153" i="2"/>
  <c r="U153" i="2" s="1"/>
  <c r="G153" i="2"/>
  <c r="V152" i="2"/>
  <c r="U152" i="2"/>
  <c r="R152" i="2"/>
  <c r="Q152" i="2"/>
  <c r="P152" i="2"/>
  <c r="O152" i="2"/>
  <c r="N152" i="2"/>
  <c r="W152" i="2" s="1"/>
  <c r="M152" i="2"/>
  <c r="S152" i="2" s="1"/>
  <c r="L152" i="2"/>
  <c r="H152" i="2"/>
  <c r="G152" i="2"/>
  <c r="W151" i="2"/>
  <c r="T151" i="2"/>
  <c r="S151" i="2"/>
  <c r="Q151" i="2"/>
  <c r="P151" i="2"/>
  <c r="O151" i="2"/>
  <c r="N151" i="2"/>
  <c r="M151" i="2"/>
  <c r="V151" i="2" s="1"/>
  <c r="L151" i="2"/>
  <c r="U151" i="2" s="1"/>
  <c r="G151" i="2"/>
  <c r="V150" i="2"/>
  <c r="U150" i="2"/>
  <c r="R150" i="2"/>
  <c r="Q150" i="2"/>
  <c r="P150" i="2"/>
  <c r="O150" i="2"/>
  <c r="N150" i="2"/>
  <c r="W150" i="2" s="1"/>
  <c r="M150" i="2"/>
  <c r="S150" i="2" s="1"/>
  <c r="L150" i="2"/>
  <c r="H150" i="2"/>
  <c r="G150" i="2"/>
  <c r="W149" i="2"/>
  <c r="T149" i="2"/>
  <c r="S149" i="2"/>
  <c r="Q149" i="2"/>
  <c r="P149" i="2"/>
  <c r="O149" i="2"/>
  <c r="N149" i="2"/>
  <c r="M149" i="2"/>
  <c r="V149" i="2" s="1"/>
  <c r="L149" i="2"/>
  <c r="U149" i="2" s="1"/>
  <c r="H149" i="2"/>
  <c r="G149" i="2"/>
  <c r="U148" i="2"/>
  <c r="R148" i="2"/>
  <c r="Q148" i="2"/>
  <c r="P148" i="2"/>
  <c r="O148" i="2"/>
  <c r="N148" i="2"/>
  <c r="W148" i="2" s="1"/>
  <c r="M148" i="2"/>
  <c r="L148" i="2"/>
  <c r="H148" i="2"/>
  <c r="G148" i="2"/>
  <c r="W147" i="2"/>
  <c r="T147" i="2"/>
  <c r="S147" i="2"/>
  <c r="Q147" i="2"/>
  <c r="P147" i="2"/>
  <c r="O147" i="2"/>
  <c r="N147" i="2"/>
  <c r="M147" i="2"/>
  <c r="V147" i="2" s="1"/>
  <c r="L147" i="2"/>
  <c r="U147" i="2" s="1"/>
  <c r="H147" i="2"/>
  <c r="G147" i="2"/>
  <c r="U146" i="2"/>
  <c r="R146" i="2"/>
  <c r="Q146" i="2"/>
  <c r="P146" i="2"/>
  <c r="O146" i="2"/>
  <c r="N146" i="2"/>
  <c r="W146" i="2" s="1"/>
  <c r="M146" i="2"/>
  <c r="L146" i="2"/>
  <c r="H146" i="2"/>
  <c r="G146" i="2"/>
  <c r="W145" i="2"/>
  <c r="T145" i="2"/>
  <c r="S145" i="2"/>
  <c r="Q145" i="2"/>
  <c r="P145" i="2"/>
  <c r="O145" i="2"/>
  <c r="N145" i="2"/>
  <c r="M145" i="2"/>
  <c r="V145" i="2" s="1"/>
  <c r="L145" i="2"/>
  <c r="U145" i="2" s="1"/>
  <c r="H145" i="2"/>
  <c r="G145" i="2"/>
  <c r="AG144" i="2"/>
  <c r="V144" i="2"/>
  <c r="S144" i="2"/>
  <c r="R144" i="2"/>
  <c r="Q144" i="2"/>
  <c r="P144" i="2"/>
  <c r="O144" i="2"/>
  <c r="N144" i="2"/>
  <c r="M144" i="2"/>
  <c r="L144" i="2"/>
  <c r="U144" i="2" s="1"/>
  <c r="H144" i="2"/>
  <c r="G144" i="2"/>
  <c r="AG143" i="2"/>
  <c r="AD143" i="2"/>
  <c r="AA143" i="2"/>
  <c r="AA142" i="2" s="1"/>
  <c r="AA141" i="2" s="1"/>
  <c r="W143" i="2"/>
  <c r="T143" i="2"/>
  <c r="S143" i="2"/>
  <c r="Q143" i="2"/>
  <c r="P143" i="2"/>
  <c r="O143" i="2"/>
  <c r="N143" i="2"/>
  <c r="M143" i="2"/>
  <c r="V143" i="2" s="1"/>
  <c r="L143" i="2"/>
  <c r="U143" i="2" s="1"/>
  <c r="H143" i="2"/>
  <c r="G143" i="2"/>
  <c r="BJ142" i="2"/>
  <c r="BI142" i="2"/>
  <c r="BI141" i="2" s="1"/>
  <c r="BH142" i="2"/>
  <c r="BG142" i="2"/>
  <c r="BF142" i="2"/>
  <c r="BE142" i="2"/>
  <c r="BE141" i="2" s="1"/>
  <c r="BD142" i="2"/>
  <c r="BD141" i="2" s="1"/>
  <c r="BC142" i="2"/>
  <c r="BB142" i="2"/>
  <c r="BA142" i="2"/>
  <c r="BA141" i="2" s="1"/>
  <c r="AZ142" i="2"/>
  <c r="AZ141" i="2" s="1"/>
  <c r="AY142" i="2"/>
  <c r="AX142" i="2"/>
  <c r="AW142" i="2"/>
  <c r="AW141" i="2" s="1"/>
  <c r="AV142" i="2"/>
  <c r="AV141" i="2" s="1"/>
  <c r="AU142" i="2"/>
  <c r="AT142" i="2"/>
  <c r="AS142" i="2"/>
  <c r="AS141" i="2" s="1"/>
  <c r="AR142" i="2"/>
  <c r="AR141" i="2" s="1"/>
  <c r="AQ142" i="2"/>
  <c r="AP142" i="2"/>
  <c r="AO142" i="2"/>
  <c r="AO141" i="2" s="1"/>
  <c r="AN142" i="2"/>
  <c r="AN141" i="2" s="1"/>
  <c r="AM142" i="2"/>
  <c r="AL142" i="2"/>
  <c r="AK142" i="2"/>
  <c r="AK141" i="2" s="1"/>
  <c r="AJ142" i="2"/>
  <c r="AJ141" i="2" s="1"/>
  <c r="AI142" i="2"/>
  <c r="AH142" i="2"/>
  <c r="AG142" i="2"/>
  <c r="AG141" i="2" s="1"/>
  <c r="AF142" i="2"/>
  <c r="AD142" i="2"/>
  <c r="AC142" i="2"/>
  <c r="AC141" i="2" s="1"/>
  <c r="AB142" i="2"/>
  <c r="AB141" i="2" s="1"/>
  <c r="Z142" i="2"/>
  <c r="Y142" i="2"/>
  <c r="Y141" i="2" s="1"/>
  <c r="X142" i="2"/>
  <c r="X141" i="2" s="1"/>
  <c r="L142" i="2"/>
  <c r="K142" i="2"/>
  <c r="J142" i="2"/>
  <c r="I142" i="2"/>
  <c r="G142" i="2" s="1"/>
  <c r="H142" i="2"/>
  <c r="F142" i="2"/>
  <c r="E142" i="2"/>
  <c r="E141" i="2" s="1"/>
  <c r="C37" i="3" s="1"/>
  <c r="BC141" i="2"/>
  <c r="AM141" i="2"/>
  <c r="U140" i="2"/>
  <c r="R140" i="2"/>
  <c r="Q140" i="2"/>
  <c r="P140" i="2"/>
  <c r="O140" i="2"/>
  <c r="N140" i="2"/>
  <c r="W140" i="2" s="1"/>
  <c r="M140" i="2"/>
  <c r="L140" i="2"/>
  <c r="H140" i="2"/>
  <c r="G140" i="2"/>
  <c r="W139" i="2"/>
  <c r="T139" i="2"/>
  <c r="S139" i="2"/>
  <c r="Q139" i="2"/>
  <c r="P139" i="2"/>
  <c r="O139" i="2"/>
  <c r="N139" i="2"/>
  <c r="M139" i="2"/>
  <c r="V139" i="2" s="1"/>
  <c r="L139" i="2"/>
  <c r="U139" i="2" s="1"/>
  <c r="H139" i="2"/>
  <c r="G139" i="2"/>
  <c r="U138" i="2"/>
  <c r="R138" i="2"/>
  <c r="Q138" i="2"/>
  <c r="P138" i="2"/>
  <c r="O138" i="2"/>
  <c r="N138" i="2"/>
  <c r="W138" i="2" s="1"/>
  <c r="M138" i="2"/>
  <c r="L138" i="2"/>
  <c r="H138" i="2"/>
  <c r="G138" i="2"/>
  <c r="W137" i="2"/>
  <c r="T137" i="2"/>
  <c r="S137" i="2"/>
  <c r="Q137" i="2"/>
  <c r="P137" i="2"/>
  <c r="O137" i="2"/>
  <c r="N137" i="2"/>
  <c r="M137" i="2"/>
  <c r="V137" i="2" s="1"/>
  <c r="L137" i="2"/>
  <c r="U137" i="2" s="1"/>
  <c r="H137" i="2"/>
  <c r="G137" i="2"/>
  <c r="T136" i="2"/>
  <c r="Q136" i="2"/>
  <c r="P136" i="2"/>
  <c r="O136" i="2"/>
  <c r="N136" i="2"/>
  <c r="W136" i="2" s="1"/>
  <c r="M136" i="2"/>
  <c r="L136" i="2"/>
  <c r="G136" i="2"/>
  <c r="W135" i="2"/>
  <c r="V135" i="2"/>
  <c r="S135" i="2"/>
  <c r="R135" i="2"/>
  <c r="Q135" i="2"/>
  <c r="P135" i="2"/>
  <c r="O135" i="2"/>
  <c r="N135" i="2"/>
  <c r="T135" i="2" s="1"/>
  <c r="M135" i="2"/>
  <c r="L135" i="2"/>
  <c r="U135" i="2" s="1"/>
  <c r="H135" i="2"/>
  <c r="G135" i="2"/>
  <c r="AG134" i="2"/>
  <c r="U134" i="2"/>
  <c r="R134" i="2"/>
  <c r="Q134" i="2"/>
  <c r="P134" i="2"/>
  <c r="O134" i="2"/>
  <c r="N134" i="2"/>
  <c r="M134" i="2"/>
  <c r="S134" i="2" s="1"/>
  <c r="L134" i="2"/>
  <c r="H134" i="2"/>
  <c r="G134" i="2"/>
  <c r="AB133" i="2"/>
  <c r="AB132" i="2" s="1"/>
  <c r="AB128" i="2" s="1"/>
  <c r="T133" i="2"/>
  <c r="Q133" i="2"/>
  <c r="P133" i="2"/>
  <c r="O133" i="2"/>
  <c r="N133" i="2"/>
  <c r="W133" i="2" s="1"/>
  <c r="L133" i="2"/>
  <c r="U133" i="2" s="1"/>
  <c r="G133" i="2"/>
  <c r="BJ132" i="2"/>
  <c r="Q132" i="2" s="1"/>
  <c r="BI132" i="2"/>
  <c r="BH132" i="2"/>
  <c r="BG132" i="2"/>
  <c r="BF132" i="2"/>
  <c r="BE132" i="2"/>
  <c r="BD132" i="2"/>
  <c r="BC132" i="2"/>
  <c r="BB132" i="2"/>
  <c r="BA132" i="2"/>
  <c r="AZ132" i="2"/>
  <c r="AY132" i="2"/>
  <c r="AX132" i="2"/>
  <c r="AW132" i="2"/>
  <c r="AV132" i="2"/>
  <c r="AU132" i="2"/>
  <c r="AT132" i="2"/>
  <c r="AS132" i="2"/>
  <c r="AR132" i="2"/>
  <c r="AQ132" i="2"/>
  <c r="AP132" i="2"/>
  <c r="AO132" i="2"/>
  <c r="AN132" i="2"/>
  <c r="AM132" i="2"/>
  <c r="AL132" i="2"/>
  <c r="AK132" i="2"/>
  <c r="AJ132" i="2"/>
  <c r="AI132" i="2"/>
  <c r="AH132" i="2"/>
  <c r="AG132" i="2"/>
  <c r="AF132" i="2"/>
  <c r="AE132" i="2"/>
  <c r="AD132" i="2"/>
  <c r="AC132" i="2"/>
  <c r="AA132" i="2"/>
  <c r="O132" i="2" s="1"/>
  <c r="Z132" i="2"/>
  <c r="Y132" i="2"/>
  <c r="X132" i="2"/>
  <c r="W132" i="2"/>
  <c r="N132" i="2"/>
  <c r="K132" i="2"/>
  <c r="J132" i="2"/>
  <c r="I132" i="2"/>
  <c r="G132" i="2"/>
  <c r="F132" i="2"/>
  <c r="E132" i="2"/>
  <c r="Q131" i="2"/>
  <c r="P131" i="2"/>
  <c r="O131" i="2"/>
  <c r="N131" i="2"/>
  <c r="W131" i="2" s="1"/>
  <c r="M131" i="2"/>
  <c r="S131" i="2" s="1"/>
  <c r="L131" i="2"/>
  <c r="R131" i="2" s="1"/>
  <c r="G131" i="2"/>
  <c r="V130" i="2"/>
  <c r="T130" i="2"/>
  <c r="S130" i="2"/>
  <c r="Q130" i="2"/>
  <c r="P130" i="2"/>
  <c r="O130" i="2"/>
  <c r="N130" i="2"/>
  <c r="W130" i="2" s="1"/>
  <c r="M130" i="2"/>
  <c r="L130" i="2"/>
  <c r="U130" i="2" s="1"/>
  <c r="G130" i="2"/>
  <c r="Q129" i="2"/>
  <c r="P129" i="2"/>
  <c r="O129" i="2"/>
  <c r="N129" i="2"/>
  <c r="W129" i="2" s="1"/>
  <c r="M129" i="2"/>
  <c r="S129" i="2" s="1"/>
  <c r="L129" i="2"/>
  <c r="H129" i="2" s="1"/>
  <c r="G129" i="2"/>
  <c r="BJ128" i="2"/>
  <c r="Q128" i="2" s="1"/>
  <c r="BI128" i="2"/>
  <c r="BH128" i="2"/>
  <c r="BG128" i="2"/>
  <c r="BF128" i="2"/>
  <c r="BE128" i="2"/>
  <c r="BD128" i="2"/>
  <c r="BC128" i="2"/>
  <c r="BB128" i="2"/>
  <c r="BA128" i="2"/>
  <c r="AZ128" i="2"/>
  <c r="AY128" i="2"/>
  <c r="AX128" i="2"/>
  <c r="AW128" i="2"/>
  <c r="AV128" i="2"/>
  <c r="AU128" i="2"/>
  <c r="AT128" i="2"/>
  <c r="AS128" i="2"/>
  <c r="AR128" i="2"/>
  <c r="AQ128" i="2"/>
  <c r="AP128" i="2"/>
  <c r="AO128" i="2"/>
  <c r="AN128" i="2"/>
  <c r="AM128" i="2"/>
  <c r="AL128" i="2"/>
  <c r="AK128" i="2"/>
  <c r="AJ128" i="2"/>
  <c r="AI128" i="2"/>
  <c r="AH128" i="2"/>
  <c r="AG128" i="2"/>
  <c r="AF128" i="2"/>
  <c r="AE128" i="2"/>
  <c r="AD128" i="2"/>
  <c r="AC128" i="2"/>
  <c r="AA128" i="2"/>
  <c r="O128" i="2" s="1"/>
  <c r="Z128" i="2"/>
  <c r="Y128" i="2"/>
  <c r="X128" i="2"/>
  <c r="W128" i="2"/>
  <c r="N128" i="2"/>
  <c r="K128" i="2"/>
  <c r="J128" i="2"/>
  <c r="I128" i="2"/>
  <c r="G128" i="2"/>
  <c r="F128" i="2"/>
  <c r="E128" i="2"/>
  <c r="Q127" i="2"/>
  <c r="P127" i="2"/>
  <c r="O127" i="2"/>
  <c r="N127" i="2"/>
  <c r="W127" i="2" s="1"/>
  <c r="M127" i="2"/>
  <c r="S127" i="2" s="1"/>
  <c r="L127" i="2"/>
  <c r="H127" i="2" s="1"/>
  <c r="G127" i="2"/>
  <c r="V126" i="2"/>
  <c r="T126" i="2"/>
  <c r="S126" i="2"/>
  <c r="Q126" i="2"/>
  <c r="P126" i="2"/>
  <c r="O126" i="2"/>
  <c r="N126" i="2"/>
  <c r="W126" i="2" s="1"/>
  <c r="M126" i="2"/>
  <c r="L126" i="2"/>
  <c r="U126" i="2" s="1"/>
  <c r="G126" i="2"/>
  <c r="Q125" i="2"/>
  <c r="P125" i="2"/>
  <c r="O125" i="2"/>
  <c r="N125" i="2"/>
  <c r="W125" i="2" s="1"/>
  <c r="M125" i="2"/>
  <c r="S125" i="2" s="1"/>
  <c r="L125" i="2"/>
  <c r="H125" i="2" s="1"/>
  <c r="G125" i="2"/>
  <c r="V124" i="2"/>
  <c r="T124" i="2"/>
  <c r="S124" i="2"/>
  <c r="Q124" i="2"/>
  <c r="P124" i="2"/>
  <c r="O124" i="2"/>
  <c r="N124" i="2"/>
  <c r="N123" i="2" s="1"/>
  <c r="M124" i="2"/>
  <c r="L124" i="2"/>
  <c r="U124" i="2" s="1"/>
  <c r="G124" i="2"/>
  <c r="BJ123" i="2"/>
  <c r="BI123" i="2"/>
  <c r="P123" i="2" s="1"/>
  <c r="BH123" i="2"/>
  <c r="BG123" i="2"/>
  <c r="BF123" i="2"/>
  <c r="BE123" i="2"/>
  <c r="BD123" i="2"/>
  <c r="BC123" i="2"/>
  <c r="BB123" i="2"/>
  <c r="BA123" i="2"/>
  <c r="AZ123" i="2"/>
  <c r="AY123" i="2"/>
  <c r="AX123" i="2"/>
  <c r="AW123" i="2"/>
  <c r="AV123" i="2"/>
  <c r="AU123" i="2"/>
  <c r="AT123" i="2"/>
  <c r="AS123" i="2"/>
  <c r="AR123" i="2"/>
  <c r="AQ123" i="2"/>
  <c r="AP123" i="2"/>
  <c r="AO123" i="2"/>
  <c r="AN123" i="2"/>
  <c r="AM123" i="2"/>
  <c r="AL123" i="2"/>
  <c r="AK123" i="2"/>
  <c r="AJ123" i="2"/>
  <c r="AI123" i="2"/>
  <c r="AH123" i="2"/>
  <c r="AG123" i="2"/>
  <c r="AF123" i="2"/>
  <c r="AE123" i="2"/>
  <c r="AD123" i="2"/>
  <c r="AC123" i="2"/>
  <c r="Q123" i="2" s="1"/>
  <c r="AB123" i="2"/>
  <c r="AA123" i="2"/>
  <c r="Z123" i="2"/>
  <c r="Y123" i="2"/>
  <c r="X123" i="2"/>
  <c r="W123" i="2"/>
  <c r="S123" i="2"/>
  <c r="O123" i="2"/>
  <c r="M123" i="2"/>
  <c r="V123" i="2" s="1"/>
  <c r="K123" i="2"/>
  <c r="J123" i="2"/>
  <c r="I123" i="2"/>
  <c r="F123" i="2"/>
  <c r="E123" i="2"/>
  <c r="G123" i="2" s="1"/>
  <c r="V122" i="2"/>
  <c r="T122" i="2"/>
  <c r="S122" i="2"/>
  <c r="Q122" i="2"/>
  <c r="P122" i="2"/>
  <c r="O122" i="2"/>
  <c r="N122" i="2"/>
  <c r="W122" i="2" s="1"/>
  <c r="M122" i="2"/>
  <c r="L122" i="2"/>
  <c r="U122" i="2" s="1"/>
  <c r="G122" i="2"/>
  <c r="Q121" i="2"/>
  <c r="P121" i="2"/>
  <c r="O121" i="2"/>
  <c r="N121" i="2"/>
  <c r="W121" i="2" s="1"/>
  <c r="M121" i="2"/>
  <c r="S121" i="2" s="1"/>
  <c r="S119" i="2" s="1"/>
  <c r="L121" i="2"/>
  <c r="H121" i="2" s="1"/>
  <c r="G121" i="2"/>
  <c r="V120" i="2"/>
  <c r="T120" i="2"/>
  <c r="S120" i="2"/>
  <c r="Q120" i="2"/>
  <c r="P120" i="2"/>
  <c r="O120" i="2"/>
  <c r="N120" i="2"/>
  <c r="N119" i="2" s="1"/>
  <c r="M120" i="2"/>
  <c r="L120" i="2"/>
  <c r="U120" i="2" s="1"/>
  <c r="G120" i="2"/>
  <c r="BJ119" i="2"/>
  <c r="BI119" i="2"/>
  <c r="P119" i="2" s="1"/>
  <c r="BH119" i="2"/>
  <c r="BG119" i="2"/>
  <c r="BF119" i="2"/>
  <c r="BE119" i="2"/>
  <c r="BD119" i="2"/>
  <c r="BC119" i="2"/>
  <c r="BB119" i="2"/>
  <c r="BA119" i="2"/>
  <c r="AZ119" i="2"/>
  <c r="AY119" i="2"/>
  <c r="AX119" i="2"/>
  <c r="AW119" i="2"/>
  <c r="AV119" i="2"/>
  <c r="AU119" i="2"/>
  <c r="AT119" i="2"/>
  <c r="AS119" i="2"/>
  <c r="AR119" i="2"/>
  <c r="AQ119" i="2"/>
  <c r="AP119" i="2"/>
  <c r="AO119" i="2"/>
  <c r="AN119" i="2"/>
  <c r="AM119" i="2"/>
  <c r="AL119" i="2"/>
  <c r="AK119" i="2"/>
  <c r="AJ119" i="2"/>
  <c r="AI119" i="2"/>
  <c r="AH119" i="2"/>
  <c r="AG119" i="2"/>
  <c r="AF119" i="2"/>
  <c r="AE119" i="2"/>
  <c r="AD119" i="2"/>
  <c r="AC119" i="2"/>
  <c r="Q119" i="2" s="1"/>
  <c r="AB119" i="2"/>
  <c r="AA119" i="2"/>
  <c r="Z119" i="2"/>
  <c r="Y119" i="2"/>
  <c r="X119" i="2"/>
  <c r="W119" i="2"/>
  <c r="O119" i="2"/>
  <c r="K119" i="2"/>
  <c r="J119" i="2"/>
  <c r="I119" i="2"/>
  <c r="G119" i="2"/>
  <c r="F119" i="2"/>
  <c r="E119" i="2"/>
  <c r="V118" i="2"/>
  <c r="T118" i="2"/>
  <c r="S118" i="2"/>
  <c r="Q118" i="2"/>
  <c r="P118" i="2"/>
  <c r="O118" i="2"/>
  <c r="N118" i="2"/>
  <c r="W118" i="2" s="1"/>
  <c r="M118" i="2"/>
  <c r="L118" i="2"/>
  <c r="U118" i="2" s="1"/>
  <c r="G118" i="2"/>
  <c r="Q117" i="2"/>
  <c r="P117" i="2"/>
  <c r="O117" i="2"/>
  <c r="N117" i="2"/>
  <c r="W117" i="2" s="1"/>
  <c r="M117" i="2"/>
  <c r="S117" i="2" s="1"/>
  <c r="L117" i="2"/>
  <c r="R117" i="2" s="1"/>
  <c r="G117" i="2"/>
  <c r="BJ116" i="2"/>
  <c r="BI116" i="2"/>
  <c r="BH116" i="2"/>
  <c r="BG116" i="2"/>
  <c r="BF116" i="2"/>
  <c r="BE116" i="2"/>
  <c r="BD116" i="2"/>
  <c r="BC116" i="2"/>
  <c r="BB116" i="2"/>
  <c r="BA116" i="2"/>
  <c r="AZ116" i="2"/>
  <c r="AY116" i="2"/>
  <c r="AX116" i="2"/>
  <c r="AW116" i="2"/>
  <c r="AV116" i="2"/>
  <c r="AU116" i="2"/>
  <c r="AT116" i="2"/>
  <c r="AS116" i="2"/>
  <c r="AR116" i="2"/>
  <c r="AQ116" i="2"/>
  <c r="AP116" i="2"/>
  <c r="AO116" i="2"/>
  <c r="AN116" i="2"/>
  <c r="AM116" i="2"/>
  <c r="AL116" i="2"/>
  <c r="AK116" i="2"/>
  <c r="AJ116" i="2"/>
  <c r="AI116" i="2"/>
  <c r="AH116" i="2"/>
  <c r="AG116" i="2"/>
  <c r="AF116" i="2"/>
  <c r="AE116" i="2"/>
  <c r="AD116" i="2"/>
  <c r="O116" i="2" s="1"/>
  <c r="AC116" i="2"/>
  <c r="AB116" i="2"/>
  <c r="AA116" i="2"/>
  <c r="Z116" i="2"/>
  <c r="Y116" i="2"/>
  <c r="X116" i="2"/>
  <c r="S116" i="2"/>
  <c r="Q116" i="2"/>
  <c r="N116" i="2"/>
  <c r="W116" i="2" s="1"/>
  <c r="K116" i="2"/>
  <c r="J116" i="2"/>
  <c r="I116" i="2"/>
  <c r="G116" i="2" s="1"/>
  <c r="F116" i="2"/>
  <c r="E116" i="2"/>
  <c r="F8" i="3" s="1"/>
  <c r="T115" i="2"/>
  <c r="R115" i="2"/>
  <c r="Q115" i="2"/>
  <c r="P115" i="2"/>
  <c r="O115" i="2"/>
  <c r="N115" i="2"/>
  <c r="W115" i="2" s="1"/>
  <c r="M115" i="2"/>
  <c r="S115" i="2" s="1"/>
  <c r="L115" i="2"/>
  <c r="H115" i="2" s="1"/>
  <c r="G115" i="2"/>
  <c r="V114" i="2"/>
  <c r="S114" i="2"/>
  <c r="R114" i="2"/>
  <c r="Q114" i="2"/>
  <c r="P114" i="2"/>
  <c r="O114" i="2"/>
  <c r="N114" i="2"/>
  <c r="W114" i="2" s="1"/>
  <c r="M114" i="2"/>
  <c r="L114" i="2"/>
  <c r="U114" i="2" s="1"/>
  <c r="H114" i="2"/>
  <c r="G114" i="2"/>
  <c r="T113" i="2"/>
  <c r="R113" i="2"/>
  <c r="Q113" i="2"/>
  <c r="P113" i="2"/>
  <c r="O113" i="2"/>
  <c r="N113" i="2"/>
  <c r="W113" i="2" s="1"/>
  <c r="M113" i="2"/>
  <c r="S113" i="2" s="1"/>
  <c r="L113" i="2"/>
  <c r="H113" i="2" s="1"/>
  <c r="G113" i="2"/>
  <c r="V112" i="2"/>
  <c r="S112" i="2"/>
  <c r="R112" i="2"/>
  <c r="Q112" i="2"/>
  <c r="P112" i="2"/>
  <c r="O112" i="2"/>
  <c r="N112" i="2"/>
  <c r="W112" i="2" s="1"/>
  <c r="M112" i="2"/>
  <c r="L112" i="2"/>
  <c r="U112" i="2" s="1"/>
  <c r="H112" i="2"/>
  <c r="G112" i="2"/>
  <c r="T111" i="2"/>
  <c r="Q111" i="2"/>
  <c r="P111" i="2"/>
  <c r="O111" i="2"/>
  <c r="N111" i="2"/>
  <c r="W111" i="2" s="1"/>
  <c r="M111" i="2"/>
  <c r="S111" i="2" s="1"/>
  <c r="L111" i="2"/>
  <c r="H111" i="2" s="1"/>
  <c r="G111" i="2"/>
  <c r="V110" i="2"/>
  <c r="S110" i="2"/>
  <c r="Q110" i="2"/>
  <c r="P110" i="2"/>
  <c r="O110" i="2"/>
  <c r="N110" i="2"/>
  <c r="W110" i="2" s="1"/>
  <c r="M110" i="2"/>
  <c r="L110" i="2"/>
  <c r="U110" i="2" s="1"/>
  <c r="H110" i="2"/>
  <c r="G110" i="2"/>
  <c r="T109" i="2"/>
  <c r="Q109" i="2"/>
  <c r="P109" i="2"/>
  <c r="O109" i="2"/>
  <c r="N109" i="2"/>
  <c r="W109" i="2" s="1"/>
  <c r="M109" i="2"/>
  <c r="S109" i="2" s="1"/>
  <c r="L109" i="2"/>
  <c r="H109" i="2" s="1"/>
  <c r="G109" i="2"/>
  <c r="V108" i="2"/>
  <c r="S108" i="2"/>
  <c r="Q108" i="2"/>
  <c r="P108" i="2"/>
  <c r="O108" i="2"/>
  <c r="N108" i="2"/>
  <c r="W108" i="2" s="1"/>
  <c r="M108" i="2"/>
  <c r="L108" i="2"/>
  <c r="U108" i="2" s="1"/>
  <c r="H108" i="2"/>
  <c r="G108" i="2"/>
  <c r="T107" i="2"/>
  <c r="Q107" i="2"/>
  <c r="P107" i="2"/>
  <c r="O107" i="2"/>
  <c r="N107" i="2"/>
  <c r="W107" i="2" s="1"/>
  <c r="M107" i="2"/>
  <c r="S107" i="2" s="1"/>
  <c r="L107" i="2"/>
  <c r="R107" i="2" s="1"/>
  <c r="H107" i="2"/>
  <c r="G107" i="2"/>
  <c r="AG106" i="2"/>
  <c r="L106" i="2" s="1"/>
  <c r="AD106" i="2"/>
  <c r="W106" i="2"/>
  <c r="Q106" i="2"/>
  <c r="P106" i="2"/>
  <c r="N106" i="2"/>
  <c r="T106" i="2" s="1"/>
  <c r="T105" i="2" s="1"/>
  <c r="M106" i="2"/>
  <c r="V106" i="2" s="1"/>
  <c r="G106" i="2"/>
  <c r="BJ105" i="2"/>
  <c r="Q105" i="2" s="1"/>
  <c r="BI105" i="2"/>
  <c r="BH105" i="2"/>
  <c r="BG105" i="2"/>
  <c r="BF105" i="2"/>
  <c r="BF104" i="2" s="1"/>
  <c r="BE105" i="2"/>
  <c r="BD105" i="2"/>
  <c r="BC105" i="2"/>
  <c r="BB105" i="2"/>
  <c r="BB104" i="2" s="1"/>
  <c r="BA105" i="2"/>
  <c r="AZ105" i="2"/>
  <c r="AY105" i="2"/>
  <c r="AX105" i="2"/>
  <c r="AX104" i="2" s="1"/>
  <c r="AW105" i="2"/>
  <c r="AV105" i="2"/>
  <c r="AU105" i="2"/>
  <c r="AT105" i="2"/>
  <c r="AT104" i="2" s="1"/>
  <c r="AS105" i="2"/>
  <c r="AR105" i="2"/>
  <c r="AQ105" i="2"/>
  <c r="AP105" i="2"/>
  <c r="AP104" i="2" s="1"/>
  <c r="AO105" i="2"/>
  <c r="AN105" i="2"/>
  <c r="AM105" i="2"/>
  <c r="AL105" i="2"/>
  <c r="AL104" i="2" s="1"/>
  <c r="AK105" i="2"/>
  <c r="AJ105" i="2"/>
  <c r="AI105" i="2"/>
  <c r="AH105" i="2"/>
  <c r="P105" i="2" s="1"/>
  <c r="AF105" i="2"/>
  <c r="AE105" i="2"/>
  <c r="AD105" i="2"/>
  <c r="AD104" i="2" s="1"/>
  <c r="AC105" i="2"/>
  <c r="AB105" i="2"/>
  <c r="AA105" i="2"/>
  <c r="Z105" i="2"/>
  <c r="Z104" i="2" s="1"/>
  <c r="Y105" i="2"/>
  <c r="X105" i="2"/>
  <c r="N105" i="2"/>
  <c r="W105" i="2" s="1"/>
  <c r="K105" i="2"/>
  <c r="J105" i="2"/>
  <c r="J104" i="2" s="1"/>
  <c r="I105" i="2"/>
  <c r="G105" i="2" s="1"/>
  <c r="F105" i="2"/>
  <c r="F104" i="2" s="1"/>
  <c r="E105" i="2"/>
  <c r="BI104" i="2"/>
  <c r="BH104" i="2"/>
  <c r="O104" i="2" s="1"/>
  <c r="BG104" i="2"/>
  <c r="BE104" i="2"/>
  <c r="BD104" i="2"/>
  <c r="BC104" i="2"/>
  <c r="BA104" i="2"/>
  <c r="AZ104" i="2"/>
  <c r="AY104" i="2"/>
  <c r="AW104" i="2"/>
  <c r="AV104" i="2"/>
  <c r="AU104" i="2"/>
  <c r="AS104" i="2"/>
  <c r="AR104" i="2"/>
  <c r="AQ104" i="2"/>
  <c r="AO104" i="2"/>
  <c r="AN104" i="2"/>
  <c r="AM104" i="2"/>
  <c r="AK104" i="2"/>
  <c r="AJ104" i="2"/>
  <c r="AI104" i="2"/>
  <c r="AF104" i="2"/>
  <c r="AE104" i="2"/>
  <c r="AC104" i="2"/>
  <c r="AB104" i="2"/>
  <c r="AA104" i="2"/>
  <c r="Y104" i="2"/>
  <c r="X104" i="2"/>
  <c r="P104" i="2"/>
  <c r="K104" i="2"/>
  <c r="I104" i="2"/>
  <c r="F36" i="3" s="1"/>
  <c r="G104" i="2"/>
  <c r="E104" i="2"/>
  <c r="C36" i="3" s="1"/>
  <c r="AG103" i="2"/>
  <c r="O103" i="2" s="1"/>
  <c r="W103" i="2"/>
  <c r="T103" i="2"/>
  <c r="S103" i="2"/>
  <c r="Q103" i="2"/>
  <c r="P103" i="2"/>
  <c r="N103" i="2"/>
  <c r="M103" i="2"/>
  <c r="V103" i="2" s="1"/>
  <c r="L103" i="2"/>
  <c r="U103" i="2" s="1"/>
  <c r="G103" i="2"/>
  <c r="AD102" i="2"/>
  <c r="W102" i="2"/>
  <c r="V102" i="2"/>
  <c r="S102" i="2"/>
  <c r="Q102" i="2"/>
  <c r="P102" i="2"/>
  <c r="O102" i="2"/>
  <c r="N102" i="2"/>
  <c r="T102" i="2" s="1"/>
  <c r="M102" i="2"/>
  <c r="L102" i="2"/>
  <c r="R102" i="2" s="1"/>
  <c r="H102" i="2"/>
  <c r="G102" i="2"/>
  <c r="U101" i="2"/>
  <c r="T101" i="2"/>
  <c r="Q101" i="2"/>
  <c r="P101" i="2"/>
  <c r="O101" i="2"/>
  <c r="N101" i="2"/>
  <c r="W101" i="2" s="1"/>
  <c r="M101" i="2"/>
  <c r="V101" i="2" s="1"/>
  <c r="L101" i="2"/>
  <c r="R101" i="2" s="1"/>
  <c r="G101" i="2"/>
  <c r="W100" i="2"/>
  <c r="V100" i="2"/>
  <c r="S100" i="2"/>
  <c r="R100" i="2"/>
  <c r="Q100" i="2"/>
  <c r="P100" i="2"/>
  <c r="O100" i="2"/>
  <c r="N100" i="2"/>
  <c r="T100" i="2" s="1"/>
  <c r="M100" i="2"/>
  <c r="L100" i="2"/>
  <c r="U100" i="2" s="1"/>
  <c r="H100" i="2"/>
  <c r="G100" i="2"/>
  <c r="U99" i="2"/>
  <c r="T99" i="2"/>
  <c r="Q99" i="2"/>
  <c r="P99" i="2"/>
  <c r="O99" i="2"/>
  <c r="N99" i="2"/>
  <c r="W99" i="2" s="1"/>
  <c r="M99" i="2"/>
  <c r="V99" i="2" s="1"/>
  <c r="L99" i="2"/>
  <c r="R99" i="2" s="1"/>
  <c r="G99" i="2"/>
  <c r="W98" i="2"/>
  <c r="V98" i="2"/>
  <c r="S98" i="2"/>
  <c r="R98" i="2"/>
  <c r="Q98" i="2"/>
  <c r="P98" i="2"/>
  <c r="O98" i="2"/>
  <c r="N98" i="2"/>
  <c r="T98" i="2" s="1"/>
  <c r="M98" i="2"/>
  <c r="L98" i="2"/>
  <c r="U98" i="2" s="1"/>
  <c r="H98" i="2"/>
  <c r="G98" i="2"/>
  <c r="U97" i="2"/>
  <c r="T97" i="2"/>
  <c r="Q97" i="2"/>
  <c r="P97" i="2"/>
  <c r="O97" i="2"/>
  <c r="N97" i="2"/>
  <c r="W97" i="2" s="1"/>
  <c r="M97" i="2"/>
  <c r="V97" i="2" s="1"/>
  <c r="L97" i="2"/>
  <c r="R97" i="2" s="1"/>
  <c r="G97" i="2"/>
  <c r="W96" i="2"/>
  <c r="V96" i="2"/>
  <c r="S96" i="2"/>
  <c r="R96" i="2"/>
  <c r="Q96" i="2"/>
  <c r="P96" i="2"/>
  <c r="O96" i="2"/>
  <c r="N96" i="2"/>
  <c r="T96" i="2" s="1"/>
  <c r="M96" i="2"/>
  <c r="L96" i="2"/>
  <c r="U96" i="2" s="1"/>
  <c r="H96" i="2"/>
  <c r="G96" i="2"/>
  <c r="U95" i="2"/>
  <c r="T95" i="2"/>
  <c r="Q95" i="2"/>
  <c r="P95" i="2"/>
  <c r="O95" i="2"/>
  <c r="N95" i="2"/>
  <c r="W95" i="2" s="1"/>
  <c r="M95" i="2"/>
  <c r="V95" i="2" s="1"/>
  <c r="L95" i="2"/>
  <c r="R95" i="2" s="1"/>
  <c r="G95" i="2"/>
  <c r="AG94" i="2"/>
  <c r="L94" i="2" s="1"/>
  <c r="AE94" i="2"/>
  <c r="T94" i="2"/>
  <c r="Q94" i="2"/>
  <c r="P94" i="2"/>
  <c r="N94" i="2"/>
  <c r="W94" i="2" s="1"/>
  <c r="M94" i="2"/>
  <c r="V94" i="2" s="1"/>
  <c r="I94" i="2"/>
  <c r="G94" i="2"/>
  <c r="AE93" i="2"/>
  <c r="U93" i="2"/>
  <c r="T93" i="2"/>
  <c r="Q93" i="2"/>
  <c r="P93" i="2"/>
  <c r="O93" i="2"/>
  <c r="N93" i="2"/>
  <c r="W93" i="2" s="1"/>
  <c r="M93" i="2"/>
  <c r="V93" i="2" s="1"/>
  <c r="L93" i="2"/>
  <c r="R93" i="2" s="1"/>
  <c r="G93" i="2"/>
  <c r="AB92" i="2"/>
  <c r="P92" i="2" s="1"/>
  <c r="Y92" i="2"/>
  <c r="U92" i="2"/>
  <c r="T92" i="2"/>
  <c r="Q92" i="2"/>
  <c r="O92" i="2"/>
  <c r="N92" i="2"/>
  <c r="W92" i="2" s="1"/>
  <c r="M92" i="2"/>
  <c r="V92" i="2" s="1"/>
  <c r="L92" i="2"/>
  <c r="R92" i="2" s="1"/>
  <c r="G92" i="2"/>
  <c r="AH91" i="2"/>
  <c r="AE91" i="2"/>
  <c r="P91" i="2" s="1"/>
  <c r="AB91" i="2"/>
  <c r="Y91" i="2"/>
  <c r="M91" i="2" s="1"/>
  <c r="W91" i="2"/>
  <c r="R91" i="2"/>
  <c r="Q91" i="2"/>
  <c r="O91" i="2"/>
  <c r="N91" i="2"/>
  <c r="T91" i="2" s="1"/>
  <c r="L91" i="2"/>
  <c r="U91" i="2" s="1"/>
  <c r="H91" i="2"/>
  <c r="G91" i="2"/>
  <c r="AG90" i="2"/>
  <c r="V90" i="2"/>
  <c r="U90" i="2"/>
  <c r="R90" i="2"/>
  <c r="Q90" i="2"/>
  <c r="P90" i="2"/>
  <c r="O90" i="2"/>
  <c r="N90" i="2"/>
  <c r="W90" i="2" s="1"/>
  <c r="M90" i="2"/>
  <c r="S90" i="2" s="1"/>
  <c r="L90" i="2"/>
  <c r="H90" i="2"/>
  <c r="G90" i="2"/>
  <c r="W89" i="2"/>
  <c r="T89" i="2"/>
  <c r="S89" i="2"/>
  <c r="Q89" i="2"/>
  <c r="P89" i="2"/>
  <c r="O89" i="2"/>
  <c r="N89" i="2"/>
  <c r="M89" i="2"/>
  <c r="V89" i="2" s="1"/>
  <c r="L89" i="2"/>
  <c r="U89" i="2" s="1"/>
  <c r="G89" i="2"/>
  <c r="AA88" i="2"/>
  <c r="W88" i="2"/>
  <c r="V88" i="2"/>
  <c r="S88" i="2"/>
  <c r="R88" i="2"/>
  <c r="Q88" i="2"/>
  <c r="P88" i="2"/>
  <c r="O88" i="2"/>
  <c r="N88" i="2"/>
  <c r="T88" i="2" s="1"/>
  <c r="M88" i="2"/>
  <c r="L88" i="2"/>
  <c r="U88" i="2" s="1"/>
  <c r="H88" i="2"/>
  <c r="G88" i="2"/>
  <c r="U87" i="2"/>
  <c r="T87" i="2"/>
  <c r="Q87" i="2"/>
  <c r="P87" i="2"/>
  <c r="O87" i="2"/>
  <c r="N87" i="2"/>
  <c r="W87" i="2" s="1"/>
  <c r="M87" i="2"/>
  <c r="V87" i="2" s="1"/>
  <c r="L87" i="2"/>
  <c r="R87" i="2" s="1"/>
  <c r="G87" i="2"/>
  <c r="Y86" i="2"/>
  <c r="M86" i="2" s="1"/>
  <c r="W86" i="2"/>
  <c r="T86" i="2"/>
  <c r="Q86" i="2"/>
  <c r="P86" i="2"/>
  <c r="O86" i="2"/>
  <c r="N86" i="2"/>
  <c r="L86" i="2"/>
  <c r="U86" i="2" s="1"/>
  <c r="G86" i="2"/>
  <c r="AH85" i="2"/>
  <c r="M85" i="2" s="1"/>
  <c r="W85" i="2"/>
  <c r="R85" i="2"/>
  <c r="Q85" i="2"/>
  <c r="P85" i="2"/>
  <c r="O85" i="2"/>
  <c r="N85" i="2"/>
  <c r="T85" i="2" s="1"/>
  <c r="L85" i="2"/>
  <c r="U85" i="2" s="1"/>
  <c r="H85" i="2"/>
  <c r="G85" i="2"/>
  <c r="AG84" i="2"/>
  <c r="V84" i="2"/>
  <c r="U84" i="2"/>
  <c r="R84" i="2"/>
  <c r="Q84" i="2"/>
  <c r="P84" i="2"/>
  <c r="O84" i="2"/>
  <c r="N84" i="2"/>
  <c r="W84" i="2" s="1"/>
  <c r="M84" i="2"/>
  <c r="S84" i="2" s="1"/>
  <c r="L84" i="2"/>
  <c r="I84" i="2"/>
  <c r="H84" i="2"/>
  <c r="G84" i="2"/>
  <c r="AG83" i="2"/>
  <c r="AD83" i="2"/>
  <c r="W83" i="2"/>
  <c r="V83" i="2"/>
  <c r="S83" i="2"/>
  <c r="Q83" i="2"/>
  <c r="P83" i="2"/>
  <c r="O83" i="2"/>
  <c r="N83" i="2"/>
  <c r="T83" i="2" s="1"/>
  <c r="M83" i="2"/>
  <c r="L83" i="2"/>
  <c r="U83" i="2" s="1"/>
  <c r="I83" i="2"/>
  <c r="R83" i="2" s="1"/>
  <c r="H83" i="2"/>
  <c r="AH82" i="2"/>
  <c r="M82" i="2" s="1"/>
  <c r="W82" i="2"/>
  <c r="R82" i="2"/>
  <c r="Q82" i="2"/>
  <c r="P82" i="2"/>
  <c r="O82" i="2"/>
  <c r="N82" i="2"/>
  <c r="T82" i="2" s="1"/>
  <c r="L82" i="2"/>
  <c r="U82" i="2" s="1"/>
  <c r="H82" i="2"/>
  <c r="G82" i="2"/>
  <c r="AH81" i="2"/>
  <c r="AE81" i="2"/>
  <c r="AB81" i="2"/>
  <c r="M81" i="2" s="1"/>
  <c r="W81" i="2"/>
  <c r="T81" i="2"/>
  <c r="Q81" i="2"/>
  <c r="P81" i="2"/>
  <c r="O81" i="2"/>
  <c r="N81" i="2"/>
  <c r="L81" i="2"/>
  <c r="U81" i="2" s="1"/>
  <c r="H81" i="2"/>
  <c r="G81" i="2"/>
  <c r="U80" i="2"/>
  <c r="R80" i="2"/>
  <c r="Q80" i="2"/>
  <c r="P80" i="2"/>
  <c r="O80" i="2"/>
  <c r="N80" i="2"/>
  <c r="W80" i="2" s="1"/>
  <c r="M80" i="2"/>
  <c r="S80" i="2" s="1"/>
  <c r="L80" i="2"/>
  <c r="H80" i="2"/>
  <c r="G80" i="2"/>
  <c r="W79" i="2"/>
  <c r="T79" i="2"/>
  <c r="S79" i="2"/>
  <c r="Q79" i="2"/>
  <c r="P79" i="2"/>
  <c r="O79" i="2"/>
  <c r="N79" i="2"/>
  <c r="M79" i="2"/>
  <c r="V79" i="2" s="1"/>
  <c r="L79" i="2"/>
  <c r="U79" i="2" s="1"/>
  <c r="H79" i="2"/>
  <c r="G79" i="2"/>
  <c r="U78" i="2"/>
  <c r="R78" i="2"/>
  <c r="Q78" i="2"/>
  <c r="P78" i="2"/>
  <c r="O78" i="2"/>
  <c r="N78" i="2"/>
  <c r="W78" i="2" s="1"/>
  <c r="M78" i="2"/>
  <c r="S78" i="2" s="1"/>
  <c r="L78" i="2"/>
  <c r="H78" i="2" s="1"/>
  <c r="G78" i="2"/>
  <c r="AB77" i="2"/>
  <c r="M77" i="2" s="1"/>
  <c r="W77" i="2"/>
  <c r="T77" i="2"/>
  <c r="Q77" i="2"/>
  <c r="P77" i="2"/>
  <c r="O77" i="2"/>
  <c r="N77" i="2"/>
  <c r="L77" i="2"/>
  <c r="R77" i="2" s="1"/>
  <c r="G77" i="2"/>
  <c r="AB76" i="2"/>
  <c r="M76" i="2" s="1"/>
  <c r="W76" i="2"/>
  <c r="T76" i="2"/>
  <c r="Q76" i="2"/>
  <c r="P76" i="2"/>
  <c r="O76" i="2"/>
  <c r="N76" i="2"/>
  <c r="L76" i="2"/>
  <c r="U76" i="2" s="1"/>
  <c r="H76" i="2"/>
  <c r="G76" i="2"/>
  <c r="U75" i="2"/>
  <c r="R75" i="2"/>
  <c r="Q75" i="2"/>
  <c r="P75" i="2"/>
  <c r="O75" i="2"/>
  <c r="N75" i="2"/>
  <c r="W75" i="2" s="1"/>
  <c r="M75" i="2"/>
  <c r="S75" i="2" s="1"/>
  <c r="L75" i="2"/>
  <c r="H75" i="2" s="1"/>
  <c r="G75" i="2"/>
  <c r="W74" i="2"/>
  <c r="V74" i="2"/>
  <c r="T74" i="2"/>
  <c r="S74" i="2"/>
  <c r="Q74" i="2"/>
  <c r="P74" i="2"/>
  <c r="O74" i="2"/>
  <c r="N74" i="2"/>
  <c r="M74" i="2"/>
  <c r="L74" i="2"/>
  <c r="U74" i="2" s="1"/>
  <c r="H74" i="2"/>
  <c r="G74" i="2"/>
  <c r="AG73" i="2"/>
  <c r="V73" i="2"/>
  <c r="U73" i="2"/>
  <c r="S73" i="2"/>
  <c r="R73" i="2"/>
  <c r="Q73" i="2"/>
  <c r="P73" i="2"/>
  <c r="O73" i="2"/>
  <c r="N73" i="2"/>
  <c r="T73" i="2" s="1"/>
  <c r="M73" i="2"/>
  <c r="L73" i="2"/>
  <c r="H73" i="2"/>
  <c r="G73" i="2"/>
  <c r="W72" i="2"/>
  <c r="T72" i="2"/>
  <c r="Q72" i="2"/>
  <c r="P72" i="2"/>
  <c r="O72" i="2"/>
  <c r="N72" i="2"/>
  <c r="M72" i="2"/>
  <c r="V72" i="2" s="1"/>
  <c r="L72" i="2"/>
  <c r="R72" i="2" s="1"/>
  <c r="G72" i="2"/>
  <c r="V71" i="2"/>
  <c r="U71" i="2"/>
  <c r="S71" i="2"/>
  <c r="R71" i="2"/>
  <c r="Q71" i="2"/>
  <c r="P71" i="2"/>
  <c r="O71" i="2"/>
  <c r="N71" i="2"/>
  <c r="T71" i="2" s="1"/>
  <c r="M71" i="2"/>
  <c r="L71" i="2"/>
  <c r="H71" i="2"/>
  <c r="G71" i="2"/>
  <c r="W70" i="2"/>
  <c r="T70" i="2"/>
  <c r="Q70" i="2"/>
  <c r="P70" i="2"/>
  <c r="O70" i="2"/>
  <c r="N70" i="2"/>
  <c r="M70" i="2"/>
  <c r="V70" i="2" s="1"/>
  <c r="L70" i="2"/>
  <c r="R70" i="2" s="1"/>
  <c r="G70" i="2"/>
  <c r="V69" i="2"/>
  <c r="U69" i="2"/>
  <c r="S69" i="2"/>
  <c r="R69" i="2"/>
  <c r="Q69" i="2"/>
  <c r="P69" i="2"/>
  <c r="O69" i="2"/>
  <c r="N69" i="2"/>
  <c r="T69" i="2" s="1"/>
  <c r="M69" i="2"/>
  <c r="L69" i="2"/>
  <c r="H69" i="2"/>
  <c r="G69" i="2"/>
  <c r="W68" i="2"/>
  <c r="T68" i="2"/>
  <c r="Q68" i="2"/>
  <c r="P68" i="2"/>
  <c r="O68" i="2"/>
  <c r="N68" i="2"/>
  <c r="M68" i="2"/>
  <c r="V68" i="2" s="1"/>
  <c r="L68" i="2"/>
  <c r="R68" i="2" s="1"/>
  <c r="G68" i="2"/>
  <c r="V67" i="2"/>
  <c r="U67" i="2"/>
  <c r="S67" i="2"/>
  <c r="R67" i="2"/>
  <c r="Q67" i="2"/>
  <c r="P67" i="2"/>
  <c r="O67" i="2"/>
  <c r="N67" i="2"/>
  <c r="T67" i="2" s="1"/>
  <c r="M67" i="2"/>
  <c r="L67" i="2"/>
  <c r="H67" i="2"/>
  <c r="G67" i="2"/>
  <c r="W66" i="2"/>
  <c r="T66" i="2"/>
  <c r="Q66" i="2"/>
  <c r="P66" i="2"/>
  <c r="O66" i="2"/>
  <c r="N66" i="2"/>
  <c r="M66" i="2"/>
  <c r="V66" i="2" s="1"/>
  <c r="L66" i="2"/>
  <c r="R66" i="2" s="1"/>
  <c r="G66" i="2"/>
  <c r="V65" i="2"/>
  <c r="U65" i="2"/>
  <c r="S65" i="2"/>
  <c r="R65" i="2"/>
  <c r="Q65" i="2"/>
  <c r="P65" i="2"/>
  <c r="O65" i="2"/>
  <c r="N65" i="2"/>
  <c r="T65" i="2" s="1"/>
  <c r="M65" i="2"/>
  <c r="L65" i="2"/>
  <c r="H65" i="2"/>
  <c r="G65" i="2"/>
  <c r="W64" i="2"/>
  <c r="T64" i="2"/>
  <c r="Q64" i="2"/>
  <c r="P64" i="2"/>
  <c r="O64" i="2"/>
  <c r="N64" i="2"/>
  <c r="M64" i="2"/>
  <c r="V64" i="2" s="1"/>
  <c r="L64" i="2"/>
  <c r="R64" i="2" s="1"/>
  <c r="G64" i="2"/>
  <c r="V63" i="2"/>
  <c r="U63" i="2"/>
  <c r="S63" i="2"/>
  <c r="R63" i="2"/>
  <c r="Q63" i="2"/>
  <c r="P63" i="2"/>
  <c r="O63" i="2"/>
  <c r="N63" i="2"/>
  <c r="T63" i="2" s="1"/>
  <c r="M63" i="2"/>
  <c r="L63" i="2"/>
  <c r="H63" i="2"/>
  <c r="G63" i="2"/>
  <c r="AD62" i="2"/>
  <c r="O62" i="2" s="1"/>
  <c r="U62" i="2"/>
  <c r="R62" i="2"/>
  <c r="Q62" i="2"/>
  <c r="P62" i="2"/>
  <c r="N62" i="2"/>
  <c r="W62" i="2" s="1"/>
  <c r="M62" i="2"/>
  <c r="S62" i="2" s="1"/>
  <c r="L62" i="2"/>
  <c r="H62" i="2" s="1"/>
  <c r="G62" i="2"/>
  <c r="AD61" i="2"/>
  <c r="O61" i="2" s="1"/>
  <c r="W61" i="2"/>
  <c r="T61" i="2"/>
  <c r="Q61" i="2"/>
  <c r="P61" i="2"/>
  <c r="N61" i="2"/>
  <c r="M61" i="2"/>
  <c r="V61" i="2" s="1"/>
  <c r="L61" i="2"/>
  <c r="H61" i="2" s="1"/>
  <c r="I61" i="2"/>
  <c r="R61" i="2" s="1"/>
  <c r="G61" i="2"/>
  <c r="W60" i="2"/>
  <c r="V60" i="2"/>
  <c r="T60" i="2"/>
  <c r="S60" i="2"/>
  <c r="Q60" i="2"/>
  <c r="P60" i="2"/>
  <c r="O60" i="2"/>
  <c r="N60" i="2"/>
  <c r="M60" i="2"/>
  <c r="L60" i="2"/>
  <c r="U60" i="2" s="1"/>
  <c r="H60" i="2"/>
  <c r="G60" i="2"/>
  <c r="AG59" i="2"/>
  <c r="V59" i="2"/>
  <c r="U59" i="2"/>
  <c r="S59" i="2"/>
  <c r="R59" i="2"/>
  <c r="Q59" i="2"/>
  <c r="P59" i="2"/>
  <c r="O59" i="2"/>
  <c r="N59" i="2"/>
  <c r="T59" i="2" s="1"/>
  <c r="M59" i="2"/>
  <c r="L59" i="2"/>
  <c r="H59" i="2"/>
  <c r="G59" i="2"/>
  <c r="W58" i="2"/>
  <c r="T58" i="2"/>
  <c r="Q58" i="2"/>
  <c r="P58" i="2"/>
  <c r="O58" i="2"/>
  <c r="N58" i="2"/>
  <c r="M58" i="2"/>
  <c r="V58" i="2" s="1"/>
  <c r="L58" i="2"/>
  <c r="R58" i="2" s="1"/>
  <c r="G58" i="2"/>
  <c r="V57" i="2"/>
  <c r="U57" i="2"/>
  <c r="S57" i="2"/>
  <c r="R57" i="2"/>
  <c r="Q57" i="2"/>
  <c r="P57" i="2"/>
  <c r="O57" i="2"/>
  <c r="N57" i="2"/>
  <c r="T57" i="2" s="1"/>
  <c r="M57" i="2"/>
  <c r="L57" i="2"/>
  <c r="H57" i="2"/>
  <c r="G57" i="2"/>
  <c r="AH56" i="2"/>
  <c r="AE56" i="2"/>
  <c r="AB56" i="2"/>
  <c r="Y56" i="2"/>
  <c r="M56" i="2" s="1"/>
  <c r="W56" i="2"/>
  <c r="T56" i="2"/>
  <c r="Q56" i="2"/>
  <c r="P56" i="2"/>
  <c r="O56" i="2"/>
  <c r="N56" i="2"/>
  <c r="L56" i="2"/>
  <c r="R56" i="2" s="1"/>
  <c r="G56" i="2"/>
  <c r="AG55" i="2"/>
  <c r="W55" i="2"/>
  <c r="V55" i="2"/>
  <c r="T55" i="2"/>
  <c r="S55" i="2"/>
  <c r="Q55" i="2"/>
  <c r="P55" i="2"/>
  <c r="O55" i="2"/>
  <c r="N55" i="2"/>
  <c r="M55" i="2"/>
  <c r="L55" i="2"/>
  <c r="U55" i="2" s="1"/>
  <c r="H55" i="2"/>
  <c r="G55" i="2"/>
  <c r="U54" i="2"/>
  <c r="R54" i="2"/>
  <c r="Q54" i="2"/>
  <c r="P54" i="2"/>
  <c r="O54" i="2"/>
  <c r="N54" i="2"/>
  <c r="W54" i="2" s="1"/>
  <c r="M54" i="2"/>
  <c r="S54" i="2" s="1"/>
  <c r="L54" i="2"/>
  <c r="H54" i="2" s="1"/>
  <c r="G54" i="2"/>
  <c r="AE53" i="2"/>
  <c r="P53" i="2" s="1"/>
  <c r="AD53" i="2"/>
  <c r="AB53" i="2"/>
  <c r="Y53" i="2"/>
  <c r="M53" i="2" s="1"/>
  <c r="W53" i="2"/>
  <c r="T53" i="2"/>
  <c r="Q53" i="2"/>
  <c r="O53" i="2"/>
  <c r="N53" i="2"/>
  <c r="L53" i="2"/>
  <c r="U53" i="2" s="1"/>
  <c r="H53" i="2"/>
  <c r="G53" i="2"/>
  <c r="AH52" i="2"/>
  <c r="AG52" i="2"/>
  <c r="O52" i="2" s="1"/>
  <c r="AE52" i="2"/>
  <c r="P52" i="2" s="1"/>
  <c r="AB52" i="2"/>
  <c r="Q52" i="2"/>
  <c r="N52" i="2"/>
  <c r="W52" i="2" s="1"/>
  <c r="M52" i="2"/>
  <c r="S52" i="2" s="1"/>
  <c r="I52" i="2"/>
  <c r="G52" i="2"/>
  <c r="W51" i="2"/>
  <c r="T51" i="2"/>
  <c r="Q51" i="2"/>
  <c r="P51" i="2"/>
  <c r="O51" i="2"/>
  <c r="N51" i="2"/>
  <c r="M51" i="2"/>
  <c r="V51" i="2" s="1"/>
  <c r="L51" i="2"/>
  <c r="R51" i="2" s="1"/>
  <c r="G51" i="2"/>
  <c r="AH50" i="2"/>
  <c r="AG50" i="2"/>
  <c r="L50" i="2" s="1"/>
  <c r="AE50" i="2"/>
  <c r="AB50" i="2"/>
  <c r="Y50" i="2"/>
  <c r="M50" i="2" s="1"/>
  <c r="W50" i="2"/>
  <c r="T50" i="2"/>
  <c r="Q50" i="2"/>
  <c r="P50" i="2"/>
  <c r="O50" i="2"/>
  <c r="N50" i="2"/>
  <c r="G50" i="2"/>
  <c r="AH49" i="2"/>
  <c r="AE49" i="2"/>
  <c r="AB49" i="2"/>
  <c r="P49" i="2" s="1"/>
  <c r="Y49" i="2"/>
  <c r="U49" i="2"/>
  <c r="R49" i="2"/>
  <c r="Q49" i="2"/>
  <c r="O49" i="2"/>
  <c r="N49" i="2"/>
  <c r="W49" i="2" s="1"/>
  <c r="M49" i="2"/>
  <c r="S49" i="2" s="1"/>
  <c r="L49" i="2"/>
  <c r="H49" i="2" s="1"/>
  <c r="G49" i="2"/>
  <c r="W48" i="2"/>
  <c r="V48" i="2"/>
  <c r="T48" i="2"/>
  <c r="S48" i="2"/>
  <c r="Q48" i="2"/>
  <c r="P48" i="2"/>
  <c r="O48" i="2"/>
  <c r="N48" i="2"/>
  <c r="M48" i="2"/>
  <c r="L48" i="2"/>
  <c r="U48" i="2" s="1"/>
  <c r="H48" i="2"/>
  <c r="G48" i="2"/>
  <c r="U47" i="2"/>
  <c r="R47" i="2"/>
  <c r="Q47" i="2"/>
  <c r="P47" i="2"/>
  <c r="O47" i="2"/>
  <c r="N47" i="2"/>
  <c r="W47" i="2" s="1"/>
  <c r="M47" i="2"/>
  <c r="S47" i="2" s="1"/>
  <c r="L47" i="2"/>
  <c r="H47" i="2" s="1"/>
  <c r="G47" i="2"/>
  <c r="W46" i="2"/>
  <c r="V46" i="2"/>
  <c r="T46" i="2"/>
  <c r="S46" i="2"/>
  <c r="Q46" i="2"/>
  <c r="P46" i="2"/>
  <c r="O46" i="2"/>
  <c r="N46" i="2"/>
  <c r="M46" i="2"/>
  <c r="L46" i="2"/>
  <c r="U46" i="2" s="1"/>
  <c r="H46" i="2"/>
  <c r="G46" i="2"/>
  <c r="U45" i="2"/>
  <c r="R45" i="2"/>
  <c r="Q45" i="2"/>
  <c r="P45" i="2"/>
  <c r="O45" i="2"/>
  <c r="N45" i="2"/>
  <c r="W45" i="2" s="1"/>
  <c r="M45" i="2"/>
  <c r="S45" i="2" s="1"/>
  <c r="L45" i="2"/>
  <c r="H45" i="2" s="1"/>
  <c r="G45" i="2"/>
  <c r="AH44" i="2"/>
  <c r="P44" i="2" s="1"/>
  <c r="AE44" i="2"/>
  <c r="U44" i="2"/>
  <c r="R44" i="2"/>
  <c r="Q44" i="2"/>
  <c r="O44" i="2"/>
  <c r="N44" i="2"/>
  <c r="W44" i="2" s="1"/>
  <c r="L44" i="2"/>
  <c r="J44" i="2"/>
  <c r="H44" i="2"/>
  <c r="G44" i="2"/>
  <c r="AH43" i="2"/>
  <c r="U43" i="2"/>
  <c r="R43" i="2"/>
  <c r="Q43" i="2"/>
  <c r="P43" i="2"/>
  <c r="O43" i="2"/>
  <c r="N43" i="2"/>
  <c r="W43" i="2" s="1"/>
  <c r="M43" i="2"/>
  <c r="L43" i="2"/>
  <c r="H43" i="2" s="1"/>
  <c r="G43" i="2"/>
  <c r="W42" i="2"/>
  <c r="V42" i="2"/>
  <c r="T42" i="2"/>
  <c r="S42" i="2"/>
  <c r="Q42" i="2"/>
  <c r="P42" i="2"/>
  <c r="O42" i="2"/>
  <c r="N42" i="2"/>
  <c r="M42" i="2"/>
  <c r="L42" i="2"/>
  <c r="U42" i="2" s="1"/>
  <c r="H42" i="2"/>
  <c r="G42" i="2"/>
  <c r="AH41" i="2"/>
  <c r="V41" i="2"/>
  <c r="U41" i="2"/>
  <c r="S41" i="2"/>
  <c r="R41" i="2"/>
  <c r="Q41" i="2"/>
  <c r="P41" i="2"/>
  <c r="O41" i="2"/>
  <c r="N41" i="2"/>
  <c r="M41" i="2"/>
  <c r="L41" i="2"/>
  <c r="H41" i="2"/>
  <c r="G41" i="2"/>
  <c r="AH40" i="2"/>
  <c r="P40" i="2" s="1"/>
  <c r="AE40" i="2"/>
  <c r="V40" i="2"/>
  <c r="U40" i="2"/>
  <c r="R40" i="2"/>
  <c r="Q40" i="2"/>
  <c r="O40" i="2"/>
  <c r="N40" i="2"/>
  <c r="M40" i="2"/>
  <c r="L40" i="2"/>
  <c r="J40" i="2"/>
  <c r="S40" i="2" s="1"/>
  <c r="H40" i="2"/>
  <c r="G40" i="2"/>
  <c r="U39" i="2"/>
  <c r="R39" i="2"/>
  <c r="Q39" i="2"/>
  <c r="P39" i="2"/>
  <c r="O39" i="2"/>
  <c r="N39" i="2"/>
  <c r="W39" i="2" s="1"/>
  <c r="M39" i="2"/>
  <c r="V39" i="2" s="1"/>
  <c r="L39" i="2"/>
  <c r="J39" i="2"/>
  <c r="S39" i="2" s="1"/>
  <c r="H39" i="2"/>
  <c r="G39" i="2"/>
  <c r="W38" i="2"/>
  <c r="T38" i="2"/>
  <c r="Q38" i="2"/>
  <c r="P38" i="2"/>
  <c r="O38" i="2"/>
  <c r="N38" i="2"/>
  <c r="M38" i="2"/>
  <c r="V38" i="2" s="1"/>
  <c r="L38" i="2"/>
  <c r="G38" i="2"/>
  <c r="V37" i="2"/>
  <c r="U37" i="2"/>
  <c r="S37" i="2"/>
  <c r="R37" i="2"/>
  <c r="Q37" i="2"/>
  <c r="P37" i="2"/>
  <c r="O37" i="2"/>
  <c r="N37" i="2"/>
  <c r="M37" i="2"/>
  <c r="L37" i="2"/>
  <c r="H37" i="2"/>
  <c r="G37" i="2"/>
  <c r="AH36" i="2"/>
  <c r="U36" i="2"/>
  <c r="R36" i="2"/>
  <c r="Q36" i="2"/>
  <c r="P36" i="2"/>
  <c r="O36" i="2"/>
  <c r="N36" i="2"/>
  <c r="W36" i="2" s="1"/>
  <c r="M36" i="2"/>
  <c r="L36" i="2"/>
  <c r="H36" i="2" s="1"/>
  <c r="G36" i="2"/>
  <c r="AH35" i="2"/>
  <c r="P35" i="2" s="1"/>
  <c r="AG35" i="2"/>
  <c r="O35" i="2" s="1"/>
  <c r="U35" i="2"/>
  <c r="R35" i="2"/>
  <c r="Q35" i="2"/>
  <c r="N35" i="2"/>
  <c r="W35" i="2" s="1"/>
  <c r="M35" i="2"/>
  <c r="L35" i="2"/>
  <c r="H35" i="2" s="1"/>
  <c r="G35" i="2"/>
  <c r="W34" i="2"/>
  <c r="V34" i="2"/>
  <c r="T34" i="2"/>
  <c r="S34" i="2"/>
  <c r="Q34" i="2"/>
  <c r="P34" i="2"/>
  <c r="O34" i="2"/>
  <c r="N34" i="2"/>
  <c r="M34" i="2"/>
  <c r="L34" i="2"/>
  <c r="U34" i="2" s="1"/>
  <c r="H34" i="2"/>
  <c r="G34" i="2"/>
  <c r="U33" i="2"/>
  <c r="R33" i="2"/>
  <c r="Q33" i="2"/>
  <c r="P33" i="2"/>
  <c r="O33" i="2"/>
  <c r="N33" i="2"/>
  <c r="W33" i="2" s="1"/>
  <c r="M33" i="2"/>
  <c r="L33" i="2"/>
  <c r="H33" i="2" s="1"/>
  <c r="G33" i="2"/>
  <c r="AH32" i="2"/>
  <c r="M32" i="2" s="1"/>
  <c r="S32" i="2" s="1"/>
  <c r="AB32" i="2"/>
  <c r="P32" i="2" s="1"/>
  <c r="Y32" i="2"/>
  <c r="U32" i="2"/>
  <c r="R32" i="2"/>
  <c r="Q32" i="2"/>
  <c r="O32" i="2"/>
  <c r="N32" i="2"/>
  <c r="L32" i="2"/>
  <c r="H32" i="2"/>
  <c r="G32" i="2"/>
  <c r="AH31" i="2"/>
  <c r="AG31" i="2"/>
  <c r="AE31" i="2"/>
  <c r="AB31" i="2"/>
  <c r="P31" i="2" s="1"/>
  <c r="Y31" i="2"/>
  <c r="U31" i="2"/>
  <c r="R31" i="2"/>
  <c r="Q31" i="2"/>
  <c r="O31" i="2"/>
  <c r="N31" i="2"/>
  <c r="W31" i="2" s="1"/>
  <c r="L31" i="2"/>
  <c r="H31" i="2" s="1"/>
  <c r="G31" i="2"/>
  <c r="AH30" i="2"/>
  <c r="AG30" i="2"/>
  <c r="AB30" i="2"/>
  <c r="Y30" i="2"/>
  <c r="W30" i="2"/>
  <c r="T30" i="2"/>
  <c r="Q30" i="2"/>
  <c r="P30" i="2"/>
  <c r="O30" i="2"/>
  <c r="N30" i="2"/>
  <c r="L30" i="2"/>
  <c r="H30" i="2"/>
  <c r="G30" i="2"/>
  <c r="AH29" i="2"/>
  <c r="AE29" i="2"/>
  <c r="M29" i="2" s="1"/>
  <c r="V29" i="2" s="1"/>
  <c r="W29" i="2"/>
  <c r="T29" i="2"/>
  <c r="Q29" i="2"/>
  <c r="P29" i="2"/>
  <c r="O29" i="2"/>
  <c r="N29" i="2"/>
  <c r="L29" i="2"/>
  <c r="H29" i="2"/>
  <c r="G29" i="2"/>
  <c r="AD28" i="2"/>
  <c r="AA28" i="2"/>
  <c r="O28" i="2" s="1"/>
  <c r="W28" i="2"/>
  <c r="V28" i="2"/>
  <c r="T28" i="2"/>
  <c r="S28" i="2"/>
  <c r="Q28" i="2"/>
  <c r="P28" i="2"/>
  <c r="N28" i="2"/>
  <c r="M28" i="2"/>
  <c r="I28" i="2"/>
  <c r="U27" i="2"/>
  <c r="R27" i="2"/>
  <c r="Q27" i="2"/>
  <c r="P27" i="2"/>
  <c r="O27" i="2"/>
  <c r="N27" i="2"/>
  <c r="T27" i="2" s="1"/>
  <c r="M27" i="2"/>
  <c r="S27" i="2" s="1"/>
  <c r="L27" i="2"/>
  <c r="H27" i="2"/>
  <c r="G27" i="2"/>
  <c r="AG26" i="2"/>
  <c r="O26" i="2" s="1"/>
  <c r="AD26" i="2"/>
  <c r="AA26" i="2"/>
  <c r="L26" i="2" s="1"/>
  <c r="V26" i="2"/>
  <c r="S26" i="2"/>
  <c r="Q26" i="2"/>
  <c r="P26" i="2"/>
  <c r="N26" i="2"/>
  <c r="W26" i="2" s="1"/>
  <c r="M26" i="2"/>
  <c r="G26" i="2"/>
  <c r="AH25" i="2"/>
  <c r="AE25" i="2"/>
  <c r="Y25" i="2"/>
  <c r="Y16" i="2" s="1"/>
  <c r="Y3" i="2" s="1"/>
  <c r="W25" i="2"/>
  <c r="T25" i="2"/>
  <c r="Q25" i="2"/>
  <c r="P25" i="2"/>
  <c r="O25" i="2"/>
  <c r="N25" i="2"/>
  <c r="M25" i="2"/>
  <c r="V25" i="2" s="1"/>
  <c r="L25" i="2"/>
  <c r="R25" i="2" s="1"/>
  <c r="G25" i="2"/>
  <c r="AH24" i="2"/>
  <c r="M24" i="2" s="1"/>
  <c r="V24" i="2" s="1"/>
  <c r="S24" i="2"/>
  <c r="R24" i="2"/>
  <c r="Q24" i="2"/>
  <c r="O24" i="2"/>
  <c r="N24" i="2"/>
  <c r="T24" i="2" s="1"/>
  <c r="L24" i="2"/>
  <c r="I24" i="2"/>
  <c r="G24" i="2" s="1"/>
  <c r="H24" i="2"/>
  <c r="U23" i="2"/>
  <c r="S23" i="2"/>
  <c r="R23" i="2"/>
  <c r="Q23" i="2"/>
  <c r="P23" i="2"/>
  <c r="O23" i="2"/>
  <c r="N23" i="2"/>
  <c r="T23" i="2" s="1"/>
  <c r="M23" i="2"/>
  <c r="V23" i="2" s="1"/>
  <c r="L23" i="2"/>
  <c r="H23" i="2"/>
  <c r="G23" i="2"/>
  <c r="W22" i="2"/>
  <c r="T22" i="2"/>
  <c r="S22" i="2"/>
  <c r="Q22" i="2"/>
  <c r="P22" i="2"/>
  <c r="O22" i="2"/>
  <c r="N22" i="2"/>
  <c r="M22" i="2"/>
  <c r="V22" i="2" s="1"/>
  <c r="L22" i="2"/>
  <c r="R22" i="2" s="1"/>
  <c r="H22" i="2"/>
  <c r="G22" i="2"/>
  <c r="AD21" i="2"/>
  <c r="V21" i="2"/>
  <c r="T21" i="2"/>
  <c r="S21" i="2"/>
  <c r="Q21" i="2"/>
  <c r="P21" i="2"/>
  <c r="O21" i="2"/>
  <c r="N21" i="2"/>
  <c r="W21" i="2" s="1"/>
  <c r="M21" i="2"/>
  <c r="L21" i="2"/>
  <c r="U21" i="2" s="1"/>
  <c r="G21" i="2"/>
  <c r="AE20" i="2"/>
  <c r="U20" i="2"/>
  <c r="S20" i="2"/>
  <c r="R20" i="2"/>
  <c r="Q20" i="2"/>
  <c r="P20" i="2"/>
  <c r="O20" i="2"/>
  <c r="N20" i="2"/>
  <c r="T20" i="2" s="1"/>
  <c r="M20" i="2"/>
  <c r="V20" i="2" s="1"/>
  <c r="L20" i="2"/>
  <c r="H20" i="2"/>
  <c r="G20" i="2"/>
  <c r="AH19" i="2"/>
  <c r="AE19" i="2"/>
  <c r="AB19" i="2"/>
  <c r="R19" i="2"/>
  <c r="Q19" i="2"/>
  <c r="O19" i="2"/>
  <c r="N19" i="2"/>
  <c r="T19" i="2" s="1"/>
  <c r="L19" i="2"/>
  <c r="U19" i="2" s="1"/>
  <c r="H19" i="2"/>
  <c r="G19" i="2"/>
  <c r="AH18" i="2"/>
  <c r="AE18" i="2"/>
  <c r="M18" i="2" s="1"/>
  <c r="V18" i="2"/>
  <c r="T18" i="2"/>
  <c r="S18" i="2"/>
  <c r="Q18" i="2"/>
  <c r="P18" i="2"/>
  <c r="O18" i="2"/>
  <c r="N18" i="2"/>
  <c r="W18" i="2" s="1"/>
  <c r="L18" i="2"/>
  <c r="U18" i="2" s="1"/>
  <c r="H18" i="2"/>
  <c r="G18" i="2"/>
  <c r="AG17" i="2"/>
  <c r="AE17" i="2"/>
  <c r="P17" i="2" s="1"/>
  <c r="AD17" i="2"/>
  <c r="L17" i="2" s="1"/>
  <c r="W17" i="2"/>
  <c r="T17" i="2"/>
  <c r="Q17" i="2"/>
  <c r="N17" i="2"/>
  <c r="I17" i="2"/>
  <c r="G17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F16" i="2"/>
  <c r="AE16" i="2"/>
  <c r="AC16" i="2"/>
  <c r="AA16" i="2"/>
  <c r="Z16" i="2"/>
  <c r="X16" i="2"/>
  <c r="Q16" i="2"/>
  <c r="K16" i="2"/>
  <c r="J16" i="2"/>
  <c r="F16" i="2"/>
  <c r="E16" i="2"/>
  <c r="C35" i="3" s="1"/>
  <c r="T15" i="2"/>
  <c r="Q15" i="2"/>
  <c r="P15" i="2"/>
  <c r="O15" i="2"/>
  <c r="N15" i="2"/>
  <c r="W15" i="2" s="1"/>
  <c r="M15" i="2"/>
  <c r="S15" i="2" s="1"/>
  <c r="L15" i="2"/>
  <c r="H15" i="2" s="1"/>
  <c r="G15" i="2"/>
  <c r="V14" i="2"/>
  <c r="T14" i="2"/>
  <c r="S14" i="2"/>
  <c r="Q14" i="2"/>
  <c r="P14" i="2"/>
  <c r="O14" i="2"/>
  <c r="N14" i="2"/>
  <c r="W14" i="2" s="1"/>
  <c r="M14" i="2"/>
  <c r="L14" i="2"/>
  <c r="U14" i="2" s="1"/>
  <c r="H14" i="2"/>
  <c r="G14" i="2"/>
  <c r="T13" i="2"/>
  <c r="Q13" i="2"/>
  <c r="P13" i="2"/>
  <c r="O13" i="2"/>
  <c r="N13" i="2"/>
  <c r="W13" i="2" s="1"/>
  <c r="M13" i="2"/>
  <c r="S13" i="2" s="1"/>
  <c r="L13" i="2"/>
  <c r="H13" i="2" s="1"/>
  <c r="G13" i="2"/>
  <c r="V12" i="2"/>
  <c r="T12" i="2"/>
  <c r="S12" i="2"/>
  <c r="Q12" i="2"/>
  <c r="P12" i="2"/>
  <c r="O12" i="2"/>
  <c r="N12" i="2"/>
  <c r="W12" i="2" s="1"/>
  <c r="M12" i="2"/>
  <c r="L12" i="2"/>
  <c r="U12" i="2" s="1"/>
  <c r="H12" i="2"/>
  <c r="G12" i="2"/>
  <c r="T11" i="2"/>
  <c r="Q11" i="2"/>
  <c r="P11" i="2"/>
  <c r="O11" i="2"/>
  <c r="N11" i="2"/>
  <c r="W11" i="2" s="1"/>
  <c r="M11" i="2"/>
  <c r="S11" i="2" s="1"/>
  <c r="L11" i="2"/>
  <c r="R11" i="2" s="1"/>
  <c r="H11" i="2"/>
  <c r="G11" i="2"/>
  <c r="U10" i="2"/>
  <c r="R10" i="2"/>
  <c r="Q10" i="2"/>
  <c r="P10" i="2"/>
  <c r="O10" i="2"/>
  <c r="N10" i="2"/>
  <c r="W10" i="2" s="1"/>
  <c r="M10" i="2"/>
  <c r="S10" i="2" s="1"/>
  <c r="L10" i="2"/>
  <c r="H10" i="2"/>
  <c r="G10" i="2"/>
  <c r="W9" i="2"/>
  <c r="T9" i="2"/>
  <c r="S9" i="2"/>
  <c r="Q9" i="2"/>
  <c r="P9" i="2"/>
  <c r="O9" i="2"/>
  <c r="N9" i="2"/>
  <c r="M9" i="2"/>
  <c r="V9" i="2" s="1"/>
  <c r="L9" i="2"/>
  <c r="U9" i="2" s="1"/>
  <c r="H9" i="2"/>
  <c r="G9" i="2"/>
  <c r="U8" i="2"/>
  <c r="R8" i="2"/>
  <c r="Q8" i="2"/>
  <c r="P8" i="2"/>
  <c r="O8" i="2"/>
  <c r="N8" i="2"/>
  <c r="W8" i="2" s="1"/>
  <c r="M8" i="2"/>
  <c r="S8" i="2" s="1"/>
  <c r="L8" i="2"/>
  <c r="H8" i="2"/>
  <c r="G8" i="2"/>
  <c r="R7" i="2"/>
  <c r="Q7" i="2"/>
  <c r="P7" i="2"/>
  <c r="O7" i="2"/>
  <c r="N7" i="2"/>
  <c r="T7" i="2" s="1"/>
  <c r="M7" i="2"/>
  <c r="V7" i="2" s="1"/>
  <c r="L7" i="2"/>
  <c r="U7" i="2" s="1"/>
  <c r="H7" i="2"/>
  <c r="G7" i="2"/>
  <c r="T6" i="2"/>
  <c r="Q6" i="2"/>
  <c r="P6" i="2"/>
  <c r="O6" i="2"/>
  <c r="N6" i="2"/>
  <c r="W6" i="2" s="1"/>
  <c r="M6" i="2"/>
  <c r="S6" i="2" s="1"/>
  <c r="L6" i="2"/>
  <c r="U6" i="2" s="1"/>
  <c r="G6" i="2"/>
  <c r="AG5" i="2"/>
  <c r="AG4" i="2" s="1"/>
  <c r="AD5" i="2"/>
  <c r="O5" i="2" s="1"/>
  <c r="AA5" i="2"/>
  <c r="Q5" i="2"/>
  <c r="P5" i="2"/>
  <c r="N5" i="2"/>
  <c r="W5" i="2" s="1"/>
  <c r="M5" i="2"/>
  <c r="M4" i="2" s="1"/>
  <c r="I5" i="2"/>
  <c r="G5" i="2"/>
  <c r="BJ4" i="2"/>
  <c r="BI4" i="2"/>
  <c r="BH4" i="2"/>
  <c r="BG4" i="2"/>
  <c r="BG3" i="2" s="1"/>
  <c r="BF4" i="2"/>
  <c r="BE4" i="2"/>
  <c r="BD4" i="2"/>
  <c r="BD3" i="2" s="1"/>
  <c r="BC4" i="2"/>
  <c r="BC3" i="2" s="1"/>
  <c r="BB4" i="2"/>
  <c r="BA4" i="2"/>
  <c r="AZ4" i="2"/>
  <c r="AZ3" i="2" s="1"/>
  <c r="AY4" i="2"/>
  <c r="AY3" i="2" s="1"/>
  <c r="AX4" i="2"/>
  <c r="AW4" i="2"/>
  <c r="AV4" i="2"/>
  <c r="AV3" i="2" s="1"/>
  <c r="AU4" i="2"/>
  <c r="AU3" i="2" s="1"/>
  <c r="AT4" i="2"/>
  <c r="AS4" i="2"/>
  <c r="AR4" i="2"/>
  <c r="AR3" i="2" s="1"/>
  <c r="AQ4" i="2"/>
  <c r="AQ3" i="2" s="1"/>
  <c r="AP4" i="2"/>
  <c r="AO4" i="2"/>
  <c r="AN4" i="2"/>
  <c r="AN3" i="2" s="1"/>
  <c r="AM4" i="2"/>
  <c r="AM3" i="2" s="1"/>
  <c r="AL4" i="2"/>
  <c r="AK4" i="2"/>
  <c r="AJ4" i="2"/>
  <c r="AJ3" i="2" s="1"/>
  <c r="AI4" i="2"/>
  <c r="AI3" i="2" s="1"/>
  <c r="AH4" i="2"/>
  <c r="AF4" i="2"/>
  <c r="AE4" i="2"/>
  <c r="AC4" i="2"/>
  <c r="AB4" i="2"/>
  <c r="AA4" i="2"/>
  <c r="AA3" i="2" s="1"/>
  <c r="Z4" i="2"/>
  <c r="Y4" i="2"/>
  <c r="X4" i="2"/>
  <c r="X3" i="2" s="1"/>
  <c r="K4" i="2"/>
  <c r="K295" i="2" s="1"/>
  <c r="J4" i="2"/>
  <c r="I4" i="2"/>
  <c r="G4" i="2"/>
  <c r="F4" i="2"/>
  <c r="E4" i="2"/>
  <c r="BE3" i="2"/>
  <c r="BA3" i="2"/>
  <c r="AW3" i="2"/>
  <c r="AS3" i="2"/>
  <c r="AO3" i="2"/>
  <c r="AK3" i="2"/>
  <c r="AC3" i="2"/>
  <c r="H17" i="2" l="1"/>
  <c r="U17" i="2"/>
  <c r="V4" i="2"/>
  <c r="U26" i="2"/>
  <c r="H26" i="2"/>
  <c r="R26" i="2"/>
  <c r="P4" i="2"/>
  <c r="V5" i="2"/>
  <c r="V10" i="2"/>
  <c r="U11" i="2"/>
  <c r="U13" i="2"/>
  <c r="R17" i="2"/>
  <c r="C34" i="3"/>
  <c r="Q4" i="2"/>
  <c r="S5" i="2"/>
  <c r="S4" i="2" s="1"/>
  <c r="R6" i="2"/>
  <c r="V6" i="2"/>
  <c r="N4" i="2"/>
  <c r="AD4" i="2"/>
  <c r="L5" i="2"/>
  <c r="T5" i="2"/>
  <c r="T4" i="2" s="1"/>
  <c r="H6" i="2"/>
  <c r="T8" i="2"/>
  <c r="R9" i="2"/>
  <c r="T10" i="2"/>
  <c r="R12" i="2"/>
  <c r="R13" i="2"/>
  <c r="R14" i="2"/>
  <c r="R15" i="2"/>
  <c r="AD16" i="2"/>
  <c r="O16" i="2" s="1"/>
  <c r="AH16" i="2"/>
  <c r="M17" i="2"/>
  <c r="H21" i="2"/>
  <c r="U24" i="2"/>
  <c r="H25" i="2"/>
  <c r="T26" i="2"/>
  <c r="T16" i="2" s="1"/>
  <c r="L28" i="2"/>
  <c r="M31" i="2"/>
  <c r="R38" i="2"/>
  <c r="U38" i="2"/>
  <c r="H38" i="2"/>
  <c r="T40" i="2"/>
  <c r="W40" i="2"/>
  <c r="T41" i="2"/>
  <c r="W41" i="2"/>
  <c r="S50" i="2"/>
  <c r="V50" i="2"/>
  <c r="S86" i="2"/>
  <c r="V86" i="2"/>
  <c r="R106" i="2"/>
  <c r="R105" i="2" s="1"/>
  <c r="U106" i="2"/>
  <c r="H106" i="2"/>
  <c r="L105" i="2"/>
  <c r="W19" i="2"/>
  <c r="W20" i="2"/>
  <c r="W23" i="2"/>
  <c r="W24" i="2"/>
  <c r="U25" i="2"/>
  <c r="V27" i="2"/>
  <c r="S33" i="2"/>
  <c r="V33" i="2"/>
  <c r="V56" i="2"/>
  <c r="S56" i="2"/>
  <c r="S91" i="2"/>
  <c r="V91" i="2"/>
  <c r="R94" i="2"/>
  <c r="H94" i="2"/>
  <c r="U94" i="2"/>
  <c r="O17" i="2"/>
  <c r="M19" i="2"/>
  <c r="AB16" i="2"/>
  <c r="P16" i="2" s="1"/>
  <c r="W27" i="2"/>
  <c r="U29" i="2"/>
  <c r="R29" i="2"/>
  <c r="U30" i="2"/>
  <c r="R30" i="2"/>
  <c r="M30" i="2"/>
  <c r="T32" i="2"/>
  <c r="W32" i="2"/>
  <c r="S35" i="2"/>
  <c r="V35" i="2"/>
  <c r="S76" i="2"/>
  <c r="V76" i="2"/>
  <c r="F299" i="2"/>
  <c r="H299" i="2" s="1"/>
  <c r="F295" i="2"/>
  <c r="H295" i="2" s="1"/>
  <c r="W7" i="2"/>
  <c r="V8" i="2"/>
  <c r="U15" i="2"/>
  <c r="K3" i="2"/>
  <c r="F34" i="3"/>
  <c r="V11" i="2"/>
  <c r="V13" i="2"/>
  <c r="V15" i="2"/>
  <c r="I16" i="2"/>
  <c r="N16" i="2"/>
  <c r="W16" i="2" s="1"/>
  <c r="AG16" i="2"/>
  <c r="AG3" i="2" s="1"/>
  <c r="R18" i="2"/>
  <c r="P19" i="2"/>
  <c r="R21" i="2"/>
  <c r="U22" i="2"/>
  <c r="P24" i="2"/>
  <c r="S25" i="2"/>
  <c r="G28" i="2"/>
  <c r="R28" i="2"/>
  <c r="S29" i="2"/>
  <c r="V32" i="2"/>
  <c r="S36" i="2"/>
  <c r="V36" i="2"/>
  <c r="T37" i="2"/>
  <c r="W37" i="2"/>
  <c r="S43" i="2"/>
  <c r="V43" i="2"/>
  <c r="M44" i="2"/>
  <c r="V44" i="2" s="1"/>
  <c r="U50" i="2"/>
  <c r="H50" i="2"/>
  <c r="R50" i="2"/>
  <c r="S53" i="2"/>
  <c r="V53" i="2"/>
  <c r="V77" i="2"/>
  <c r="S77" i="2"/>
  <c r="S81" i="2"/>
  <c r="V81" i="2"/>
  <c r="S82" i="2"/>
  <c r="V82" i="2"/>
  <c r="S85" i="2"/>
  <c r="V85" i="2"/>
  <c r="T31" i="2"/>
  <c r="T33" i="2"/>
  <c r="R34" i="2"/>
  <c r="T35" i="2"/>
  <c r="T36" i="2"/>
  <c r="S38" i="2"/>
  <c r="T39" i="2"/>
  <c r="R42" i="2"/>
  <c r="T43" i="2"/>
  <c r="T44" i="2"/>
  <c r="T45" i="2"/>
  <c r="R46" i="2"/>
  <c r="T47" i="2"/>
  <c r="R48" i="2"/>
  <c r="T49" i="2"/>
  <c r="H51" i="2"/>
  <c r="S51" i="2"/>
  <c r="L52" i="2"/>
  <c r="T52" i="2"/>
  <c r="R53" i="2"/>
  <c r="T54" i="2"/>
  <c r="R55" i="2"/>
  <c r="H56" i="2"/>
  <c r="H58" i="2"/>
  <c r="S58" i="2"/>
  <c r="R60" i="2"/>
  <c r="S61" i="2"/>
  <c r="T62" i="2"/>
  <c r="H64" i="2"/>
  <c r="S64" i="2"/>
  <c r="H66" i="2"/>
  <c r="S66" i="2"/>
  <c r="H68" i="2"/>
  <c r="S68" i="2"/>
  <c r="H70" i="2"/>
  <c r="S70" i="2"/>
  <c r="H72" i="2"/>
  <c r="S72" i="2"/>
  <c r="R74" i="2"/>
  <c r="T75" i="2"/>
  <c r="R76" i="2"/>
  <c r="H77" i="2"/>
  <c r="T78" i="2"/>
  <c r="R79" i="2"/>
  <c r="T80" i="2"/>
  <c r="R81" i="2"/>
  <c r="G83" i="2"/>
  <c r="T84" i="2"/>
  <c r="R86" i="2"/>
  <c r="H87" i="2"/>
  <c r="S87" i="2"/>
  <c r="R89" i="2"/>
  <c r="T90" i="2"/>
  <c r="H92" i="2"/>
  <c r="S92" i="2"/>
  <c r="H93" i="2"/>
  <c r="S93" i="2"/>
  <c r="O94" i="2"/>
  <c r="S94" i="2"/>
  <c r="H95" i="2"/>
  <c r="S95" i="2"/>
  <c r="H97" i="2"/>
  <c r="S97" i="2"/>
  <c r="H99" i="2"/>
  <c r="S99" i="2"/>
  <c r="H101" i="2"/>
  <c r="S101" i="2"/>
  <c r="U102" i="2"/>
  <c r="R103" i="2"/>
  <c r="N104" i="2"/>
  <c r="W104" i="2" s="1"/>
  <c r="AH104" i="2"/>
  <c r="BJ104" i="2"/>
  <c r="O106" i="2"/>
  <c r="S106" i="2"/>
  <c r="S105" i="2" s="1"/>
  <c r="R118" i="2"/>
  <c r="R116" i="2" s="1"/>
  <c r="L119" i="2"/>
  <c r="R120" i="2"/>
  <c r="R119" i="2" s="1"/>
  <c r="W120" i="2"/>
  <c r="R121" i="2"/>
  <c r="R122" i="2"/>
  <c r="L123" i="2"/>
  <c r="R124" i="2"/>
  <c r="R123" i="2" s="1"/>
  <c r="W124" i="2"/>
  <c r="R125" i="2"/>
  <c r="R126" i="2"/>
  <c r="R127" i="2"/>
  <c r="R129" i="2"/>
  <c r="R130" i="2"/>
  <c r="H136" i="2"/>
  <c r="R136" i="2"/>
  <c r="H86" i="2"/>
  <c r="H89" i="2"/>
  <c r="H103" i="2"/>
  <c r="M105" i="2"/>
  <c r="AG105" i="2"/>
  <c r="AG104" i="2" s="1"/>
  <c r="U107" i="2"/>
  <c r="T108" i="2"/>
  <c r="U109" i="2"/>
  <c r="T110" i="2"/>
  <c r="U111" i="2"/>
  <c r="T112" i="2"/>
  <c r="U113" i="2"/>
  <c r="T114" i="2"/>
  <c r="U115" i="2"/>
  <c r="M116" i="2"/>
  <c r="V116" i="2" s="1"/>
  <c r="T117" i="2"/>
  <c r="T116" i="2" s="1"/>
  <c r="H118" i="2"/>
  <c r="M119" i="2"/>
  <c r="V119" i="2" s="1"/>
  <c r="H120" i="2"/>
  <c r="T121" i="2"/>
  <c r="T119" i="2" s="1"/>
  <c r="H122" i="2"/>
  <c r="H124" i="2"/>
  <c r="T125" i="2"/>
  <c r="H126" i="2"/>
  <c r="T127" i="2"/>
  <c r="T129" i="2"/>
  <c r="H130" i="2"/>
  <c r="T131" i="2"/>
  <c r="V134" i="2"/>
  <c r="S136" i="2"/>
  <c r="V136" i="2"/>
  <c r="U142" i="2"/>
  <c r="S146" i="2"/>
  <c r="S142" i="2" s="1"/>
  <c r="V146" i="2"/>
  <c r="M142" i="2"/>
  <c r="H161" i="2"/>
  <c r="U161" i="2"/>
  <c r="S183" i="2"/>
  <c r="S169" i="2" s="1"/>
  <c r="V183" i="2"/>
  <c r="M169" i="2"/>
  <c r="V169" i="2" s="1"/>
  <c r="R194" i="2"/>
  <c r="V45" i="2"/>
  <c r="V47" i="2"/>
  <c r="V49" i="2"/>
  <c r="U51" i="2"/>
  <c r="V52" i="2"/>
  <c r="V54" i="2"/>
  <c r="U56" i="2"/>
  <c r="W57" i="2"/>
  <c r="U58" i="2"/>
  <c r="W59" i="2"/>
  <c r="U61" i="2"/>
  <c r="V62" i="2"/>
  <c r="W63" i="2"/>
  <c r="U64" i="2"/>
  <c r="W65" i="2"/>
  <c r="U66" i="2"/>
  <c r="W67" i="2"/>
  <c r="U68" i="2"/>
  <c r="W69" i="2"/>
  <c r="U70" i="2"/>
  <c r="W71" i="2"/>
  <c r="U72" i="2"/>
  <c r="W73" i="2"/>
  <c r="V75" i="2"/>
  <c r="U77" i="2"/>
  <c r="V78" i="2"/>
  <c r="V80" i="2"/>
  <c r="V107" i="2"/>
  <c r="V109" i="2"/>
  <c r="V111" i="2"/>
  <c r="V113" i="2"/>
  <c r="V115" i="2"/>
  <c r="H117" i="2"/>
  <c r="L116" i="2"/>
  <c r="U117" i="2"/>
  <c r="U121" i="2"/>
  <c r="U125" i="2"/>
  <c r="U127" i="2"/>
  <c r="U129" i="2"/>
  <c r="H131" i="2"/>
  <c r="U131" i="2"/>
  <c r="H133" i="2"/>
  <c r="L132" i="2"/>
  <c r="L128" i="2" s="1"/>
  <c r="R133" i="2"/>
  <c r="S138" i="2"/>
  <c r="V138" i="2"/>
  <c r="AF141" i="2"/>
  <c r="AF3" i="2" s="1"/>
  <c r="Q142" i="2"/>
  <c r="BH141" i="2"/>
  <c r="BH3" i="2" s="1"/>
  <c r="O3" i="2" s="1"/>
  <c r="O142" i="2"/>
  <c r="S148" i="2"/>
  <c r="V148" i="2"/>
  <c r="S161" i="2"/>
  <c r="V161" i="2"/>
  <c r="R108" i="2"/>
  <c r="R109" i="2"/>
  <c r="R110" i="2"/>
  <c r="R111" i="2"/>
  <c r="P116" i="2"/>
  <c r="V117" i="2"/>
  <c r="V121" i="2"/>
  <c r="V125" i="2"/>
  <c r="V127" i="2"/>
  <c r="P128" i="2"/>
  <c r="V129" i="2"/>
  <c r="V131" i="2"/>
  <c r="P132" i="2"/>
  <c r="M133" i="2"/>
  <c r="T134" i="2"/>
  <c r="T132" i="2" s="1"/>
  <c r="W134" i="2"/>
  <c r="U136" i="2"/>
  <c r="S140" i="2"/>
  <c r="V140" i="2"/>
  <c r="T144" i="2"/>
  <c r="N142" i="2"/>
  <c r="W144" i="2"/>
  <c r="S160" i="2"/>
  <c r="V160" i="2"/>
  <c r="O169" i="2"/>
  <c r="R137" i="2"/>
  <c r="T138" i="2"/>
  <c r="R139" i="2"/>
  <c r="T140" i="2"/>
  <c r="I141" i="2"/>
  <c r="AE142" i="2"/>
  <c r="R143" i="2"/>
  <c r="R145" i="2"/>
  <c r="T146" i="2"/>
  <c r="R147" i="2"/>
  <c r="T148" i="2"/>
  <c r="R149" i="2"/>
  <c r="T150" i="2"/>
  <c r="R151" i="2"/>
  <c r="T152" i="2"/>
  <c r="R153" i="2"/>
  <c r="T154" i="2"/>
  <c r="R155" i="2"/>
  <c r="T156" i="2"/>
  <c r="R157" i="2"/>
  <c r="T158" i="2"/>
  <c r="R159" i="2"/>
  <c r="T160" i="2"/>
  <c r="G161" i="2"/>
  <c r="H162" i="2"/>
  <c r="S162" i="2"/>
  <c r="H164" i="2"/>
  <c r="R164" i="2"/>
  <c r="T165" i="2"/>
  <c r="R166" i="2"/>
  <c r="T167" i="2"/>
  <c r="R168" i="2"/>
  <c r="R170" i="2"/>
  <c r="T171" i="2"/>
  <c r="R172" i="2"/>
  <c r="T173" i="2"/>
  <c r="T169" i="2" s="1"/>
  <c r="R174" i="2"/>
  <c r="R175" i="2"/>
  <c r="R176" i="2"/>
  <c r="R177" i="2"/>
  <c r="R178" i="2"/>
  <c r="R179" i="2"/>
  <c r="R180" i="2"/>
  <c r="T181" i="2"/>
  <c r="R182" i="2"/>
  <c r="R183" i="2"/>
  <c r="R184" i="2"/>
  <c r="R185" i="2"/>
  <c r="R186" i="2"/>
  <c r="F10" i="3"/>
  <c r="I4" i="3"/>
  <c r="J187" i="2"/>
  <c r="J141" i="2" s="1"/>
  <c r="J3" i="2" s="1"/>
  <c r="O188" i="2"/>
  <c r="O187" i="2" s="1"/>
  <c r="P188" i="2"/>
  <c r="V189" i="2"/>
  <c r="V191" i="2"/>
  <c r="V193" i="2"/>
  <c r="N194" i="2"/>
  <c r="H195" i="2"/>
  <c r="L194" i="2"/>
  <c r="H194" i="2" s="1"/>
  <c r="U195" i="2"/>
  <c r="U194" i="2" s="1"/>
  <c r="T196" i="2"/>
  <c r="U197" i="2"/>
  <c r="T202" i="2"/>
  <c r="T201" i="2" s="1"/>
  <c r="W202" i="2"/>
  <c r="W201" i="2" s="1"/>
  <c r="N201" i="2"/>
  <c r="R203" i="2"/>
  <c r="R201" i="2" s="1"/>
  <c r="U203" i="2"/>
  <c r="L201" i="2"/>
  <c r="H201" i="2" s="1"/>
  <c r="H203" i="2"/>
  <c r="H151" i="2"/>
  <c r="H153" i="2"/>
  <c r="H155" i="2"/>
  <c r="H157" i="2"/>
  <c r="H159" i="2"/>
  <c r="H166" i="2"/>
  <c r="H168" i="2"/>
  <c r="L169" i="2"/>
  <c r="H170" i="2"/>
  <c r="H172" i="2"/>
  <c r="H174" i="2"/>
  <c r="O174" i="2"/>
  <c r="H175" i="2"/>
  <c r="H176" i="2"/>
  <c r="H177" i="2"/>
  <c r="H178" i="2"/>
  <c r="H179" i="2"/>
  <c r="H180" i="2"/>
  <c r="H182" i="2"/>
  <c r="H184" i="2"/>
  <c r="H186" i="2"/>
  <c r="F187" i="2"/>
  <c r="Q188" i="2"/>
  <c r="Q187" i="2" s="1"/>
  <c r="V188" i="2"/>
  <c r="Z187" i="2"/>
  <c r="Z141" i="2" s="1"/>
  <c r="Z3" i="2" s="1"/>
  <c r="AD187" i="2"/>
  <c r="AD141" i="2" s="1"/>
  <c r="AH187" i="2"/>
  <c r="AH141" i="2" s="1"/>
  <c r="AL187" i="2"/>
  <c r="AL141" i="2" s="1"/>
  <c r="AL3" i="2" s="1"/>
  <c r="AP187" i="2"/>
  <c r="AP141" i="2" s="1"/>
  <c r="AP3" i="2" s="1"/>
  <c r="AT187" i="2"/>
  <c r="AT141" i="2" s="1"/>
  <c r="AT3" i="2" s="1"/>
  <c r="AX187" i="2"/>
  <c r="AX141" i="2" s="1"/>
  <c r="AX3" i="2" s="1"/>
  <c r="BB187" i="2"/>
  <c r="BB141" i="2" s="1"/>
  <c r="BB3" i="2" s="1"/>
  <c r="BF187" i="2"/>
  <c r="BF141" i="2" s="1"/>
  <c r="BF3" i="2" s="1"/>
  <c r="BJ187" i="2"/>
  <c r="BJ141" i="2" s="1"/>
  <c r="R190" i="2"/>
  <c r="R188" i="2" s="1"/>
  <c r="R191" i="2"/>
  <c r="R192" i="2"/>
  <c r="R193" i="2"/>
  <c r="P194" i="2"/>
  <c r="V195" i="2"/>
  <c r="V194" i="2" s="1"/>
  <c r="V197" i="2"/>
  <c r="T200" i="2"/>
  <c r="W200" i="2"/>
  <c r="T206" i="2"/>
  <c r="W206" i="2"/>
  <c r="W205" i="2" s="1"/>
  <c r="N205" i="2"/>
  <c r="N187" i="2" s="1"/>
  <c r="W187" i="2" s="1"/>
  <c r="R205" i="2"/>
  <c r="R207" i="2"/>
  <c r="U207" i="2"/>
  <c r="L205" i="2"/>
  <c r="H205" i="2" s="1"/>
  <c r="H207" i="2"/>
  <c r="BI220" i="2"/>
  <c r="S222" i="2"/>
  <c r="T222" i="2"/>
  <c r="U183" i="2"/>
  <c r="U185" i="2"/>
  <c r="I5" i="3"/>
  <c r="C6" i="3"/>
  <c r="T198" i="2"/>
  <c r="W198" i="2"/>
  <c r="R199" i="2"/>
  <c r="U199" i="2"/>
  <c r="H199" i="2"/>
  <c r="T204" i="2"/>
  <c r="W204" i="2"/>
  <c r="T210" i="2"/>
  <c r="T209" i="2" s="1"/>
  <c r="W210" i="2"/>
  <c r="N209" i="2"/>
  <c r="W209" i="2" s="1"/>
  <c r="AD221" i="2"/>
  <c r="W222" i="2"/>
  <c r="U231" i="2"/>
  <c r="H231" i="2"/>
  <c r="R231" i="2"/>
  <c r="R222" i="2" s="1"/>
  <c r="N169" i="2"/>
  <c r="W169" i="2" s="1"/>
  <c r="V185" i="2"/>
  <c r="H189" i="2"/>
  <c r="L188" i="2"/>
  <c r="U189" i="2"/>
  <c r="U191" i="2"/>
  <c r="U193" i="2"/>
  <c r="T195" i="2"/>
  <c r="T197" i="2"/>
  <c r="T208" i="2"/>
  <c r="W208" i="2"/>
  <c r="S199" i="2"/>
  <c r="S194" i="2" s="1"/>
  <c r="S187" i="2" s="1"/>
  <c r="U202" i="2"/>
  <c r="U201" i="2" s="1"/>
  <c r="S203" i="2"/>
  <c r="S201" i="2" s="1"/>
  <c r="U204" i="2"/>
  <c r="I7" i="3"/>
  <c r="C7" i="3"/>
  <c r="U206" i="2"/>
  <c r="U205" i="2" s="1"/>
  <c r="S207" i="2"/>
  <c r="S205" i="2" s="1"/>
  <c r="U208" i="2"/>
  <c r="U210" i="2"/>
  <c r="H211" i="2"/>
  <c r="U212" i="2"/>
  <c r="N213" i="2"/>
  <c r="W213" i="2" s="1"/>
  <c r="U214" i="2"/>
  <c r="H215" i="2"/>
  <c r="L216" i="2"/>
  <c r="H217" i="2"/>
  <c r="W217" i="2"/>
  <c r="U218" i="2"/>
  <c r="H219" i="2"/>
  <c r="L222" i="2"/>
  <c r="P222" i="2"/>
  <c r="H223" i="2"/>
  <c r="W223" i="2"/>
  <c r="R234" i="2"/>
  <c r="H234" i="2"/>
  <c r="W237" i="2"/>
  <c r="U238" i="2"/>
  <c r="V240" i="2"/>
  <c r="W242" i="2"/>
  <c r="T242" i="2"/>
  <c r="V244" i="2"/>
  <c r="V234" i="2"/>
  <c r="S234" i="2"/>
  <c r="R236" i="2"/>
  <c r="H236" i="2"/>
  <c r="U239" i="2"/>
  <c r="R239" i="2"/>
  <c r="U243" i="2"/>
  <c r="R243" i="2"/>
  <c r="O264" i="2"/>
  <c r="L209" i="2"/>
  <c r="U211" i="2"/>
  <c r="W212" i="2"/>
  <c r="L213" i="2"/>
  <c r="W214" i="2"/>
  <c r="U215" i="2"/>
  <c r="U217" i="2"/>
  <c r="W218" i="2"/>
  <c r="U219" i="2"/>
  <c r="V222" i="2"/>
  <c r="U223" i="2"/>
  <c r="V224" i="2"/>
  <c r="V226" i="2"/>
  <c r="V228" i="2"/>
  <c r="V230" i="2"/>
  <c r="V236" i="2"/>
  <c r="S236" i="2"/>
  <c r="R238" i="2"/>
  <c r="W240" i="2"/>
  <c r="T240" i="2"/>
  <c r="V242" i="2"/>
  <c r="W244" i="2"/>
  <c r="T244" i="2"/>
  <c r="O249" i="2"/>
  <c r="T250" i="2"/>
  <c r="W250" i="2"/>
  <c r="AD264" i="2"/>
  <c r="AD249" i="2" s="1"/>
  <c r="AD233" i="2" s="1"/>
  <c r="O265" i="2"/>
  <c r="E221" i="2"/>
  <c r="E220" i="2" s="1"/>
  <c r="AG221" i="2"/>
  <c r="AG220" i="2" s="1"/>
  <c r="U241" i="2"/>
  <c r="R241" i="2"/>
  <c r="U245" i="2"/>
  <c r="R245" i="2"/>
  <c r="S246" i="2"/>
  <c r="V246" i="2"/>
  <c r="T247" i="2"/>
  <c r="W247" i="2"/>
  <c r="O233" i="2"/>
  <c r="V253" i="2"/>
  <c r="S253" i="2"/>
  <c r="Q264" i="2"/>
  <c r="T246" i="2"/>
  <c r="BJ249" i="2"/>
  <c r="H251" i="2"/>
  <c r="S251" i="2"/>
  <c r="H253" i="2"/>
  <c r="T254" i="2"/>
  <c r="R255" i="2"/>
  <c r="T256" i="2"/>
  <c r="R257" i="2"/>
  <c r="T258" i="2"/>
  <c r="R259" i="2"/>
  <c r="T260" i="2"/>
  <c r="R261" i="2"/>
  <c r="T262" i="2"/>
  <c r="R263" i="2"/>
  <c r="N265" i="2"/>
  <c r="Q265" i="2"/>
  <c r="G266" i="2"/>
  <c r="I265" i="2"/>
  <c r="V268" i="2"/>
  <c r="S268" i="2"/>
  <c r="S271" i="2"/>
  <c r="V271" i="2"/>
  <c r="V272" i="2"/>
  <c r="S272" i="2"/>
  <c r="R287" i="2"/>
  <c r="E265" i="2"/>
  <c r="E264" i="2" s="1"/>
  <c r="F13" i="3"/>
  <c r="R268" i="2"/>
  <c r="U268" i="2"/>
  <c r="H268" i="2"/>
  <c r="U251" i="2"/>
  <c r="W252" i="2"/>
  <c r="U253" i="2"/>
  <c r="V254" i="2"/>
  <c r="V256" i="2"/>
  <c r="V258" i="2"/>
  <c r="V260" i="2"/>
  <c r="V262" i="2"/>
  <c r="P266" i="2"/>
  <c r="AE266" i="2"/>
  <c r="AE265" i="2" s="1"/>
  <c r="AE264" i="2" s="1"/>
  <c r="M267" i="2"/>
  <c r="L266" i="2"/>
  <c r="O266" i="2"/>
  <c r="R267" i="2"/>
  <c r="U267" i="2"/>
  <c r="H267" i="2"/>
  <c r="S269" i="2"/>
  <c r="V269" i="2"/>
  <c r="T269" i="2"/>
  <c r="R271" i="2"/>
  <c r="H272" i="2"/>
  <c r="R273" i="2"/>
  <c r="T274" i="2"/>
  <c r="R275" i="2"/>
  <c r="T276" i="2"/>
  <c r="R277" i="2"/>
  <c r="T278" i="2"/>
  <c r="R279" i="2"/>
  <c r="T280" i="2"/>
  <c r="M282" i="2"/>
  <c r="V282" i="2" s="1"/>
  <c r="T283" i="2"/>
  <c r="T282" i="2" s="1"/>
  <c r="R284" i="2"/>
  <c r="L285" i="2"/>
  <c r="H286" i="2"/>
  <c r="S286" i="2"/>
  <c r="S282" i="2" s="1"/>
  <c r="L287" i="2"/>
  <c r="H288" i="2"/>
  <c r="U289" i="2"/>
  <c r="H290" i="2"/>
  <c r="S290" i="2"/>
  <c r="S287" i="2" s="1"/>
  <c r="W290" i="2"/>
  <c r="W270" i="2"/>
  <c r="U272" i="2"/>
  <c r="V274" i="2"/>
  <c r="V276" i="2"/>
  <c r="V278" i="2"/>
  <c r="V280" i="2"/>
  <c r="V283" i="2"/>
  <c r="V285" i="2"/>
  <c r="U286" i="2"/>
  <c r="U288" i="2"/>
  <c r="W289" i="2"/>
  <c r="U290" i="2"/>
  <c r="F63" i="3"/>
  <c r="R187" i="2" l="1"/>
  <c r="S141" i="2"/>
  <c r="H128" i="2"/>
  <c r="U128" i="2"/>
  <c r="T233" i="2"/>
  <c r="T221" i="2" s="1"/>
  <c r="T220" i="2" s="1"/>
  <c r="Q249" i="2"/>
  <c r="BJ233" i="2"/>
  <c r="U287" i="2"/>
  <c r="H287" i="2"/>
  <c r="C38" i="3"/>
  <c r="E3" i="2"/>
  <c r="R266" i="2"/>
  <c r="P264" i="2"/>
  <c r="AE249" i="2"/>
  <c r="G265" i="2"/>
  <c r="I264" i="2"/>
  <c r="U213" i="2"/>
  <c r="H213" i="2"/>
  <c r="P265" i="2"/>
  <c r="T205" i="2"/>
  <c r="U169" i="2"/>
  <c r="H169" i="2"/>
  <c r="R169" i="2"/>
  <c r="F37" i="3"/>
  <c r="G141" i="2"/>
  <c r="R132" i="2"/>
  <c r="R128" i="2" s="1"/>
  <c r="O105" i="2"/>
  <c r="V30" i="2"/>
  <c r="S30" i="2"/>
  <c r="S44" i="2"/>
  <c r="S31" i="2"/>
  <c r="V31" i="2"/>
  <c r="W4" i="2"/>
  <c r="E293" i="2"/>
  <c r="V142" i="2"/>
  <c r="M141" i="2"/>
  <c r="V141" i="2" s="1"/>
  <c r="R52" i="2"/>
  <c r="R16" i="2" s="1"/>
  <c r="H52" i="2"/>
  <c r="U52" i="2"/>
  <c r="L104" i="2"/>
  <c r="U105" i="2"/>
  <c r="H105" i="2"/>
  <c r="U28" i="2"/>
  <c r="H28" i="2"/>
  <c r="J295" i="2"/>
  <c r="AB3" i="2"/>
  <c r="AD220" i="2"/>
  <c r="O220" i="2" s="1"/>
  <c r="O221" i="2"/>
  <c r="H266" i="2"/>
  <c r="U266" i="2"/>
  <c r="U222" i="2"/>
  <c r="H222" i="2"/>
  <c r="T194" i="2"/>
  <c r="H188" i="2"/>
  <c r="L187" i="2"/>
  <c r="U188" i="2"/>
  <c r="Q141" i="2"/>
  <c r="I8" i="3"/>
  <c r="F141" i="2"/>
  <c r="R142" i="2"/>
  <c r="R141" i="2" s="1"/>
  <c r="W142" i="2"/>
  <c r="N141" i="2"/>
  <c r="W141" i="2" s="1"/>
  <c r="S133" i="2"/>
  <c r="S132" i="2" s="1"/>
  <c r="S128" i="2" s="1"/>
  <c r="V133" i="2"/>
  <c r="M132" i="2"/>
  <c r="T128" i="2"/>
  <c r="M104" i="2"/>
  <c r="V104" i="2" s="1"/>
  <c r="V105" i="2"/>
  <c r="U123" i="2"/>
  <c r="H123" i="2"/>
  <c r="F35" i="3"/>
  <c r="G16" i="2"/>
  <c r="V17" i="2"/>
  <c r="M16" i="2"/>
  <c r="S17" i="2"/>
  <c r="R5" i="2"/>
  <c r="R4" i="2" s="1"/>
  <c r="H5" i="2"/>
  <c r="L4" i="2"/>
  <c r="U5" i="2"/>
  <c r="L16" i="2"/>
  <c r="H285" i="2"/>
  <c r="L282" i="2"/>
  <c r="R285" i="2"/>
  <c r="R282" i="2" s="1"/>
  <c r="U285" i="2"/>
  <c r="V187" i="2"/>
  <c r="H132" i="2"/>
  <c r="U132" i="2"/>
  <c r="T266" i="2"/>
  <c r="T265" i="2" s="1"/>
  <c r="T264" i="2" s="1"/>
  <c r="T249" i="2" s="1"/>
  <c r="V267" i="2"/>
  <c r="S267" i="2"/>
  <c r="S266" i="2" s="1"/>
  <c r="S265" i="2" s="1"/>
  <c r="S264" i="2" s="1"/>
  <c r="S249" i="2" s="1"/>
  <c r="S233" i="2" s="1"/>
  <c r="S221" i="2" s="1"/>
  <c r="S220" i="2" s="1"/>
  <c r="M266" i="2"/>
  <c r="W265" i="2"/>
  <c r="N264" i="2"/>
  <c r="U209" i="2"/>
  <c r="H209" i="2"/>
  <c r="U216" i="2"/>
  <c r="H216" i="2"/>
  <c r="BI3" i="2"/>
  <c r="P3" i="2" s="1"/>
  <c r="P187" i="2"/>
  <c r="AE141" i="2"/>
  <c r="P142" i="2"/>
  <c r="T142" i="2"/>
  <c r="O141" i="2"/>
  <c r="H116" i="2"/>
  <c r="U116" i="2"/>
  <c r="T123" i="2"/>
  <c r="T104" i="2" s="1"/>
  <c r="U119" i="2"/>
  <c r="H119" i="2"/>
  <c r="Q104" i="2"/>
  <c r="S19" i="2"/>
  <c r="V19" i="2"/>
  <c r="AH3" i="2"/>
  <c r="O4" i="2"/>
  <c r="O297" i="2" s="1"/>
  <c r="E297" i="2" s="1"/>
  <c r="H187" i="2" l="1"/>
  <c r="U187" i="2"/>
  <c r="L141" i="2"/>
  <c r="L45" i="3"/>
  <c r="L43" i="3"/>
  <c r="L41" i="3"/>
  <c r="L39" i="3"/>
  <c r="C64" i="3"/>
  <c r="L44" i="3"/>
  <c r="L42" i="3"/>
  <c r="L40" i="3"/>
  <c r="L38" i="3"/>
  <c r="L37" i="3"/>
  <c r="L36" i="3"/>
  <c r="L35" i="3"/>
  <c r="L34" i="3"/>
  <c r="G294" i="2"/>
  <c r="E298" i="2"/>
  <c r="G298" i="2" s="1"/>
  <c r="H282" i="2"/>
  <c r="U282" i="2"/>
  <c r="M128" i="2"/>
  <c r="V128" i="2" s="1"/>
  <c r="V132" i="2"/>
  <c r="I36" i="3"/>
  <c r="U104" i="2"/>
  <c r="H104" i="2"/>
  <c r="AD3" i="2"/>
  <c r="P141" i="2"/>
  <c r="W264" i="2"/>
  <c r="N249" i="2"/>
  <c r="S16" i="2"/>
  <c r="S3" i="2" s="1"/>
  <c r="T187" i="2"/>
  <c r="R104" i="2"/>
  <c r="T141" i="2"/>
  <c r="T3" i="2" s="1"/>
  <c r="M265" i="2"/>
  <c r="V266" i="2"/>
  <c r="F66" i="3"/>
  <c r="G297" i="2"/>
  <c r="I35" i="3"/>
  <c r="H16" i="2"/>
  <c r="U16" i="2"/>
  <c r="I34" i="3"/>
  <c r="U4" i="2"/>
  <c r="H4" i="2"/>
  <c r="V16" i="2"/>
  <c r="F3" i="2"/>
  <c r="C8" i="3" s="1"/>
  <c r="F293" i="2"/>
  <c r="L265" i="2"/>
  <c r="I63" i="3"/>
  <c r="I249" i="2"/>
  <c r="G264" i="2"/>
  <c r="R265" i="2"/>
  <c r="R264" i="2" s="1"/>
  <c r="R249" i="2" s="1"/>
  <c r="R233" i="2" s="1"/>
  <c r="R221" i="2" s="1"/>
  <c r="R220" i="2" s="1"/>
  <c r="R3" i="2" s="1"/>
  <c r="C5" i="3"/>
  <c r="F4" i="3"/>
  <c r="S104" i="2"/>
  <c r="AE233" i="2"/>
  <c r="P249" i="2"/>
  <c r="Q233" i="2"/>
  <c r="BJ221" i="2"/>
  <c r="Q221" i="2" l="1"/>
  <c r="BJ220" i="2"/>
  <c r="W249" i="2"/>
  <c r="N233" i="2"/>
  <c r="I37" i="3"/>
  <c r="H141" i="2"/>
  <c r="U141" i="2"/>
  <c r="G249" i="2"/>
  <c r="I233" i="2"/>
  <c r="U265" i="2"/>
  <c r="L264" i="2"/>
  <c r="H265" i="2"/>
  <c r="AE221" i="2"/>
  <c r="P233" i="2"/>
  <c r="H294" i="2"/>
  <c r="F298" i="2"/>
  <c r="V265" i="2"/>
  <c r="M264" i="2"/>
  <c r="Q220" i="2" l="1"/>
  <c r="Q297" i="2" s="1"/>
  <c r="F297" i="2" s="1"/>
  <c r="H297" i="2" s="1"/>
  <c r="BJ3" i="2"/>
  <c r="Q3" i="2" s="1"/>
  <c r="AE220" i="2"/>
  <c r="P221" i="2"/>
  <c r="G233" i="2"/>
  <c r="I221" i="2"/>
  <c r="H298" i="2"/>
  <c r="F264" i="2"/>
  <c r="W233" i="2"/>
  <c r="N221" i="2"/>
  <c r="U264" i="2"/>
  <c r="L249" i="2"/>
  <c r="H264" i="2"/>
  <c r="V264" i="2"/>
  <c r="M249" i="2"/>
  <c r="V249" i="2" l="1"/>
  <c r="M233" i="2"/>
  <c r="N220" i="2"/>
  <c r="W221" i="2"/>
  <c r="U249" i="2"/>
  <c r="H249" i="2"/>
  <c r="L233" i="2"/>
  <c r="P220" i="2"/>
  <c r="P297" i="2" s="1"/>
  <c r="AE3" i="2"/>
  <c r="G221" i="2"/>
  <c r="I220" i="2"/>
  <c r="F38" i="3" l="1"/>
  <c r="G220" i="2"/>
  <c r="I295" i="2"/>
  <c r="I3" i="2"/>
  <c r="G3" i="2" s="1"/>
  <c r="H233" i="2"/>
  <c r="U233" i="2"/>
  <c r="L221" i="2"/>
  <c r="W220" i="2"/>
  <c r="N296" i="2"/>
  <c r="N3" i="2"/>
  <c r="W3" i="2" s="1"/>
  <c r="V233" i="2"/>
  <c r="M221" i="2"/>
  <c r="U221" i="2" l="1"/>
  <c r="H221" i="2"/>
  <c r="L220" i="2"/>
  <c r="E295" i="2"/>
  <c r="E299" i="2"/>
  <c r="G299" i="2" s="1"/>
  <c r="F296" i="2"/>
  <c r="H296" i="2" s="1"/>
  <c r="F301" i="2"/>
  <c r="H301" i="2" s="1"/>
  <c r="F300" i="2"/>
  <c r="H300" i="2" s="1"/>
  <c r="M220" i="2"/>
  <c r="V221" i="2"/>
  <c r="I38" i="3" l="1"/>
  <c r="U220" i="2"/>
  <c r="H220" i="2"/>
  <c r="L296" i="2"/>
  <c r="L3" i="2"/>
  <c r="V220" i="2"/>
  <c r="M296" i="2"/>
  <c r="M3" i="2"/>
  <c r="V3" i="2" s="1"/>
  <c r="F64" i="3"/>
  <c r="G295" i="2"/>
  <c r="I64" i="3" l="1"/>
  <c r="E302" i="2"/>
  <c r="U3" i="2"/>
  <c r="H3" i="2"/>
  <c r="E296" i="2"/>
  <c r="E301" i="2"/>
  <c r="G301" i="2" s="1"/>
  <c r="E300" i="2"/>
  <c r="G300" i="2" s="1"/>
  <c r="I65" i="3" l="1"/>
  <c r="G302" i="2"/>
  <c r="F65" i="3"/>
  <c r="G296" i="2"/>
</calcChain>
</file>

<file path=xl/comments1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D112" authorId="0">
      <text>
        <r>
          <rPr>
            <sz val="11"/>
            <color rgb="FF000000"/>
            <rFont val="Calibri"/>
            <scheme val="minor"/>
          </rPr>
          <t>======
ID#AAAAL2MisYI
Gilson Parodes    (2021-03-26 01:21:33)
(Reitoria) 
(Reserva Institucional 1%)
(R$ X,XX)</t>
        </r>
      </text>
    </comment>
    <comment ref="D114" authorId="0">
      <text>
        <r>
          <rPr>
            <sz val="11"/>
            <color rgb="FF000000"/>
            <rFont val="Calibri"/>
            <scheme val="minor"/>
          </rPr>
          <t>======
ID#AAAAL2Miso8
Gilson Parodes    (2021-03-26 01:33:15)
(Reitoria) 
(Reserva Institucional 2,5%)
(R$ X,XX) 
(Despesa de capital)</t>
        </r>
      </text>
    </comment>
    <comment ref="D116" authorId="0">
      <text>
        <r>
          <rPr>
            <sz val="11"/>
            <color rgb="FF000000"/>
            <rFont val="Calibri"/>
            <scheme val="minor"/>
          </rPr>
          <t>======
ID#AAAAL2MispE
Gilson Parodes    (2021-03-26 01:34:03)
(Reserva Institucional 1%)
(R$ X,XX)</t>
        </r>
      </text>
    </comment>
    <comment ref="D169" authorId="0">
      <text>
        <r>
          <rPr>
            <sz val="11"/>
            <color rgb="FF000000"/>
            <rFont val="Calibri"/>
            <scheme val="minor"/>
          </rPr>
          <t>======
ID#AAAAL2Mispc
Gilson Parodes    (2021-03-26 01:35:50)
(Reserva Institucional 1%)
(R$ X,XX)</t>
        </r>
      </text>
    </comment>
    <comment ref="D209" authorId="0">
      <text>
        <r>
          <rPr>
            <sz val="11"/>
            <color rgb="FF000000"/>
            <rFont val="Calibri"/>
            <scheme val="minor"/>
          </rPr>
          <t>======
ID#AAAAL2MisqI
Gilson Parodes    (2021-03-26 01:40:31)
(Reserva Institucional 1,5%)
(R$ X,XX)</t>
        </r>
      </text>
    </comment>
    <comment ref="D222" authorId="0">
      <text>
        <r>
          <rPr>
            <sz val="11"/>
            <color rgb="FF000000"/>
            <rFont val="Calibri"/>
            <scheme val="minor"/>
          </rPr>
          <t>======
ID#AAAAL2Misqw
Gilson Parodes    (2021-03-26 01:45:44)
(Reserva Institucional 1,5%)
(R$ X,XX)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aKMvPeetMaH3oEbaLYalyXbwfmA=="/>
    </ext>
  </extLst>
</comments>
</file>

<file path=xl/sharedStrings.xml><?xml version="1.0" encoding="utf-8"?>
<sst xmlns="http://schemas.openxmlformats.org/spreadsheetml/2006/main" count="945" uniqueCount="583">
  <si>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</si>
  <si>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</si>
  <si>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</si>
  <si>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</si>
  <si>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</si>
  <si>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</si>
  <si>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</si>
  <si>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</rPr>
      <t xml:space="preserve">1ª) Leia atentamente </t>
    </r>
    <r>
      <rPr>
        <b/>
        <sz val="11"/>
        <color rgb="FFFF0000"/>
        <rFont val="Calibri"/>
      </rPr>
      <t>TODAS</t>
    </r>
    <r>
      <rPr>
        <sz val="11"/>
        <color theme="1"/>
        <rFont val="Calibri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</si>
  <si>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</si>
  <si>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</rPr>
      <t>2ª) A Planilha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está protegida e as células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</si>
  <si>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</si>
  <si>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</si>
  <si>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</si>
  <si>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</si>
  <si>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</si>
  <si>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</rPr>
      <t xml:space="preserve">4ª) Havendo inclusão de linhas </t>
    </r>
    <r>
      <rPr>
        <b/>
        <sz val="11"/>
        <color rgb="FFFF0000"/>
        <rFont val="Calibri"/>
      </rPr>
      <t>ATENTEM</t>
    </r>
    <r>
      <rPr>
        <sz val="11"/>
        <color theme="1"/>
        <rFont val="Calibri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</si>
  <si>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</si>
  <si>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</rPr>
      <t xml:space="preserve">5ª) As informações deverão ser inseridas </t>
    </r>
    <r>
      <rPr>
        <b/>
        <sz val="11"/>
        <color rgb="FFFF0000"/>
        <rFont val="Calibri"/>
      </rPr>
      <t>SEMPRE</t>
    </r>
    <r>
      <rPr>
        <sz val="11"/>
        <color theme="1"/>
        <rFont val="Calibri"/>
      </rPr>
      <t xml:space="preserve"> nas células </t>
    </r>
    <r>
      <rPr>
        <b/>
        <sz val="11"/>
        <color rgb="FFFF0000"/>
        <rFont val="Calibri"/>
      </rPr>
      <t>"BRANCAS"</t>
    </r>
    <r>
      <rPr>
        <sz val="11"/>
        <color theme="1"/>
        <rFont val="Calibri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</si>
  <si>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</si>
  <si>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</rPr>
      <t xml:space="preserve">6ª) As células que forem </t>
    </r>
    <r>
      <rPr>
        <b/>
        <sz val="11"/>
        <color rgb="FFFF0000"/>
        <rFont val="Calibri"/>
      </rPr>
      <t>COLORIDAS</t>
    </r>
    <r>
      <rPr>
        <sz val="11"/>
        <color theme="1"/>
        <rFont val="Calibri"/>
      </rPr>
      <t xml:space="preserve"> possuem fórmulas, </t>
    </r>
    <r>
      <rPr>
        <b/>
        <sz val="11"/>
        <color rgb="FFFF0000"/>
        <rFont val="Calibri"/>
      </rPr>
      <t>ATENÇÃO</t>
    </r>
    <r>
      <rPr>
        <sz val="11"/>
        <color theme="1"/>
        <rFont val="Calibri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</si>
  <si>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</si>
  <si>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</rPr>
      <t xml:space="preserve">7ª) Todos os </t>
    </r>
    <r>
      <rPr>
        <b/>
        <sz val="11"/>
        <color rgb="FFFF0000"/>
        <rFont val="Calibri"/>
      </rPr>
      <t>GRÁFICOS</t>
    </r>
    <r>
      <rPr>
        <sz val="11"/>
        <color theme="1"/>
        <rFont val="Calibri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</si>
  <si>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</si>
  <si>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</rPr>
      <t>8ª) A Coluna D</t>
    </r>
    <r>
      <rPr>
        <sz val="11"/>
        <color rgb="FFFF0000"/>
        <rFont val="Calibri"/>
      </rPr>
      <t xml:space="preserve"> </t>
    </r>
    <r>
      <rPr>
        <b/>
        <sz val="11"/>
        <color rgb="FFFF0000"/>
        <rFont val="Calibri"/>
      </rPr>
      <t>"MATRIZ"</t>
    </r>
    <r>
      <rPr>
        <sz val="11"/>
        <color theme="1"/>
        <rFont val="Calibri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</si>
  <si>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</si>
  <si>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</rPr>
      <t xml:space="preserve">9ª) A Coluna E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</si>
  <si>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</si>
  <si>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</rPr>
      <t xml:space="preserve">10ª) A identificação das fontes específicas se dará na </t>
    </r>
    <r>
      <rPr>
        <b/>
        <sz val="11"/>
        <color rgb="FFFF0000"/>
        <rFont val="Calibri"/>
      </rPr>
      <t>"LINHA"</t>
    </r>
    <r>
      <rPr>
        <sz val="11"/>
        <color theme="1"/>
        <rFont val="Calibri"/>
      </rPr>
      <t xml:space="preserve">, a coluna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</si>
  <si>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</si>
  <si>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</rPr>
      <t xml:space="preserve">11ª) As Colunas H, I e J </t>
    </r>
    <r>
      <rPr>
        <b/>
        <sz val="11"/>
        <color rgb="FFFF0000"/>
        <rFont val="Calibri"/>
      </rPr>
      <t>"VALOR EMPENHADO"</t>
    </r>
    <r>
      <rPr>
        <sz val="11"/>
        <color theme="1"/>
        <rFont val="Calibri"/>
      </rPr>
      <t xml:space="preserve">, serão alimentadas com os valores dos </t>
    </r>
    <r>
      <rPr>
        <b/>
        <sz val="11"/>
        <color rgb="FFFF0000"/>
        <rFont val="Calibri"/>
      </rPr>
      <t xml:space="preserve">EMPENHOS </t>
    </r>
    <r>
      <rPr>
        <sz val="11"/>
        <color theme="1"/>
        <rFont val="Calibri"/>
      </rPr>
      <t>e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RAPs</t>
    </r>
    <r>
      <rPr>
        <sz val="11"/>
        <color theme="1"/>
        <rFont val="Calibri"/>
      </rPr>
      <t xml:space="preserve"> respectivamentes;</t>
    </r>
  </si>
  <si>
    <r>
      <rPr>
        <sz val="11"/>
        <color theme="1"/>
        <rFont val="Calibri"/>
      </rPr>
      <t>12ª) As Colunas K, L e M</t>
    </r>
    <r>
      <rPr>
        <b/>
        <sz val="11"/>
        <color rgb="FFFF0000"/>
        <rFont val="Calibri"/>
      </rPr>
      <t xml:space="preserve"> "VALOR LIQUIDADO" </t>
    </r>
    <r>
      <rPr>
        <sz val="11"/>
        <color theme="1"/>
        <rFont val="Calibri"/>
      </rPr>
      <t>serão alimentadas a partir das informações inseridas nas colunas da execução;</t>
    </r>
  </si>
  <si>
    <r>
      <rPr>
        <sz val="11"/>
        <color theme="1"/>
        <rFont val="Calibri"/>
      </rPr>
      <t xml:space="preserve">13ª) As informações referente </t>
    </r>
    <r>
      <rPr>
        <b/>
        <sz val="11"/>
        <color rgb="FFFF0000"/>
        <rFont val="Calibri"/>
      </rPr>
      <t>EXECUÇÃO</t>
    </r>
    <r>
      <rPr>
        <sz val="11"/>
        <color theme="1"/>
        <rFont val="Calibri"/>
      </rPr>
      <t xml:space="preserve"> serão informadas mês a mês nas colunas W a BF, pelos valores liquidados;</t>
    </r>
  </si>
  <si>
    <r>
      <rPr>
        <sz val="11"/>
        <color theme="1"/>
        <rFont val="Calibri"/>
      </rPr>
      <t>14ª) As Colunas N, O e P</t>
    </r>
    <r>
      <rPr>
        <b/>
        <sz val="11"/>
        <color rgb="FFFF0000"/>
        <rFont val="Calibri"/>
      </rPr>
      <t xml:space="preserve"> "VALOR PAGO"</t>
    </r>
    <r>
      <rPr>
        <sz val="11"/>
        <color theme="1"/>
        <rFont val="Calibri"/>
      </rPr>
      <t xml:space="preserve"> serão alimentadas automaticamente, replicando os valores liquidados quando as células</t>
    </r>
  </si>
  <si>
    <r>
      <rPr>
        <sz val="11"/>
        <color theme="1"/>
        <rFont val="Calibri"/>
      </rPr>
      <t xml:space="preserve">das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estiverem </t>
    </r>
    <r>
      <rPr>
        <b/>
        <sz val="11"/>
        <color rgb="FFFF0000"/>
        <rFont val="Calibri"/>
      </rPr>
      <t>ZERADOS</t>
    </r>
    <r>
      <rPr>
        <sz val="11"/>
        <color theme="1"/>
        <rFont val="Calibri"/>
      </rPr>
      <t xml:space="preserve"> ou </t>
    </r>
    <r>
      <rPr>
        <b/>
        <sz val="11"/>
        <color rgb="FFFF0000"/>
        <rFont val="Calibri"/>
      </rPr>
      <t>EM BRANCO</t>
    </r>
    <r>
      <rPr>
        <sz val="11"/>
        <color theme="1"/>
        <rFont val="Calibri"/>
      </rPr>
      <t xml:space="preserve"> e, assumirão os valores</t>
    </r>
  </si>
  <si>
    <r>
      <rPr>
        <sz val="11"/>
        <color theme="1"/>
        <rFont val="Calibri"/>
      </rPr>
      <t xml:space="preserve">destas quanto as mesmas estiverem preenchidas com valores </t>
    </r>
    <r>
      <rPr>
        <b/>
        <sz val="11"/>
        <color rgb="FFFF0000"/>
        <rFont val="Calibri"/>
      </rPr>
      <t>DIFERENTE DE ZERO</t>
    </r>
    <r>
      <rPr>
        <sz val="11"/>
        <color theme="1"/>
        <rFont val="Calibri"/>
      </rPr>
      <t>;</t>
    </r>
  </si>
  <si>
    <r>
      <rPr>
        <sz val="11"/>
        <color theme="1"/>
        <rFont val="Calibri"/>
      </rPr>
      <t xml:space="preserve">15ª) 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</si>
  <si>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</si>
  <si>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</si>
  <si>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</si>
  <si>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</si>
  <si>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</si>
  <si>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</si>
  <si>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</si>
  <si>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</si>
  <si>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</si>
  <si>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</si>
  <si>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</si>
  <si>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</si>
  <si>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</si>
  <si>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</si>
  <si>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</si>
  <si>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</si>
  <si>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</si>
  <si>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</si>
  <si>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</si>
  <si>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</si>
  <si>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</si>
  <si>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</si>
  <si>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</si>
  <si>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</si>
  <si>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</si>
  <si>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</si>
  <si>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</si>
  <si>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</si>
  <si>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</si>
  <si>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</si>
  <si>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</si>
  <si>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</si>
  <si>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</si>
  <si>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</si>
  <si>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</si>
  <si>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PLANO DE AÇÃO 2022</t>
  </si>
  <si>
    <t>DESCRIÇÃO DA AÇÃO</t>
  </si>
  <si>
    <t>MATRIZ ORÇAMENTÁRIA</t>
  </si>
  <si>
    <t>OUTROS</t>
  </si>
  <si>
    <t>% empenhado da MATRIZ (planejado)</t>
  </si>
  <si>
    <t>% liquidado da MATRIZ (planejado)</t>
  </si>
  <si>
    <t>MATRIZ</t>
  </si>
  <si>
    <t>RAP</t>
  </si>
  <si>
    <t>MATRIZ
(empenhado)</t>
  </si>
  <si>
    <t>OUTROS 
(empenhado)</t>
  </si>
  <si>
    <t>MATRIZ
(emp)</t>
  </si>
  <si>
    <t>OUTROS 
(emp.)</t>
  </si>
  <si>
    <t>NE ANO</t>
  </si>
  <si>
    <t>NE RAP</t>
  </si>
  <si>
    <t>RUBRICA</t>
  </si>
  <si>
    <t>TOTAL</t>
  </si>
  <si>
    <t>GABINETE</t>
  </si>
  <si>
    <t>2022NE000030</t>
  </si>
  <si>
    <t>3.33.90.14-14</t>
  </si>
  <si>
    <t>Diárias a servidores</t>
  </si>
  <si>
    <t>3.33.90.33-01</t>
  </si>
  <si>
    <t>Reembolso de Passagens (terrestres, aéreas, ...)</t>
  </si>
  <si>
    <t>2022NE000073</t>
  </si>
  <si>
    <t>3.33.90.39-63</t>
  </si>
  <si>
    <t>SERVIÇOS GRÁFICOS - SA PRODUÇÕES E SERV. LTDA.</t>
  </si>
  <si>
    <t>2020NE800128</t>
  </si>
  <si>
    <t>3.33.90.39-05</t>
  </si>
  <si>
    <t>2022NE000097</t>
  </si>
  <si>
    <t>RB COM. VISUAL EIRELI</t>
  </si>
  <si>
    <t>3.33.90.39-</t>
  </si>
  <si>
    <t>SERVIÇOS GRÁFICOS</t>
  </si>
  <si>
    <t>2021NE000144</t>
  </si>
  <si>
    <t>3.3390.39-63</t>
  </si>
  <si>
    <t>TAVARES E TAVARES EMPREENDIMENTOS COMERCIAIS - AGENDAS E CADERNOS</t>
  </si>
  <si>
    <t>2021NE000145</t>
  </si>
  <si>
    <t>GRÁFICA E EDITORA MUNDO LTDA. - CALENDÁRIOS DE MESA</t>
  </si>
  <si>
    <t>3.33.80.39-27</t>
  </si>
  <si>
    <t>ATENDER PAGAMENTO ANUIDADE ASSOCIAÇÃO DAS UNIVERSIDADES DE LÍNGUA PORTUGUESA - AULP</t>
  </si>
  <si>
    <t>PROAD - PRO REITORIA DE ADMINISTRAÇÃO</t>
  </si>
  <si>
    <t>2022NE000057</t>
  </si>
  <si>
    <t>2021NE000117</t>
  </si>
  <si>
    <t>3.33.90.39-77</t>
  </si>
  <si>
    <t>2021NE000030</t>
  </si>
  <si>
    <t>3.33.90.39-10</t>
  </si>
  <si>
    <t xml:space="preserve">ALUGUEL PRÉDIO DA REITORIA - SIMM CONSTRUTORA E INCORPORADORA/DPASQUA </t>
  </si>
  <si>
    <t>2021NE000063</t>
  </si>
  <si>
    <t xml:space="preserve">ALUGUEL PRÉDIO DA REITORIA -  CONSTRUTORA E INCORPORADORA/DPASQUA </t>
  </si>
  <si>
    <t>2021NE000033</t>
  </si>
  <si>
    <t>3.33.90.39-02</t>
  </si>
  <si>
    <t>LOCAÇÃO DE IMÓVEL - CONDOMÍNIO PRÉDIO REITORIA - SIMM/DPASQUA</t>
  </si>
  <si>
    <t>2022NE000052</t>
  </si>
  <si>
    <t>2021NE000034</t>
  </si>
  <si>
    <t>CONDOMÍNIO PRÉDIO REITORIA, EXERCÍCIO 2021 - DPASQUA CONSTRUCOES</t>
  </si>
  <si>
    <t>2021NE000182</t>
  </si>
  <si>
    <t>3.33.90.40-07</t>
  </si>
  <si>
    <t xml:space="preserve"> ASSOCIACAO PARANAENSE DE CULTURA - APC- EA - PJ - MANUTENÇÃO E SUPORTE TÉCNICO PERGAMUM</t>
  </si>
  <si>
    <t>2021NE000069</t>
  </si>
  <si>
    <t>MAN. CORRETIVA/ADAPTATIVA E SUSTENTACAO SOFTWARES  - APC</t>
  </si>
  <si>
    <t>2022NE000085</t>
  </si>
  <si>
    <t>2021NE000036</t>
  </si>
  <si>
    <t>3.33.90.39-58</t>
  </si>
  <si>
    <t xml:space="preserve"> TELEFONIA MÓVEL- CLARO S.A.</t>
  </si>
  <si>
    <t>2021NE000155</t>
  </si>
  <si>
    <t>3.33.90.39-43</t>
  </si>
  <si>
    <t>2022NE000029</t>
  </si>
  <si>
    <t>3.33.90.47-22</t>
  </si>
  <si>
    <t>Despesas com Taxa de Iluminação Pública Exercício 2022</t>
  </si>
  <si>
    <t>2022NE000025</t>
  </si>
  <si>
    <t>3.33.90.92-39</t>
  </si>
  <si>
    <t>Despesas Exercícios Anteriores - Taxa de Iluminação Pública RGE</t>
  </si>
  <si>
    <t>2022NE000044</t>
  </si>
  <si>
    <t>3.33.90.40-16</t>
  </si>
  <si>
    <t>NOVETTI LOCAÇÃO E SERV. ESCRITÓRIO</t>
  </si>
  <si>
    <t xml:space="preserve">2019NE800065 </t>
  </si>
  <si>
    <t>3.33.90.39-44</t>
  </si>
  <si>
    <t>2022NE000087</t>
  </si>
  <si>
    <t>2021NE000119</t>
  </si>
  <si>
    <t>Serviços Telefonia - OI S.A</t>
  </si>
  <si>
    <t>2022NE000083</t>
  </si>
  <si>
    <t>2021NE000043</t>
  </si>
  <si>
    <t>3.33.90.39-17</t>
  </si>
  <si>
    <t>2022NE000082</t>
  </si>
  <si>
    <t>2021NE000044</t>
  </si>
  <si>
    <t>ATENDER MANUTENÇÃO DOS ELEVADORES DA REITORIA -GGH ASCENSORES</t>
  </si>
  <si>
    <t>3.33.90.30-25</t>
  </si>
  <si>
    <t xml:space="preserve">Material de Consumo - Peças manutenção elevadores </t>
  </si>
  <si>
    <t>2021NE000180</t>
  </si>
  <si>
    <t>3.33.90.39-48</t>
  </si>
  <si>
    <t>ELO CONSULT. EMPRESARIAL E PROD. - Curso planilha de custos e formação 32 servidores</t>
  </si>
  <si>
    <t>2022NE000048</t>
  </si>
  <si>
    <t>2021NE000183</t>
  </si>
  <si>
    <t>INSTIT. NEGOCIOS PUBLICOS DO BRASIL - 17º congresso de Pregoeiros - 04 SERVIDORES</t>
  </si>
  <si>
    <t>2021NE000193</t>
  </si>
  <si>
    <t xml:space="preserve">DF EVENTOS E TURISMO - PASSAGENS AÉREAS </t>
  </si>
  <si>
    <t>3.33.90.33-02</t>
  </si>
  <si>
    <t>2021NE000197</t>
  </si>
  <si>
    <t>3.33.90.39-09</t>
  </si>
  <si>
    <t>DF EVENTOS E TURISMO - CONTRATO 19/2019</t>
  </si>
  <si>
    <t>3.33.90.39-12</t>
  </si>
  <si>
    <t>3.33.90.39-14</t>
  </si>
  <si>
    <t>3.33.90.39-20</t>
  </si>
  <si>
    <t>3.33.90.39-22</t>
  </si>
  <si>
    <t>3.33.90.39-41</t>
  </si>
  <si>
    <t>3.33.90.39-78</t>
  </si>
  <si>
    <t>3.33.90.39-79</t>
  </si>
  <si>
    <t>3.33.90.39-80</t>
  </si>
  <si>
    <t>2022NE000098</t>
  </si>
  <si>
    <t>2021NE000116</t>
  </si>
  <si>
    <t>2022NE000080</t>
  </si>
  <si>
    <t>2021NE000122</t>
  </si>
  <si>
    <t>2022NE000078</t>
  </si>
  <si>
    <t>2020NE800056</t>
  </si>
  <si>
    <t>2022NE000055</t>
  </si>
  <si>
    <t>2021NE000118</t>
  </si>
  <si>
    <t>2021NE000112</t>
  </si>
  <si>
    <t>3.33.91.39-90</t>
  </si>
  <si>
    <t>2022NE000084</t>
  </si>
  <si>
    <t>3.33.91.39-47</t>
  </si>
  <si>
    <t>2021NE000057</t>
  </si>
  <si>
    <t>3.33.90.39-47</t>
  </si>
  <si>
    <t>2022NE000102</t>
  </si>
  <si>
    <t>3.33.9039-17</t>
  </si>
  <si>
    <t xml:space="preserve">ELIANE RESTA DAL ROSSO GOYA - Manutenção de extintores </t>
  </si>
  <si>
    <t>2020NE800125</t>
  </si>
  <si>
    <t>Serviços de sondagem e demais serviços engenharia - GEOTEC</t>
  </si>
  <si>
    <t>2022NE000062</t>
  </si>
  <si>
    <t>ESCOLA SUPERIOR DE CONTABILIDADE - Curso /Treiamento Servidores</t>
  </si>
  <si>
    <t>3.33.50.47-08</t>
  </si>
  <si>
    <t>CONIF</t>
  </si>
  <si>
    <t>2022NE000060</t>
  </si>
  <si>
    <t>3.33.91.47-12</t>
  </si>
  <si>
    <t>2022NE000042</t>
  </si>
  <si>
    <t>3.33.90.40-06</t>
  </si>
  <si>
    <t xml:space="preserve">PISONTEC COM. E SERVIÇOS EM TECNOLOGIA - Aquisição de software AUTODESK AUTOCAD </t>
  </si>
  <si>
    <t>2022NE000089</t>
  </si>
  <si>
    <t>3.33.90.30-09</t>
  </si>
  <si>
    <t xml:space="preserve">FM DISTRIBUIDORA DE PROD. HOSPITALARES </t>
  </si>
  <si>
    <t>2022NE000090</t>
  </si>
  <si>
    <t xml:space="preserve">JVC ENGENHARIA E SERVIÇOS LTDA. </t>
  </si>
  <si>
    <t>2022NE000091</t>
  </si>
  <si>
    <t>FV NAYLOR'S CURSOS E COM. DE INSTRUMENTOS</t>
  </si>
  <si>
    <t>2022NE000092</t>
  </si>
  <si>
    <t>D.P.  DRUMOND COM. , IMPORT. E EXPORTAÇÃO</t>
  </si>
  <si>
    <t>2022NE000093</t>
  </si>
  <si>
    <t>SJT COMERCIO LTDA.</t>
  </si>
  <si>
    <t>2022NE000094</t>
  </si>
  <si>
    <t xml:space="preserve">DIGITAL BUSINESS LTDA. </t>
  </si>
  <si>
    <t>2022NE000096</t>
  </si>
  <si>
    <t xml:space="preserve">FARMA TOP MEDICAMENTOS EIRELI </t>
  </si>
  <si>
    <t>3.33.90.30-24</t>
  </si>
  <si>
    <t xml:space="preserve">Mateiriais para manutenção bens Imóveis </t>
  </si>
  <si>
    <t>2022NE000066</t>
  </si>
  <si>
    <t>3.33.90.39-16</t>
  </si>
  <si>
    <t>ALFALOG ENGENHARIA E LOGÍSTICA LTDA. - Serviços manutenção predial</t>
  </si>
  <si>
    <t>2022NE000086</t>
  </si>
  <si>
    <t>CONIF ANUIDADE EXERC.2022</t>
  </si>
  <si>
    <t>3.44.90.52.12</t>
  </si>
  <si>
    <t>Material Permanente</t>
  </si>
  <si>
    <t>2021NE000160</t>
  </si>
  <si>
    <t>3.44.90.52.41</t>
  </si>
  <si>
    <t>LIDER NOTEBOOKS COM. E SERV. LTDA. - Material Permanente</t>
  </si>
  <si>
    <t>2021NE000161</t>
  </si>
  <si>
    <t>2021NE000162</t>
  </si>
  <si>
    <t>3.44.90.52.47</t>
  </si>
  <si>
    <t>FORTT DO BRASIL LTDA. - Material Permanente</t>
  </si>
  <si>
    <t>2021NE000129</t>
  </si>
  <si>
    <t>LE VEÍCULOS E EXTINTORES LTDA. - RECARGA EXTINTORES CAMPUS SÃO BORJA</t>
  </si>
  <si>
    <t>2021NE000130</t>
  </si>
  <si>
    <t>LE VEÍCULOS E EXTINTORES LTDA. - RECARGA EXTINTORES CAMPUS SÃO VICENTE DO SUL</t>
  </si>
  <si>
    <t>3.33.90.40-15</t>
  </si>
  <si>
    <t xml:space="preserve">Serviços de Digitalização de documentos IF Farroupilha </t>
  </si>
  <si>
    <t>2020NE800096</t>
  </si>
  <si>
    <t>3.33.90.40-23</t>
  </si>
  <si>
    <t>2021NE000136</t>
  </si>
  <si>
    <t>3.33.90.39-84</t>
  </si>
  <si>
    <t>BRS SUPRIMENTOS CORPORATIVOS S/A - ALMOXARIFADO VIRTUAL UNIDADES IFFAR</t>
  </si>
  <si>
    <t>2022NE000032</t>
  </si>
  <si>
    <t>Diárias a servidores REITORIA 2022</t>
  </si>
  <si>
    <t>2022NE000077</t>
  </si>
  <si>
    <t>3.33.90.93-14</t>
  </si>
  <si>
    <t>Reembolso - Restituições Passagens</t>
  </si>
  <si>
    <t>2021NE000176</t>
  </si>
  <si>
    <t>NP TREINAMENTOS - Contratação de curso Nova Lei de Licitações</t>
  </si>
  <si>
    <t>2020NE800041</t>
  </si>
  <si>
    <t>2021NE000175</t>
  </si>
  <si>
    <t>TATIANE PIRES - Confec. e Instalação de Cortinas</t>
  </si>
  <si>
    <t>2022NE000043</t>
  </si>
  <si>
    <t>3.33.90.93-02</t>
  </si>
  <si>
    <t>Reembolso - Restituições</t>
  </si>
  <si>
    <t>3.33.90.93-03</t>
  </si>
  <si>
    <t xml:space="preserve">Ajuda de custo servidor </t>
  </si>
  <si>
    <t>2022NE000072</t>
  </si>
  <si>
    <t>3.33.90.36-28</t>
  </si>
  <si>
    <t>Empenho exerc. para pgto. avaliadores externos bancas RSC</t>
  </si>
  <si>
    <t>2022NE000075</t>
  </si>
  <si>
    <t>2021NE000042</t>
  </si>
  <si>
    <t>3.33.90.30-01</t>
  </si>
  <si>
    <t>Combustível Veículos oficiais IF FARROUPILHA - LINK CARD</t>
  </si>
  <si>
    <t>2021NE000054</t>
  </si>
  <si>
    <t>3.33.90.39-19</t>
  </si>
  <si>
    <t>Manutenção Veículos Oficiais IF FARROUPILHA - LINK CARD</t>
  </si>
  <si>
    <t>2021NE000198</t>
  </si>
  <si>
    <t>2022NE000059</t>
  </si>
  <si>
    <t>2021NE000199</t>
  </si>
  <si>
    <t>LINK CARD - MANUTENÇÃO FROTA IF FARROUPILHA</t>
  </si>
  <si>
    <t>2021NE000139</t>
  </si>
  <si>
    <t>3.33.90.39-69</t>
  </si>
  <si>
    <t xml:space="preserve">GENTE SEGURADORA S.A - Seguros Veículos </t>
  </si>
  <si>
    <t>3.33.90.47-10</t>
  </si>
  <si>
    <t>CREA - PAGAMENTO ART</t>
  </si>
  <si>
    <t>CONS. ARQUITETURA E URBANISMO - TAXAS CAU</t>
  </si>
  <si>
    <t>2022NE000099</t>
  </si>
  <si>
    <t>3.33.90.47-02</t>
  </si>
  <si>
    <t>MUNICÍPIO SANTA MARIA - TAXAS E IPTU, TERRENO REITORIA IF FARROUPILHA</t>
  </si>
  <si>
    <t>2020NE800020</t>
  </si>
  <si>
    <t>Serviços substituição placas viaturas Reitoria - WANDERSON LONDERO</t>
  </si>
  <si>
    <t>2021NE000109</t>
  </si>
  <si>
    <t>3.33.90.30-11</t>
  </si>
  <si>
    <t>BIDDEN COMERCIAL LTDA. - defensivos agrícola Campus Santo Ângelo</t>
  </si>
  <si>
    <t>2022NE000104</t>
  </si>
  <si>
    <t>EXCELLER GERENCIAMENTO E TREINAMENTO LTDA. - CURSO CAPACITAÇÃO</t>
  </si>
  <si>
    <t>2022NE000035</t>
  </si>
  <si>
    <t>LIBERTAD EDITORA DO CENTRO DE FORMAÇÃO - PALESTRA ON LINE</t>
  </si>
  <si>
    <t>2022NE000049</t>
  </si>
  <si>
    <t>CONNECT ON MARKETING DE EVENTOS EIRELI - Palestra Técnica Equipe Engenharia IFFar</t>
  </si>
  <si>
    <t>PRDI - PRÓ-REITORIA DE DESENVOLVIMENTO INSTITUCIONAL</t>
  </si>
  <si>
    <t>GERAL</t>
  </si>
  <si>
    <t>2022NE000063</t>
  </si>
  <si>
    <t>AJUDA DE CUSTO SERVIDOR</t>
  </si>
  <si>
    <t>AUXÍLIO MUDANÇA SERVIDOR</t>
  </si>
  <si>
    <t>3.33.90.18-01</t>
  </si>
  <si>
    <t xml:space="preserve"> PIQP </t>
  </si>
  <si>
    <t>PIQP</t>
  </si>
  <si>
    <t xml:space="preserve">FUNDO DE TI </t>
  </si>
  <si>
    <t>2020NE800080</t>
  </si>
  <si>
    <t>SIG/AVMB E SIG AVMB/CONT (reitoria)</t>
  </si>
  <si>
    <t>PID</t>
  </si>
  <si>
    <t>3.33.90.30-99</t>
  </si>
  <si>
    <t>Material de consumo</t>
  </si>
  <si>
    <t>Horas Curso/Concurso</t>
  </si>
  <si>
    <t>CAPACITAÇÃO DE SERVIDORES</t>
  </si>
  <si>
    <t>CAPACITAÇÃO SERVIDORES</t>
  </si>
  <si>
    <t>PROCESSO SELETIVO</t>
  </si>
  <si>
    <t>Diárias a Servidores</t>
  </si>
  <si>
    <t>33.90.39-05</t>
  </si>
  <si>
    <t>Pagamento da prova (Processo Seletivo)</t>
  </si>
  <si>
    <t>Serviços Gráficos /Publicidade</t>
  </si>
  <si>
    <t>SAÚDE REITORIA</t>
  </si>
  <si>
    <t>3.33.90.30-36</t>
  </si>
  <si>
    <t>Material de consumo -Setor de Saúde</t>
  </si>
  <si>
    <t>3.33.90.30-28</t>
  </si>
  <si>
    <t>TI</t>
  </si>
  <si>
    <t>2020NE800010</t>
  </si>
  <si>
    <t>2022NE000079</t>
  </si>
  <si>
    <t>3.33.90.40-12</t>
  </si>
  <si>
    <t>3.44.90.52-41</t>
  </si>
  <si>
    <t>Material Permanente - DTI</t>
  </si>
  <si>
    <t>3.44.90.52-47</t>
  </si>
  <si>
    <t xml:space="preserve">Material Permanente - DTI </t>
  </si>
  <si>
    <t>2020NE800165</t>
  </si>
  <si>
    <t>Material Permanente - DTI - NOTEBOOKS</t>
  </si>
  <si>
    <t>3.33.90.30</t>
  </si>
  <si>
    <t>Material de consumo DTI</t>
  </si>
  <si>
    <t>PROEN - PRÓ REITORIA DE ENSINO</t>
  </si>
  <si>
    <t>2022NE000031</t>
  </si>
  <si>
    <t>2022NE000069</t>
  </si>
  <si>
    <t>AJUDA DE CUSTO SERVIDOR EDISON GONZAGUE</t>
  </si>
  <si>
    <t>3.44.90.52-42</t>
  </si>
  <si>
    <t xml:space="preserve">Material permanente </t>
  </si>
  <si>
    <t>Material permanente</t>
  </si>
  <si>
    <t>3.44.90.52-33</t>
  </si>
  <si>
    <t>3.33.90.30-17</t>
  </si>
  <si>
    <t>Material de consumo - DEAD</t>
  </si>
  <si>
    <t>3.33.90.30-26</t>
  </si>
  <si>
    <t>3.33.90.30-29</t>
  </si>
  <si>
    <t>2022NE000071</t>
  </si>
  <si>
    <t>2021NE000027</t>
  </si>
  <si>
    <t>CONDOMÍNIO IMÓVEL- EAD - ASSOCIACAO PARQUE TEC</t>
  </si>
  <si>
    <t>2022NE000070</t>
  </si>
  <si>
    <t>2021NE000056</t>
  </si>
  <si>
    <t>LOCAÇÃO DE IMÓVEL- EAD - ASSOCIACAO PARQUE TEC</t>
  </si>
  <si>
    <t>DESPESAS DE EXERCICIOS ANTERIORES - LOCAÇÃO DE IMÓVEL</t>
  </si>
  <si>
    <t>3.3390.40.07</t>
  </si>
  <si>
    <t xml:space="preserve">Serviços de TIC </t>
  </si>
  <si>
    <t>2022NE000067</t>
  </si>
  <si>
    <t>SA PRODUÇÕES E SERVIÇOS LTDA. - ADESIVOS</t>
  </si>
  <si>
    <t>3.33.90.47</t>
  </si>
  <si>
    <t>2022NE000105</t>
  </si>
  <si>
    <t>3.33.90.37-01</t>
  </si>
  <si>
    <t>Equipe Serviços Humanizados Eireli - Contratação Tradutor Intérprete de Libras - demandas Reitoria</t>
  </si>
  <si>
    <t>3.33.90.33</t>
  </si>
  <si>
    <t xml:space="preserve">Transporte - Visitas técnicas </t>
  </si>
  <si>
    <t>2020NE800029</t>
  </si>
  <si>
    <t>Seguro alunos e estagiários IF FARROUPILHA - ALFA PREVIDÊNCIA</t>
  </si>
  <si>
    <t xml:space="preserve">PROJETOS DE ENSINO </t>
  </si>
  <si>
    <t>Bolsas PROJEN / Monitorias</t>
  </si>
  <si>
    <t>2021NE000048</t>
  </si>
  <si>
    <t>BOLSISTAS DE PROJ. DE MONITORIA  EAD/UAB MEMO PROEN 610/2021.
Local da Entrega</t>
  </si>
  <si>
    <t>2021NE000049</t>
  </si>
  <si>
    <t>2021NE000058</t>
  </si>
  <si>
    <t>2022NE000036</t>
  </si>
  <si>
    <t>3.33.90.48-01</t>
  </si>
  <si>
    <t>PRISCYLLA JORDANIA PEREIRA DE MESQUITA - PGTO. COLABORADOR PROGRAMA CONSOLIDAÇÃO E ACOMPANHAMENTO EAD IFFAR</t>
  </si>
  <si>
    <t>2022NE000037</t>
  </si>
  <si>
    <t>MARIA APARECIDA MONTEIRO DEPONTI - PGTO. COLABORADOR PROGRAMA CONSOLIDAÇÃO E ACOMPANHAMENTO EAD IFFAR</t>
  </si>
  <si>
    <t>2022NE000038</t>
  </si>
  <si>
    <t>KARINA WIECHORK - PGTO. COLABORADOR PROGRAMA CONSOLIDAÇÃO E ACOMPANHAMENTO EAD IFFAR</t>
  </si>
  <si>
    <t>2022NE000039</t>
  </si>
  <si>
    <t>FRANCIELE MEINERZ FORIGO - PGTO. COLABORADOR PROGRAMA CONSOLIDAÇÃO E ACOMPANHAMENTO EAD IFFAR</t>
  </si>
  <si>
    <t>2022NE000040</t>
  </si>
  <si>
    <t>LEONARDO MATHEUS PAGANI BENVENUTTI - PGTO. COLABORADOR PROGRAMA CONSOLIDAÇÃO E ACOMPANHAMENTO EAD IFFAR</t>
  </si>
  <si>
    <t>2022NE000041</t>
  </si>
  <si>
    <t>SILVIA SAMPAIO CHAGAS GOMES - PGTO. COLABORADOR PROGRAMA CONSOLIDAÇÃO E ACOMPANHAMENTO EAD IFFAR</t>
  </si>
  <si>
    <t>2022NE000106</t>
  </si>
  <si>
    <t>3.33.90.36-06</t>
  </si>
  <si>
    <t>LEANDRO AYRES PERES - COLABORADOR EXTERNO APOIO TÉCNICO EAD - EDITAL 82/2022 - PROEN/DEAD/REITORIA IFFAR</t>
  </si>
  <si>
    <t>2022NE000107</t>
  </si>
  <si>
    <t>LAIS FALCADE - COLABORADOR EXTERNO APOIO TÉCNICO EAD - EDITAL 82/2022 - PROEN/DEAD/REITORIA IFFAR</t>
  </si>
  <si>
    <t>2022NE000108</t>
  </si>
  <si>
    <t>ANDRE CARLOS MARCHIORO - COLABORADOR EXTERNO APOIO TÉCNICO EAD - EDITAL 82/2022 - PROEN/DEAD/REITORIA IFFAR</t>
  </si>
  <si>
    <t>2020NE800158</t>
  </si>
  <si>
    <t>Prest. Serviços, apoio administrativo - CONTRATAÇÃO FUNDAÇÃO PARA DESENVOLVIMENTO PROJETO EJA - TED 9881/SIMEC</t>
  </si>
  <si>
    <t>2021NE000105</t>
  </si>
  <si>
    <t>Programa Consolidação e Acompanhamento EAD IFFAR - MARCO ANTÔNIO MALHEIROS</t>
  </si>
  <si>
    <t>2022NE000064</t>
  </si>
  <si>
    <t>VITOR HENRIQUE PARO - PALESTRANTE PARCELA Gestão Escolar Democrática</t>
  </si>
  <si>
    <t>ASSISTÊNCIA ESTUDANTIL</t>
  </si>
  <si>
    <t xml:space="preserve">5% CUSTEIO DO CAMPUS </t>
  </si>
  <si>
    <t>Contratação de serviço de terceiros para realização de eventos</t>
  </si>
  <si>
    <t xml:space="preserve">Monitor de Aluno Especial </t>
  </si>
  <si>
    <t>3.33.90.47-18</t>
  </si>
  <si>
    <t>Patronal Monitores</t>
  </si>
  <si>
    <t>Material Saúde Permanente (camara fria - equipamentos TI)</t>
  </si>
  <si>
    <t>PNAES</t>
  </si>
  <si>
    <t>3.33.90.18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</si>
  <si>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</si>
  <si>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</si>
  <si>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</si>
  <si>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</si>
  <si>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3.33.90.32-05</t>
  </si>
  <si>
    <t xml:space="preserve">Alimentação Escolar (Agricultura Familiar) </t>
  </si>
  <si>
    <t>RIP</t>
  </si>
  <si>
    <t>FNDE</t>
  </si>
  <si>
    <t xml:space="preserve">Alimentação Escolar </t>
  </si>
  <si>
    <t>3.33.90.32</t>
  </si>
  <si>
    <t>Chamada Pública (agricultura Familiar )</t>
  </si>
  <si>
    <t xml:space="preserve">AÇÕES INCLUSIVAS </t>
  </si>
  <si>
    <t xml:space="preserve">Patronal </t>
  </si>
  <si>
    <t>Serviços de seleção e treinamento</t>
  </si>
  <si>
    <t>BIBLIOTECA</t>
  </si>
  <si>
    <t>3.44.90.52-18</t>
  </si>
  <si>
    <t>Material Permanente (móveis / livros)</t>
  </si>
  <si>
    <t>3.33.90.39-65</t>
  </si>
  <si>
    <t xml:space="preserve">Serviços </t>
  </si>
  <si>
    <t>COORDENAÇÕES EIXOS/CURSOS</t>
  </si>
  <si>
    <t>Material de Consumo</t>
  </si>
  <si>
    <t>Material permanente (equipamentos para laboratório) (NUGEDI, NUGEA)</t>
  </si>
  <si>
    <t>3.44.90.52</t>
  </si>
  <si>
    <t xml:space="preserve">Material Permanente (Aquisição Bibliográfica) </t>
  </si>
  <si>
    <t>PRPPGI -PRO REITORIA DE PESQUISA POS GRADUAÇÃO E INOVAÇÃO</t>
  </si>
  <si>
    <t xml:space="preserve">PESQUISA </t>
  </si>
  <si>
    <t>PROJETOS DE PESQUISA</t>
  </si>
  <si>
    <t>2022NE000068</t>
  </si>
  <si>
    <t>AUX. MUDANÇA PATRÍCIA ALESSANDRA MENEGUZZI</t>
  </si>
  <si>
    <t>2022NE000050</t>
  </si>
  <si>
    <t>3.33.90.20-01</t>
  </si>
  <si>
    <t>BOLSAS COORDENADOR - EDITAL 357/2019</t>
  </si>
  <si>
    <t>2022NE000051</t>
  </si>
  <si>
    <t>BOLSAS ALUNOS - EDITAL 357/2019</t>
  </si>
  <si>
    <t>BOLSAS ALUNOS</t>
  </si>
  <si>
    <t>2020NE800142</t>
  </si>
  <si>
    <t>3.44.90.52-35</t>
  </si>
  <si>
    <t>2022NE000034</t>
  </si>
  <si>
    <t>OUTRAS DESPESAS COM PESQUISA</t>
  </si>
  <si>
    <t>Coordenação de Pós Graduação</t>
  </si>
  <si>
    <t>2022NE000054</t>
  </si>
  <si>
    <t>3.33.90.39-01</t>
  </si>
  <si>
    <t>ATENDER ANUIDADE ASSOCIAÇÃO -ABEC</t>
  </si>
  <si>
    <t>ATENDER ANUIDADE FORPROP (FORUM PRÓ-REITORES DE PESQUISA)</t>
  </si>
  <si>
    <t>2022NE000053</t>
  </si>
  <si>
    <t>2021NE000079</t>
  </si>
  <si>
    <t>ATENDER DESPESAS COM SERVIÇOS DE REGISTROS ANUIDADE ABEC BRASIL</t>
  </si>
  <si>
    <t>2022NE000061</t>
  </si>
  <si>
    <t>3.33.91.47-10</t>
  </si>
  <si>
    <t>INSTITUTO NACIONAL DA PROPRIEDADE INDUSTRIAL -  ANUIDADES E REGISTRO DE PATENETES 2022</t>
  </si>
  <si>
    <t>2022NE000103</t>
  </si>
  <si>
    <t xml:space="preserve">ASSOCIAÇÃO NACIONAL DAS ENTIDADES PROMOTORAS - CURSO CAPACITAÇÃO </t>
  </si>
  <si>
    <t xml:space="preserve">Serviço Consultoria PRPPGI </t>
  </si>
  <si>
    <t>2022NE000047</t>
  </si>
  <si>
    <t xml:space="preserve">ATENDER ANUIDADE ANPROTEC </t>
  </si>
  <si>
    <t>2021NE000111</t>
  </si>
  <si>
    <t>LUCILIA DE SOUZA MACHADO - PALESTRANTE PROFEPT</t>
  </si>
  <si>
    <t>Serviços</t>
  </si>
  <si>
    <t xml:space="preserve">AÇÕES EXTENSÃO - PROJETO EXTENSÃO - CARTÃO BB PESQUISADOR </t>
  </si>
  <si>
    <t>CONTRATAÇÃO DE SERVIÇOS</t>
  </si>
  <si>
    <t>2022NE000056</t>
  </si>
  <si>
    <t>COOPERAÇÃO TÉCNICA IFFAR E UFPEL - DOUTORADO DINTER</t>
  </si>
  <si>
    <t>CARTÃO BB, EDITAIS 298/2021 E 323/2021 - PROCESSO SELETIVO APOIO FINANCEIRO PARA PROJETOS DE IMPLANTAÇÃO LABORATÓRIOS IFMAKER</t>
  </si>
  <si>
    <t>TED 9952 - LABORATÓRIO IF MAKER</t>
  </si>
  <si>
    <t>2020NE800148</t>
  </si>
  <si>
    <t>3.44.90.52-34</t>
  </si>
  <si>
    <t>Material Permanente - TED 9952, Laboratórios IF Maker</t>
  </si>
  <si>
    <t>3.44.90.52-38</t>
  </si>
  <si>
    <t>2020NE800180</t>
  </si>
  <si>
    <t>2020NE800181</t>
  </si>
  <si>
    <t>2020NE800182</t>
  </si>
  <si>
    <t>2020NE800183</t>
  </si>
  <si>
    <t>2020NE800184</t>
  </si>
  <si>
    <t>2020NE800185</t>
  </si>
  <si>
    <t>2020NE800186</t>
  </si>
  <si>
    <t>2020NE800187</t>
  </si>
  <si>
    <t>2020NE800193</t>
  </si>
  <si>
    <t>2020NE800196</t>
  </si>
  <si>
    <t>2020NE800202</t>
  </si>
  <si>
    <t>PROEX -PRO REITORIA DE EXTENSÃO</t>
  </si>
  <si>
    <t>EXTENSÃO</t>
  </si>
  <si>
    <t>PROJETOS DE EXTENSÃO</t>
  </si>
  <si>
    <t>2021NE000184</t>
  </si>
  <si>
    <t>ADRIANO MARCHESAN- Coord. Geral Bolsa Formação Programa Qualifica Mais Energif</t>
  </si>
  <si>
    <t>2021NE000185</t>
  </si>
  <si>
    <t>DÉBORA PINHEIRO- Coord. Adjunto Bolsa Formação Programa Qualifica Mais Energif</t>
  </si>
  <si>
    <t>2021NE000186</t>
  </si>
  <si>
    <t>FRANCISCO GIRALDI- Apoio atividades acad. e adm. Bolsa Formação Programa Qualifica Mais Energif</t>
  </si>
  <si>
    <t>2021NE000187</t>
  </si>
  <si>
    <t>LUIZA FLORES SOLNER- Apoio atividades acad. e adm. Bolsa Formação Programa Qualifica Mais Energif</t>
  </si>
  <si>
    <t>2021NE000188</t>
  </si>
  <si>
    <t>MARINA CAMPONOGARA-  PROFESSOR Bolsa Formação Programa Qualifica Mais Energif</t>
  </si>
  <si>
    <t>2021NE000189</t>
  </si>
  <si>
    <t>3.33.91.47-18</t>
  </si>
  <si>
    <t>INSS PATRONAL COLABORADORES EXTERNOS BOLSA FORMAÇÃO PROGRAMA ENERGIF</t>
  </si>
  <si>
    <t>3.33.90.36.33</t>
  </si>
  <si>
    <t xml:space="preserve">Consolidação e Acompanhamento da EaD no IFFar-COORDENADOR DE CURSO </t>
  </si>
  <si>
    <t>Consolidação e Acompanhamento da EaD no IFFar-colaborador EAD</t>
  </si>
  <si>
    <t>2022NE000100</t>
  </si>
  <si>
    <t>SHAMOU ESPORTES COM. E SERVÇOS  - SERVIÇOS DE ARBITRAGEM</t>
  </si>
  <si>
    <t>2022NE000101</t>
  </si>
  <si>
    <t>ANDREIA ARLETE WEISE - CONFEC. MEDALHAS</t>
  </si>
  <si>
    <t>3.33.90.20--01</t>
  </si>
  <si>
    <t xml:space="preserve">AÇÕES PROEX - PROJETO EXTENSÃO - CARTÃO BB PESQUISADOR </t>
  </si>
  <si>
    <t>2020NE800097</t>
  </si>
  <si>
    <t>Seguro - MBM SEGURADORA</t>
  </si>
  <si>
    <t>OUTRAS DESPESAS COM EXTENSÃO</t>
  </si>
  <si>
    <t>2022NE000088</t>
  </si>
  <si>
    <t>GAVA IMPRESSÃO DIGITAL LTDA.</t>
  </si>
  <si>
    <t>NUGEA</t>
  </si>
  <si>
    <t>2022NE000033</t>
  </si>
  <si>
    <t>DIÁRIAS SERVIDORES PROEX</t>
  </si>
  <si>
    <t>2022NE000065</t>
  </si>
  <si>
    <t>PRODUÇÃO</t>
  </si>
  <si>
    <t>Outros serviços de terceiros (Jamir) emenda parlamentar</t>
  </si>
  <si>
    <t>Apoio/Fomento as Ações de Extensão</t>
  </si>
  <si>
    <t>RESUMO GERAL DA EXECUÇÃO ORÇAMENTÁRIA</t>
  </si>
  <si>
    <t>PERCENTUAIS COMPARATIVOS</t>
  </si>
  <si>
    <t>CONTROLE DE NCs RECEBIDAS - LIBERAÇÃO DE ORÇAMENTO - MATRIZ</t>
  </si>
  <si>
    <t>CONTROLE DE NCs RECEBIDAS - LIBERAÇÃO DE ORÇAMENTO - ASSISTÊNCIA</t>
  </si>
  <si>
    <t>CONTROLE DE NCs RECEBIDAS - LIBERAÇÃO DE ORÇAMENTO - FNDE</t>
  </si>
  <si>
    <t>CONTROLE DE NCs RECEBIDAS - LIBERAÇÃO DE ORÇAMENTO - RECEITA PRÓPRIA</t>
  </si>
  <si>
    <t>CONTROLE DE NCs RECEBIDAS - LIBERAÇÃO DE ORÇAMENTO - OUTRAS FONTES</t>
  </si>
  <si>
    <t>ORÇAMENTO PLANEJADO</t>
  </si>
  <si>
    <t>ORÇAMENTO LIBERADO</t>
  </si>
  <si>
    <t>ORÇAMENTO EMPENHADO</t>
  </si>
  <si>
    <t>ORÇAMENTO EXECUTADO</t>
  </si>
  <si>
    <t>ORÇAMENTO PAGO</t>
  </si>
  <si>
    <t>SALDO PLANEJADO A LIBERAR</t>
  </si>
  <si>
    <t>SALDO LIBERADO A EMPENHAR</t>
  </si>
  <si>
    <t>SALDO EMPENHADO A EXECUTAR</t>
  </si>
  <si>
    <t>SALDO EXECUTADO A PAGAR</t>
  </si>
  <si>
    <t>SALDO DE RESTOS A PAGAR</t>
  </si>
  <si>
    <t>DISTRIBUIÇÃO DO ORÇAMENTO POR FONTE DE RECURSO</t>
  </si>
  <si>
    <t>DISTRIBUIÇÃO DAS RESERVAS ORÇAMENTÁRIAS</t>
  </si>
  <si>
    <t>DISTRIBUIÇÃO DO ORÇAMENTO DA ASSISTÊNCIA ESTUDANTIL</t>
  </si>
  <si>
    <t>RECURSO LIVRE</t>
  </si>
  <si>
    <t>DISTRIBUIÇÃO DA MATRIZ ORÇAMENTÁRIA POR DIRETORIA</t>
  </si>
  <si>
    <t>DESPESA EMPENHADA POR DIRETORIA</t>
  </si>
  <si>
    <t>DESPESA EXECUTADA POR DIRETORIA</t>
  </si>
  <si>
    <t>ORÇAMENTO PLANEJADO X ORÇAMENTO LIBERADO (POR MÊS)</t>
  </si>
  <si>
    <t>MÊS DE REFERÊNCIA</t>
  </si>
  <si>
    <t>PLANEJADO</t>
  </si>
  <si>
    <t>LIBERADO</t>
  </si>
  <si>
    <t>ORÇAMENTO PLANEJADO X ORÇAMENTO LIBERADO</t>
  </si>
  <si>
    <t>DESPESAS EMPENHADAS, LIQUIDADAS E PAGAS</t>
  </si>
  <si>
    <t>EXECUÇÃO DOS RESTOS A PAGAR - RAPs</t>
  </si>
  <si>
    <t>RECURSOS MATRIZ ORÇAMENTÁRIA</t>
  </si>
  <si>
    <t>ORÇAMENTO LIBERADO - MATRIZ ORÇAMENTÁRIA</t>
  </si>
  <si>
    <t>RAPs - INSCRITOS</t>
  </si>
  <si>
    <t>RAPs - PAGOS</t>
  </si>
  <si>
    <t>RAPs - SALDO</t>
  </si>
  <si>
    <r>
      <t xml:space="preserve">Empresa de Design e Publicidade - </t>
    </r>
    <r>
      <rPr>
        <b/>
        <sz val="14"/>
        <color rgb="FF000000"/>
        <rFont val="Calibri"/>
        <family val="2"/>
      </rPr>
      <t>IGOR HENRIQUE DE OLIVEIRA</t>
    </r>
  </si>
  <si>
    <r>
      <t xml:space="preserve">Vigilância diurna e noturna Reitoria - </t>
    </r>
    <r>
      <rPr>
        <b/>
        <sz val="14"/>
        <color theme="1"/>
        <rFont val="Calibri"/>
        <family val="2"/>
      </rPr>
      <t>M D SERVIÇOS DE SEGURANÇA</t>
    </r>
  </si>
  <si>
    <r>
      <t xml:space="preserve">Serviços - Fornecimento Energia Elétrica - </t>
    </r>
    <r>
      <rPr>
        <b/>
        <sz val="14"/>
        <color theme="1"/>
        <rFont val="Calibri"/>
        <family val="2"/>
      </rPr>
      <t>RGE</t>
    </r>
  </si>
  <si>
    <r>
      <t>Água e Esgoto</t>
    </r>
    <r>
      <rPr>
        <b/>
        <sz val="14"/>
        <color theme="1"/>
        <rFont val="Calibri"/>
        <family val="2"/>
      </rPr>
      <t xml:space="preserve"> (CORSAN)</t>
    </r>
  </si>
  <si>
    <r>
      <t xml:space="preserve">Manutenção Central Telefônica </t>
    </r>
    <r>
      <rPr>
        <b/>
        <sz val="14"/>
        <color theme="1"/>
        <rFont val="Calibri"/>
        <family val="2"/>
      </rPr>
      <t>(FERNANDO GUEDES REGINATO)</t>
    </r>
  </si>
  <si>
    <r>
      <rPr>
        <sz val="14"/>
        <color theme="1"/>
        <rFont val="Calibri"/>
        <family val="2"/>
      </rPr>
      <t>Limpeza -</t>
    </r>
    <r>
      <rPr>
        <b/>
        <sz val="14"/>
        <color theme="1"/>
        <rFont val="Calibri"/>
        <family val="2"/>
      </rPr>
      <t xml:space="preserve"> SULCLEAN - CONTRATO 01/2020 REITORIA</t>
    </r>
  </si>
  <si>
    <r>
      <t xml:space="preserve">Serviços Motorista - </t>
    </r>
    <r>
      <rPr>
        <b/>
        <sz val="14"/>
        <color rgb="FF000000"/>
        <rFont val="Calibri"/>
        <family val="2"/>
      </rPr>
      <t>LIDERANÇA</t>
    </r>
  </si>
  <si>
    <r>
      <t xml:space="preserve">Serviços Almoxarifado (Apoio administrativo) - </t>
    </r>
    <r>
      <rPr>
        <b/>
        <sz val="14"/>
        <color rgb="FF000000"/>
        <rFont val="Calibri"/>
        <family val="2"/>
      </rPr>
      <t>SOBERANA</t>
    </r>
  </si>
  <si>
    <r>
      <t xml:space="preserve">Serviços Copeiragem - </t>
    </r>
    <r>
      <rPr>
        <b/>
        <sz val="14"/>
        <color rgb="FF000000"/>
        <rFont val="Calibri"/>
        <family val="2"/>
      </rPr>
      <t>LIDERANÇA</t>
    </r>
  </si>
  <si>
    <r>
      <t xml:space="preserve">Serviços apoio administrativo - </t>
    </r>
    <r>
      <rPr>
        <b/>
        <sz val="14"/>
        <color rgb="FF000000"/>
        <rFont val="Calibri"/>
        <family val="2"/>
      </rPr>
      <t>MERCOSERVICE</t>
    </r>
  </si>
  <si>
    <r>
      <t xml:space="preserve">Publicidade legal Jornal </t>
    </r>
    <r>
      <rPr>
        <b/>
        <sz val="14"/>
        <color rgb="FF000000"/>
        <rFont val="Calibri"/>
        <family val="2"/>
      </rPr>
      <t>(W&amp;M Publicações/GIBBOR PUBLICIDADE)</t>
    </r>
  </si>
  <si>
    <r>
      <t xml:space="preserve">Publicidade legal D.O.U </t>
    </r>
    <r>
      <rPr>
        <b/>
        <sz val="14"/>
        <color theme="1"/>
        <rFont val="Calibri"/>
        <family val="2"/>
      </rPr>
      <t>(EBC)</t>
    </r>
  </si>
  <si>
    <r>
      <t xml:space="preserve">Comunicação - Correios </t>
    </r>
    <r>
      <rPr>
        <b/>
        <sz val="14"/>
        <color theme="1"/>
        <rFont val="Calibri"/>
        <family val="2"/>
      </rPr>
      <t>(EBCT)</t>
    </r>
  </si>
  <si>
    <r>
      <t xml:space="preserve">Tributos </t>
    </r>
    <r>
      <rPr>
        <b/>
        <sz val="14"/>
        <color theme="1"/>
        <rFont val="Calibri"/>
        <family val="2"/>
      </rPr>
      <t xml:space="preserve">(PIS/Pasep) </t>
    </r>
  </si>
  <si>
    <r>
      <t xml:space="preserve">Emissão Certificação Digital - </t>
    </r>
    <r>
      <rPr>
        <b/>
        <sz val="14"/>
        <color rgb="FF000000"/>
        <rFont val="Calibri"/>
        <family val="2"/>
      </rPr>
      <t>Serviços de TIC - SERPRO</t>
    </r>
  </si>
  <si>
    <r>
      <t xml:space="preserve">Passagens e despesas com locomoção, passagens aéreas Reitoria - </t>
    </r>
    <r>
      <rPr>
        <b/>
        <sz val="14"/>
        <color rgb="FF000000"/>
        <rFont val="Calibri"/>
        <family val="2"/>
      </rPr>
      <t>DF TURISMO E EVENTOS</t>
    </r>
  </si>
  <si>
    <r>
      <t>Locação de equipamentos de impressão</t>
    </r>
    <r>
      <rPr>
        <b/>
        <sz val="14"/>
        <color theme="1"/>
        <rFont val="Calibri"/>
        <family val="2"/>
      </rPr>
      <t xml:space="preserve"> - Serviços de TIC - NOVETTI</t>
    </r>
  </si>
  <si>
    <r>
      <t xml:space="preserve">Manutenção de Equipamentos Eletrônicos e Hardware - </t>
    </r>
    <r>
      <rPr>
        <b/>
        <sz val="14"/>
        <color theme="1"/>
        <rFont val="Calibri"/>
        <family val="2"/>
      </rPr>
      <t>Serviços de TIC - ILHA SERVICE TECNOLOGIA E SERVIÇO</t>
    </r>
  </si>
  <si>
    <r>
      <t xml:space="preserve">Licença de uso softwares - </t>
    </r>
    <r>
      <rPr>
        <b/>
        <sz val="14"/>
        <color rgb="FF000000"/>
        <rFont val="Calibri"/>
        <family val="2"/>
      </rPr>
      <t xml:space="preserve">Serviços de TIC </t>
    </r>
  </si>
  <si>
    <r>
      <t>Tributos (</t>
    </r>
    <r>
      <rPr>
        <b/>
        <sz val="14"/>
        <color theme="1"/>
        <rFont val="Calibri"/>
        <family val="2"/>
      </rPr>
      <t>Patronal</t>
    </r>
    <r>
      <rPr>
        <sz val="14"/>
        <color rgb="FF000000"/>
        <rFont val="Calibri"/>
        <family val="2"/>
      </rPr>
      <t>)</t>
    </r>
  </si>
  <si>
    <r>
      <t>Material Saúde Consumo (</t>
    </r>
    <r>
      <rPr>
        <b/>
        <sz val="14"/>
        <color rgb="FF000000"/>
        <rFont val="Calibri"/>
        <family val="2"/>
      </rPr>
      <t>COVID 19</t>
    </r>
    <r>
      <rPr>
        <sz val="14"/>
        <color rgb="FF000000"/>
        <rFont val="Calibri"/>
        <family val="2"/>
      </rPr>
      <t>)</t>
    </r>
  </si>
  <si>
    <r>
      <t>Alimentação Escolar (</t>
    </r>
    <r>
      <rPr>
        <b/>
        <sz val="14"/>
        <color theme="1"/>
        <rFont val="Calibri"/>
        <family val="2"/>
      </rPr>
      <t xml:space="preserve">Jamir; outros </t>
    </r>
    <r>
      <rPr>
        <sz val="14"/>
        <color theme="1"/>
        <rFont val="Calibri"/>
        <family val="2"/>
      </rPr>
      <t>)</t>
    </r>
  </si>
  <si>
    <r>
      <t xml:space="preserve">Material Permanente - </t>
    </r>
    <r>
      <rPr>
        <b/>
        <sz val="14"/>
        <color rgb="FF000000"/>
        <rFont val="Calibri"/>
        <family val="2"/>
      </rPr>
      <t>Mobiliários Espaço INOVA IFFAR</t>
    </r>
  </si>
  <si>
    <r>
      <t xml:space="preserve">Mateiral Permanente - </t>
    </r>
    <r>
      <rPr>
        <b/>
        <sz val="14"/>
        <color rgb="FF000000"/>
        <rFont val="Calibri"/>
        <family val="2"/>
      </rPr>
      <t xml:space="preserve">COMPUTADORES DESKTOP PRPPGI </t>
    </r>
  </si>
  <si>
    <r>
      <t xml:space="preserve">Serviço de Palestrante (AREDE) </t>
    </r>
    <r>
      <rPr>
        <b/>
        <sz val="14"/>
        <color rgb="FF000000"/>
        <rFont val="Calibri"/>
        <family val="2"/>
      </rPr>
      <t>emenda parlamentar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</si>
</sst>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R$-416]\ #,##0.00;[Red]\-[$R$-416]\ #,##0.00"/>
    <numFmt numFmtId="165" formatCode="[$R$ -416]#,##0.00"/>
    <numFmt numFmtId="166" formatCode="&quot;R$ &quot;#,##0.00;[Red]&quot;-R$ &quot;#,##0.00"/>
    <numFmt numFmtId="167" formatCode="\$#,##0.00"/>
    <numFmt numFmtId="168" formatCode="[$R$]#,##0.00"/>
  </numFmts>
  <fonts count="40">
    <font>
      <sz val="11"/>
      <color rgb="FF000000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Roboto"/>
    </font>
    <font>
      <sz val="11"/>
      <color rgb="FFC9DAF8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14"/>
      <color theme="1"/>
      <name val="Calibri"/>
      <family val="2"/>
    </font>
    <font>
      <sz val="14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sz val="14"/>
      <color rgb="FF0000FF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rgb="FFCC0000"/>
      <name val="Calibri"/>
      <family val="2"/>
    </font>
    <font>
      <sz val="14"/>
      <color rgb="FF333333"/>
      <name val="Calibri"/>
      <family val="2"/>
    </font>
    <font>
      <b/>
      <sz val="14"/>
      <color rgb="FF9900FF"/>
      <name val="Calibri"/>
      <family val="2"/>
    </font>
    <font>
      <b/>
      <sz val="14"/>
      <color rgb="FF333333"/>
      <name val="Calibri"/>
      <family val="2"/>
    </font>
    <font>
      <sz val="14"/>
      <color rgb="FF333333"/>
      <name val="&quot;Open Sans&quot;"/>
    </font>
    <font>
      <b/>
      <sz val="14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b/>
      <sz val="14"/>
      <color rgb="FF333333"/>
      <name val="&quot;Open Sans&quot;"/>
    </font>
    <font>
      <b/>
      <sz val="14"/>
      <color rgb="FF0000FF"/>
      <name val="Calibri"/>
      <family val="2"/>
    </font>
    <font>
      <b/>
      <sz val="14"/>
      <color rgb="FF89C765"/>
      <name val="Calibri"/>
      <family val="2"/>
    </font>
    <font>
      <b/>
      <sz val="14"/>
      <color rgb="FF1155CC"/>
      <name val="Calibri"/>
      <family val="2"/>
    </font>
    <font>
      <sz val="14"/>
      <color rgb="FFAD5281"/>
      <name val="Calibri"/>
      <family val="2"/>
    </font>
    <font>
      <b/>
      <sz val="14"/>
      <color rgb="FFAD5281"/>
      <name val="Calibri"/>
      <family val="2"/>
    </font>
    <font>
      <b/>
      <i/>
      <sz val="14"/>
      <color rgb="FF000000"/>
      <name val="Calibri"/>
      <family val="2"/>
    </font>
    <font>
      <i/>
      <sz val="14"/>
      <color rgb="FF000000"/>
      <name val="Calibri"/>
      <family val="2"/>
    </font>
    <font>
      <b/>
      <sz val="14"/>
      <color rgb="FFA64D79"/>
      <name val="Calibri"/>
      <family val="2"/>
    </font>
    <font>
      <b/>
      <sz val="14"/>
      <color rgb="FFF1C232"/>
      <name val="Calibri"/>
      <family val="2"/>
    </font>
    <font>
      <sz val="14"/>
      <color rgb="FFFF0000"/>
      <name val="Calibri"/>
      <family val="2"/>
    </font>
    <font>
      <b/>
      <sz val="14"/>
      <color rgb="FFE69138"/>
      <name val="Calibri"/>
      <family val="2"/>
    </font>
    <font>
      <b/>
      <sz val="14"/>
      <color rgb="FF3D85C6"/>
      <name val="Calibri"/>
      <family val="2"/>
    </font>
    <font>
      <sz val="14"/>
      <color rgb="FF93C47D"/>
      <name val="Calibri"/>
      <family val="2"/>
    </font>
    <font>
      <b/>
      <i/>
      <sz val="14"/>
      <color rgb="FF0000FF"/>
      <name val="Calibri"/>
      <family val="2"/>
    </font>
    <font>
      <b/>
      <sz val="14"/>
      <color rgb="FF4A86E8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89C765"/>
        <bgColor rgb="FF89C765"/>
      </patternFill>
    </fill>
    <fill>
      <patternFill patternType="solid">
        <fgColor rgb="FFB7B7B7"/>
        <bgColor rgb="FFB7B7B7"/>
      </patternFill>
    </fill>
    <fill>
      <patternFill patternType="solid">
        <fgColor rgb="FFD5A6BD"/>
        <bgColor rgb="FFD5A6BD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FFD965"/>
        <bgColor rgb="FFFFD965"/>
      </patternFill>
    </fill>
    <fill>
      <patternFill patternType="solid">
        <fgColor rgb="FFC9DAF8"/>
        <bgColor rgb="FFC9DAF8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0">
    <xf numFmtId="0" fontId="0" fillId="0" borderId="0" xfId="0" applyFont="1" applyAlignment="1"/>
    <xf numFmtId="0" fontId="3" fillId="0" borderId="0" xfId="0" applyFont="1"/>
    <xf numFmtId="0" fontId="3" fillId="2" borderId="4" xfId="0" applyFont="1" applyFill="1" applyBorder="1"/>
    <xf numFmtId="0" fontId="4" fillId="4" borderId="4" xfId="0" applyFont="1" applyFill="1" applyBorder="1"/>
    <xf numFmtId="0" fontId="3" fillId="4" borderId="4" xfId="0" applyFont="1" applyFill="1" applyBorder="1"/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/>
    <xf numFmtId="0" fontId="3" fillId="0" borderId="0" xfId="0" applyFont="1" applyAlignment="1">
      <alignment horizontal="left"/>
    </xf>
    <xf numFmtId="0" fontId="3" fillId="6" borderId="4" xfId="0" applyFont="1" applyFill="1" applyBorder="1"/>
    <xf numFmtId="0" fontId="5" fillId="5" borderId="4" xfId="0" applyFont="1" applyFill="1" applyBorder="1"/>
    <xf numFmtId="0" fontId="4" fillId="7" borderId="5" xfId="0" applyFont="1" applyFill="1" applyBorder="1"/>
    <xf numFmtId="0" fontId="4" fillId="7" borderId="6" xfId="0" applyFont="1" applyFill="1" applyBorder="1"/>
    <xf numFmtId="0" fontId="4" fillId="7" borderId="7" xfId="0" applyFont="1" applyFill="1" applyBorder="1"/>
    <xf numFmtId="0" fontId="3" fillId="5" borderId="8" xfId="0" applyFont="1" applyFill="1" applyBorder="1"/>
    <xf numFmtId="0" fontId="3" fillId="5" borderId="9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5" borderId="12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20" borderId="4" xfId="0" applyFont="1" applyFill="1" applyBorder="1"/>
    <xf numFmtId="0" fontId="4" fillId="20" borderId="4" xfId="0" applyFont="1" applyFill="1" applyBorder="1"/>
    <xf numFmtId="165" fontId="4" fillId="20" borderId="4" xfId="0" applyNumberFormat="1" applyFont="1" applyFill="1" applyBorder="1" applyAlignment="1">
      <alignment horizontal="right"/>
    </xf>
    <xf numFmtId="164" fontId="4" fillId="20" borderId="4" xfId="0" applyNumberFormat="1" applyFont="1" applyFill="1" applyBorder="1" applyAlignment="1">
      <alignment horizontal="left"/>
    </xf>
    <xf numFmtId="164" fontId="4" fillId="20" borderId="4" xfId="0" applyNumberFormat="1" applyFont="1" applyFill="1" applyBorder="1" applyAlignment="1">
      <alignment horizontal="right"/>
    </xf>
    <xf numFmtId="0" fontId="4" fillId="20" borderId="4" xfId="0" applyFont="1" applyFill="1" applyBorder="1" applyAlignment="1">
      <alignment horizontal="left"/>
    </xf>
    <xf numFmtId="0" fontId="6" fillId="20" borderId="4" xfId="0" applyFont="1" applyFill="1" applyBorder="1"/>
    <xf numFmtId="0" fontId="6" fillId="20" borderId="4" xfId="0" applyFont="1" applyFill="1" applyBorder="1" applyAlignment="1">
      <alignment horizontal="right"/>
    </xf>
    <xf numFmtId="165" fontId="4" fillId="20" borderId="4" xfId="0" applyNumberFormat="1" applyFont="1" applyFill="1" applyBorder="1"/>
    <xf numFmtId="165" fontId="6" fillId="20" borderId="4" xfId="0" applyNumberFormat="1" applyFont="1" applyFill="1" applyBorder="1"/>
    <xf numFmtId="164" fontId="6" fillId="20" borderId="4" xfId="0" applyNumberFormat="1" applyFont="1" applyFill="1" applyBorder="1"/>
    <xf numFmtId="164" fontId="4" fillId="20" borderId="4" xfId="0" applyNumberFormat="1" applyFont="1" applyFill="1" applyBorder="1"/>
    <xf numFmtId="168" fontId="6" fillId="20" borderId="4" xfId="0" applyNumberFormat="1" applyFont="1" applyFill="1" applyBorder="1"/>
    <xf numFmtId="0" fontId="4" fillId="5" borderId="4" xfId="0" applyFont="1" applyFill="1" applyBorder="1"/>
    <xf numFmtId="164" fontId="4" fillId="5" borderId="4" xfId="0" applyNumberFormat="1" applyFont="1" applyFill="1" applyBorder="1"/>
    <xf numFmtId="165" fontId="4" fillId="5" borderId="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3" borderId="1" xfId="0" applyFont="1" applyFill="1" applyBorder="1"/>
    <xf numFmtId="0" fontId="4" fillId="3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/>
    </xf>
    <xf numFmtId="0" fontId="9" fillId="8" borderId="15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7" xfId="0" applyFont="1" applyBorder="1"/>
    <xf numFmtId="0" fontId="11" fillId="9" borderId="15" xfId="0" applyFont="1" applyFill="1" applyBorder="1" applyAlignment="1">
      <alignment horizontal="center" vertical="center" wrapText="1"/>
    </xf>
    <xf numFmtId="164" fontId="11" fillId="10" borderId="18" xfId="0" applyNumberFormat="1" applyFont="1" applyFill="1" applyBorder="1" applyAlignment="1">
      <alignment horizontal="center" vertical="center"/>
    </xf>
    <xf numFmtId="0" fontId="10" fillId="0" borderId="19" xfId="0" applyFont="1" applyBorder="1"/>
    <xf numFmtId="0" fontId="10" fillId="0" borderId="20" xfId="0" applyFont="1" applyBorder="1"/>
    <xf numFmtId="164" fontId="11" fillId="11" borderId="15" xfId="0" applyNumberFormat="1" applyFont="1" applyFill="1" applyBorder="1" applyAlignment="1">
      <alignment horizontal="center" vertical="center"/>
    </xf>
    <xf numFmtId="164" fontId="11" fillId="9" borderId="21" xfId="0" applyNumberFormat="1" applyFont="1" applyFill="1" applyBorder="1" applyAlignment="1">
      <alignment horizontal="center" vertical="center"/>
    </xf>
    <xf numFmtId="0" fontId="10" fillId="0" borderId="22" xfId="0" applyFont="1" applyBorder="1"/>
    <xf numFmtId="0" fontId="10" fillId="0" borderId="23" xfId="0" applyFont="1" applyBorder="1"/>
    <xf numFmtId="164" fontId="11" fillId="11" borderId="21" xfId="0" applyNumberFormat="1" applyFont="1" applyFill="1" applyBorder="1" applyAlignment="1">
      <alignment horizontal="center" vertical="center"/>
    </xf>
    <xf numFmtId="164" fontId="11" fillId="8" borderId="21" xfId="0" applyNumberFormat="1" applyFont="1" applyFill="1" applyBorder="1" applyAlignment="1">
      <alignment horizontal="center" vertical="center" wrapText="1"/>
    </xf>
    <xf numFmtId="164" fontId="11" fillId="10" borderId="21" xfId="0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horizontal="center"/>
    </xf>
    <xf numFmtId="0" fontId="12" fillId="0" borderId="0" xfId="0" applyFont="1" applyAlignment="1"/>
    <xf numFmtId="0" fontId="11" fillId="8" borderId="15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 wrapText="1"/>
    </xf>
    <xf numFmtId="164" fontId="11" fillId="9" borderId="24" xfId="0" applyNumberFormat="1" applyFont="1" applyFill="1" applyBorder="1" applyAlignment="1">
      <alignment horizontal="center" vertical="center" wrapText="1"/>
    </xf>
    <xf numFmtId="164" fontId="11" fillId="9" borderId="24" xfId="0" applyNumberFormat="1" applyFont="1" applyFill="1" applyBorder="1" applyAlignment="1">
      <alignment horizontal="center" vertical="center"/>
    </xf>
    <xf numFmtId="164" fontId="11" fillId="10" borderId="25" xfId="0" applyNumberFormat="1" applyFont="1" applyFill="1" applyBorder="1" applyAlignment="1">
      <alignment horizontal="center" vertical="center"/>
    </xf>
    <xf numFmtId="164" fontId="11" fillId="10" borderId="24" xfId="0" applyNumberFormat="1" applyFont="1" applyFill="1" applyBorder="1" applyAlignment="1">
      <alignment horizontal="center" vertical="center"/>
    </xf>
    <xf numFmtId="164" fontId="11" fillId="11" borderId="24" xfId="0" applyNumberFormat="1" applyFont="1" applyFill="1" applyBorder="1" applyAlignment="1">
      <alignment horizontal="center" vertical="center"/>
    </xf>
    <xf numFmtId="164" fontId="11" fillId="8" borderId="24" xfId="0" applyNumberFormat="1" applyFont="1" applyFill="1" applyBorder="1" applyAlignment="1">
      <alignment horizontal="center" vertical="center"/>
    </xf>
    <xf numFmtId="10" fontId="11" fillId="8" borderId="24" xfId="0" applyNumberFormat="1" applyFont="1" applyFill="1" applyBorder="1" applyAlignment="1">
      <alignment horizontal="center" vertical="center"/>
    </xf>
    <xf numFmtId="0" fontId="11" fillId="8" borderId="2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/>
    </xf>
    <xf numFmtId="10" fontId="11" fillId="9" borderId="24" xfId="0" applyNumberFormat="1" applyFont="1" applyFill="1" applyBorder="1" applyAlignment="1">
      <alignment horizontal="center" vertical="center"/>
    </xf>
    <xf numFmtId="165" fontId="11" fillId="0" borderId="24" xfId="0" applyNumberFormat="1" applyFont="1" applyBorder="1" applyAlignment="1">
      <alignment horizontal="center" vertical="center"/>
    </xf>
    <xf numFmtId="164" fontId="13" fillId="0" borderId="0" xfId="0" applyNumberFormat="1" applyFont="1" applyAlignment="1">
      <alignment vertical="center"/>
    </xf>
    <xf numFmtId="0" fontId="11" fillId="12" borderId="24" xfId="0" applyFont="1" applyFill="1" applyBorder="1" applyAlignment="1">
      <alignment vertical="center"/>
    </xf>
    <xf numFmtId="0" fontId="11" fillId="12" borderId="26" xfId="0" applyFont="1" applyFill="1" applyBorder="1" applyAlignment="1">
      <alignment vertical="center"/>
    </xf>
    <xf numFmtId="0" fontId="11" fillId="12" borderId="27" xfId="0" applyFont="1" applyFill="1" applyBorder="1" applyAlignment="1">
      <alignment vertical="center"/>
    </xf>
    <xf numFmtId="165" fontId="11" fillId="12" borderId="24" xfId="0" applyNumberFormat="1" applyFont="1" applyFill="1" applyBorder="1" applyAlignment="1">
      <alignment horizontal="center" vertical="center"/>
    </xf>
    <xf numFmtId="10" fontId="11" fillId="12" borderId="24" xfId="0" applyNumberFormat="1" applyFont="1" applyFill="1" applyBorder="1" applyAlignment="1">
      <alignment horizontal="center" vertical="center"/>
    </xf>
    <xf numFmtId="164" fontId="11" fillId="12" borderId="24" xfId="0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vertical="center" wrapText="1"/>
    </xf>
    <xf numFmtId="165" fontId="13" fillId="0" borderId="24" xfId="0" applyNumberFormat="1" applyFont="1" applyBorder="1" applyAlignment="1">
      <alignment horizontal="center" vertical="center" wrapText="1"/>
    </xf>
    <xf numFmtId="10" fontId="13" fillId="9" borderId="24" xfId="0" applyNumberFormat="1" applyFont="1" applyFill="1" applyBorder="1" applyAlignment="1">
      <alignment horizontal="center" vertical="center" wrapText="1"/>
    </xf>
    <xf numFmtId="165" fontId="13" fillId="0" borderId="24" xfId="0" applyNumberFormat="1" applyFont="1" applyBorder="1" applyAlignment="1">
      <alignment horizontal="center" vertical="center"/>
    </xf>
    <xf numFmtId="165" fontId="13" fillId="6" borderId="24" xfId="0" applyNumberFormat="1" applyFont="1" applyFill="1" applyBorder="1" applyAlignment="1">
      <alignment horizontal="center" vertical="center"/>
    </xf>
    <xf numFmtId="165" fontId="13" fillId="9" borderId="24" xfId="0" applyNumberFormat="1" applyFont="1" applyFill="1" applyBorder="1" applyAlignment="1">
      <alignment horizontal="center" vertical="center"/>
    </xf>
    <xf numFmtId="10" fontId="13" fillId="9" borderId="24" xfId="0" applyNumberFormat="1" applyFont="1" applyFill="1" applyBorder="1" applyAlignment="1">
      <alignment horizontal="center" vertical="center"/>
    </xf>
    <xf numFmtId="10" fontId="13" fillId="0" borderId="0" xfId="0" applyNumberFormat="1" applyFont="1" applyAlignment="1">
      <alignment horizontal="center"/>
    </xf>
    <xf numFmtId="0" fontId="11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164" fontId="11" fillId="6" borderId="24" xfId="0" applyNumberFormat="1" applyFont="1" applyFill="1" applyBorder="1" applyAlignment="1">
      <alignment horizontal="center" vertical="center"/>
    </xf>
    <xf numFmtId="0" fontId="15" fillId="6" borderId="0" xfId="0" applyFont="1" applyFill="1"/>
    <xf numFmtId="0" fontId="14" fillId="0" borderId="24" xfId="0" applyFont="1" applyBorder="1" applyAlignment="1">
      <alignment horizontal="center" vertical="center"/>
    </xf>
    <xf numFmtId="164" fontId="11" fillId="6" borderId="0" xfId="0" applyNumberFormat="1" applyFont="1" applyFill="1" applyAlignment="1">
      <alignment horizontal="center" vertical="center"/>
    </xf>
    <xf numFmtId="165" fontId="16" fillId="0" borderId="24" xfId="0" applyNumberFormat="1" applyFont="1" applyBorder="1" applyAlignment="1">
      <alignment horizontal="center" vertical="center" wrapText="1"/>
    </xf>
    <xf numFmtId="165" fontId="14" fillId="0" borderId="24" xfId="0" applyNumberFormat="1" applyFont="1" applyBorder="1" applyAlignment="1">
      <alignment horizontal="center" vertical="center" wrapText="1"/>
    </xf>
    <xf numFmtId="165" fontId="17" fillId="0" borderId="24" xfId="0" applyNumberFormat="1" applyFont="1" applyBorder="1" applyAlignment="1">
      <alignment horizontal="center" vertical="center"/>
    </xf>
    <xf numFmtId="164" fontId="11" fillId="12" borderId="24" xfId="0" applyNumberFormat="1" applyFont="1" applyFill="1" applyBorder="1" applyAlignment="1">
      <alignment horizontal="left" vertical="center"/>
    </xf>
    <xf numFmtId="164" fontId="11" fillId="12" borderId="26" xfId="0" applyNumberFormat="1" applyFont="1" applyFill="1" applyBorder="1" applyAlignment="1">
      <alignment horizontal="left" vertical="center"/>
    </xf>
    <xf numFmtId="164" fontId="11" fillId="12" borderId="27" xfId="0" applyNumberFormat="1" applyFont="1" applyFill="1" applyBorder="1" applyAlignment="1">
      <alignment horizontal="center" vertical="center"/>
    </xf>
    <xf numFmtId="10" fontId="11" fillId="12" borderId="24" xfId="0" applyNumberFormat="1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left" vertical="center" wrapText="1"/>
    </xf>
    <xf numFmtId="165" fontId="18" fillId="0" borderId="24" xfId="0" applyNumberFormat="1" applyFont="1" applyBorder="1" applyAlignment="1">
      <alignment horizontal="center" vertical="center"/>
    </xf>
    <xf numFmtId="165" fontId="19" fillId="0" borderId="24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 wrapText="1"/>
    </xf>
    <xf numFmtId="165" fontId="18" fillId="0" borderId="0" xfId="0" applyNumberFormat="1" applyFont="1" applyAlignment="1">
      <alignment horizontal="center" vertical="center"/>
    </xf>
    <xf numFmtId="0" fontId="20" fillId="0" borderId="24" xfId="0" applyFont="1" applyBorder="1" applyAlignment="1">
      <alignment vertical="center" wrapText="1"/>
    </xf>
    <xf numFmtId="165" fontId="21" fillId="0" borderId="24" xfId="0" applyNumberFormat="1" applyFont="1" applyBorder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0" fontId="20" fillId="0" borderId="24" xfId="0" applyFont="1" applyBorder="1" applyAlignment="1"/>
    <xf numFmtId="165" fontId="21" fillId="0" borderId="24" xfId="0" applyNumberFormat="1" applyFont="1" applyBorder="1" applyAlignment="1">
      <alignment horizontal="center"/>
    </xf>
    <xf numFmtId="165" fontId="13" fillId="0" borderId="0" xfId="0" applyNumberFormat="1" applyFont="1" applyAlignment="1">
      <alignment horizontal="center" vertical="center"/>
    </xf>
    <xf numFmtId="0" fontId="22" fillId="0" borderId="24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16" fillId="0" borderId="24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8" fillId="0" borderId="24" xfId="0" applyFont="1" applyBorder="1" applyAlignment="1"/>
    <xf numFmtId="0" fontId="15" fillId="0" borderId="24" xfId="0" applyFont="1" applyBorder="1"/>
    <xf numFmtId="0" fontId="11" fillId="6" borderId="24" xfId="0" applyFont="1" applyFill="1" applyBorder="1" applyAlignment="1">
      <alignment horizontal="center" vertical="center"/>
    </xf>
    <xf numFmtId="0" fontId="14" fillId="6" borderId="24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vertical="center" wrapText="1"/>
    </xf>
    <xf numFmtId="165" fontId="16" fillId="6" borderId="24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165" fontId="25" fillId="0" borderId="24" xfId="0" applyNumberFormat="1" applyFont="1" applyBorder="1" applyAlignment="1">
      <alignment horizontal="center" vertical="center"/>
    </xf>
    <xf numFmtId="165" fontId="26" fillId="0" borderId="24" xfId="0" applyNumberFormat="1" applyFont="1" applyBorder="1" applyAlignment="1">
      <alignment horizontal="center" vertical="center"/>
    </xf>
    <xf numFmtId="0" fontId="13" fillId="6" borderId="24" xfId="0" applyFont="1" applyFill="1" applyBorder="1" applyAlignment="1">
      <alignment vertical="center" wrapText="1"/>
    </xf>
    <xf numFmtId="165" fontId="13" fillId="6" borderId="24" xfId="0" applyNumberFormat="1" applyFont="1" applyFill="1" applyBorder="1" applyAlignment="1">
      <alignment horizontal="center" vertical="center" wrapText="1"/>
    </xf>
    <xf numFmtId="165" fontId="9" fillId="0" borderId="24" xfId="0" applyNumberFormat="1" applyFont="1" applyBorder="1" applyAlignment="1">
      <alignment horizontal="center" vertical="center"/>
    </xf>
    <xf numFmtId="0" fontId="14" fillId="13" borderId="24" xfId="0" applyFont="1" applyFill="1" applyBorder="1" applyAlignment="1">
      <alignment horizontal="center" vertical="center" wrapText="1"/>
    </xf>
    <xf numFmtId="0" fontId="15" fillId="0" borderId="24" xfId="0" applyFont="1" applyBorder="1" applyAlignment="1"/>
    <xf numFmtId="0" fontId="13" fillId="6" borderId="0" xfId="0" applyFont="1" applyFill="1" applyAlignment="1">
      <alignment vertical="center" wrapText="1"/>
    </xf>
    <xf numFmtId="165" fontId="16" fillId="0" borderId="24" xfId="0" applyNumberFormat="1" applyFont="1" applyBorder="1" applyAlignment="1">
      <alignment horizontal="center" vertical="center"/>
    </xf>
    <xf numFmtId="165" fontId="27" fillId="0" borderId="24" xfId="0" applyNumberFormat="1" applyFont="1" applyBorder="1" applyAlignment="1">
      <alignment horizontal="center" vertical="center"/>
    </xf>
    <xf numFmtId="164" fontId="13" fillId="0" borderId="24" xfId="0" applyNumberFormat="1" applyFont="1" applyBorder="1" applyAlignment="1">
      <alignment horizontal="center" vertical="center"/>
    </xf>
    <xf numFmtId="0" fontId="11" fillId="13" borderId="24" xfId="0" applyFont="1" applyFill="1" applyBorder="1" applyAlignment="1">
      <alignment horizontal="center" vertical="center"/>
    </xf>
    <xf numFmtId="0" fontId="14" fillId="13" borderId="24" xfId="0" applyFont="1" applyFill="1" applyBorder="1" applyAlignment="1">
      <alignment horizontal="center" vertical="center"/>
    </xf>
    <xf numFmtId="0" fontId="13" fillId="13" borderId="24" xfId="0" applyFont="1" applyFill="1" applyBorder="1" applyAlignment="1">
      <alignment horizontal="center" vertical="center" wrapText="1"/>
    </xf>
    <xf numFmtId="0" fontId="13" fillId="13" borderId="24" xfId="0" applyFont="1" applyFill="1" applyBorder="1" applyAlignment="1">
      <alignment vertical="center" wrapText="1"/>
    </xf>
    <xf numFmtId="165" fontId="13" fillId="13" borderId="24" xfId="0" applyNumberFormat="1" applyFont="1" applyFill="1" applyBorder="1" applyAlignment="1">
      <alignment horizontal="center" vertical="center" wrapText="1"/>
    </xf>
    <xf numFmtId="165" fontId="13" fillId="13" borderId="24" xfId="0" applyNumberFormat="1" applyFont="1" applyFill="1" applyBorder="1" applyAlignment="1">
      <alignment horizontal="center" vertical="center"/>
    </xf>
    <xf numFmtId="0" fontId="11" fillId="13" borderId="24" xfId="0" applyFont="1" applyFill="1" applyBorder="1" applyAlignment="1">
      <alignment horizontal="center" vertical="center" wrapText="1"/>
    </xf>
    <xf numFmtId="165" fontId="16" fillId="13" borderId="24" xfId="0" applyNumberFormat="1" applyFont="1" applyFill="1" applyBorder="1" applyAlignment="1">
      <alignment horizontal="center" vertical="center" wrapText="1"/>
    </xf>
    <xf numFmtId="165" fontId="9" fillId="0" borderId="24" xfId="0" applyNumberFormat="1" applyFont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14" borderId="24" xfId="0" applyFont="1" applyFill="1" applyBorder="1" applyAlignment="1">
      <alignment horizontal="center" vertical="center"/>
    </xf>
    <xf numFmtId="0" fontId="11" fillId="14" borderId="24" xfId="0" applyFont="1" applyFill="1" applyBorder="1" applyAlignment="1">
      <alignment horizontal="center" vertical="center" wrapText="1"/>
    </xf>
    <xf numFmtId="0" fontId="11" fillId="14" borderId="24" xfId="0" applyFont="1" applyFill="1" applyBorder="1" applyAlignment="1">
      <alignment vertical="center" wrapText="1"/>
    </xf>
    <xf numFmtId="165" fontId="11" fillId="14" borderId="24" xfId="0" applyNumberFormat="1" applyFont="1" applyFill="1" applyBorder="1" applyAlignment="1">
      <alignment horizontal="center" vertical="center" wrapText="1"/>
    </xf>
    <xf numFmtId="10" fontId="11" fillId="9" borderId="24" xfId="0" applyNumberFormat="1" applyFont="1" applyFill="1" applyBorder="1" applyAlignment="1">
      <alignment horizontal="center" vertical="center" wrapText="1"/>
    </xf>
    <xf numFmtId="10" fontId="11" fillId="14" borderId="24" xfId="0" applyNumberFormat="1" applyFont="1" applyFill="1" applyBorder="1" applyAlignment="1">
      <alignment horizontal="center" vertical="center"/>
    </xf>
    <xf numFmtId="10" fontId="11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  <xf numFmtId="0" fontId="28" fillId="13" borderId="24" xfId="0" applyFont="1" applyFill="1" applyBorder="1" applyAlignment="1">
      <alignment horizontal="center" vertical="center"/>
    </xf>
    <xf numFmtId="165" fontId="29" fillId="13" borderId="24" xfId="0" applyNumberFormat="1" applyFont="1" applyFill="1" applyBorder="1" applyAlignment="1">
      <alignment horizontal="center" vertical="center" wrapText="1"/>
    </xf>
    <xf numFmtId="0" fontId="28" fillId="13" borderId="24" xfId="0" applyFont="1" applyFill="1" applyBorder="1" applyAlignment="1">
      <alignment vertical="center" wrapText="1"/>
    </xf>
    <xf numFmtId="164" fontId="28" fillId="13" borderId="24" xfId="0" applyNumberFormat="1" applyFont="1" applyFill="1" applyBorder="1" applyAlignment="1">
      <alignment horizontal="center" vertical="center"/>
    </xf>
    <xf numFmtId="164" fontId="30" fillId="13" borderId="0" xfId="0" applyNumberFormat="1" applyFont="1" applyFill="1" applyAlignment="1">
      <alignment horizontal="center"/>
    </xf>
    <xf numFmtId="0" fontId="13" fillId="13" borderId="24" xfId="0" applyFont="1" applyFill="1" applyBorder="1" applyAlignment="1">
      <alignment horizontal="left" vertical="center" wrapText="1"/>
    </xf>
    <xf numFmtId="164" fontId="28" fillId="9" borderId="24" xfId="0" applyNumberFormat="1" applyFont="1" applyFill="1" applyBorder="1" applyAlignment="1">
      <alignment horizontal="center" vertical="center"/>
    </xf>
    <xf numFmtId="10" fontId="29" fillId="9" borderId="24" xfId="0" applyNumberFormat="1" applyFont="1" applyFill="1" applyBorder="1" applyAlignment="1">
      <alignment horizontal="center" vertical="center" wrapText="1"/>
    </xf>
    <xf numFmtId="164" fontId="30" fillId="13" borderId="4" xfId="0" applyNumberFormat="1" applyFont="1" applyFill="1" applyBorder="1" applyAlignment="1">
      <alignment horizontal="center"/>
    </xf>
    <xf numFmtId="0" fontId="13" fillId="13" borderId="24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left" vertical="center" wrapText="1"/>
    </xf>
    <xf numFmtId="165" fontId="25" fillId="13" borderId="24" xfId="0" applyNumberFormat="1" applyFont="1" applyFill="1" applyBorder="1" applyAlignment="1">
      <alignment horizontal="center" vertical="center" wrapText="1"/>
    </xf>
    <xf numFmtId="0" fontId="25" fillId="13" borderId="24" xfId="0" applyFont="1" applyFill="1" applyBorder="1" applyAlignment="1">
      <alignment vertical="center" wrapText="1"/>
    </xf>
    <xf numFmtId="0" fontId="11" fillId="13" borderId="24" xfId="0" applyFont="1" applyFill="1" applyBorder="1" applyAlignment="1">
      <alignment vertical="center" wrapText="1"/>
    </xf>
    <xf numFmtId="165" fontId="11" fillId="13" borderId="24" xfId="0" applyNumberFormat="1" applyFont="1" applyFill="1" applyBorder="1" applyAlignment="1">
      <alignment horizontal="center" vertical="center" wrapText="1"/>
    </xf>
    <xf numFmtId="164" fontId="11" fillId="13" borderId="24" xfId="0" applyNumberFormat="1" applyFont="1" applyFill="1" applyBorder="1" applyAlignment="1">
      <alignment horizontal="center" vertical="center"/>
    </xf>
    <xf numFmtId="164" fontId="13" fillId="13" borderId="24" xfId="0" applyNumberFormat="1" applyFont="1" applyFill="1" applyBorder="1" applyAlignment="1">
      <alignment horizontal="center" vertical="center"/>
    </xf>
    <xf numFmtId="164" fontId="31" fillId="13" borderId="24" xfId="0" applyNumberFormat="1" applyFont="1" applyFill="1" applyBorder="1" applyAlignment="1">
      <alignment horizontal="center" vertical="center"/>
    </xf>
    <xf numFmtId="0" fontId="29" fillId="14" borderId="24" xfId="0" applyFont="1" applyFill="1" applyBorder="1" applyAlignment="1">
      <alignment horizontal="center" vertical="center"/>
    </xf>
    <xf numFmtId="0" fontId="29" fillId="11" borderId="24" xfId="0" applyFont="1" applyFill="1" applyBorder="1" applyAlignment="1">
      <alignment horizontal="center" vertical="center" wrapText="1"/>
    </xf>
    <xf numFmtId="0" fontId="29" fillId="14" borderId="24" xfId="0" applyFont="1" applyFill="1" applyBorder="1" applyAlignment="1">
      <alignment vertical="center" wrapText="1"/>
    </xf>
    <xf numFmtId="165" fontId="29" fillId="14" borderId="24" xfId="0" applyNumberFormat="1" applyFont="1" applyFill="1" applyBorder="1" applyAlignment="1">
      <alignment horizontal="center" vertical="center" wrapText="1"/>
    </xf>
    <xf numFmtId="10" fontId="32" fillId="9" borderId="24" xfId="0" applyNumberFormat="1" applyFont="1" applyFill="1" applyBorder="1" applyAlignment="1">
      <alignment horizontal="center" vertical="center" wrapText="1"/>
    </xf>
    <xf numFmtId="10" fontId="32" fillId="8" borderId="24" xfId="0" applyNumberFormat="1" applyFont="1" applyFill="1" applyBorder="1" applyAlignment="1">
      <alignment horizontal="center" vertical="center" wrapText="1"/>
    </xf>
    <xf numFmtId="10" fontId="29" fillId="14" borderId="24" xfId="0" applyNumberFormat="1" applyFont="1" applyFill="1" applyBorder="1" applyAlignment="1">
      <alignment horizontal="center" vertical="center" wrapText="1"/>
    </xf>
    <xf numFmtId="164" fontId="13" fillId="6" borderId="24" xfId="0" applyNumberFormat="1" applyFont="1" applyFill="1" applyBorder="1" applyAlignment="1">
      <alignment horizontal="center" vertical="center"/>
    </xf>
    <xf numFmtId="0" fontId="11" fillId="11" borderId="24" xfId="0" applyFont="1" applyFill="1" applyBorder="1" applyAlignment="1">
      <alignment horizontal="center" vertical="center" wrapText="1"/>
    </xf>
    <xf numFmtId="10" fontId="11" fillId="11" borderId="24" xfId="0" applyNumberFormat="1" applyFont="1" applyFill="1" applyBorder="1" applyAlignment="1">
      <alignment horizontal="center" vertical="center" wrapText="1"/>
    </xf>
    <xf numFmtId="10" fontId="11" fillId="14" borderId="24" xfId="0" applyNumberFormat="1" applyFont="1" applyFill="1" applyBorder="1" applyAlignment="1">
      <alignment horizontal="center" vertical="center" wrapText="1"/>
    </xf>
    <xf numFmtId="164" fontId="16" fillId="0" borderId="24" xfId="0" applyNumberFormat="1" applyFont="1" applyBorder="1" applyAlignment="1">
      <alignment horizontal="center" vertical="center"/>
    </xf>
    <xf numFmtId="0" fontId="14" fillId="6" borderId="24" xfId="0" applyFont="1" applyFill="1" applyBorder="1" applyAlignment="1">
      <alignment horizontal="center" vertical="center" wrapText="1"/>
    </xf>
    <xf numFmtId="165" fontId="11" fillId="6" borderId="24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vertical="center" wrapText="1"/>
    </xf>
    <xf numFmtId="164" fontId="25" fillId="0" borderId="24" xfId="0" applyNumberFormat="1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4" fontId="14" fillId="0" borderId="24" xfId="0" applyNumberFormat="1" applyFont="1" applyBorder="1" applyAlignment="1">
      <alignment horizontal="center" vertical="center"/>
    </xf>
    <xf numFmtId="165" fontId="14" fillId="0" borderId="24" xfId="0" applyNumberFormat="1" applyFont="1" applyBorder="1" applyAlignment="1">
      <alignment horizontal="center" vertical="center"/>
    </xf>
    <xf numFmtId="165" fontId="14" fillId="6" borderId="24" xfId="0" applyNumberFormat="1" applyFont="1" applyFill="1" applyBorder="1" applyAlignment="1">
      <alignment horizontal="center" vertical="center"/>
    </xf>
    <xf numFmtId="165" fontId="13" fillId="9" borderId="24" xfId="0" applyNumberFormat="1" applyFont="1" applyFill="1" applyBorder="1" applyAlignment="1">
      <alignment horizontal="center"/>
    </xf>
    <xf numFmtId="165" fontId="13" fillId="9" borderId="17" xfId="0" applyNumberFormat="1" applyFont="1" applyFill="1" applyBorder="1" applyAlignment="1">
      <alignment horizontal="center"/>
    </xf>
    <xf numFmtId="164" fontId="11" fillId="9" borderId="17" xfId="0" applyNumberFormat="1" applyFont="1" applyFill="1" applyBorder="1" applyAlignment="1">
      <alignment horizontal="center"/>
    </xf>
    <xf numFmtId="165" fontId="11" fillId="0" borderId="24" xfId="0" applyNumberFormat="1" applyFont="1" applyBorder="1" applyAlignment="1">
      <alignment horizontal="center" vertical="center" wrapText="1"/>
    </xf>
    <xf numFmtId="165" fontId="33" fillId="0" borderId="24" xfId="0" applyNumberFormat="1" applyFont="1" applyBorder="1" applyAlignment="1">
      <alignment horizontal="center" vertical="center"/>
    </xf>
    <xf numFmtId="165" fontId="34" fillId="0" borderId="24" xfId="0" applyNumberFormat="1" applyFont="1" applyBorder="1" applyAlignment="1">
      <alignment horizontal="center" vertical="center"/>
    </xf>
    <xf numFmtId="165" fontId="11" fillId="13" borderId="24" xfId="0" applyNumberFormat="1" applyFont="1" applyFill="1" applyBorder="1" applyAlignment="1">
      <alignment horizontal="center" vertical="center"/>
    </xf>
    <xf numFmtId="165" fontId="11" fillId="9" borderId="24" xfId="0" applyNumberFormat="1" applyFont="1" applyFill="1" applyBorder="1" applyAlignment="1">
      <alignment horizontal="center" vertical="center"/>
    </xf>
    <xf numFmtId="10" fontId="11" fillId="13" borderId="4" xfId="0" applyNumberFormat="1" applyFont="1" applyFill="1" applyBorder="1" applyAlignment="1">
      <alignment horizontal="center"/>
    </xf>
    <xf numFmtId="0" fontId="29" fillId="14" borderId="24" xfId="0" applyFont="1" applyFill="1" applyBorder="1" applyAlignment="1">
      <alignment horizontal="center" vertical="center" wrapText="1"/>
    </xf>
    <xf numFmtId="10" fontId="32" fillId="11" borderId="24" xfId="0" applyNumberFormat="1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165" fontId="29" fillId="11" borderId="24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/>
    </xf>
    <xf numFmtId="0" fontId="32" fillId="8" borderId="24" xfId="0" applyFont="1" applyFill="1" applyBorder="1" applyAlignment="1">
      <alignment horizontal="center" vertical="center" wrapText="1"/>
    </xf>
    <xf numFmtId="0" fontId="32" fillId="8" borderId="24" xfId="0" applyFont="1" applyFill="1" applyBorder="1" applyAlignment="1">
      <alignment vertical="center" wrapText="1"/>
    </xf>
    <xf numFmtId="165" fontId="32" fillId="8" borderId="24" xfId="0" applyNumberFormat="1" applyFont="1" applyFill="1" applyBorder="1" applyAlignment="1">
      <alignment horizontal="center" vertical="center" wrapText="1"/>
    </xf>
    <xf numFmtId="164" fontId="32" fillId="9" borderId="24" xfId="0" applyNumberFormat="1" applyFont="1" applyFill="1" applyBorder="1" applyAlignment="1">
      <alignment horizontal="center" vertical="center"/>
    </xf>
    <xf numFmtId="10" fontId="32" fillId="0" borderId="0" xfId="0" applyNumberFormat="1" applyFont="1" applyAlignment="1">
      <alignment horizontal="center"/>
    </xf>
    <xf numFmtId="164" fontId="32" fillId="11" borderId="24" xfId="0" applyNumberFormat="1" applyFont="1" applyFill="1" applyBorder="1" applyAlignment="1">
      <alignment horizontal="center" vertical="center"/>
    </xf>
    <xf numFmtId="165" fontId="35" fillId="0" borderId="24" xfId="0" applyNumberFormat="1" applyFont="1" applyBorder="1" applyAlignment="1">
      <alignment horizontal="center" vertical="center"/>
    </xf>
    <xf numFmtId="0" fontId="32" fillId="8" borderId="24" xfId="0" applyFont="1" applyFill="1" applyBorder="1" applyAlignment="1">
      <alignment horizontal="center" vertical="center"/>
    </xf>
    <xf numFmtId="0" fontId="32" fillId="9" borderId="24" xfId="0" applyFont="1" applyFill="1" applyBorder="1" applyAlignment="1">
      <alignment vertical="center" wrapText="1"/>
    </xf>
    <xf numFmtId="165" fontId="32" fillId="9" borderId="24" xfId="0" applyNumberFormat="1" applyFont="1" applyFill="1" applyBorder="1" applyAlignment="1">
      <alignment horizontal="center" vertical="center" wrapText="1"/>
    </xf>
    <xf numFmtId="165" fontId="36" fillId="0" borderId="24" xfId="0" applyNumberFormat="1" applyFont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 wrapText="1"/>
    </xf>
    <xf numFmtId="0" fontId="32" fillId="14" borderId="24" xfId="0" applyFont="1" applyFill="1" applyBorder="1" applyAlignment="1">
      <alignment vertical="center" wrapText="1"/>
    </xf>
    <xf numFmtId="165" fontId="32" fillId="14" borderId="24" xfId="0" applyNumberFormat="1" applyFont="1" applyFill="1" applyBorder="1" applyAlignment="1">
      <alignment horizontal="center" vertical="center" wrapText="1"/>
    </xf>
    <xf numFmtId="10" fontId="32" fillId="14" borderId="24" xfId="0" applyNumberFormat="1" applyFont="1" applyFill="1" applyBorder="1" applyAlignment="1">
      <alignment horizontal="center" vertical="center" wrapText="1"/>
    </xf>
    <xf numFmtId="165" fontId="37" fillId="0" borderId="24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vertical="center" wrapText="1"/>
    </xf>
    <xf numFmtId="0" fontId="29" fillId="11" borderId="24" xfId="0" applyFont="1" applyFill="1" applyBorder="1" applyAlignment="1">
      <alignment horizontal="center" vertical="center"/>
    </xf>
    <xf numFmtId="0" fontId="29" fillId="11" borderId="24" xfId="0" applyFont="1" applyFill="1" applyBorder="1" applyAlignment="1">
      <alignment vertical="center" wrapText="1"/>
    </xf>
    <xf numFmtId="10" fontId="29" fillId="11" borderId="24" xfId="0" applyNumberFormat="1" applyFont="1" applyFill="1" applyBorder="1" applyAlignment="1">
      <alignment horizontal="center" vertical="center" wrapText="1"/>
    </xf>
    <xf numFmtId="10" fontId="32" fillId="8" borderId="24" xfId="0" applyNumberFormat="1" applyFont="1" applyFill="1" applyBorder="1" applyAlignment="1">
      <alignment horizontal="center" vertical="center"/>
    </xf>
    <xf numFmtId="0" fontId="18" fillId="0" borderId="24" xfId="0" applyFont="1" applyBorder="1" applyAlignment="1">
      <alignment vertical="center" wrapText="1"/>
    </xf>
    <xf numFmtId="164" fontId="38" fillId="6" borderId="24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164" fontId="39" fillId="0" borderId="24" xfId="0" applyNumberFormat="1" applyFont="1" applyBorder="1" applyAlignment="1">
      <alignment horizontal="center" vertical="center"/>
    </xf>
    <xf numFmtId="0" fontId="24" fillId="0" borderId="0" xfId="0" applyFont="1" applyAlignment="1"/>
    <xf numFmtId="0" fontId="24" fillId="0" borderId="24" xfId="0" applyFont="1" applyBorder="1" applyAlignment="1"/>
    <xf numFmtId="164" fontId="27" fillId="0" borderId="24" xfId="0" applyNumberFormat="1" applyFont="1" applyBorder="1" applyAlignment="1">
      <alignment horizontal="center" vertical="center"/>
    </xf>
    <xf numFmtId="0" fontId="32" fillId="11" borderId="24" xfId="0" applyFont="1" applyFill="1" applyBorder="1" applyAlignment="1">
      <alignment horizontal="center" vertical="center"/>
    </xf>
    <xf numFmtId="0" fontId="32" fillId="11" borderId="24" xfId="0" applyFont="1" applyFill="1" applyBorder="1" applyAlignment="1">
      <alignment horizontal="center" vertical="center" wrapText="1"/>
    </xf>
    <xf numFmtId="0" fontId="32" fillId="11" borderId="24" xfId="0" applyFont="1" applyFill="1" applyBorder="1" applyAlignment="1">
      <alignment vertical="center" wrapText="1"/>
    </xf>
    <xf numFmtId="165" fontId="32" fillId="11" borderId="24" xfId="0" applyNumberFormat="1" applyFont="1" applyFill="1" applyBorder="1" applyAlignment="1">
      <alignment horizontal="center" vertical="center" wrapText="1"/>
    </xf>
    <xf numFmtId="10" fontId="32" fillId="11" borderId="24" xfId="0" applyNumberFormat="1" applyFont="1" applyFill="1" applyBorder="1" applyAlignment="1">
      <alignment horizontal="center" vertical="center"/>
    </xf>
    <xf numFmtId="164" fontId="25" fillId="6" borderId="2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3" fillId="0" borderId="0" xfId="0" applyNumberFormat="1" applyFont="1" applyAlignment="1">
      <alignment horizontal="center" vertical="center"/>
    </xf>
    <xf numFmtId="164" fontId="11" fillId="6" borderId="4" xfId="0" applyNumberFormat="1" applyFont="1" applyFill="1" applyBorder="1" applyAlignment="1">
      <alignment horizontal="center" vertical="center"/>
    </xf>
    <xf numFmtId="10" fontId="13" fillId="0" borderId="0" xfId="0" applyNumberFormat="1" applyFont="1" applyAlignment="1">
      <alignment horizontal="center" vertical="center"/>
    </xf>
    <xf numFmtId="0" fontId="13" fillId="0" borderId="0" xfId="0" applyFont="1"/>
    <xf numFmtId="166" fontId="11" fillId="15" borderId="24" xfId="0" applyNumberFormat="1" applyFont="1" applyFill="1" applyBorder="1" applyAlignment="1">
      <alignment horizontal="right" vertical="center" wrapText="1"/>
    </xf>
    <xf numFmtId="166" fontId="11" fillId="15" borderId="24" xfId="0" applyNumberFormat="1" applyFont="1" applyFill="1" applyBorder="1" applyAlignment="1">
      <alignment horizontal="center" vertical="center" wrapText="1"/>
    </xf>
    <xf numFmtId="164" fontId="11" fillId="15" borderId="15" xfId="0" applyNumberFormat="1" applyFont="1" applyFill="1" applyBorder="1" applyAlignment="1">
      <alignment horizontal="center" vertical="center"/>
    </xf>
    <xf numFmtId="164" fontId="11" fillId="15" borderId="24" xfId="0" applyNumberFormat="1" applyFont="1" applyFill="1" applyBorder="1" applyAlignment="1">
      <alignment horizontal="center" vertical="center"/>
    </xf>
    <xf numFmtId="164" fontId="11" fillId="13" borderId="4" xfId="0" applyNumberFormat="1" applyFont="1" applyFill="1" applyBorder="1" applyAlignment="1">
      <alignment horizontal="center" vertical="center"/>
    </xf>
    <xf numFmtId="10" fontId="11" fillId="13" borderId="4" xfId="0" applyNumberFormat="1" applyFont="1" applyFill="1" applyBorder="1" applyAlignment="1">
      <alignment horizontal="center" vertical="center"/>
    </xf>
    <xf numFmtId="164" fontId="11" fillId="16" borderId="15" xfId="0" applyNumberFormat="1" applyFont="1" applyFill="1" applyBorder="1" applyAlignment="1">
      <alignment horizontal="center" vertical="center"/>
    </xf>
    <xf numFmtId="167" fontId="9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0" fontId="11" fillId="9" borderId="24" xfId="0" applyFont="1" applyFill="1" applyBorder="1" applyAlignment="1">
      <alignment horizontal="right" vertical="center"/>
    </xf>
    <xf numFmtId="165" fontId="11" fillId="9" borderId="24" xfId="0" applyNumberFormat="1" applyFont="1" applyFill="1" applyBorder="1" applyAlignment="1">
      <alignment horizontal="right" vertical="center"/>
    </xf>
    <xf numFmtId="0" fontId="11" fillId="17" borderId="24" xfId="0" applyFont="1" applyFill="1" applyBorder="1" applyAlignment="1">
      <alignment horizontal="center" vertical="center"/>
    </xf>
    <xf numFmtId="164" fontId="11" fillId="4" borderId="24" xfId="0" applyNumberFormat="1" applyFont="1" applyFill="1" applyBorder="1" applyAlignment="1">
      <alignment horizontal="center" vertical="center"/>
    </xf>
    <xf numFmtId="164" fontId="9" fillId="4" borderId="24" xfId="0" applyNumberFormat="1" applyFont="1" applyFill="1" applyBorder="1" applyAlignment="1">
      <alignment horizontal="center" vertical="center" wrapText="1"/>
    </xf>
    <xf numFmtId="164" fontId="9" fillId="4" borderId="24" xfId="0" applyNumberFormat="1" applyFont="1" applyFill="1" applyBorder="1" applyAlignment="1">
      <alignment horizontal="center" vertical="center"/>
    </xf>
    <xf numFmtId="167" fontId="11" fillId="0" borderId="0" xfId="0" applyNumberFormat="1" applyFont="1" applyAlignment="1">
      <alignment vertical="center"/>
    </xf>
    <xf numFmtId="167" fontId="13" fillId="0" borderId="0" xfId="0" applyNumberFormat="1" applyFont="1" applyAlignment="1">
      <alignment vertical="center"/>
    </xf>
    <xf numFmtId="164" fontId="11" fillId="9" borderId="24" xfId="0" applyNumberFormat="1" applyFont="1" applyFill="1" applyBorder="1" applyAlignment="1">
      <alignment horizontal="right" vertical="center"/>
    </xf>
    <xf numFmtId="164" fontId="16" fillId="13" borderId="24" xfId="0" applyNumberFormat="1" applyFont="1" applyFill="1" applyBorder="1" applyAlignment="1">
      <alignment vertical="center"/>
    </xf>
    <xf numFmtId="168" fontId="16" fillId="13" borderId="24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4" fontId="11" fillId="9" borderId="24" xfId="0" applyNumberFormat="1" applyFont="1" applyFill="1" applyBorder="1"/>
    <xf numFmtId="164" fontId="9" fillId="4" borderId="24" xfId="0" applyNumberFormat="1" applyFont="1" applyFill="1" applyBorder="1" applyAlignment="1">
      <alignment vertical="center"/>
    </xf>
    <xf numFmtId="168" fontId="9" fillId="4" borderId="24" xfId="0" applyNumberFormat="1" applyFont="1" applyFill="1" applyBorder="1" applyAlignment="1">
      <alignment horizontal="right" vertical="center"/>
    </xf>
    <xf numFmtId="0" fontId="11" fillId="4" borderId="24" xfId="0" applyFont="1" applyFill="1" applyBorder="1" applyAlignment="1">
      <alignment vertical="center"/>
    </xf>
    <xf numFmtId="0" fontId="11" fillId="18" borderId="24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vertical="center"/>
    </xf>
    <xf numFmtId="168" fontId="9" fillId="6" borderId="4" xfId="0" applyNumberFormat="1" applyFont="1" applyFill="1" applyBorder="1" applyAlignment="1">
      <alignment horizontal="right" vertical="center"/>
    </xf>
    <xf numFmtId="0" fontId="11" fillId="19" borderId="24" xfId="0" applyFont="1" applyFill="1" applyBorder="1" applyAlignment="1">
      <alignment horizontal="right" vertical="center"/>
    </xf>
    <xf numFmtId="165" fontId="11" fillId="19" borderId="24" xfId="0" applyNumberFormat="1" applyFont="1" applyFill="1" applyBorder="1" applyAlignment="1">
      <alignment horizontal="right" vertical="center"/>
    </xf>
    <xf numFmtId="10" fontId="11" fillId="19" borderId="24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vertical="center"/>
    </xf>
    <xf numFmtId="0" fontId="10" fillId="0" borderId="3" xfId="0" applyFont="1" applyBorder="1"/>
    <xf numFmtId="164" fontId="11" fillId="19" borderId="2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9" fillId="2" borderId="24" xfId="0" applyFont="1" applyFill="1" applyBorder="1" applyAlignment="1">
      <alignment horizontal="right" vertical="center"/>
    </xf>
    <xf numFmtId="164" fontId="11" fillId="2" borderId="24" xfId="0" applyNumberFormat="1" applyFont="1" applyFill="1" applyBorder="1" applyAlignment="1">
      <alignment vertical="center"/>
    </xf>
    <xf numFmtId="0" fontId="11" fillId="2" borderId="24" xfId="0" applyFont="1" applyFill="1" applyBorder="1" applyAlignment="1">
      <alignment vertical="center"/>
    </xf>
    <xf numFmtId="10" fontId="9" fillId="2" borderId="24" xfId="0" applyNumberFormat="1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vertical="center"/>
    </xf>
    <xf numFmtId="10" fontId="16" fillId="0" borderId="0" xfId="0" applyNumberFormat="1" applyFont="1" applyAlignment="1">
      <alignment vertical="center"/>
    </xf>
    <xf numFmtId="0" fontId="16" fillId="6" borderId="4" xfId="0" applyFont="1" applyFill="1" applyBorder="1" applyAlignment="1">
      <alignment vertical="center"/>
    </xf>
    <xf numFmtId="0" fontId="13" fillId="13" borderId="4" xfId="0" applyFont="1" applyFill="1" applyBorder="1" applyAlignment="1">
      <alignment vertical="center"/>
    </xf>
    <xf numFmtId="0" fontId="16" fillId="6" borderId="4" xfId="0" applyFont="1" applyFill="1" applyBorder="1"/>
    <xf numFmtId="4" fontId="16" fillId="0" borderId="0" xfId="0" applyNumberFormat="1" applyFont="1" applyAlignment="1">
      <alignment vertical="center"/>
    </xf>
    <xf numFmtId="0" fontId="22" fillId="0" borderId="0" xfId="0" applyFont="1"/>
    <xf numFmtId="10" fontId="16" fillId="0" borderId="0" xfId="0" applyNumberFormat="1" applyFont="1"/>
  </cellXfs>
  <cellStyles count="1">
    <cellStyle name="Normal" xfId="0" builtinId="0"/>
  </cellStyles>
  <dxfs count="4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strRef>
              <c:f>'Gráficos '!$B$34:$B$38</c:f>
              <c:strCache>
                <c:ptCount val="5"/>
                <c:pt idx="0">
                  <c:v>GABINETE</c:v>
                </c:pt>
                <c:pt idx="1">
                  <c:v>PROAD - PRO REITORIA DE ADMINISTRAÇÃO</c:v>
                </c:pt>
                <c:pt idx="2">
                  <c:v>PRDI - PRÓ-REITORIA DE DESENVOLVIMENTO INSTITUCIONAL</c:v>
                </c:pt>
                <c:pt idx="3">
                  <c:v>PROEN - PRÓ REITORIA DE ENSINO</c:v>
                </c:pt>
                <c:pt idx="4">
                  <c:v>PRPPGI -PRO REITORIA DE PESQUISA POS GRADUAÇÃO E INOVAÇÃO</c:v>
                </c:pt>
              </c:strCache>
            </c:strRef>
          </c:cat>
          <c:val>
            <c:numRef>
              <c:f>'Gráficos '!$C$34:$C$38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invertIfNegative val="1"/>
          <c:cat>
            <c:strRef>
              <c:f>'Gráficos '!$H$63:$H$65</c:f>
              <c:strCache>
                <c:ptCount val="3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</c:strCache>
            </c:strRef>
          </c:cat>
          <c:val>
            <c:numRef>
              <c:f>'Gráficos '!$I$63:$I$65</c:f>
              <c:numCache>
                <c:formatCode>[$R$-416]\ #,##0.00;[Red]\-[$R$-416]\ 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205888"/>
        <c:axId val="57207808"/>
      </c:barChart>
      <c:catAx>
        <c:axId val="57205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7207808"/>
        <c:crosses val="autoZero"/>
        <c:auto val="1"/>
        <c:lblAlgn val="ctr"/>
        <c:lblOffset val="100"/>
        <c:noMultiLvlLbl val="1"/>
      </c:catAx>
      <c:valAx>
        <c:axId val="57207808"/>
        <c:scaling>
          <c:orientation val="minMax"/>
        </c:scaling>
        <c:delete val="0"/>
        <c:axPos val="l"/>
        <c:numFmt formatCode="[$R$-416]\ #,##0.00;[Red]\-[$R$-416]\ #,##0.00" sourceLinked="1"/>
        <c:majorTickMark val="cross"/>
        <c:minorTickMark val="cross"/>
        <c:tickLblPos val="nextTo"/>
        <c:spPr>
          <a:ln>
            <a:noFill/>
          </a:ln>
        </c:spPr>
        <c:crossAx val="5720588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strRef>
              <c:f>'Gráficos '!$E$34:$E$38</c:f>
              <c:strCache>
                <c:ptCount val="5"/>
                <c:pt idx="0">
                  <c:v>GABINETE</c:v>
                </c:pt>
                <c:pt idx="1">
                  <c:v>PROAD - PRO REITORIA DE ADMINISTRAÇÃO</c:v>
                </c:pt>
                <c:pt idx="2">
                  <c:v>PRDI - PRÓ-REITORIA DE DESENVOLVIMENTO INSTITUCIONAL</c:v>
                </c:pt>
                <c:pt idx="3">
                  <c:v>PROEN - PRÓ REITORIA DE ENSINO</c:v>
                </c:pt>
                <c:pt idx="4">
                  <c:v>PRPPGI -PRO REITORIA DE PESQUISA POS GRADUAÇÃO E INOVAÇÃO</c:v>
                </c:pt>
              </c:strCache>
            </c:strRef>
          </c:cat>
          <c:val>
            <c:numRef>
              <c:f>'Gráficos '!$F$34:$F$38</c:f>
              <c:numCache>
                <c:formatCode>[$R$-416]\ #,##0.00;[Red]\-[$R$-416]\ #,##0.00</c:formatCode>
                <c:ptCount val="5"/>
                <c:pt idx="0" formatCode="[$R$ -416]#,##0.00">
                  <c:v>10000</c:v>
                </c:pt>
                <c:pt idx="1">
                  <c:v>1420499.8800000001</c:v>
                </c:pt>
                <c:pt idx="2" formatCode="[$R$ -416]#,##0.00">
                  <c:v>0</c:v>
                </c:pt>
                <c:pt idx="3" formatCode="[$R$ -416]#,##0.00">
                  <c:v>213378.40000000002</c:v>
                </c:pt>
                <c:pt idx="4" formatCode="[$R$ -416]#,##0.00">
                  <c:v>106391.14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strRef>
              <c:f>'Gráficos '!$H$34:$H$38</c:f>
              <c:strCache>
                <c:ptCount val="5"/>
                <c:pt idx="0">
                  <c:v>GABINETE</c:v>
                </c:pt>
                <c:pt idx="1">
                  <c:v>PROAD - PRO REITORIA DE ADMINISTRAÇÃO</c:v>
                </c:pt>
                <c:pt idx="2">
                  <c:v>PRDI - PRÓ-REITORIA DE DESENVOLVIMENTO INSTITUCIONAL</c:v>
                </c:pt>
                <c:pt idx="3">
                  <c:v>PROEN - PRÓ REITORIA DE ENSINO</c:v>
                </c:pt>
                <c:pt idx="4">
                  <c:v>PRPPGI -PRO REITORIA DE PESQUISA POS GRADUAÇÃO E INOVAÇÃO</c:v>
                </c:pt>
              </c:strCache>
            </c:strRef>
          </c:cat>
          <c:val>
            <c:numRef>
              <c:f>'Gráficos '!$I$34:$I$38</c:f>
              <c:numCache>
                <c:formatCode>[$R$-416]\ #,##0.00;[Red]\-[$R$-416]\ #,##0.00</c:formatCode>
                <c:ptCount val="5"/>
                <c:pt idx="0" formatCode="[$R$ -416]#,##0.00">
                  <c:v>8394.64</c:v>
                </c:pt>
                <c:pt idx="1">
                  <c:v>420306.09</c:v>
                </c:pt>
                <c:pt idx="2" formatCode="[$R$ -416]#,##0.00">
                  <c:v>0</c:v>
                </c:pt>
                <c:pt idx="3" formatCode="[$R$ -416]#,##0.00">
                  <c:v>53343.97</c:v>
                </c:pt>
                <c:pt idx="4" formatCode="[$R$ -416]#,##0.00">
                  <c:v>25923.66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'!$B$64:$B$65</c:f>
              <c:strCache>
                <c:ptCount val="2"/>
                <c:pt idx="0">
                  <c:v>ORÇAMENTO PLANEJADO</c:v>
                </c:pt>
                <c:pt idx="1">
                  <c:v>ORÇAMENTO LIBERADO</c:v>
                </c:pt>
              </c:strCache>
            </c:strRef>
          </c:cat>
          <c:val>
            <c:numRef>
              <c:f>'Gráficos '!$C$64:$C$65</c:f>
              <c:numCache>
                <c:formatCode>[$R$-416]\ #,##0.00;[Red]\-[$R$-416]\ #,##0.00</c:formatCode>
                <c:ptCount val="2"/>
                <c:pt idx="0" formatCode="[$R$ -416]#,##0.00">
                  <c:v>0</c:v>
                </c:pt>
                <c:pt idx="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111424"/>
        <c:axId val="53146368"/>
      </c:barChart>
      <c:catAx>
        <c:axId val="53111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3146368"/>
        <c:crosses val="autoZero"/>
        <c:auto val="1"/>
        <c:lblAlgn val="ctr"/>
        <c:lblOffset val="100"/>
        <c:noMultiLvlLbl val="1"/>
      </c:catAx>
      <c:valAx>
        <c:axId val="531463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311142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ORÇAMENTO PLANEJADO X ORÇAMENTO LIBERADO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 X ORÇAMENTO LIBERADO (POR MÊS)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'!$L$34:$L$45</c:f>
              <c:numCache>
                <c:formatCode>[$R$ -416]#,##0.00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ORÇAMENTO PLANEJADO X ORÇAMENTO LIBERADO (POR MÊS) LIBERADO</c:v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'!$M$34:$M$45</c:f>
              <c:numCache>
                <c:formatCode>[$R$-416]\ #,##0.00;[Red]\-[$R$-416]\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[$R$]#,##0.00">
                  <c:v>0</c:v>
                </c:pt>
                <c:pt idx="4" formatCode="[$R$]#,##0.00">
                  <c:v>0</c:v>
                </c:pt>
                <c:pt idx="5" formatCode="[$R$]#,##0.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[$R$]#,##0.00">
                  <c:v>0</c:v>
                </c:pt>
                <c:pt idx="10" formatCode="[$R$]#,##0.00">
                  <c:v>0</c:v>
                </c:pt>
                <c:pt idx="11" formatCode="[$R$]#,##0.0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593984"/>
        <c:axId val="55608448"/>
      </c:barChart>
      <c:catAx>
        <c:axId val="55593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5608448"/>
        <c:crosses val="autoZero"/>
        <c:auto val="1"/>
        <c:lblAlgn val="ctr"/>
        <c:lblOffset val="100"/>
        <c:noMultiLvlLbl val="1"/>
      </c:catAx>
      <c:valAx>
        <c:axId val="556084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559398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DESPESAS EMPENHADAS, LIQUIDADAS E PAGAS versus ORÇAMENTO LIBERADO - MATRIZ ORÇAMENTÁRIA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'!$E$63:$E$66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'!$F$63:$F$66</c:f>
              <c:numCache>
                <c:formatCode>[$R$ -416]#,##0.00</c:formatCode>
                <c:ptCount val="4"/>
                <c:pt idx="0" formatCode="[$R$-416]\ #,##0.00;[Red]\-[$R$-416]\ #,##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635968"/>
        <c:axId val="55637888"/>
      </c:barChart>
      <c:catAx>
        <c:axId val="5563596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ORÇAMENTO LIBERADO - MATRIZ ORÇAMENTÁRIA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5637888"/>
        <c:crosses val="autoZero"/>
        <c:auto val="1"/>
        <c:lblAlgn val="ctr"/>
        <c:lblOffset val="100"/>
        <c:noMultiLvlLbl val="1"/>
      </c:catAx>
      <c:valAx>
        <c:axId val="5563788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DESPESAS EMPENHADAS, LIQUIDADAS E PAGAS</a:t>
                </a:r>
              </a:p>
            </c:rich>
          </c:tx>
          <c:overlay val="0"/>
        </c:title>
        <c:numFmt formatCode="[$R$-416]\ #,##0.00;[Red]\-[$R$-416]\ 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5635968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PLANEJAMENTO ORÇAMENTÁRIO POR FONTE DE RECURSO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cat>
            <c:strRef>
              <c:f>'Gráficos '!$B$5:$B$8</c:f>
              <c:strCache>
                <c:ptCount val="4"/>
                <c:pt idx="0">
                  <c:v>MATRIZ ORÇAMENTÁRIA</c:v>
                </c:pt>
                <c:pt idx="1">
                  <c:v>PNAES</c:v>
                </c:pt>
                <c:pt idx="2">
                  <c:v>FNDE</c:v>
                </c:pt>
                <c:pt idx="3">
                  <c:v>OUTROS</c:v>
                </c:pt>
              </c:strCache>
            </c:strRef>
          </c:cat>
          <c:val>
            <c:numRef>
              <c:f>'Gráficos '!$C$5:$C$8</c:f>
              <c:numCache>
                <c:formatCode>[$R$ -416]#,##0.00</c:formatCode>
                <c:ptCount val="4"/>
                <c:pt idx="0" formatCode="[$R$-416]\ #,##0.00;[Red]\-[$R$-416]\ #,##0.00">
                  <c:v>0</c:v>
                </c:pt>
                <c:pt idx="1">
                  <c:v>0</c:v>
                </c:pt>
                <c:pt idx="2">
                  <c:v>0</c:v>
                </c:pt>
                <c:pt idx="3" formatCode="[$R$-416]\ #,##0.00;[Red]\-[$R$-416]\ 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Pt>
            <c:idx val="8"/>
            <c:bubble3D val="0"/>
            <c:spPr>
              <a:solidFill>
                <a:srgbClr val="B9CF8B"/>
              </a:solidFill>
            </c:spPr>
          </c:dPt>
          <c:dPt>
            <c:idx val="9"/>
            <c:bubble3D val="0"/>
            <c:spPr>
              <a:solidFill>
                <a:srgbClr val="A693BE"/>
              </a:solidFill>
            </c:spPr>
          </c:dPt>
          <c:cat>
            <c:strRef>
              <c:f>'Gráficos '!$E$4:$E$13</c:f>
              <c:strCache>
                <c:ptCount val="10"/>
                <c:pt idx="0">
                  <c:v>RECURSO LIVRE</c:v>
                </c:pt>
                <c:pt idx="1">
                  <c:v> PIQP </c:v>
                </c:pt>
                <c:pt idx="2">
                  <c:v>#REF!</c:v>
                </c:pt>
                <c:pt idx="3">
                  <c:v>FUNDO DE TI </c:v>
                </c:pt>
                <c:pt idx="4">
                  <c:v>PID</c:v>
                </c:pt>
                <c:pt idx="5">
                  <c:v>PROJETOS DE ENSINO </c:v>
                </c:pt>
                <c:pt idx="6">
                  <c:v>ASSISTÊNCIA ESTUDANTIL</c:v>
                </c:pt>
                <c:pt idx="7">
                  <c:v>AÇÕES INCLUSIVAS </c:v>
                </c:pt>
                <c:pt idx="8">
                  <c:v>PROJETOS DE PESQUISA</c:v>
                </c:pt>
                <c:pt idx="9">
                  <c:v>PROJETOS DE EXTENSÃO</c:v>
                </c:pt>
              </c:strCache>
            </c:strRef>
          </c:cat>
          <c:val>
            <c:numRef>
              <c:f>'Gráficos '!$F$4:$F$13</c:f>
              <c:numCache>
                <c:formatCode>[$R$ -416]#,##0.00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strRef>
              <c:f>'Gráficos '!$H$4:$H$8</c:f>
              <c:strCache>
                <c:ptCount val="5"/>
                <c:pt idx="0">
                  <c:v>5% CUSTEIO DO CAMPUS </c:v>
                </c:pt>
                <c:pt idx="1">
                  <c:v>PNAES</c:v>
                </c:pt>
                <c:pt idx="2">
                  <c:v>RIP</c:v>
                </c:pt>
                <c:pt idx="3">
                  <c:v>FNDE</c:v>
                </c:pt>
                <c:pt idx="4">
                  <c:v>OUTROS</c:v>
                </c:pt>
              </c:strCache>
            </c:strRef>
          </c:cat>
          <c:val>
            <c:numRef>
              <c:f>'Gráficos '!$I$4:$I$8</c:f>
              <c:numCache>
                <c:formatCode>[$R$ -416]#,##0.00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38</xdr:row>
      <xdr:rowOff>180975</xdr:rowOff>
    </xdr:from>
    <xdr:ext cx="4772025" cy="3533775"/>
    <xdr:graphicFrame macro="">
      <xdr:nvGraphicFramePr>
        <xdr:cNvPr id="3681224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95250</xdr:colOff>
      <xdr:row>38</xdr:row>
      <xdr:rowOff>180975</xdr:rowOff>
    </xdr:from>
    <xdr:ext cx="4772025" cy="3533775"/>
    <xdr:graphicFrame macro="">
      <xdr:nvGraphicFramePr>
        <xdr:cNvPr id="957958849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85725</xdr:colOff>
      <xdr:row>38</xdr:row>
      <xdr:rowOff>180975</xdr:rowOff>
    </xdr:from>
    <xdr:ext cx="4772025" cy="3533775"/>
    <xdr:graphicFrame macro="">
      <xdr:nvGraphicFramePr>
        <xdr:cNvPr id="1996325917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85725</xdr:colOff>
      <xdr:row>66</xdr:row>
      <xdr:rowOff>9525</xdr:rowOff>
    </xdr:from>
    <xdr:ext cx="4772025" cy="3533775"/>
    <xdr:graphicFrame macro="">
      <xdr:nvGraphicFramePr>
        <xdr:cNvPr id="727295572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10</xdr:col>
      <xdr:colOff>76200</xdr:colOff>
      <xdr:row>32</xdr:row>
      <xdr:rowOff>47625</xdr:rowOff>
    </xdr:from>
    <xdr:ext cx="4772025" cy="4810125"/>
    <xdr:graphicFrame macro="">
      <xdr:nvGraphicFramePr>
        <xdr:cNvPr id="1743363630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4</xdr:col>
      <xdr:colOff>95250</xdr:colOff>
      <xdr:row>66</xdr:row>
      <xdr:rowOff>9525</xdr:rowOff>
    </xdr:from>
    <xdr:ext cx="4772025" cy="3533775"/>
    <xdr:graphicFrame macro="">
      <xdr:nvGraphicFramePr>
        <xdr:cNvPr id="306377789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85725</xdr:colOff>
      <xdr:row>9</xdr:row>
      <xdr:rowOff>9525</xdr:rowOff>
    </xdr:from>
    <xdr:ext cx="4772025" cy="3676650"/>
    <xdr:graphicFrame macro="">
      <xdr:nvGraphicFramePr>
        <xdr:cNvPr id="1054416019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4</xdr:col>
      <xdr:colOff>95250</xdr:colOff>
      <xdr:row>13</xdr:row>
      <xdr:rowOff>38100</xdr:rowOff>
    </xdr:from>
    <xdr:ext cx="4772025" cy="2886075"/>
    <xdr:graphicFrame macro="">
      <xdr:nvGraphicFramePr>
        <xdr:cNvPr id="753586808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7</xdr:col>
      <xdr:colOff>85725</xdr:colOff>
      <xdr:row>9</xdr:row>
      <xdr:rowOff>9525</xdr:rowOff>
    </xdr:from>
    <xdr:ext cx="4772025" cy="3676650"/>
    <xdr:graphicFrame macro="">
      <xdr:nvGraphicFramePr>
        <xdr:cNvPr id="413087831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7</xdr:col>
      <xdr:colOff>85725</xdr:colOff>
      <xdr:row>66</xdr:row>
      <xdr:rowOff>9525</xdr:rowOff>
    </xdr:from>
    <xdr:ext cx="4772025" cy="3533775"/>
    <xdr:graphicFrame macro="">
      <xdr:nvGraphicFramePr>
        <xdr:cNvPr id="798763192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P30"/>
  <sheetViews>
    <sheetView showGridLines="0" workbookViewId="0"/>
  </sheetViews>
  <sheetFormatPr defaultColWidth="14.42578125" defaultRowHeight="15" customHeight="1"/>
  <cols>
    <col min="1" max="1" width="4.42578125" customWidth="1"/>
    <col min="2" max="8" width="16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2" spans="2:16">
      <c r="B2" s="36" t="s">
        <v>0</v>
      </c>
      <c r="C2" s="37"/>
      <c r="D2" s="37"/>
      <c r="E2" s="37"/>
      <c r="F2" s="37"/>
      <c r="G2" s="37"/>
      <c r="H2" s="38"/>
      <c r="J2" s="39" t="s">
        <v>1</v>
      </c>
      <c r="K2" s="37"/>
      <c r="L2" s="37"/>
      <c r="M2" s="37"/>
      <c r="N2" s="37"/>
      <c r="O2" s="37"/>
      <c r="P2" s="38"/>
    </row>
    <row r="4" spans="2:16">
      <c r="B4" s="1" t="s">
        <v>2</v>
      </c>
      <c r="J4" s="1" t="s">
        <v>2</v>
      </c>
    </row>
    <row r="5" spans="2:16">
      <c r="B5" s="1" t="s">
        <v>3</v>
      </c>
      <c r="J5" s="1" t="s">
        <v>4</v>
      </c>
    </row>
    <row r="6" spans="2:16">
      <c r="B6" s="1" t="s">
        <v>5</v>
      </c>
      <c r="J6" s="1" t="s">
        <v>6</v>
      </c>
    </row>
    <row r="8" spans="2:16">
      <c r="B8" s="2" t="s">
        <v>7</v>
      </c>
      <c r="C8" s="2"/>
      <c r="D8" s="2"/>
      <c r="E8" s="2"/>
      <c r="F8" s="2"/>
      <c r="G8" s="2"/>
      <c r="H8" s="2"/>
      <c r="J8" s="40" t="s">
        <v>8</v>
      </c>
      <c r="K8" s="37"/>
      <c r="L8" s="37"/>
      <c r="M8" s="37"/>
      <c r="N8" s="37"/>
      <c r="O8" s="37"/>
      <c r="P8" s="38"/>
    </row>
    <row r="9" spans="2:16">
      <c r="B9" s="1" t="s">
        <v>9</v>
      </c>
      <c r="J9" s="3" t="s">
        <v>10</v>
      </c>
      <c r="K9" s="3" t="s">
        <v>11</v>
      </c>
      <c r="L9" s="4"/>
      <c r="M9" s="4"/>
      <c r="N9" s="4"/>
      <c r="O9" s="4"/>
      <c r="P9" s="4"/>
    </row>
    <row r="10" spans="2:16">
      <c r="B10" s="2" t="s">
        <v>12</v>
      </c>
      <c r="C10" s="2"/>
      <c r="D10" s="2"/>
      <c r="E10" s="2"/>
      <c r="F10" s="2"/>
      <c r="G10" s="2"/>
      <c r="H10" s="2"/>
      <c r="J10" s="5" t="s">
        <v>13</v>
      </c>
      <c r="K10" s="6" t="s">
        <v>14</v>
      </c>
      <c r="L10" s="6"/>
      <c r="M10" s="6"/>
      <c r="N10" s="6"/>
      <c r="O10" s="6"/>
      <c r="P10" s="6"/>
    </row>
    <row r="11" spans="2:16">
      <c r="B11" s="1" t="s">
        <v>15</v>
      </c>
      <c r="J11" s="6" t="s">
        <v>16</v>
      </c>
      <c r="K11" s="6" t="s">
        <v>14</v>
      </c>
      <c r="L11" s="6"/>
      <c r="M11" s="6"/>
      <c r="N11" s="6"/>
      <c r="O11" s="6"/>
      <c r="P11" s="6"/>
    </row>
    <row r="12" spans="2:16">
      <c r="B12" s="2" t="s">
        <v>17</v>
      </c>
      <c r="C12" s="2"/>
      <c r="D12" s="2"/>
      <c r="E12" s="2"/>
      <c r="F12" s="2"/>
      <c r="G12" s="2"/>
      <c r="H12" s="2"/>
      <c r="J12" s="7">
        <v>631100000</v>
      </c>
      <c r="K12" s="1" t="s">
        <v>18</v>
      </c>
    </row>
    <row r="13" spans="2:16">
      <c r="B13" s="1" t="s">
        <v>19</v>
      </c>
      <c r="J13" s="5">
        <v>631100000</v>
      </c>
      <c r="K13" s="6" t="s">
        <v>20</v>
      </c>
      <c r="L13" s="6"/>
      <c r="M13" s="6"/>
      <c r="N13" s="6"/>
      <c r="O13" s="6"/>
      <c r="P13" s="6"/>
    </row>
    <row r="14" spans="2:16">
      <c r="B14" s="2" t="s">
        <v>21</v>
      </c>
      <c r="C14" s="2"/>
      <c r="D14" s="2"/>
      <c r="E14" s="2"/>
      <c r="F14" s="2"/>
      <c r="G14" s="2"/>
      <c r="H14" s="2"/>
      <c r="J14" s="7">
        <v>622920101</v>
      </c>
      <c r="K14" s="1" t="s">
        <v>22</v>
      </c>
    </row>
    <row r="15" spans="2:16">
      <c r="B15" s="1" t="s">
        <v>23</v>
      </c>
      <c r="J15" s="5">
        <v>622920104</v>
      </c>
      <c r="K15" s="6" t="s">
        <v>24</v>
      </c>
      <c r="L15" s="6"/>
      <c r="M15" s="6"/>
      <c r="N15" s="6"/>
      <c r="O15" s="6"/>
      <c r="P15" s="6"/>
    </row>
    <row r="16" spans="2:16">
      <c r="B16" s="2" t="s">
        <v>25</v>
      </c>
      <c r="C16" s="2"/>
      <c r="D16" s="2"/>
      <c r="E16" s="2"/>
      <c r="F16" s="2"/>
      <c r="G16" s="2"/>
      <c r="H16" s="2"/>
      <c r="J16" s="7">
        <v>632200000</v>
      </c>
      <c r="K16" s="8" t="s">
        <v>26</v>
      </c>
    </row>
    <row r="17" spans="2:16">
      <c r="B17" s="1" t="s">
        <v>27</v>
      </c>
      <c r="J17" s="5">
        <v>631400000</v>
      </c>
      <c r="K17" s="9" t="s">
        <v>28</v>
      </c>
      <c r="L17" s="6"/>
      <c r="M17" s="6"/>
      <c r="N17" s="6"/>
      <c r="O17" s="6"/>
      <c r="P17" s="6"/>
    </row>
    <row r="18" spans="2:16">
      <c r="B18" s="2" t="s">
        <v>29</v>
      </c>
      <c r="C18" s="2"/>
      <c r="D18" s="2"/>
      <c r="E18" s="2"/>
      <c r="F18" s="2"/>
      <c r="G18" s="2"/>
      <c r="H18" s="2"/>
    </row>
    <row r="19" spans="2:16">
      <c r="B19" s="1" t="s">
        <v>30</v>
      </c>
    </row>
    <row r="20" spans="2:16">
      <c r="B20" s="2" t="s">
        <v>31</v>
      </c>
      <c r="C20" s="2"/>
      <c r="D20" s="2"/>
      <c r="E20" s="2"/>
      <c r="F20" s="2"/>
      <c r="G20" s="2"/>
      <c r="H20" s="2"/>
    </row>
    <row r="21" spans="2:16">
      <c r="B21" s="1" t="s">
        <v>32</v>
      </c>
    </row>
    <row r="22" spans="2:16">
      <c r="B22" s="1" t="s">
        <v>33</v>
      </c>
    </row>
    <row r="23" spans="2:16">
      <c r="B23" s="1" t="s">
        <v>34</v>
      </c>
    </row>
    <row r="24" spans="2:16">
      <c r="B24" s="2" t="s">
        <v>35</v>
      </c>
      <c r="C24" s="2"/>
      <c r="D24" s="2"/>
      <c r="E24" s="2"/>
      <c r="F24" s="2"/>
      <c r="G24" s="2"/>
      <c r="H24" s="2"/>
    </row>
    <row r="25" spans="2:16">
      <c r="B25" s="2" t="s">
        <v>36</v>
      </c>
      <c r="C25" s="2"/>
      <c r="D25" s="2"/>
      <c r="E25" s="2"/>
      <c r="F25" s="2"/>
      <c r="G25" s="2"/>
      <c r="H25" s="2"/>
    </row>
    <row r="26" spans="2:16">
      <c r="B26" s="1" t="s">
        <v>37</v>
      </c>
    </row>
    <row r="27" spans="2:16">
      <c r="B27" s="2" t="s">
        <v>38</v>
      </c>
      <c r="C27" s="2"/>
      <c r="D27" s="2"/>
      <c r="E27" s="2"/>
      <c r="F27" s="2"/>
      <c r="G27" s="2"/>
      <c r="H27" s="2"/>
      <c r="J27" s="10" t="s">
        <v>39</v>
      </c>
      <c r="K27" s="11"/>
      <c r="L27" s="11"/>
      <c r="M27" s="11"/>
      <c r="N27" s="11"/>
      <c r="O27" s="11"/>
      <c r="P27" s="12"/>
    </row>
    <row r="28" spans="2:16">
      <c r="B28" s="2" t="s">
        <v>40</v>
      </c>
      <c r="C28" s="2"/>
      <c r="D28" s="2"/>
      <c r="E28" s="2"/>
      <c r="F28" s="2"/>
      <c r="G28" s="2"/>
      <c r="H28" s="2"/>
      <c r="J28" s="13" t="s">
        <v>41</v>
      </c>
      <c r="K28" s="6" t="s">
        <v>42</v>
      </c>
      <c r="L28" s="6"/>
      <c r="M28" s="6"/>
      <c r="N28" s="6" t="s">
        <v>43</v>
      </c>
      <c r="O28" s="6"/>
      <c r="P28" s="14"/>
    </row>
    <row r="29" spans="2:16">
      <c r="B29" s="1" t="s">
        <v>44</v>
      </c>
      <c r="J29" s="15" t="s">
        <v>45</v>
      </c>
      <c r="K29" s="1" t="s">
        <v>46</v>
      </c>
      <c r="N29" s="1" t="s">
        <v>47</v>
      </c>
      <c r="P29" s="16"/>
    </row>
    <row r="30" spans="2:16">
      <c r="B30" s="2"/>
      <c r="C30" s="2"/>
      <c r="D30" s="2"/>
      <c r="E30" s="2"/>
      <c r="F30" s="2"/>
      <c r="G30" s="2"/>
      <c r="H30" s="2"/>
      <c r="J30" s="17" t="s">
        <v>48</v>
      </c>
      <c r="K30" s="18" t="s">
        <v>49</v>
      </c>
      <c r="L30" s="18"/>
      <c r="M30" s="18"/>
      <c r="N30" s="18" t="s">
        <v>50</v>
      </c>
      <c r="O30" s="18"/>
      <c r="P30" s="19"/>
    </row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O1143"/>
  <sheetViews>
    <sheetView showGridLines="0" tabSelected="1" view="pageBreakPreview" topLeftCell="A46" zoomScale="60" zoomScaleNormal="100" workbookViewId="0">
      <pane xSplit="4" topLeftCell="F1" activePane="topRight" state="frozen"/>
      <selection pane="topRight" activeCell="BM126" sqref="BM126"/>
    </sheetView>
  </sheetViews>
  <sheetFormatPr defaultColWidth="14.42578125" defaultRowHeight="15" customHeight="1"/>
  <cols>
    <col min="1" max="1" width="17.85546875" style="58" customWidth="1"/>
    <col min="2" max="2" width="19" style="58" customWidth="1"/>
    <col min="3" max="3" width="14.7109375" style="58" customWidth="1"/>
    <col min="4" max="4" width="69.7109375" style="58" customWidth="1"/>
    <col min="5" max="5" width="19.28515625" style="58" hidden="1" customWidth="1"/>
    <col min="6" max="6" width="16.28515625" style="58" customWidth="1"/>
    <col min="7" max="8" width="15" style="58" customWidth="1"/>
    <col min="9" max="9" width="24.28515625" style="58" customWidth="1"/>
    <col min="10" max="10" width="23.140625" style="58" customWidth="1"/>
    <col min="11" max="11" width="16.140625" style="58" customWidth="1"/>
    <col min="12" max="12" width="21.85546875" style="58" customWidth="1"/>
    <col min="13" max="13" width="23.7109375" style="58" customWidth="1"/>
    <col min="14" max="14" width="14.7109375" style="58" customWidth="1"/>
    <col min="15" max="15" width="23.7109375" style="58" customWidth="1"/>
    <col min="16" max="16" width="24.140625" style="58" bestFit="1" customWidth="1"/>
    <col min="17" max="17" width="15.5703125" style="58" customWidth="1"/>
    <col min="18" max="18" width="15.5703125" style="58" hidden="1" customWidth="1"/>
    <col min="19" max="19" width="15.7109375" style="58" hidden="1" customWidth="1"/>
    <col min="20" max="20" width="13.42578125" style="58" hidden="1" customWidth="1"/>
    <col min="21" max="21" width="12.28515625" style="58" hidden="1" customWidth="1"/>
    <col min="22" max="22" width="10.7109375" style="58" hidden="1" customWidth="1"/>
    <col min="23" max="23" width="16.85546875" style="58" hidden="1" customWidth="1"/>
    <col min="24" max="24" width="16" style="58" hidden="1" customWidth="1"/>
    <col min="25" max="62" width="15.7109375" style="58" hidden="1" customWidth="1"/>
    <col min="63" max="16384" width="14.42578125" style="58"/>
  </cols>
  <sheetData>
    <row r="1" spans="1:67" ht="27" customHeight="1">
      <c r="A1" s="43" t="s">
        <v>51</v>
      </c>
      <c r="B1" s="44"/>
      <c r="C1" s="44"/>
      <c r="D1" s="45"/>
      <c r="E1" s="46" t="s">
        <v>52</v>
      </c>
      <c r="F1" s="44"/>
      <c r="G1" s="44"/>
      <c r="H1" s="45"/>
      <c r="I1" s="47" t="s">
        <v>53</v>
      </c>
      <c r="J1" s="48"/>
      <c r="K1" s="49"/>
      <c r="L1" s="50" t="s">
        <v>54</v>
      </c>
      <c r="M1" s="44"/>
      <c r="N1" s="45"/>
      <c r="O1" s="51" t="s">
        <v>55</v>
      </c>
      <c r="P1" s="52"/>
      <c r="Q1" s="53"/>
      <c r="R1" s="54" t="s">
        <v>56</v>
      </c>
      <c r="S1" s="52"/>
      <c r="T1" s="53"/>
      <c r="U1" s="55" t="s">
        <v>57</v>
      </c>
      <c r="V1" s="52"/>
      <c r="W1" s="53"/>
      <c r="X1" s="56" t="s">
        <v>58</v>
      </c>
      <c r="Y1" s="52"/>
      <c r="Z1" s="53"/>
      <c r="AA1" s="56" t="s">
        <v>59</v>
      </c>
      <c r="AB1" s="52"/>
      <c r="AC1" s="53"/>
      <c r="AD1" s="56" t="s">
        <v>60</v>
      </c>
      <c r="AE1" s="52"/>
      <c r="AF1" s="53"/>
      <c r="AG1" s="56" t="s">
        <v>61</v>
      </c>
      <c r="AH1" s="52"/>
      <c r="AI1" s="53"/>
      <c r="AJ1" s="56" t="s">
        <v>62</v>
      </c>
      <c r="AK1" s="52"/>
      <c r="AL1" s="53"/>
      <c r="AM1" s="56" t="s">
        <v>63</v>
      </c>
      <c r="AN1" s="52"/>
      <c r="AO1" s="53"/>
      <c r="AP1" s="56" t="s">
        <v>64</v>
      </c>
      <c r="AQ1" s="52"/>
      <c r="AR1" s="53"/>
      <c r="AS1" s="56" t="s">
        <v>65</v>
      </c>
      <c r="AT1" s="52"/>
      <c r="AU1" s="53"/>
      <c r="AV1" s="56" t="s">
        <v>66</v>
      </c>
      <c r="AW1" s="52"/>
      <c r="AX1" s="53"/>
      <c r="AY1" s="56" t="s">
        <v>67</v>
      </c>
      <c r="AZ1" s="52"/>
      <c r="BA1" s="53"/>
      <c r="BB1" s="56" t="s">
        <v>68</v>
      </c>
      <c r="BC1" s="52"/>
      <c r="BD1" s="53"/>
      <c r="BE1" s="56" t="s">
        <v>69</v>
      </c>
      <c r="BF1" s="52"/>
      <c r="BG1" s="53"/>
      <c r="BH1" s="56" t="s">
        <v>70</v>
      </c>
      <c r="BI1" s="52"/>
      <c r="BJ1" s="53"/>
      <c r="BK1" s="57"/>
      <c r="BL1" s="57"/>
      <c r="BM1" s="57"/>
      <c r="BN1" s="57"/>
      <c r="BO1" s="57"/>
    </row>
    <row r="2" spans="1:67" ht="45.75" customHeight="1">
      <c r="A2" s="59" t="s">
        <v>71</v>
      </c>
      <c r="B2" s="44"/>
      <c r="C2" s="45"/>
      <c r="D2" s="60" t="s">
        <v>72</v>
      </c>
      <c r="E2" s="61" t="s">
        <v>73</v>
      </c>
      <c r="F2" s="62" t="s">
        <v>74</v>
      </c>
      <c r="G2" s="61" t="s">
        <v>75</v>
      </c>
      <c r="H2" s="61" t="s">
        <v>76</v>
      </c>
      <c r="I2" s="63" t="s">
        <v>77</v>
      </c>
      <c r="J2" s="64" t="s">
        <v>78</v>
      </c>
      <c r="K2" s="64" t="s">
        <v>74</v>
      </c>
      <c r="L2" s="65" t="s">
        <v>77</v>
      </c>
      <c r="M2" s="65" t="s">
        <v>78</v>
      </c>
      <c r="N2" s="65" t="s">
        <v>74</v>
      </c>
      <c r="O2" s="62" t="s">
        <v>77</v>
      </c>
      <c r="P2" s="62" t="s">
        <v>78</v>
      </c>
      <c r="Q2" s="62" t="s">
        <v>74</v>
      </c>
      <c r="R2" s="65" t="s">
        <v>79</v>
      </c>
      <c r="S2" s="65" t="s">
        <v>78</v>
      </c>
      <c r="T2" s="65" t="s">
        <v>80</v>
      </c>
      <c r="U2" s="66" t="s">
        <v>81</v>
      </c>
      <c r="V2" s="67" t="s">
        <v>78</v>
      </c>
      <c r="W2" s="66" t="s">
        <v>82</v>
      </c>
      <c r="X2" s="64" t="s">
        <v>77</v>
      </c>
      <c r="Y2" s="64" t="s">
        <v>78</v>
      </c>
      <c r="Z2" s="64" t="s">
        <v>74</v>
      </c>
      <c r="AA2" s="64" t="s">
        <v>77</v>
      </c>
      <c r="AB2" s="64" t="s">
        <v>78</v>
      </c>
      <c r="AC2" s="64" t="s">
        <v>74</v>
      </c>
      <c r="AD2" s="64" t="s">
        <v>77</v>
      </c>
      <c r="AE2" s="64" t="s">
        <v>78</v>
      </c>
      <c r="AF2" s="64" t="s">
        <v>74</v>
      </c>
      <c r="AG2" s="64" t="s">
        <v>77</v>
      </c>
      <c r="AH2" s="64" t="s">
        <v>78</v>
      </c>
      <c r="AI2" s="64" t="s">
        <v>74</v>
      </c>
      <c r="AJ2" s="64" t="s">
        <v>77</v>
      </c>
      <c r="AK2" s="64" t="s">
        <v>78</v>
      </c>
      <c r="AL2" s="64" t="s">
        <v>74</v>
      </c>
      <c r="AM2" s="64" t="s">
        <v>77</v>
      </c>
      <c r="AN2" s="64" t="s">
        <v>78</v>
      </c>
      <c r="AO2" s="64" t="s">
        <v>74</v>
      </c>
      <c r="AP2" s="64" t="s">
        <v>77</v>
      </c>
      <c r="AQ2" s="64" t="s">
        <v>78</v>
      </c>
      <c r="AR2" s="64" t="s">
        <v>74</v>
      </c>
      <c r="AS2" s="64" t="s">
        <v>77</v>
      </c>
      <c r="AT2" s="64" t="s">
        <v>78</v>
      </c>
      <c r="AU2" s="64" t="s">
        <v>74</v>
      </c>
      <c r="AV2" s="64" t="s">
        <v>77</v>
      </c>
      <c r="AW2" s="64" t="s">
        <v>78</v>
      </c>
      <c r="AX2" s="64" t="s">
        <v>74</v>
      </c>
      <c r="AY2" s="64" t="s">
        <v>77</v>
      </c>
      <c r="AZ2" s="64" t="s">
        <v>78</v>
      </c>
      <c r="BA2" s="64" t="s">
        <v>74</v>
      </c>
      <c r="BB2" s="64" t="s">
        <v>77</v>
      </c>
      <c r="BC2" s="64" t="s">
        <v>78</v>
      </c>
      <c r="BD2" s="64" t="s">
        <v>74</v>
      </c>
      <c r="BE2" s="64" t="s">
        <v>77</v>
      </c>
      <c r="BF2" s="64" t="s">
        <v>78</v>
      </c>
      <c r="BG2" s="64" t="s">
        <v>74</v>
      </c>
      <c r="BH2" s="64" t="s">
        <v>77</v>
      </c>
      <c r="BI2" s="64" t="s">
        <v>78</v>
      </c>
      <c r="BJ2" s="64" t="s">
        <v>74</v>
      </c>
      <c r="BK2" s="57"/>
      <c r="BL2" s="57"/>
      <c r="BM2" s="57"/>
      <c r="BN2" s="57"/>
      <c r="BO2" s="57"/>
    </row>
    <row r="3" spans="1:67" ht="18.75">
      <c r="A3" s="68" t="s">
        <v>83</v>
      </c>
      <c r="B3" s="69" t="s">
        <v>84</v>
      </c>
      <c r="C3" s="60" t="s">
        <v>85</v>
      </c>
      <c r="D3" s="68" t="s">
        <v>86</v>
      </c>
      <c r="E3" s="66">
        <f t="shared" ref="E3:F3" si="0">E4+E16+E104+E141+E220</f>
        <v>0</v>
      </c>
      <c r="F3" s="66" t="e">
        <f t="shared" si="0"/>
        <v>#REF!</v>
      </c>
      <c r="G3" s="70" t="e">
        <f t="shared" ref="G3:G186" si="1">I3/E3</f>
        <v>#REF!</v>
      </c>
      <c r="H3" s="70" t="e">
        <f t="shared" ref="H3:H247" si="2">L3/E3</f>
        <v>#REF!</v>
      </c>
      <c r="I3" s="63" t="e">
        <f t="shared" ref="I3:N3" si="3">I4+I16+I104+I141+I220</f>
        <v>#REF!</v>
      </c>
      <c r="J3" s="64" t="e">
        <f t="shared" si="3"/>
        <v>#REF!</v>
      </c>
      <c r="K3" s="64" t="e">
        <f t="shared" si="3"/>
        <v>#REF!</v>
      </c>
      <c r="L3" s="65" t="e">
        <f t="shared" si="3"/>
        <v>#REF!</v>
      </c>
      <c r="M3" s="65" t="e">
        <f t="shared" si="3"/>
        <v>#REF!</v>
      </c>
      <c r="N3" s="65" t="e">
        <f t="shared" si="3"/>
        <v>#REF!</v>
      </c>
      <c r="O3" s="62" t="e">
        <f t="shared" ref="O3:Q3" si="4">IF(BH3=0,SUM(X3+AA3+AD3+AG3+AJ3+AM3+AP3+AS3+AV3+AY3+BB3+BE3),BH3)</f>
        <v>#REF!</v>
      </c>
      <c r="P3" s="62" t="e">
        <f t="shared" si="4"/>
        <v>#REF!</v>
      </c>
      <c r="Q3" s="62" t="e">
        <f t="shared" si="4"/>
        <v>#REF!</v>
      </c>
      <c r="R3" s="65" t="e">
        <f t="shared" ref="R3:T3" si="5">R4+R16+R104+R141+R220</f>
        <v>#REF!</v>
      </c>
      <c r="S3" s="65" t="e">
        <f t="shared" si="5"/>
        <v>#REF!</v>
      </c>
      <c r="T3" s="65" t="e">
        <f t="shared" si="5"/>
        <v>#REF!</v>
      </c>
      <c r="U3" s="67" t="e">
        <f t="shared" ref="U3:W3" si="6">L3/I3</f>
        <v>#REF!</v>
      </c>
      <c r="V3" s="67" t="e">
        <f t="shared" si="6"/>
        <v>#REF!</v>
      </c>
      <c r="W3" s="67" t="e">
        <f t="shared" si="6"/>
        <v>#REF!</v>
      </c>
      <c r="X3" s="71" t="e">
        <f t="shared" ref="X3:BJ3" si="7">X4+X16+X104+X141+X220</f>
        <v>#REF!</v>
      </c>
      <c r="Y3" s="71" t="e">
        <f t="shared" si="7"/>
        <v>#REF!</v>
      </c>
      <c r="Z3" s="71" t="e">
        <f t="shared" si="7"/>
        <v>#REF!</v>
      </c>
      <c r="AA3" s="71" t="e">
        <f t="shared" si="7"/>
        <v>#REF!</v>
      </c>
      <c r="AB3" s="71" t="e">
        <f t="shared" si="7"/>
        <v>#REF!</v>
      </c>
      <c r="AC3" s="71" t="e">
        <f t="shared" si="7"/>
        <v>#REF!</v>
      </c>
      <c r="AD3" s="71" t="e">
        <f t="shared" si="7"/>
        <v>#REF!</v>
      </c>
      <c r="AE3" s="71" t="e">
        <f t="shared" si="7"/>
        <v>#REF!</v>
      </c>
      <c r="AF3" s="71" t="e">
        <f t="shared" si="7"/>
        <v>#REF!</v>
      </c>
      <c r="AG3" s="71" t="e">
        <f t="shared" si="7"/>
        <v>#REF!</v>
      </c>
      <c r="AH3" s="71" t="e">
        <f t="shared" si="7"/>
        <v>#REF!</v>
      </c>
      <c r="AI3" s="71" t="e">
        <f t="shared" si="7"/>
        <v>#REF!</v>
      </c>
      <c r="AJ3" s="71" t="e">
        <f t="shared" si="7"/>
        <v>#REF!</v>
      </c>
      <c r="AK3" s="71" t="e">
        <f t="shared" si="7"/>
        <v>#REF!</v>
      </c>
      <c r="AL3" s="71" t="e">
        <f t="shared" si="7"/>
        <v>#REF!</v>
      </c>
      <c r="AM3" s="71" t="e">
        <f t="shared" si="7"/>
        <v>#REF!</v>
      </c>
      <c r="AN3" s="71" t="e">
        <f t="shared" si="7"/>
        <v>#REF!</v>
      </c>
      <c r="AO3" s="71" t="e">
        <f t="shared" si="7"/>
        <v>#REF!</v>
      </c>
      <c r="AP3" s="71" t="e">
        <f t="shared" si="7"/>
        <v>#REF!</v>
      </c>
      <c r="AQ3" s="71" t="e">
        <f t="shared" si="7"/>
        <v>#REF!</v>
      </c>
      <c r="AR3" s="71" t="e">
        <f t="shared" si="7"/>
        <v>#REF!</v>
      </c>
      <c r="AS3" s="71" t="e">
        <f t="shared" si="7"/>
        <v>#REF!</v>
      </c>
      <c r="AT3" s="71" t="e">
        <f t="shared" si="7"/>
        <v>#REF!</v>
      </c>
      <c r="AU3" s="71" t="e">
        <f t="shared" si="7"/>
        <v>#REF!</v>
      </c>
      <c r="AV3" s="71" t="e">
        <f t="shared" si="7"/>
        <v>#REF!</v>
      </c>
      <c r="AW3" s="71" t="e">
        <f t="shared" si="7"/>
        <v>#REF!</v>
      </c>
      <c r="AX3" s="71" t="e">
        <f t="shared" si="7"/>
        <v>#REF!</v>
      </c>
      <c r="AY3" s="71" t="e">
        <f t="shared" si="7"/>
        <v>#REF!</v>
      </c>
      <c r="AZ3" s="71" t="e">
        <f t="shared" si="7"/>
        <v>#REF!</v>
      </c>
      <c r="BA3" s="71" t="e">
        <f t="shared" si="7"/>
        <v>#REF!</v>
      </c>
      <c r="BB3" s="71" t="e">
        <f t="shared" si="7"/>
        <v>#REF!</v>
      </c>
      <c r="BC3" s="71" t="e">
        <f t="shared" si="7"/>
        <v>#REF!</v>
      </c>
      <c r="BD3" s="71" t="e">
        <f t="shared" si="7"/>
        <v>#REF!</v>
      </c>
      <c r="BE3" s="71" t="e">
        <f t="shared" si="7"/>
        <v>#REF!</v>
      </c>
      <c r="BF3" s="71" t="e">
        <f t="shared" si="7"/>
        <v>#REF!</v>
      </c>
      <c r="BG3" s="71" t="e">
        <f t="shared" si="7"/>
        <v>#REF!</v>
      </c>
      <c r="BH3" s="71" t="e">
        <f t="shared" si="7"/>
        <v>#REF!</v>
      </c>
      <c r="BI3" s="71" t="e">
        <f t="shared" si="7"/>
        <v>#REF!</v>
      </c>
      <c r="BJ3" s="71" t="e">
        <f t="shared" si="7"/>
        <v>#REF!</v>
      </c>
      <c r="BK3" s="72"/>
      <c r="BL3" s="72"/>
      <c r="BM3" s="72"/>
      <c r="BN3" s="72"/>
      <c r="BO3" s="72"/>
    </row>
    <row r="4" spans="1:67" ht="18.75">
      <c r="A4" s="73"/>
      <c r="B4" s="74" t="s">
        <v>87</v>
      </c>
      <c r="C4" s="75"/>
      <c r="D4" s="75"/>
      <c r="E4" s="76">
        <f t="shared" ref="E4:F4" si="8">SUM(E5:E15)</f>
        <v>0</v>
      </c>
      <c r="F4" s="76">
        <f t="shared" si="8"/>
        <v>0</v>
      </c>
      <c r="G4" s="77" t="e">
        <f t="shared" si="1"/>
        <v>#DIV/0!</v>
      </c>
      <c r="H4" s="77" t="e">
        <f t="shared" si="2"/>
        <v>#DIV/0!</v>
      </c>
      <c r="I4" s="76">
        <f t="shared" ref="I4:N4" si="9">SUM(I5:I6)</f>
        <v>10000</v>
      </c>
      <c r="J4" s="76">
        <f t="shared" si="9"/>
        <v>0</v>
      </c>
      <c r="K4" s="76">
        <f t="shared" si="9"/>
        <v>0</v>
      </c>
      <c r="L4" s="76">
        <f t="shared" si="9"/>
        <v>8394.64</v>
      </c>
      <c r="M4" s="76">
        <f t="shared" si="9"/>
        <v>0</v>
      </c>
      <c r="N4" s="76">
        <f t="shared" si="9"/>
        <v>0</v>
      </c>
      <c r="O4" s="78">
        <f t="shared" ref="O4:Q4" si="10">IF(BH4=0,SUM(X4+AA4+AD4+AG4+AJ4+AM4+AP4+AS4+AV4+AY4+BB4+BE4),BH4)</f>
        <v>8394.64</v>
      </c>
      <c r="P4" s="78">
        <f t="shared" si="10"/>
        <v>0</v>
      </c>
      <c r="Q4" s="78">
        <f t="shared" si="10"/>
        <v>0</v>
      </c>
      <c r="R4" s="76">
        <f t="shared" ref="R4:T4" si="11">SUM(R5:R6)</f>
        <v>1605.3600000000006</v>
      </c>
      <c r="S4" s="76">
        <f t="shared" si="11"/>
        <v>0</v>
      </c>
      <c r="T4" s="76">
        <f t="shared" si="11"/>
        <v>0</v>
      </c>
      <c r="U4" s="77">
        <f t="shared" ref="U4:W4" si="12">L4/I4</f>
        <v>0.83946399999999999</v>
      </c>
      <c r="V4" s="77" t="e">
        <f t="shared" si="12"/>
        <v>#DIV/0!</v>
      </c>
      <c r="W4" s="77" t="e">
        <f t="shared" si="12"/>
        <v>#DIV/0!</v>
      </c>
      <c r="X4" s="76">
        <f t="shared" ref="X4:BJ4" si="13">SUM(X5:X6)</f>
        <v>0</v>
      </c>
      <c r="Y4" s="76">
        <f t="shared" si="13"/>
        <v>0</v>
      </c>
      <c r="Z4" s="76">
        <f t="shared" si="13"/>
        <v>0</v>
      </c>
      <c r="AA4" s="76">
        <f t="shared" si="13"/>
        <v>355.65000000000003</v>
      </c>
      <c r="AB4" s="76">
        <f t="shared" si="13"/>
        <v>0</v>
      </c>
      <c r="AC4" s="76">
        <f t="shared" si="13"/>
        <v>0</v>
      </c>
      <c r="AD4" s="76">
        <f t="shared" si="13"/>
        <v>3934.85</v>
      </c>
      <c r="AE4" s="76">
        <f t="shared" si="13"/>
        <v>0</v>
      </c>
      <c r="AF4" s="76">
        <f t="shared" si="13"/>
        <v>0</v>
      </c>
      <c r="AG4" s="76">
        <f t="shared" si="13"/>
        <v>4104.1400000000003</v>
      </c>
      <c r="AH4" s="76">
        <f t="shared" si="13"/>
        <v>0</v>
      </c>
      <c r="AI4" s="76">
        <f t="shared" si="13"/>
        <v>0</v>
      </c>
      <c r="AJ4" s="76">
        <f t="shared" si="13"/>
        <v>0</v>
      </c>
      <c r="AK4" s="76">
        <f t="shared" si="13"/>
        <v>0</v>
      </c>
      <c r="AL4" s="76">
        <f t="shared" si="13"/>
        <v>0</v>
      </c>
      <c r="AM4" s="76">
        <f t="shared" si="13"/>
        <v>0</v>
      </c>
      <c r="AN4" s="76">
        <f t="shared" si="13"/>
        <v>0</v>
      </c>
      <c r="AO4" s="76">
        <f t="shared" si="13"/>
        <v>0</v>
      </c>
      <c r="AP4" s="76">
        <f t="shared" si="13"/>
        <v>0</v>
      </c>
      <c r="AQ4" s="76">
        <f t="shared" si="13"/>
        <v>0</v>
      </c>
      <c r="AR4" s="76">
        <f t="shared" si="13"/>
        <v>0</v>
      </c>
      <c r="AS4" s="76">
        <f t="shared" si="13"/>
        <v>0</v>
      </c>
      <c r="AT4" s="76">
        <f t="shared" si="13"/>
        <v>0</v>
      </c>
      <c r="AU4" s="76">
        <f t="shared" si="13"/>
        <v>0</v>
      </c>
      <c r="AV4" s="76">
        <f t="shared" si="13"/>
        <v>0</v>
      </c>
      <c r="AW4" s="76">
        <f t="shared" si="13"/>
        <v>0</v>
      </c>
      <c r="AX4" s="76">
        <f t="shared" si="13"/>
        <v>0</v>
      </c>
      <c r="AY4" s="76">
        <f t="shared" si="13"/>
        <v>0</v>
      </c>
      <c r="AZ4" s="76">
        <f t="shared" si="13"/>
        <v>0</v>
      </c>
      <c r="BA4" s="76">
        <f t="shared" si="13"/>
        <v>0</v>
      </c>
      <c r="BB4" s="76">
        <f t="shared" si="13"/>
        <v>0</v>
      </c>
      <c r="BC4" s="76">
        <f t="shared" si="13"/>
        <v>0</v>
      </c>
      <c r="BD4" s="76">
        <f t="shared" si="13"/>
        <v>0</v>
      </c>
      <c r="BE4" s="76">
        <f t="shared" si="13"/>
        <v>0</v>
      </c>
      <c r="BF4" s="76">
        <f t="shared" si="13"/>
        <v>0</v>
      </c>
      <c r="BG4" s="76">
        <f t="shared" si="13"/>
        <v>0</v>
      </c>
      <c r="BH4" s="76">
        <f t="shared" si="13"/>
        <v>0</v>
      </c>
      <c r="BI4" s="76">
        <f t="shared" si="13"/>
        <v>0</v>
      </c>
      <c r="BJ4" s="76">
        <f t="shared" si="13"/>
        <v>0</v>
      </c>
      <c r="BK4" s="72"/>
      <c r="BL4" s="72"/>
      <c r="BM4" s="72"/>
      <c r="BN4" s="72"/>
      <c r="BO4" s="72"/>
    </row>
    <row r="5" spans="1:67" ht="15.75" customHeight="1">
      <c r="A5" s="79" t="s">
        <v>88</v>
      </c>
      <c r="B5" s="80"/>
      <c r="C5" s="80" t="s">
        <v>89</v>
      </c>
      <c r="D5" s="81" t="s">
        <v>90</v>
      </c>
      <c r="E5" s="82"/>
      <c r="F5" s="82"/>
      <c r="G5" s="83" t="e">
        <f t="shared" si="1"/>
        <v>#DIV/0!</v>
      </c>
      <c r="H5" s="83" t="e">
        <f t="shared" si="2"/>
        <v>#DIV/0!</v>
      </c>
      <c r="I5" s="84">
        <f>5000+5000</f>
        <v>10000</v>
      </c>
      <c r="J5" s="84"/>
      <c r="K5" s="85"/>
      <c r="L5" s="86">
        <f t="shared" ref="L5:N5" si="14">X5+AA5+AD5+AG5+AJ5+AM5+AP5+AS5+AV5+AY5+BB5+BE5</f>
        <v>8394.64</v>
      </c>
      <c r="M5" s="86">
        <f t="shared" si="14"/>
        <v>0</v>
      </c>
      <c r="N5" s="86">
        <f t="shared" si="14"/>
        <v>0</v>
      </c>
      <c r="O5" s="62">
        <f t="shared" ref="O5:Q5" si="15">IF(BH5=0,SUM(X5+AA5+AD5+AG5+AJ5+AM5+AP5+AS5+AV5+AY5+BB5+BE5),BH5)</f>
        <v>8394.64</v>
      </c>
      <c r="P5" s="62">
        <f t="shared" si="15"/>
        <v>0</v>
      </c>
      <c r="Q5" s="62">
        <f t="shared" si="15"/>
        <v>0</v>
      </c>
      <c r="R5" s="86">
        <f t="shared" ref="R5:T5" si="16">I5-L5</f>
        <v>1605.3600000000006</v>
      </c>
      <c r="S5" s="86">
        <f t="shared" si="16"/>
        <v>0</v>
      </c>
      <c r="T5" s="86">
        <f t="shared" si="16"/>
        <v>0</v>
      </c>
      <c r="U5" s="87">
        <f t="shared" ref="U5:W5" si="17">L5/I5</f>
        <v>0.83946399999999999</v>
      </c>
      <c r="V5" s="87" t="e">
        <f t="shared" si="17"/>
        <v>#DIV/0!</v>
      </c>
      <c r="W5" s="87" t="e">
        <f t="shared" si="17"/>
        <v>#DIV/0!</v>
      </c>
      <c r="X5" s="84">
        <v>0</v>
      </c>
      <c r="Y5" s="84"/>
      <c r="Z5" s="84"/>
      <c r="AA5" s="84">
        <f>84.93+67.68+67.68+67.68+67.68</f>
        <v>355.65000000000003</v>
      </c>
      <c r="AB5" s="84"/>
      <c r="AC5" s="84"/>
      <c r="AD5" s="84">
        <f>3934.85</f>
        <v>3934.85</v>
      </c>
      <c r="AE5" s="84"/>
      <c r="AF5" s="84"/>
      <c r="AG5" s="84">
        <f>4104.14</f>
        <v>4104.1400000000003</v>
      </c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8"/>
      <c r="BL5" s="88"/>
      <c r="BM5" s="88"/>
      <c r="BN5" s="88"/>
      <c r="BO5" s="88"/>
    </row>
    <row r="6" spans="1:67" ht="15.75" customHeight="1">
      <c r="A6" s="89"/>
      <c r="B6" s="90"/>
      <c r="C6" s="80" t="s">
        <v>91</v>
      </c>
      <c r="D6" s="81" t="s">
        <v>92</v>
      </c>
      <c r="E6" s="82"/>
      <c r="F6" s="82"/>
      <c r="G6" s="83" t="e">
        <f t="shared" si="1"/>
        <v>#DIV/0!</v>
      </c>
      <c r="H6" s="83" t="e">
        <f t="shared" si="2"/>
        <v>#DIV/0!</v>
      </c>
      <c r="I6" s="85"/>
      <c r="J6" s="84"/>
      <c r="K6" s="85"/>
      <c r="L6" s="86">
        <f t="shared" ref="L6:N6" si="18">X6+AA6+AD6+AG6+AJ6+AM6+AP6+AS6+AV6+AY6+BB6+BE6</f>
        <v>0</v>
      </c>
      <c r="M6" s="86">
        <f t="shared" si="18"/>
        <v>0</v>
      </c>
      <c r="N6" s="86">
        <f t="shared" si="18"/>
        <v>0</v>
      </c>
      <c r="O6" s="62">
        <f t="shared" ref="O6:Q6" si="19">IF(BH6=0,SUM(X6+AA6+AD6+AG6+AJ6+AM6+AP6+AS6+AV6+AY6+BB6+BE6),BH6)</f>
        <v>0</v>
      </c>
      <c r="P6" s="62">
        <f t="shared" si="19"/>
        <v>0</v>
      </c>
      <c r="Q6" s="62">
        <f t="shared" si="19"/>
        <v>0</v>
      </c>
      <c r="R6" s="86">
        <f t="shared" ref="R6:T6" si="20">I6-L6</f>
        <v>0</v>
      </c>
      <c r="S6" s="86">
        <f t="shared" si="20"/>
        <v>0</v>
      </c>
      <c r="T6" s="86">
        <f t="shared" si="20"/>
        <v>0</v>
      </c>
      <c r="U6" s="87" t="e">
        <f t="shared" ref="U6:W6" si="21">L6/I6</f>
        <v>#DIV/0!</v>
      </c>
      <c r="V6" s="87" t="e">
        <f t="shared" si="21"/>
        <v>#DIV/0!</v>
      </c>
      <c r="W6" s="87" t="e">
        <f t="shared" si="21"/>
        <v>#DIV/0!</v>
      </c>
      <c r="X6" s="84"/>
      <c r="Y6" s="84"/>
      <c r="Z6" s="84"/>
      <c r="AA6" s="84"/>
      <c r="AB6" s="84"/>
      <c r="AC6" s="85"/>
      <c r="AD6" s="85"/>
      <c r="AE6" s="85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8"/>
      <c r="BL6" s="88"/>
      <c r="BM6" s="88"/>
      <c r="BN6" s="88"/>
      <c r="BO6" s="88"/>
    </row>
    <row r="7" spans="1:67" ht="26.25" customHeight="1">
      <c r="A7" s="89" t="s">
        <v>93</v>
      </c>
      <c r="B7" s="91"/>
      <c r="C7" s="80" t="s">
        <v>94</v>
      </c>
      <c r="D7" s="92" t="s">
        <v>95</v>
      </c>
      <c r="E7" s="82"/>
      <c r="F7" s="82"/>
      <c r="G7" s="83" t="e">
        <f t="shared" si="1"/>
        <v>#DIV/0!</v>
      </c>
      <c r="H7" s="83" t="e">
        <f t="shared" si="2"/>
        <v>#DIV/0!</v>
      </c>
      <c r="I7" s="93">
        <v>128</v>
      </c>
      <c r="J7" s="93"/>
      <c r="K7" s="93"/>
      <c r="L7" s="86">
        <f t="shared" ref="L7:M7" si="22">X7+AA7+AD7+AG7+AJ7+AM7+AP7+AS7+AV7+AY7+BB7+BE7</f>
        <v>0</v>
      </c>
      <c r="M7" s="86">
        <f t="shared" si="22"/>
        <v>0</v>
      </c>
      <c r="N7" s="86">
        <f t="shared" ref="N7:N8" si="23">Z7+AC7+AF7+AI7+AL7+AO7+AR7+AU7+AX7+BA7+BE15+BG7</f>
        <v>0</v>
      </c>
      <c r="O7" s="62">
        <f t="shared" ref="O7:P7" si="24">IF(BH7=0,SUM(X7+AA7+AD7+AG7+AJ7+AM7+AP7+AS7+AV7+AY7+BB7+BE7),BH7)</f>
        <v>0</v>
      </c>
      <c r="P7" s="62">
        <f t="shared" si="24"/>
        <v>0</v>
      </c>
      <c r="Q7" s="62">
        <f t="shared" ref="Q7:Q8" si="25">IF(BJ7=0,SUM(Z7+AC7+AF7+AI7+AL7+AO7+AR7+AU7+AX7+BA7+BE15+BG7),BJ7)</f>
        <v>0</v>
      </c>
      <c r="R7" s="86">
        <f t="shared" ref="R7:R15" si="26">I7-L7</f>
        <v>128</v>
      </c>
      <c r="S7" s="86">
        <v>0</v>
      </c>
      <c r="T7" s="86">
        <f>K7-N7</f>
        <v>0</v>
      </c>
      <c r="U7" s="87">
        <f t="shared" ref="U7:W7" si="27">L7/I7</f>
        <v>0</v>
      </c>
      <c r="V7" s="87" t="e">
        <f t="shared" si="27"/>
        <v>#DIV/0!</v>
      </c>
      <c r="W7" s="87" t="e">
        <f t="shared" si="27"/>
        <v>#DIV/0!</v>
      </c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4"/>
      <c r="BE7" s="93"/>
      <c r="BF7" s="93"/>
      <c r="BG7" s="93"/>
      <c r="BH7" s="93"/>
      <c r="BI7" s="93"/>
      <c r="BJ7" s="93"/>
      <c r="BK7" s="57"/>
      <c r="BL7" s="57"/>
      <c r="BM7" s="57"/>
      <c r="BN7" s="57"/>
      <c r="BO7" s="57"/>
    </row>
    <row r="8" spans="1:67" ht="37.5">
      <c r="A8" s="89"/>
      <c r="B8" s="95" t="s">
        <v>96</v>
      </c>
      <c r="C8" s="80" t="s">
        <v>97</v>
      </c>
      <c r="D8" s="81" t="s">
        <v>558</v>
      </c>
      <c r="E8" s="82"/>
      <c r="F8" s="82"/>
      <c r="G8" s="83" t="e">
        <f t="shared" si="1"/>
        <v>#DIV/0!</v>
      </c>
      <c r="H8" s="83" t="e">
        <f t="shared" si="2"/>
        <v>#DIV/0!</v>
      </c>
      <c r="I8" s="93"/>
      <c r="J8" s="93">
        <v>1850</v>
      </c>
      <c r="K8" s="93"/>
      <c r="L8" s="86">
        <f t="shared" ref="L8:M8" si="28">X8+AA8+AD8+AG8+AJ8+AM8+AP8+AS8+AV8+AY8+BB8+BE8</f>
        <v>0</v>
      </c>
      <c r="M8" s="86">
        <f t="shared" si="28"/>
        <v>0</v>
      </c>
      <c r="N8" s="86">
        <f t="shared" si="23"/>
        <v>0</v>
      </c>
      <c r="O8" s="62">
        <f t="shared" ref="O8:P8" si="29">IF(BH8=0,SUM(X8+AA8+AD8+AG8+AJ8+AM8+AP8+AS8+AV8+AY8+BB8+BE8),BH8)</f>
        <v>0</v>
      </c>
      <c r="P8" s="62">
        <f t="shared" si="29"/>
        <v>0</v>
      </c>
      <c r="Q8" s="62">
        <f t="shared" si="25"/>
        <v>0</v>
      </c>
      <c r="R8" s="86">
        <f t="shared" si="26"/>
        <v>0</v>
      </c>
      <c r="S8" s="86">
        <f t="shared" ref="S8:T8" si="30">J8-M8</f>
        <v>1850</v>
      </c>
      <c r="T8" s="86">
        <f t="shared" si="30"/>
        <v>0</v>
      </c>
      <c r="U8" s="87" t="e">
        <f t="shared" ref="U8:W8" si="31">L8/I8</f>
        <v>#DIV/0!</v>
      </c>
      <c r="V8" s="87">
        <f t="shared" si="31"/>
        <v>0</v>
      </c>
      <c r="W8" s="87" t="e">
        <f t="shared" si="31"/>
        <v>#DIV/0!</v>
      </c>
      <c r="X8" s="93"/>
      <c r="Y8" s="93">
        <v>0</v>
      </c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6"/>
      <c r="BE8" s="93"/>
      <c r="BF8" s="93"/>
      <c r="BG8" s="93"/>
      <c r="BH8" s="93"/>
      <c r="BI8" s="93"/>
      <c r="BJ8" s="93"/>
      <c r="BK8" s="57"/>
      <c r="BL8" s="57"/>
      <c r="BM8" s="57"/>
      <c r="BN8" s="57"/>
      <c r="BO8" s="57"/>
    </row>
    <row r="9" spans="1:67" ht="32.25" customHeight="1">
      <c r="A9" s="89" t="s">
        <v>98</v>
      </c>
      <c r="B9" s="95"/>
      <c r="C9" s="80" t="s">
        <v>94</v>
      </c>
      <c r="D9" s="81" t="s">
        <v>99</v>
      </c>
      <c r="E9" s="82"/>
      <c r="F9" s="82"/>
      <c r="G9" s="83" t="e">
        <f t="shared" si="1"/>
        <v>#DIV/0!</v>
      </c>
      <c r="H9" s="83" t="e">
        <f t="shared" si="2"/>
        <v>#DIV/0!</v>
      </c>
      <c r="I9" s="93">
        <v>260</v>
      </c>
      <c r="J9" s="93"/>
      <c r="K9" s="93"/>
      <c r="L9" s="86">
        <f t="shared" ref="L9:N9" si="32">X9+AA9+AD9+AG9+AJ9+AM9+AP9+AS9+AV9+AY9+BB9+BE9</f>
        <v>0</v>
      </c>
      <c r="M9" s="86">
        <f t="shared" si="32"/>
        <v>0</v>
      </c>
      <c r="N9" s="86">
        <f t="shared" si="32"/>
        <v>0</v>
      </c>
      <c r="O9" s="62">
        <f t="shared" ref="O9:P9" si="33">IF(BH9=0,SUM(X9+AA9+AD9+AG9+AJ9+AM9+AP9+AS9+AV9+AY9+BB9+BE9),BH9)</f>
        <v>0</v>
      </c>
      <c r="P9" s="62">
        <f t="shared" si="33"/>
        <v>0</v>
      </c>
      <c r="Q9" s="62">
        <f>IF(BJ9=0,SUM(Z9+AC9+AF9+AI9+AL9+AO9+AR9+AU9+AX9+BA9+BE16+BG9),BJ9)</f>
        <v>0</v>
      </c>
      <c r="R9" s="86">
        <f t="shared" si="26"/>
        <v>260</v>
      </c>
      <c r="S9" s="86">
        <f t="shared" ref="S9:T9" si="34">J9-M9</f>
        <v>0</v>
      </c>
      <c r="T9" s="86">
        <f t="shared" si="34"/>
        <v>0</v>
      </c>
      <c r="U9" s="87">
        <f t="shared" ref="U9:W9" si="35">L9/I9</f>
        <v>0</v>
      </c>
      <c r="V9" s="87" t="e">
        <f t="shared" si="35"/>
        <v>#DIV/0!</v>
      </c>
      <c r="W9" s="87" t="e">
        <f t="shared" si="35"/>
        <v>#DIV/0!</v>
      </c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6"/>
      <c r="BE9" s="93"/>
      <c r="BF9" s="93"/>
      <c r="BG9" s="93"/>
      <c r="BH9" s="93"/>
      <c r="BI9" s="93"/>
      <c r="BJ9" s="93"/>
      <c r="BK9" s="57"/>
      <c r="BL9" s="57"/>
      <c r="BM9" s="57"/>
      <c r="BN9" s="57"/>
      <c r="BO9" s="57"/>
    </row>
    <row r="10" spans="1:67" ht="18.75">
      <c r="A10" s="89"/>
      <c r="B10" s="95"/>
      <c r="C10" s="80" t="s">
        <v>100</v>
      </c>
      <c r="D10" s="81"/>
      <c r="E10" s="82"/>
      <c r="F10" s="82"/>
      <c r="G10" s="83" t="e">
        <f t="shared" si="1"/>
        <v>#DIV/0!</v>
      </c>
      <c r="H10" s="83" t="e">
        <f t="shared" si="2"/>
        <v>#DIV/0!</v>
      </c>
      <c r="I10" s="93"/>
      <c r="J10" s="93"/>
      <c r="K10" s="93"/>
      <c r="L10" s="86">
        <f t="shared" ref="L10:M10" si="36">X10+AA10+AD10+AG10+AJ10+AM10+AP10+AS10+AV10+AY10+BB10+BE10</f>
        <v>0</v>
      </c>
      <c r="M10" s="86">
        <f t="shared" si="36"/>
        <v>0</v>
      </c>
      <c r="N10" s="86">
        <f>Z10+AC10+AF10+AI10+AL10+AO10+AR10+AU10+AX10+BA10+BE18+BG10</f>
        <v>0</v>
      </c>
      <c r="O10" s="62">
        <f t="shared" ref="O10:P10" si="37">IF(BH10=0,SUM(X10+AA10+AD10+AG10+AJ10+AM10+AP10+AS10+AV10+AY10+BB10+BE10),BH10)</f>
        <v>0</v>
      </c>
      <c r="P10" s="62">
        <f t="shared" si="37"/>
        <v>0</v>
      </c>
      <c r="Q10" s="62">
        <f t="shared" ref="Q10:Q11" si="38">IF(BJ10=0,SUM(Z10+AC10+AF10+AI10+AL10+AO10+AR10+AU10+AX10+BA10+BE18+BG10),BJ10)</f>
        <v>0</v>
      </c>
      <c r="R10" s="86">
        <f t="shared" si="26"/>
        <v>0</v>
      </c>
      <c r="S10" s="86">
        <f t="shared" ref="S10:T10" si="39">J10-M10</f>
        <v>0</v>
      </c>
      <c r="T10" s="86">
        <f t="shared" si="39"/>
        <v>0</v>
      </c>
      <c r="U10" s="87" t="e">
        <f t="shared" ref="U10:W10" si="40">L10/I10</f>
        <v>#DIV/0!</v>
      </c>
      <c r="V10" s="87" t="e">
        <f t="shared" si="40"/>
        <v>#DIV/0!</v>
      </c>
      <c r="W10" s="87" t="e">
        <f t="shared" si="40"/>
        <v>#DIV/0!</v>
      </c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6"/>
      <c r="BE10" s="93"/>
      <c r="BF10" s="93"/>
      <c r="BG10" s="93"/>
      <c r="BH10" s="93"/>
      <c r="BI10" s="93"/>
      <c r="BJ10" s="93"/>
      <c r="BK10" s="57"/>
      <c r="BL10" s="57"/>
      <c r="BM10" s="57"/>
      <c r="BN10" s="57"/>
      <c r="BO10" s="57"/>
    </row>
    <row r="11" spans="1:67" ht="37.5">
      <c r="A11" s="89"/>
      <c r="B11" s="95"/>
      <c r="C11" s="80" t="s">
        <v>94</v>
      </c>
      <c r="D11" s="92" t="s">
        <v>101</v>
      </c>
      <c r="E11" s="82"/>
      <c r="F11" s="82"/>
      <c r="G11" s="83" t="e">
        <f t="shared" si="1"/>
        <v>#DIV/0!</v>
      </c>
      <c r="H11" s="83" t="e">
        <f t="shared" si="2"/>
        <v>#DIV/0!</v>
      </c>
      <c r="I11" s="93"/>
      <c r="J11" s="93"/>
      <c r="K11" s="93"/>
      <c r="L11" s="86">
        <f t="shared" ref="L11:N11" si="41">X11+AA11+AD11+AG11+AJ11+AM11+AP11+AS11+AV11+AY11+BB11+BE11</f>
        <v>0</v>
      </c>
      <c r="M11" s="86">
        <f t="shared" si="41"/>
        <v>0</v>
      </c>
      <c r="N11" s="86">
        <f t="shared" si="41"/>
        <v>0</v>
      </c>
      <c r="O11" s="62">
        <f t="shared" ref="O11:P11" si="42">IF(BH11=0,SUM(X11+AA11+AD11+AG11+AJ11+AM11+AP11+AS11+AV11+AY11+BB11+BE11),BH11)</f>
        <v>0</v>
      </c>
      <c r="P11" s="62">
        <f t="shared" si="42"/>
        <v>0</v>
      </c>
      <c r="Q11" s="62">
        <f t="shared" si="38"/>
        <v>0</v>
      </c>
      <c r="R11" s="86">
        <f t="shared" si="26"/>
        <v>0</v>
      </c>
      <c r="S11" s="86">
        <f t="shared" ref="S11:T11" si="43">J11-M11</f>
        <v>0</v>
      </c>
      <c r="T11" s="86">
        <f t="shared" si="43"/>
        <v>0</v>
      </c>
      <c r="U11" s="87" t="e">
        <f t="shared" ref="U11:W11" si="44">L11/I11</f>
        <v>#DIV/0!</v>
      </c>
      <c r="V11" s="87" t="e">
        <f t="shared" si="44"/>
        <v>#DIV/0!</v>
      </c>
      <c r="W11" s="87" t="e">
        <f t="shared" si="44"/>
        <v>#DIV/0!</v>
      </c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6"/>
      <c r="BE11" s="93"/>
      <c r="BF11" s="93"/>
      <c r="BG11" s="93"/>
      <c r="BH11" s="93"/>
      <c r="BI11" s="93"/>
      <c r="BJ11" s="93"/>
      <c r="BK11" s="57"/>
      <c r="BL11" s="57"/>
      <c r="BM11" s="57"/>
      <c r="BN11" s="57"/>
      <c r="BO11" s="57"/>
    </row>
    <row r="12" spans="1:67" ht="37.5">
      <c r="A12" s="89"/>
      <c r="B12" s="95" t="s">
        <v>102</v>
      </c>
      <c r="C12" s="80" t="s">
        <v>103</v>
      </c>
      <c r="D12" s="81" t="s">
        <v>104</v>
      </c>
      <c r="E12" s="97"/>
      <c r="F12" s="98"/>
      <c r="G12" s="83" t="e">
        <f t="shared" si="1"/>
        <v>#DIV/0!</v>
      </c>
      <c r="H12" s="83" t="e">
        <f t="shared" si="2"/>
        <v>#DIV/0!</v>
      </c>
      <c r="I12" s="84"/>
      <c r="J12" s="85">
        <v>100000</v>
      </c>
      <c r="K12" s="99"/>
      <c r="L12" s="86">
        <f t="shared" ref="L12:N12" si="45">X12+AA12+AD12+AG12+AJ12+AM12+AP12+AS12+AV12+AY12+BB12+BE12</f>
        <v>0</v>
      </c>
      <c r="M12" s="86">
        <f t="shared" si="45"/>
        <v>80000</v>
      </c>
      <c r="N12" s="86">
        <f t="shared" si="45"/>
        <v>0</v>
      </c>
      <c r="O12" s="62">
        <f t="shared" ref="O12:P12" si="46">IF(BH12=0,SUM(X12+AA12+AD12+AG12+AJ12+AM12+AP12+AS12+AV12+AY12+BB12+BE12),BH12)</f>
        <v>0</v>
      </c>
      <c r="P12" s="62">
        <f t="shared" si="46"/>
        <v>80000</v>
      </c>
      <c r="Q12" s="62">
        <f>IF(BJ12=0,SUM(Z12+AC12+AF12+AI12+AL12+AO12+AR12+AU12+AX12+BA12+BE19+BG12),BJ12)</f>
        <v>0</v>
      </c>
      <c r="R12" s="86">
        <f t="shared" si="26"/>
        <v>0</v>
      </c>
      <c r="S12" s="86">
        <f t="shared" ref="S12:T12" si="47">J12-M12</f>
        <v>20000</v>
      </c>
      <c r="T12" s="86">
        <f t="shared" si="47"/>
        <v>0</v>
      </c>
      <c r="U12" s="87" t="e">
        <f t="shared" ref="U12:W12" si="48">L12/I12</f>
        <v>#DIV/0!</v>
      </c>
      <c r="V12" s="87">
        <f t="shared" si="48"/>
        <v>0.8</v>
      </c>
      <c r="W12" s="87" t="e">
        <f t="shared" si="48"/>
        <v>#DIV/0!</v>
      </c>
      <c r="X12" s="84"/>
      <c r="Y12" s="93">
        <v>0</v>
      </c>
      <c r="Z12" s="93"/>
      <c r="AA12" s="93"/>
      <c r="AB12" s="93">
        <v>80000</v>
      </c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6"/>
      <c r="BE12" s="93"/>
      <c r="BF12" s="93"/>
      <c r="BG12" s="93"/>
      <c r="BH12" s="93"/>
      <c r="BI12" s="93"/>
      <c r="BJ12" s="93"/>
      <c r="BK12" s="57"/>
      <c r="BL12" s="57"/>
      <c r="BM12" s="57"/>
      <c r="BN12" s="57"/>
      <c r="BO12" s="57"/>
    </row>
    <row r="13" spans="1:67" ht="37.5">
      <c r="A13" s="89"/>
      <c r="B13" s="95" t="s">
        <v>105</v>
      </c>
      <c r="C13" s="80" t="s">
        <v>94</v>
      </c>
      <c r="D13" s="81" t="s">
        <v>106</v>
      </c>
      <c r="E13" s="97"/>
      <c r="F13" s="98"/>
      <c r="G13" s="83" t="e">
        <f t="shared" si="1"/>
        <v>#DIV/0!</v>
      </c>
      <c r="H13" s="83" t="e">
        <f t="shared" si="2"/>
        <v>#DIV/0!</v>
      </c>
      <c r="I13" s="84"/>
      <c r="J13" s="85">
        <v>4250</v>
      </c>
      <c r="K13" s="99"/>
      <c r="L13" s="86">
        <f t="shared" ref="L13:N13" si="49">X13+AA13+AD13+AG13+AJ13+AM13+AP13+AS13+AV13+AY13+BB13+BE13</f>
        <v>0</v>
      </c>
      <c r="M13" s="86">
        <f t="shared" si="49"/>
        <v>0</v>
      </c>
      <c r="N13" s="86">
        <f t="shared" si="49"/>
        <v>0</v>
      </c>
      <c r="O13" s="62">
        <f t="shared" ref="O13:Q13" si="50">IF(BH13=0,SUM(X13+AA13+AD13+AG13+AJ13+AM13+AP13+AS13+AV13+AY13+BB13+BE13),BH13)</f>
        <v>0</v>
      </c>
      <c r="P13" s="62">
        <f t="shared" si="50"/>
        <v>0</v>
      </c>
      <c r="Q13" s="62">
        <f t="shared" si="50"/>
        <v>0</v>
      </c>
      <c r="R13" s="86">
        <f t="shared" si="26"/>
        <v>0</v>
      </c>
      <c r="S13" s="86">
        <f t="shared" ref="S13:T13" si="51">J13-M13</f>
        <v>4250</v>
      </c>
      <c r="T13" s="86">
        <f t="shared" si="51"/>
        <v>0</v>
      </c>
      <c r="U13" s="87" t="e">
        <f t="shared" ref="U13:W13" si="52">L13/I13</f>
        <v>#DIV/0!</v>
      </c>
      <c r="V13" s="87">
        <f t="shared" si="52"/>
        <v>0</v>
      </c>
      <c r="W13" s="87" t="e">
        <f t="shared" si="52"/>
        <v>#DIV/0!</v>
      </c>
      <c r="X13" s="84"/>
      <c r="Y13" s="93">
        <v>0</v>
      </c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6"/>
      <c r="BE13" s="93"/>
      <c r="BF13" s="93"/>
      <c r="BG13" s="93"/>
      <c r="BH13" s="93"/>
      <c r="BI13" s="93"/>
      <c r="BJ13" s="93"/>
      <c r="BK13" s="57"/>
      <c r="BL13" s="57"/>
      <c r="BM13" s="57"/>
      <c r="BN13" s="57"/>
      <c r="BO13" s="57"/>
    </row>
    <row r="14" spans="1:67" ht="37.5">
      <c r="A14" s="89"/>
      <c r="B14" s="90"/>
      <c r="C14" s="80" t="s">
        <v>107</v>
      </c>
      <c r="D14" s="81" t="s">
        <v>108</v>
      </c>
      <c r="E14" s="82"/>
      <c r="F14" s="82"/>
      <c r="G14" s="83" t="e">
        <f t="shared" si="1"/>
        <v>#DIV/0!</v>
      </c>
      <c r="H14" s="83" t="e">
        <f t="shared" si="2"/>
        <v>#DIV/0!</v>
      </c>
      <c r="I14" s="93"/>
      <c r="J14" s="93"/>
      <c r="K14" s="93"/>
      <c r="L14" s="86">
        <f t="shared" ref="L14:M14" si="53">X14+AA14+AD14+AG14+AJ14+AM14+AP14+AS14+AV14+AY14+BB14+BE14</f>
        <v>0</v>
      </c>
      <c r="M14" s="86">
        <f t="shared" si="53"/>
        <v>0</v>
      </c>
      <c r="N14" s="86">
        <f>Z14+AC14+AF14+AI14+AL14+AO14+AR14+AU14+AX14+BA14+BE23+BG14</f>
        <v>0</v>
      </c>
      <c r="O14" s="62">
        <f t="shared" ref="O14:P14" si="54">IF(BH14=0,SUM(X14+AA14+AD14+AG14+AJ14+AM14+AP14+AS14+AV14+AY14+BB14+BE14),BH14)</f>
        <v>0</v>
      </c>
      <c r="P14" s="62">
        <f t="shared" si="54"/>
        <v>0</v>
      </c>
      <c r="Q14" s="62">
        <f>IF(BJ14=0,SUM(Z14+AC14+AF14+AI14+AL14+AO14+AR14+AU14+AX14+BA14+BE23+BG14),BJ14)</f>
        <v>0</v>
      </c>
      <c r="R14" s="86">
        <f t="shared" si="26"/>
        <v>0</v>
      </c>
      <c r="S14" s="86">
        <f t="shared" ref="S14:T14" si="55">J14-M14</f>
        <v>0</v>
      </c>
      <c r="T14" s="86">
        <f t="shared" si="55"/>
        <v>0</v>
      </c>
      <c r="U14" s="87" t="e">
        <f t="shared" ref="U14:W14" si="56">L14/I14</f>
        <v>#DIV/0!</v>
      </c>
      <c r="V14" s="87" t="e">
        <f t="shared" si="56"/>
        <v>#DIV/0!</v>
      </c>
      <c r="W14" s="87" t="e">
        <f t="shared" si="56"/>
        <v>#DIV/0!</v>
      </c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6"/>
      <c r="BE14" s="93"/>
      <c r="BF14" s="93"/>
      <c r="BG14" s="93"/>
      <c r="BH14" s="93"/>
      <c r="BI14" s="93"/>
      <c r="BJ14" s="93"/>
      <c r="BK14" s="57"/>
      <c r="BL14" s="57"/>
      <c r="BM14" s="57"/>
      <c r="BN14" s="57"/>
      <c r="BO14" s="57"/>
    </row>
    <row r="15" spans="1:67" ht="18.75">
      <c r="A15" s="89"/>
      <c r="B15" s="90"/>
      <c r="C15" s="80"/>
      <c r="D15" s="81"/>
      <c r="E15" s="82"/>
      <c r="F15" s="82"/>
      <c r="G15" s="83" t="e">
        <f t="shared" si="1"/>
        <v>#DIV/0!</v>
      </c>
      <c r="H15" s="83" t="e">
        <f t="shared" si="2"/>
        <v>#DIV/0!</v>
      </c>
      <c r="I15" s="93"/>
      <c r="J15" s="93"/>
      <c r="K15" s="93"/>
      <c r="L15" s="86">
        <f t="shared" ref="L15:N15" si="57">X15+AA15+AD15+AG15+AJ15+AM15+AP15+AS15+AV15+AY15+BB15+BE15</f>
        <v>0</v>
      </c>
      <c r="M15" s="86">
        <f t="shared" si="57"/>
        <v>0</v>
      </c>
      <c r="N15" s="86">
        <f t="shared" si="57"/>
        <v>0</v>
      </c>
      <c r="O15" s="62">
        <f t="shared" ref="O15:Q15" si="58">IF(BH15=0,SUM(X15+AA15+AD15+AG15+AJ15+AM15+AP15+AS15+AV15+AY15+BB15+BE15),BH15)</f>
        <v>0</v>
      </c>
      <c r="P15" s="62">
        <f t="shared" si="58"/>
        <v>0</v>
      </c>
      <c r="Q15" s="62">
        <f t="shared" si="58"/>
        <v>0</v>
      </c>
      <c r="R15" s="86">
        <f t="shared" si="26"/>
        <v>0</v>
      </c>
      <c r="S15" s="86">
        <f t="shared" ref="S15:T15" si="59">J15-M15</f>
        <v>0</v>
      </c>
      <c r="T15" s="86">
        <f t="shared" si="59"/>
        <v>0</v>
      </c>
      <c r="U15" s="87" t="e">
        <f t="shared" ref="U15:W15" si="60">L15/I15</f>
        <v>#DIV/0!</v>
      </c>
      <c r="V15" s="87" t="e">
        <f t="shared" si="60"/>
        <v>#DIV/0!</v>
      </c>
      <c r="W15" s="87" t="e">
        <f t="shared" si="60"/>
        <v>#DIV/0!</v>
      </c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57"/>
      <c r="BL15" s="57"/>
      <c r="BM15" s="57"/>
      <c r="BN15" s="57"/>
      <c r="BO15" s="57"/>
    </row>
    <row r="16" spans="1:67" ht="18.75">
      <c r="A16" s="100"/>
      <c r="B16" s="101" t="s">
        <v>109</v>
      </c>
      <c r="C16" s="102"/>
      <c r="D16" s="102"/>
      <c r="E16" s="78">
        <f t="shared" ref="E16:F16" si="61">SUM(E17:E103)</f>
        <v>0</v>
      </c>
      <c r="F16" s="78">
        <f t="shared" si="61"/>
        <v>0</v>
      </c>
      <c r="G16" s="103" t="e">
        <f t="shared" si="1"/>
        <v>#DIV/0!</v>
      </c>
      <c r="H16" s="103" t="e">
        <f t="shared" si="2"/>
        <v>#DIV/0!</v>
      </c>
      <c r="I16" s="78">
        <f t="shared" ref="I16:N16" si="62">SUM(I17:I103)</f>
        <v>1420499.8800000001</v>
      </c>
      <c r="J16" s="78">
        <f t="shared" si="62"/>
        <v>2751806.9</v>
      </c>
      <c r="K16" s="78">
        <f t="shared" si="62"/>
        <v>0</v>
      </c>
      <c r="L16" s="78">
        <f t="shared" si="62"/>
        <v>420306.09</v>
      </c>
      <c r="M16" s="78">
        <f t="shared" si="62"/>
        <v>1569833.6600000001</v>
      </c>
      <c r="N16" s="78">
        <f t="shared" si="62"/>
        <v>0</v>
      </c>
      <c r="O16" s="78">
        <f t="shared" ref="O16:Q16" si="63">IF(BH16=0,SUM(X16+AA16+AD16+AG16+AJ16+AM16+AP16+AS16+AV16+AY16+BB16+BE16),BH16)</f>
        <v>420306.09</v>
      </c>
      <c r="P16" s="78">
        <f t="shared" si="63"/>
        <v>1569833.6599999997</v>
      </c>
      <c r="Q16" s="78">
        <f t="shared" si="63"/>
        <v>0</v>
      </c>
      <c r="R16" s="78">
        <f t="shared" ref="R16:T16" si="64">SUM(R17:R103)</f>
        <v>1000193.7899999999</v>
      </c>
      <c r="S16" s="78">
        <f t="shared" si="64"/>
        <v>1181973.24</v>
      </c>
      <c r="T16" s="78">
        <f t="shared" si="64"/>
        <v>0</v>
      </c>
      <c r="U16" s="77">
        <f t="shared" ref="U16:W16" si="65">L16/I16</f>
        <v>0.29588604400304491</v>
      </c>
      <c r="V16" s="77">
        <f t="shared" si="65"/>
        <v>0.57047377125190002</v>
      </c>
      <c r="W16" s="77" t="e">
        <f t="shared" si="65"/>
        <v>#DIV/0!</v>
      </c>
      <c r="X16" s="78">
        <f t="shared" ref="X16:BJ16" si="66">SUM(X17:X103)</f>
        <v>3549.77</v>
      </c>
      <c r="Y16" s="78">
        <f t="shared" si="66"/>
        <v>382254.23</v>
      </c>
      <c r="Z16" s="78">
        <f t="shared" si="66"/>
        <v>0</v>
      </c>
      <c r="AA16" s="78">
        <f t="shared" si="66"/>
        <v>3777.1799999999994</v>
      </c>
      <c r="AB16" s="78">
        <f t="shared" si="66"/>
        <v>440065.36</v>
      </c>
      <c r="AC16" s="78">
        <f t="shared" si="66"/>
        <v>0</v>
      </c>
      <c r="AD16" s="78">
        <f t="shared" si="66"/>
        <v>101913.75</v>
      </c>
      <c r="AE16" s="78">
        <f t="shared" si="66"/>
        <v>410715.41999999993</v>
      </c>
      <c r="AF16" s="78">
        <f t="shared" si="66"/>
        <v>0</v>
      </c>
      <c r="AG16" s="78">
        <f t="shared" si="66"/>
        <v>311065.39</v>
      </c>
      <c r="AH16" s="78">
        <f t="shared" si="66"/>
        <v>336798.65</v>
      </c>
      <c r="AI16" s="78">
        <f t="shared" si="66"/>
        <v>0</v>
      </c>
      <c r="AJ16" s="78">
        <f t="shared" si="66"/>
        <v>0</v>
      </c>
      <c r="AK16" s="78">
        <f t="shared" si="66"/>
        <v>0</v>
      </c>
      <c r="AL16" s="78">
        <f t="shared" si="66"/>
        <v>0</v>
      </c>
      <c r="AM16" s="78">
        <f t="shared" si="66"/>
        <v>0</v>
      </c>
      <c r="AN16" s="78">
        <f t="shared" si="66"/>
        <v>0</v>
      </c>
      <c r="AO16" s="78">
        <f t="shared" si="66"/>
        <v>0</v>
      </c>
      <c r="AP16" s="78">
        <f t="shared" si="66"/>
        <v>0</v>
      </c>
      <c r="AQ16" s="78">
        <f t="shared" si="66"/>
        <v>0</v>
      </c>
      <c r="AR16" s="78">
        <f t="shared" si="66"/>
        <v>0</v>
      </c>
      <c r="AS16" s="78">
        <f t="shared" si="66"/>
        <v>0</v>
      </c>
      <c r="AT16" s="78">
        <f t="shared" si="66"/>
        <v>0</v>
      </c>
      <c r="AU16" s="78">
        <f t="shared" si="66"/>
        <v>0</v>
      </c>
      <c r="AV16" s="78">
        <f t="shared" si="66"/>
        <v>0</v>
      </c>
      <c r="AW16" s="78">
        <f t="shared" si="66"/>
        <v>0</v>
      </c>
      <c r="AX16" s="78">
        <f t="shared" si="66"/>
        <v>0</v>
      </c>
      <c r="AY16" s="78">
        <f t="shared" si="66"/>
        <v>0</v>
      </c>
      <c r="AZ16" s="78">
        <f t="shared" si="66"/>
        <v>0</v>
      </c>
      <c r="BA16" s="78">
        <f t="shared" si="66"/>
        <v>0</v>
      </c>
      <c r="BB16" s="78">
        <f t="shared" si="66"/>
        <v>0</v>
      </c>
      <c r="BC16" s="78">
        <f t="shared" si="66"/>
        <v>0</v>
      </c>
      <c r="BD16" s="78">
        <f t="shared" si="66"/>
        <v>0</v>
      </c>
      <c r="BE16" s="78">
        <f t="shared" si="66"/>
        <v>0</v>
      </c>
      <c r="BF16" s="78">
        <f t="shared" si="66"/>
        <v>0</v>
      </c>
      <c r="BG16" s="78">
        <f t="shared" si="66"/>
        <v>0</v>
      </c>
      <c r="BH16" s="78">
        <f t="shared" si="66"/>
        <v>0</v>
      </c>
      <c r="BI16" s="78">
        <f t="shared" si="66"/>
        <v>0</v>
      </c>
      <c r="BJ16" s="78">
        <f t="shared" si="66"/>
        <v>0</v>
      </c>
      <c r="BK16" s="57"/>
      <c r="BL16" s="57"/>
      <c r="BM16" s="57"/>
      <c r="BN16" s="57"/>
      <c r="BO16" s="57"/>
    </row>
    <row r="17" spans="1:67" ht="41.25" customHeight="1">
      <c r="A17" s="79" t="s">
        <v>110</v>
      </c>
      <c r="B17" s="91" t="s">
        <v>111</v>
      </c>
      <c r="C17" s="80" t="s">
        <v>112</v>
      </c>
      <c r="D17" s="104" t="s">
        <v>559</v>
      </c>
      <c r="E17" s="97"/>
      <c r="F17" s="97"/>
      <c r="G17" s="83" t="e">
        <f t="shared" si="1"/>
        <v>#DIV/0!</v>
      </c>
      <c r="H17" s="83" t="e">
        <f t="shared" si="2"/>
        <v>#DIV/0!</v>
      </c>
      <c r="I17" s="105">
        <f>18845.83+19893.52</f>
        <v>38739.350000000006</v>
      </c>
      <c r="J17" s="84">
        <v>38411.97</v>
      </c>
      <c r="K17" s="106"/>
      <c r="L17" s="86">
        <f t="shared" ref="L17:N17" si="67">X17+AA17+AD17+AG17+AJ17+AM17+AP17+AS17+AV17+AY17+BB17+BE17</f>
        <v>38739.350000000006</v>
      </c>
      <c r="M17" s="86">
        <f t="shared" si="67"/>
        <v>38411.97</v>
      </c>
      <c r="N17" s="86">
        <f t="shared" si="67"/>
        <v>0</v>
      </c>
      <c r="O17" s="62">
        <f t="shared" ref="O17:Q17" si="68">IF(BH17=0,SUM(X17+AA17+AD17+AG17+AJ17+AM17+AP17+AS17+AV17+AY17+BB17+BE17),BH17)</f>
        <v>38739.350000000006</v>
      </c>
      <c r="P17" s="62">
        <f t="shared" si="68"/>
        <v>38411.97</v>
      </c>
      <c r="Q17" s="62">
        <f t="shared" si="68"/>
        <v>0</v>
      </c>
      <c r="R17" s="86">
        <f t="shared" ref="R17:T17" si="69">I17-L17</f>
        <v>0</v>
      </c>
      <c r="S17" s="86">
        <f t="shared" si="69"/>
        <v>0</v>
      </c>
      <c r="T17" s="86">
        <f t="shared" si="69"/>
        <v>0</v>
      </c>
      <c r="U17" s="87">
        <f t="shared" ref="U17:W17" si="70">L17/I17</f>
        <v>1</v>
      </c>
      <c r="V17" s="87">
        <f t="shared" si="70"/>
        <v>1</v>
      </c>
      <c r="W17" s="87" t="e">
        <f t="shared" si="70"/>
        <v>#DIV/0!</v>
      </c>
      <c r="X17" s="84">
        <v>0</v>
      </c>
      <c r="Y17" s="84">
        <v>0</v>
      </c>
      <c r="Z17" s="84"/>
      <c r="AA17" s="84">
        <v>0</v>
      </c>
      <c r="AB17" s="84">
        <v>18305.28</v>
      </c>
      <c r="AC17" s="84"/>
      <c r="AD17" s="84">
        <f>18845.83</f>
        <v>18845.830000000002</v>
      </c>
      <c r="AE17" s="84">
        <f>19059+1047.69</f>
        <v>20106.689999999999</v>
      </c>
      <c r="AF17" s="84"/>
      <c r="AG17" s="84">
        <f>19893.52</f>
        <v>19893.52</v>
      </c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8"/>
      <c r="BL17" s="88"/>
      <c r="BM17" s="88"/>
      <c r="BN17" s="88"/>
      <c r="BO17" s="88"/>
    </row>
    <row r="18" spans="1:67" ht="41.25" customHeight="1">
      <c r="A18" s="79"/>
      <c r="B18" s="91" t="s">
        <v>113</v>
      </c>
      <c r="C18" s="79" t="s">
        <v>114</v>
      </c>
      <c r="D18" s="107" t="s">
        <v>115</v>
      </c>
      <c r="E18" s="97"/>
      <c r="F18" s="97"/>
      <c r="G18" s="83" t="e">
        <f t="shared" si="1"/>
        <v>#DIV/0!</v>
      </c>
      <c r="H18" s="83" t="e">
        <f t="shared" si="2"/>
        <v>#DIV/0!</v>
      </c>
      <c r="I18" s="105"/>
      <c r="J18" s="84">
        <v>288111.40000000002</v>
      </c>
      <c r="K18" s="106"/>
      <c r="L18" s="86">
        <f t="shared" ref="L18:N18" si="71">X18+AA18+AD18+AG18+AJ18+AM18+AP18+AS18+AV18+AY18+BB18+BE18</f>
        <v>0</v>
      </c>
      <c r="M18" s="86">
        <f t="shared" si="71"/>
        <v>166882.75999999998</v>
      </c>
      <c r="N18" s="86">
        <f t="shared" si="71"/>
        <v>0</v>
      </c>
      <c r="O18" s="62">
        <f t="shared" ref="O18:Q18" si="72">IF(BH18=0,SUM(X18+AA18+AD18+AG18+AJ18+AM18+AP18+AS18+AV18+AY18+BB18+BE18),BH18)</f>
        <v>0</v>
      </c>
      <c r="P18" s="62">
        <f t="shared" si="72"/>
        <v>166882.75999999998</v>
      </c>
      <c r="Q18" s="62">
        <f t="shared" si="72"/>
        <v>0</v>
      </c>
      <c r="R18" s="86">
        <f t="shared" ref="R18:T18" si="73">I18-L18</f>
        <v>0</v>
      </c>
      <c r="S18" s="86">
        <f t="shared" si="73"/>
        <v>121228.64000000004</v>
      </c>
      <c r="T18" s="86">
        <f t="shared" si="73"/>
        <v>0</v>
      </c>
      <c r="U18" s="87" t="e">
        <f t="shared" ref="U18:W18" si="74">L18/I18</f>
        <v>#DIV/0!</v>
      </c>
      <c r="V18" s="87">
        <f t="shared" si="74"/>
        <v>0.57922997840418655</v>
      </c>
      <c r="W18" s="87" t="e">
        <f t="shared" si="74"/>
        <v>#DIV/0!</v>
      </c>
      <c r="X18" s="84"/>
      <c r="Y18" s="84">
        <v>0</v>
      </c>
      <c r="Z18" s="84"/>
      <c r="AA18" s="84"/>
      <c r="AB18" s="84">
        <v>70277.72</v>
      </c>
      <c r="AC18" s="84"/>
      <c r="AD18" s="84"/>
      <c r="AE18" s="84">
        <f>48302.52</f>
        <v>48302.52</v>
      </c>
      <c r="AF18" s="84"/>
      <c r="AG18" s="84"/>
      <c r="AH18" s="84">
        <f>48302.52</f>
        <v>48302.52</v>
      </c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8"/>
      <c r="BL18" s="88"/>
      <c r="BM18" s="88"/>
      <c r="BN18" s="88"/>
      <c r="BO18" s="88"/>
    </row>
    <row r="19" spans="1:67" ht="31.5" customHeight="1">
      <c r="A19" s="79"/>
      <c r="B19" s="91" t="s">
        <v>116</v>
      </c>
      <c r="C19" s="79" t="s">
        <v>114</v>
      </c>
      <c r="D19" s="107" t="s">
        <v>117</v>
      </c>
      <c r="E19" s="97"/>
      <c r="F19" s="97"/>
      <c r="G19" s="83" t="e">
        <f t="shared" si="1"/>
        <v>#DIV/0!</v>
      </c>
      <c r="H19" s="83" t="e">
        <f t="shared" si="2"/>
        <v>#DIV/0!</v>
      </c>
      <c r="I19" s="105"/>
      <c r="J19" s="108">
        <v>281633.55</v>
      </c>
      <c r="K19" s="106"/>
      <c r="L19" s="86">
        <f t="shared" ref="L19:N19" si="75">X19+AA19+AD19+AG19+AJ19+AM19+AP19+AS19+AV19+AY19+BB19+BE19</f>
        <v>0</v>
      </c>
      <c r="M19" s="86">
        <f t="shared" si="75"/>
        <v>165970.26999999999</v>
      </c>
      <c r="N19" s="86">
        <f t="shared" si="75"/>
        <v>0</v>
      </c>
      <c r="O19" s="62">
        <f t="shared" ref="O19:Q19" si="76">IF(BH19=0,SUM(X19+AA19+AD19+AG19+AJ19+AM19+AP19+AS19+AV19+AY19+BB19+BE19),BH19)</f>
        <v>0</v>
      </c>
      <c r="P19" s="62">
        <f t="shared" si="76"/>
        <v>165970.26999999999</v>
      </c>
      <c r="Q19" s="62">
        <f t="shared" si="76"/>
        <v>0</v>
      </c>
      <c r="R19" s="86">
        <f t="shared" ref="R19:T19" si="77">I19-L19</f>
        <v>0</v>
      </c>
      <c r="S19" s="86">
        <f t="shared" si="77"/>
        <v>115663.28</v>
      </c>
      <c r="T19" s="86">
        <f t="shared" si="77"/>
        <v>0</v>
      </c>
      <c r="U19" s="87" t="e">
        <f t="shared" ref="U19:W19" si="78">L19/I19</f>
        <v>#DIV/0!</v>
      </c>
      <c r="V19" s="87">
        <f t="shared" si="78"/>
        <v>0.58931284997827849</v>
      </c>
      <c r="W19" s="87" t="e">
        <f t="shared" si="78"/>
        <v>#DIV/0!</v>
      </c>
      <c r="X19" s="84"/>
      <c r="Y19" s="84">
        <v>0</v>
      </c>
      <c r="Z19" s="84"/>
      <c r="AA19" s="84"/>
      <c r="AB19" s="84">
        <f>40673.29</f>
        <v>40673.29</v>
      </c>
      <c r="AC19" s="84"/>
      <c r="AD19" s="84"/>
      <c r="AE19" s="84">
        <f>62648.49</f>
        <v>62648.49</v>
      </c>
      <c r="AF19" s="84"/>
      <c r="AG19" s="84"/>
      <c r="AH19" s="84">
        <f>62648.49</f>
        <v>62648.49</v>
      </c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8"/>
      <c r="BL19" s="88"/>
      <c r="BM19" s="88"/>
      <c r="BN19" s="88"/>
      <c r="BO19" s="88"/>
    </row>
    <row r="20" spans="1:67" ht="31.5" customHeight="1">
      <c r="A20" s="79"/>
      <c r="B20" s="91" t="s">
        <v>118</v>
      </c>
      <c r="C20" s="79" t="s">
        <v>119</v>
      </c>
      <c r="D20" s="107" t="s">
        <v>120</v>
      </c>
      <c r="E20" s="97"/>
      <c r="F20" s="97"/>
      <c r="G20" s="83" t="e">
        <f t="shared" si="1"/>
        <v>#DIV/0!</v>
      </c>
      <c r="H20" s="83" t="e">
        <f t="shared" si="2"/>
        <v>#DIV/0!</v>
      </c>
      <c r="I20" s="105"/>
      <c r="J20" s="84">
        <v>40000</v>
      </c>
      <c r="K20" s="106"/>
      <c r="L20" s="86">
        <f t="shared" ref="L20:N20" si="79">X20+AA20+AD20+AG20+AJ20+AM20+AP20+AS20+AV20+AY20+BB20+BE20</f>
        <v>0</v>
      </c>
      <c r="M20" s="86">
        <f t="shared" si="79"/>
        <v>9637.34</v>
      </c>
      <c r="N20" s="86">
        <f t="shared" si="79"/>
        <v>0</v>
      </c>
      <c r="O20" s="62">
        <f t="shared" ref="O20:Q20" si="80">IF(BH20=0,SUM(X20+AA20+AD20+AG20+AJ20+AM20+AP20+AS20+AV20+AY20+BB20+BE20),BH20)</f>
        <v>0</v>
      </c>
      <c r="P20" s="62">
        <f t="shared" si="80"/>
        <v>9637.34</v>
      </c>
      <c r="Q20" s="62">
        <f t="shared" si="80"/>
        <v>0</v>
      </c>
      <c r="R20" s="86">
        <f t="shared" ref="R20:T20" si="81">I20-L20</f>
        <v>0</v>
      </c>
      <c r="S20" s="86">
        <f t="shared" si="81"/>
        <v>30362.66</v>
      </c>
      <c r="T20" s="86">
        <f t="shared" si="81"/>
        <v>0</v>
      </c>
      <c r="U20" s="87" t="e">
        <f t="shared" ref="U20:W20" si="82">L20/I20</f>
        <v>#DIV/0!</v>
      </c>
      <c r="V20" s="87">
        <f t="shared" si="82"/>
        <v>0.24093349999999999</v>
      </c>
      <c r="W20" s="87" t="e">
        <f t="shared" si="82"/>
        <v>#DIV/0!</v>
      </c>
      <c r="X20" s="84"/>
      <c r="Y20" s="84">
        <v>0</v>
      </c>
      <c r="Z20" s="84"/>
      <c r="AA20" s="84"/>
      <c r="AB20" s="84">
        <v>0</v>
      </c>
      <c r="AC20" s="84"/>
      <c r="AD20" s="84"/>
      <c r="AE20" s="84">
        <f>9637.34</f>
        <v>9637.34</v>
      </c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8"/>
      <c r="BL20" s="88"/>
      <c r="BM20" s="88"/>
      <c r="BN20" s="88"/>
      <c r="BO20" s="88"/>
    </row>
    <row r="21" spans="1:67" ht="29.25" customHeight="1">
      <c r="A21" s="89" t="s">
        <v>121</v>
      </c>
      <c r="B21" s="95" t="s">
        <v>122</v>
      </c>
      <c r="C21" s="79" t="s">
        <v>119</v>
      </c>
      <c r="D21" s="109" t="s">
        <v>123</v>
      </c>
      <c r="E21" s="82"/>
      <c r="F21" s="97"/>
      <c r="G21" s="83" t="e">
        <f t="shared" si="1"/>
        <v>#DIV/0!</v>
      </c>
      <c r="H21" s="83" t="e">
        <f t="shared" si="2"/>
        <v>#DIV/0!</v>
      </c>
      <c r="I21" s="105">
        <v>4425.8500000000004</v>
      </c>
      <c r="J21" s="84">
        <v>9000</v>
      </c>
      <c r="K21" s="84"/>
      <c r="L21" s="86">
        <f t="shared" ref="L21:N21" si="83">X21+AA21+AD21+AG21+AJ21+AM21+AP21+AS21+AV21+AY21+BB21+BE21</f>
        <v>4425.8500000000004</v>
      </c>
      <c r="M21" s="86">
        <f t="shared" si="83"/>
        <v>9000</v>
      </c>
      <c r="N21" s="86">
        <f t="shared" si="83"/>
        <v>0</v>
      </c>
      <c r="O21" s="62">
        <f t="shared" ref="O21:Q21" si="84">IF(BH21=0,SUM(X21+AA21+AD21+AG21+AJ21+AM21+AP21+AS21+AV21+AY21+BB21+BE21),BH21)</f>
        <v>4425.8500000000004</v>
      </c>
      <c r="P21" s="62">
        <f t="shared" si="84"/>
        <v>9000</v>
      </c>
      <c r="Q21" s="62">
        <f t="shared" si="84"/>
        <v>0</v>
      </c>
      <c r="R21" s="86">
        <f t="shared" ref="R21:T21" si="85">I21-L21</f>
        <v>0</v>
      </c>
      <c r="S21" s="86">
        <f t="shared" si="85"/>
        <v>0</v>
      </c>
      <c r="T21" s="86">
        <f t="shared" si="85"/>
        <v>0</v>
      </c>
      <c r="U21" s="87">
        <f t="shared" ref="U21:W21" si="86">L21/I21</f>
        <v>1</v>
      </c>
      <c r="V21" s="87">
        <f t="shared" si="86"/>
        <v>1</v>
      </c>
      <c r="W21" s="87" t="e">
        <f t="shared" si="86"/>
        <v>#DIV/0!</v>
      </c>
      <c r="X21" s="110">
        <v>0</v>
      </c>
      <c r="Y21" s="84">
        <v>0</v>
      </c>
      <c r="Z21" s="84"/>
      <c r="AA21" s="84">
        <v>0</v>
      </c>
      <c r="AB21" s="84">
        <v>0</v>
      </c>
      <c r="AC21" s="84"/>
      <c r="AD21" s="84">
        <f>4425.85</f>
        <v>4425.8500000000004</v>
      </c>
      <c r="AE21" s="84">
        <v>9000</v>
      </c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8"/>
      <c r="BL21" s="88"/>
      <c r="BM21" s="88"/>
      <c r="BN21" s="88"/>
      <c r="BO21" s="88"/>
    </row>
    <row r="22" spans="1:67" ht="27" customHeight="1">
      <c r="A22" s="89"/>
      <c r="B22" s="95" t="s">
        <v>124</v>
      </c>
      <c r="C22" s="79" t="s">
        <v>125</v>
      </c>
      <c r="D22" s="109" t="s">
        <v>126</v>
      </c>
      <c r="E22" s="82"/>
      <c r="F22" s="97"/>
      <c r="G22" s="83" t="e">
        <f t="shared" si="1"/>
        <v>#DIV/0!</v>
      </c>
      <c r="H22" s="83" t="e">
        <f t="shared" si="2"/>
        <v>#DIV/0!</v>
      </c>
      <c r="I22" s="111"/>
      <c r="J22" s="84">
        <v>10379.16</v>
      </c>
      <c r="K22" s="84"/>
      <c r="L22" s="86">
        <f t="shared" ref="L22:N22" si="87">X22+AA22+AD22+AG22+AJ22+AM22+AP22+AS22+AV22+AY22+BB22+BE22</f>
        <v>0</v>
      </c>
      <c r="M22" s="86">
        <f t="shared" si="87"/>
        <v>0</v>
      </c>
      <c r="N22" s="86">
        <f t="shared" si="87"/>
        <v>0</v>
      </c>
      <c r="O22" s="62">
        <f t="shared" ref="O22:Q22" si="88">IF(BH22=0,SUM(X22+AA22+AD22+AG22+AJ22+AM22+AP22+AS22+AV22+AY22+BB22+BE22),BH22)</f>
        <v>0</v>
      </c>
      <c r="P22" s="62">
        <f t="shared" si="88"/>
        <v>0</v>
      </c>
      <c r="Q22" s="62">
        <f t="shared" si="88"/>
        <v>0</v>
      </c>
      <c r="R22" s="86">
        <f t="shared" ref="R22:T22" si="89">I22-L22</f>
        <v>0</v>
      </c>
      <c r="S22" s="86">
        <f t="shared" si="89"/>
        <v>10379.16</v>
      </c>
      <c r="T22" s="86">
        <f t="shared" si="89"/>
        <v>0</v>
      </c>
      <c r="U22" s="87" t="e">
        <f t="shared" ref="U22:W22" si="90">L22/I22</f>
        <v>#DIV/0!</v>
      </c>
      <c r="V22" s="87">
        <f t="shared" si="90"/>
        <v>0</v>
      </c>
      <c r="W22" s="87" t="e">
        <f t="shared" si="90"/>
        <v>#DIV/0!</v>
      </c>
      <c r="X22" s="84"/>
      <c r="Y22" s="84">
        <v>0</v>
      </c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8"/>
      <c r="BL22" s="88"/>
      <c r="BM22" s="88"/>
      <c r="BN22" s="88"/>
      <c r="BO22" s="88"/>
    </row>
    <row r="23" spans="1:67" ht="15.75" customHeight="1">
      <c r="A23" s="89"/>
      <c r="B23" s="95" t="s">
        <v>127</v>
      </c>
      <c r="C23" s="79" t="s">
        <v>125</v>
      </c>
      <c r="D23" s="112" t="s">
        <v>128</v>
      </c>
      <c r="E23" s="82"/>
      <c r="F23" s="97"/>
      <c r="G23" s="83" t="e">
        <f t="shared" si="1"/>
        <v>#DIV/0!</v>
      </c>
      <c r="H23" s="83" t="e">
        <f t="shared" si="2"/>
        <v>#DIV/0!</v>
      </c>
      <c r="I23" s="113"/>
      <c r="J23" s="84">
        <v>3563.05</v>
      </c>
      <c r="K23" s="84"/>
      <c r="L23" s="86">
        <f t="shared" ref="L23:N23" si="91">X23+AA23+AD23+AG23+AJ23+AM23+AP23+AS23+AV23+AY23+BB23+BE23</f>
        <v>0</v>
      </c>
      <c r="M23" s="86">
        <f t="shared" si="91"/>
        <v>0</v>
      </c>
      <c r="N23" s="86">
        <f t="shared" si="91"/>
        <v>0</v>
      </c>
      <c r="O23" s="62">
        <f t="shared" ref="O23:Q23" si="92">IF(BH23=0,SUM(X23+AA23+AD23+AG23+AJ23+AM23+AP23+AS23+AV23+AY23+BB23+BE23),BH23)</f>
        <v>0</v>
      </c>
      <c r="P23" s="62">
        <f t="shared" si="92"/>
        <v>0</v>
      </c>
      <c r="Q23" s="62">
        <f t="shared" si="92"/>
        <v>0</v>
      </c>
      <c r="R23" s="86">
        <f t="shared" ref="R23:T23" si="93">I23-L23</f>
        <v>0</v>
      </c>
      <c r="S23" s="86">
        <f t="shared" si="93"/>
        <v>3563.05</v>
      </c>
      <c r="T23" s="86">
        <f t="shared" si="93"/>
        <v>0</v>
      </c>
      <c r="U23" s="87" t="e">
        <f t="shared" ref="U23:W23" si="94">L23/I23</f>
        <v>#DIV/0!</v>
      </c>
      <c r="V23" s="87">
        <f t="shared" si="94"/>
        <v>0</v>
      </c>
      <c r="W23" s="87" t="e">
        <f t="shared" si="94"/>
        <v>#DIV/0!</v>
      </c>
      <c r="X23" s="84"/>
      <c r="Y23" s="84">
        <v>0</v>
      </c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8"/>
      <c r="BL23" s="88"/>
      <c r="BM23" s="88"/>
      <c r="BN23" s="88"/>
      <c r="BO23" s="88"/>
    </row>
    <row r="24" spans="1:67" ht="15.75" customHeight="1">
      <c r="A24" s="89" t="s">
        <v>129</v>
      </c>
      <c r="B24" s="95" t="s">
        <v>130</v>
      </c>
      <c r="C24" s="79" t="s">
        <v>131</v>
      </c>
      <c r="D24" s="112" t="s">
        <v>132</v>
      </c>
      <c r="E24" s="82"/>
      <c r="F24" s="97"/>
      <c r="G24" s="83" t="e">
        <f t="shared" si="1"/>
        <v>#DIV/0!</v>
      </c>
      <c r="H24" s="83" t="e">
        <f t="shared" si="2"/>
        <v>#DIV/0!</v>
      </c>
      <c r="I24" s="84">
        <f>69555.6</f>
        <v>69555.600000000006</v>
      </c>
      <c r="J24" s="84">
        <v>11866.3</v>
      </c>
      <c r="K24" s="84"/>
      <c r="L24" s="86">
        <f t="shared" ref="L24:N24" si="95">X24+AA24+AD24+AG24+AJ24+AM24+AP24+AS24+AV24+AY24+BB24+BE24</f>
        <v>0</v>
      </c>
      <c r="M24" s="86">
        <f t="shared" si="95"/>
        <v>10239.960000000001</v>
      </c>
      <c r="N24" s="86">
        <f t="shared" si="95"/>
        <v>0</v>
      </c>
      <c r="O24" s="62">
        <f t="shared" ref="O24:Q24" si="96">IF(BH24=0,SUM(X24+AA24+AD24+AG24+AJ24+AM24+AP24+AS24+AV24+AY24+BB24+BE24),BH24)</f>
        <v>0</v>
      </c>
      <c r="P24" s="62">
        <f t="shared" si="96"/>
        <v>10239.960000000001</v>
      </c>
      <c r="Q24" s="62">
        <f t="shared" si="96"/>
        <v>0</v>
      </c>
      <c r="R24" s="86">
        <f t="shared" ref="R24:T24" si="97">I24-L24</f>
        <v>69555.600000000006</v>
      </c>
      <c r="S24" s="86">
        <f t="shared" si="97"/>
        <v>1626.3399999999983</v>
      </c>
      <c r="T24" s="86">
        <f t="shared" si="97"/>
        <v>0</v>
      </c>
      <c r="U24" s="87">
        <f t="shared" ref="U24:W24" si="98">L24/I24</f>
        <v>0</v>
      </c>
      <c r="V24" s="87">
        <f t="shared" si="98"/>
        <v>0.86294464154791317</v>
      </c>
      <c r="W24" s="87" t="e">
        <f t="shared" si="98"/>
        <v>#DIV/0!</v>
      </c>
      <c r="X24" s="114"/>
      <c r="Y24" s="84">
        <v>2769.55</v>
      </c>
      <c r="Z24" s="84"/>
      <c r="AA24" s="84"/>
      <c r="AB24" s="84">
        <v>5208.5200000000004</v>
      </c>
      <c r="AC24" s="84"/>
      <c r="AD24" s="84"/>
      <c r="AE24" s="84">
        <v>0</v>
      </c>
      <c r="AF24" s="84"/>
      <c r="AG24" s="84"/>
      <c r="AH24" s="84">
        <f>2261.89</f>
        <v>2261.89</v>
      </c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8"/>
      <c r="BL24" s="88"/>
      <c r="BM24" s="88"/>
      <c r="BN24" s="88"/>
      <c r="BO24" s="88"/>
    </row>
    <row r="25" spans="1:67" ht="15.75" customHeight="1">
      <c r="A25" s="115"/>
      <c r="B25" s="116" t="s">
        <v>133</v>
      </c>
      <c r="C25" s="80" t="s">
        <v>134</v>
      </c>
      <c r="D25" s="117" t="s">
        <v>560</v>
      </c>
      <c r="E25" s="82"/>
      <c r="F25" s="84"/>
      <c r="G25" s="83" t="e">
        <f t="shared" si="1"/>
        <v>#DIV/0!</v>
      </c>
      <c r="H25" s="83" t="e">
        <f t="shared" si="2"/>
        <v>#DIV/0!</v>
      </c>
      <c r="I25" s="84"/>
      <c r="J25" s="84">
        <v>62842.77</v>
      </c>
      <c r="K25" s="84"/>
      <c r="L25" s="86">
        <f t="shared" ref="L25:N25" si="99">X25+AA25+AD25+AG25+AJ25+AM25+AP25+AS25+AV25+AY25+BB25+BE25</f>
        <v>0</v>
      </c>
      <c r="M25" s="86">
        <f t="shared" si="99"/>
        <v>53841.51</v>
      </c>
      <c r="N25" s="86">
        <f t="shared" si="99"/>
        <v>0</v>
      </c>
      <c r="O25" s="62">
        <f t="shared" ref="O25:Q25" si="100">IF(BH25=0,SUM(X25+AA25+AD25+AG25+AJ25+AM25+AP25+AS25+AV25+AY25+BB25+BE25),BH25)</f>
        <v>0</v>
      </c>
      <c r="P25" s="62">
        <f t="shared" si="100"/>
        <v>53841.51</v>
      </c>
      <c r="Q25" s="62">
        <f t="shared" si="100"/>
        <v>0</v>
      </c>
      <c r="R25" s="86">
        <f t="shared" ref="R25:T25" si="101">I25-L25</f>
        <v>0</v>
      </c>
      <c r="S25" s="86">
        <f t="shared" si="101"/>
        <v>9001.2599999999948</v>
      </c>
      <c r="T25" s="86">
        <f t="shared" si="101"/>
        <v>0</v>
      </c>
      <c r="U25" s="87" t="e">
        <f t="shared" ref="U25:W25" si="102">L25/I25</f>
        <v>#DIV/0!</v>
      </c>
      <c r="V25" s="87">
        <f t="shared" si="102"/>
        <v>0.85676538446666184</v>
      </c>
      <c r="W25" s="87" t="e">
        <f t="shared" si="102"/>
        <v>#DIV/0!</v>
      </c>
      <c r="X25" s="84"/>
      <c r="Y25" s="84">
        <f>12980.72</f>
        <v>12980.72</v>
      </c>
      <c r="Z25" s="84"/>
      <c r="AA25" s="84"/>
      <c r="AB25" s="84">
        <v>13908.65</v>
      </c>
      <c r="AC25" s="84"/>
      <c r="AD25" s="84"/>
      <c r="AE25" s="84">
        <f>10156.74</f>
        <v>10156.74</v>
      </c>
      <c r="AF25" s="84"/>
      <c r="AG25" s="84"/>
      <c r="AH25" s="84">
        <f>16795.4</f>
        <v>16795.400000000001</v>
      </c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8"/>
      <c r="BL25" s="88"/>
      <c r="BM25" s="88"/>
      <c r="BN25" s="88"/>
      <c r="BO25" s="88"/>
    </row>
    <row r="26" spans="1:67" ht="15.75" customHeight="1">
      <c r="A26" s="118" t="s">
        <v>135</v>
      </c>
      <c r="B26" s="90"/>
      <c r="C26" s="80" t="s">
        <v>136</v>
      </c>
      <c r="D26" s="119" t="s">
        <v>137</v>
      </c>
      <c r="E26" s="82"/>
      <c r="F26" s="97"/>
      <c r="G26" s="83" t="e">
        <f t="shared" si="1"/>
        <v>#DIV/0!</v>
      </c>
      <c r="H26" s="83" t="e">
        <f t="shared" si="2"/>
        <v>#DIV/0!</v>
      </c>
      <c r="I26" s="84">
        <v>10649.31</v>
      </c>
      <c r="J26" s="84"/>
      <c r="K26" s="84"/>
      <c r="L26" s="86">
        <f t="shared" ref="L26:N26" si="103">X26+AA26+AD26+AG26+AJ26+AM26+AP26+AS26+AV26+AY26+BB26+BE26</f>
        <v>10649.31</v>
      </c>
      <c r="M26" s="86">
        <f t="shared" si="103"/>
        <v>0</v>
      </c>
      <c r="N26" s="86">
        <f t="shared" si="103"/>
        <v>0</v>
      </c>
      <c r="O26" s="62">
        <f t="shared" ref="O26:Q26" si="104">IF(BH26=0,SUM(X26+AA26+AD26+AG26+AJ26+AM26+AP26+AS26+AV26+AY26+BB26+BE26),BH26)</f>
        <v>10649.31</v>
      </c>
      <c r="P26" s="62">
        <f t="shared" si="104"/>
        <v>0</v>
      </c>
      <c r="Q26" s="62">
        <f t="shared" si="104"/>
        <v>0</v>
      </c>
      <c r="R26" s="86">
        <f t="shared" ref="R26:T26" si="105">I26-L26</f>
        <v>0</v>
      </c>
      <c r="S26" s="86">
        <f t="shared" si="105"/>
        <v>0</v>
      </c>
      <c r="T26" s="86">
        <f t="shared" si="105"/>
        <v>0</v>
      </c>
      <c r="U26" s="87">
        <f t="shared" ref="U26:U193" si="106">L26/I26</f>
        <v>1</v>
      </c>
      <c r="V26" s="87" t="e">
        <f t="shared" ref="V26:V28" si="107">M26/F26</f>
        <v>#DIV/0!</v>
      </c>
      <c r="W26" s="87" t="e">
        <f t="shared" ref="W26:W28" si="108">N26/K26</f>
        <v>#DIV/0!</v>
      </c>
      <c r="X26" s="84">
        <v>0</v>
      </c>
      <c r="Y26" s="84"/>
      <c r="Z26" s="84"/>
      <c r="AA26" s="84">
        <f>10649.31-7099.54</f>
        <v>3549.7699999999995</v>
      </c>
      <c r="AB26" s="120"/>
      <c r="AC26" s="84"/>
      <c r="AD26" s="84">
        <f>3549.77</f>
        <v>3549.77</v>
      </c>
      <c r="AE26" s="84"/>
      <c r="AF26" s="84"/>
      <c r="AG26" s="84">
        <f>3549.77</f>
        <v>3549.77</v>
      </c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8"/>
      <c r="BL26" s="88"/>
      <c r="BM26" s="88"/>
      <c r="BN26" s="88"/>
      <c r="BO26" s="88"/>
    </row>
    <row r="27" spans="1:67" ht="15.75" customHeight="1">
      <c r="A27" s="89" t="s">
        <v>138</v>
      </c>
      <c r="B27" s="90"/>
      <c r="C27" s="80" t="s">
        <v>139</v>
      </c>
      <c r="D27" s="112" t="s">
        <v>140</v>
      </c>
      <c r="E27" s="82"/>
      <c r="F27" s="97"/>
      <c r="G27" s="83" t="e">
        <f t="shared" si="1"/>
        <v>#DIV/0!</v>
      </c>
      <c r="H27" s="83" t="e">
        <f t="shared" si="2"/>
        <v>#DIV/0!</v>
      </c>
      <c r="I27" s="84">
        <v>3549.77</v>
      </c>
      <c r="J27" s="84"/>
      <c r="K27" s="84"/>
      <c r="L27" s="86">
        <f t="shared" ref="L27:N27" si="109">X27+AA27+AD27+AG27+AJ27+AM27+AP27+AS27+AV27+AY27+BB27+BE27</f>
        <v>3549.77</v>
      </c>
      <c r="M27" s="86">
        <f t="shared" si="109"/>
        <v>0</v>
      </c>
      <c r="N27" s="86">
        <f t="shared" si="109"/>
        <v>0</v>
      </c>
      <c r="O27" s="62">
        <f t="shared" ref="O27:Q27" si="110">IF(BH27=0,SUM(X27+AA27+AD27+AG27+AJ27+AM27+AP27+AS27+AV27+AY27+BB27+BE27),BH27)</f>
        <v>3549.77</v>
      </c>
      <c r="P27" s="62">
        <f t="shared" si="110"/>
        <v>0</v>
      </c>
      <c r="Q27" s="62">
        <f t="shared" si="110"/>
        <v>0</v>
      </c>
      <c r="R27" s="86">
        <f t="shared" ref="R27:T27" si="111">I27-L27</f>
        <v>0</v>
      </c>
      <c r="S27" s="86">
        <f t="shared" si="111"/>
        <v>0</v>
      </c>
      <c r="T27" s="86">
        <f t="shared" si="111"/>
        <v>0</v>
      </c>
      <c r="U27" s="87">
        <f t="shared" si="106"/>
        <v>1</v>
      </c>
      <c r="V27" s="87" t="e">
        <f t="shared" si="107"/>
        <v>#DIV/0!</v>
      </c>
      <c r="W27" s="87" t="e">
        <f t="shared" si="108"/>
        <v>#DIV/0!</v>
      </c>
      <c r="X27" s="84">
        <v>3549.77</v>
      </c>
      <c r="Y27" s="84"/>
      <c r="Z27" s="84"/>
      <c r="AA27" s="84"/>
      <c r="AB27" s="120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8"/>
      <c r="BL27" s="88"/>
      <c r="BM27" s="88"/>
      <c r="BN27" s="88"/>
      <c r="BO27" s="88"/>
    </row>
    <row r="28" spans="1:67" ht="15.75" customHeight="1">
      <c r="A28" s="89" t="s">
        <v>141</v>
      </c>
      <c r="B28" s="90"/>
      <c r="C28" s="80" t="s">
        <v>142</v>
      </c>
      <c r="D28" s="112" t="s">
        <v>143</v>
      </c>
      <c r="E28" s="82"/>
      <c r="F28" s="97"/>
      <c r="G28" s="83" t="e">
        <f t="shared" si="1"/>
        <v>#DIV/0!</v>
      </c>
      <c r="H28" s="83" t="e">
        <f t="shared" si="2"/>
        <v>#DIV/0!</v>
      </c>
      <c r="I28" s="84">
        <f>600+1300+2499.11</f>
        <v>4399.1100000000006</v>
      </c>
      <c r="J28" s="84"/>
      <c r="K28" s="84"/>
      <c r="L28" s="86">
        <f t="shared" ref="L28:N28" si="112">X28+AA28+AD28+AG28+AJ28+AM28+AP28+AS28+AV28+AY28+BB28+BE28</f>
        <v>2315.4299999999998</v>
      </c>
      <c r="M28" s="86">
        <f t="shared" si="112"/>
        <v>0</v>
      </c>
      <c r="N28" s="86">
        <f t="shared" si="112"/>
        <v>0</v>
      </c>
      <c r="O28" s="62">
        <f t="shared" ref="O28:Q28" si="113">IF(BH28=0,SUM(X28+AA28+AD28+AG28+AJ28+AM28+AP28+AS28+AV28+AY28+BB28+BE28),BH28)</f>
        <v>2315.4299999999998</v>
      </c>
      <c r="P28" s="62">
        <f t="shared" si="113"/>
        <v>0</v>
      </c>
      <c r="Q28" s="62">
        <f t="shared" si="113"/>
        <v>0</v>
      </c>
      <c r="R28" s="86">
        <f t="shared" ref="R28:T28" si="114">I28-L28</f>
        <v>2083.6800000000007</v>
      </c>
      <c r="S28" s="86">
        <f t="shared" si="114"/>
        <v>0</v>
      </c>
      <c r="T28" s="86">
        <f t="shared" si="114"/>
        <v>0</v>
      </c>
      <c r="U28" s="87">
        <f t="shared" si="106"/>
        <v>0.52634055524867518</v>
      </c>
      <c r="V28" s="87" t="e">
        <f t="shared" si="107"/>
        <v>#DIV/0!</v>
      </c>
      <c r="W28" s="87" t="e">
        <f t="shared" si="108"/>
        <v>#DIV/0!</v>
      </c>
      <c r="X28" s="84">
        <v>0</v>
      </c>
      <c r="Y28" s="84"/>
      <c r="Z28" s="84"/>
      <c r="AA28" s="84">
        <f>183.81</f>
        <v>183.81</v>
      </c>
      <c r="AB28" s="120"/>
      <c r="AC28" s="84"/>
      <c r="AD28" s="84">
        <f>820.51+1311.11</f>
        <v>2131.62</v>
      </c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8"/>
      <c r="BL28" s="88"/>
      <c r="BM28" s="88"/>
      <c r="BN28" s="88"/>
      <c r="BO28" s="88"/>
    </row>
    <row r="29" spans="1:67" ht="45.75" customHeight="1">
      <c r="A29" s="89"/>
      <c r="B29" s="91" t="s">
        <v>144</v>
      </c>
      <c r="C29" s="80" t="s">
        <v>145</v>
      </c>
      <c r="D29" s="117" t="s">
        <v>561</v>
      </c>
      <c r="E29" s="82"/>
      <c r="F29" s="97"/>
      <c r="G29" s="83" t="e">
        <f t="shared" si="1"/>
        <v>#DIV/0!</v>
      </c>
      <c r="H29" s="83" t="e">
        <f t="shared" si="2"/>
        <v>#DIV/0!</v>
      </c>
      <c r="I29" s="84"/>
      <c r="J29" s="84">
        <v>14262.1</v>
      </c>
      <c r="K29" s="84"/>
      <c r="L29" s="86">
        <f t="shared" ref="L29:N29" si="115">X29+AA29+AD29+AG29+AJ29+AM29+AP29+AS29+AV29+AY29+BB29+BE29</f>
        <v>0</v>
      </c>
      <c r="M29" s="86">
        <f t="shared" si="115"/>
        <v>2917.64</v>
      </c>
      <c r="N29" s="86">
        <f t="shared" si="115"/>
        <v>0</v>
      </c>
      <c r="O29" s="62">
        <f t="shared" ref="O29:Q29" si="116">IF(BH29=0,SUM(X29+AA29+AD29+AG29+AJ29+AM29+AP29+AS29+AV29+AY29+BB29+BE29),BH29)</f>
        <v>0</v>
      </c>
      <c r="P29" s="62">
        <f t="shared" si="116"/>
        <v>2917.64</v>
      </c>
      <c r="Q29" s="62">
        <f t="shared" si="116"/>
        <v>0</v>
      </c>
      <c r="R29" s="86">
        <f t="shared" ref="R29:T29" si="117">I29-L29</f>
        <v>0</v>
      </c>
      <c r="S29" s="86">
        <f t="shared" si="117"/>
        <v>11344.460000000001</v>
      </c>
      <c r="T29" s="86">
        <f t="shared" si="117"/>
        <v>0</v>
      </c>
      <c r="U29" s="87" t="e">
        <f t="shared" si="106"/>
        <v>#DIV/0!</v>
      </c>
      <c r="V29" s="87">
        <f t="shared" ref="V29:W29" si="118">M29/J29</f>
        <v>0.20457295910139459</v>
      </c>
      <c r="W29" s="87" t="e">
        <f t="shared" si="118"/>
        <v>#DIV/0!</v>
      </c>
      <c r="X29" s="84"/>
      <c r="Y29" s="84">
        <v>729.56</v>
      </c>
      <c r="Z29" s="84"/>
      <c r="AA29" s="84"/>
      <c r="AB29" s="84">
        <v>343.03</v>
      </c>
      <c r="AC29" s="84"/>
      <c r="AD29" s="84"/>
      <c r="AE29" s="84">
        <f>807.67</f>
        <v>807.67</v>
      </c>
      <c r="AF29" s="84"/>
      <c r="AG29" s="84"/>
      <c r="AH29" s="84">
        <f>1037.38</f>
        <v>1037.3800000000001</v>
      </c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8"/>
      <c r="BL29" s="88"/>
      <c r="BM29" s="88"/>
      <c r="BN29" s="88"/>
      <c r="BO29" s="88"/>
    </row>
    <row r="30" spans="1:67" ht="42.75" customHeight="1">
      <c r="A30" s="121" t="s">
        <v>146</v>
      </c>
      <c r="B30" s="122" t="s">
        <v>147</v>
      </c>
      <c r="C30" s="123" t="s">
        <v>131</v>
      </c>
      <c r="D30" s="124" t="s">
        <v>148</v>
      </c>
      <c r="E30" s="82"/>
      <c r="F30" s="125"/>
      <c r="G30" s="83" t="e">
        <f t="shared" si="1"/>
        <v>#DIV/0!</v>
      </c>
      <c r="H30" s="83" t="e">
        <f t="shared" si="2"/>
        <v>#DIV/0!</v>
      </c>
      <c r="I30" s="84">
        <v>8160.13</v>
      </c>
      <c r="J30" s="84">
        <v>6831.67</v>
      </c>
      <c r="K30" s="84"/>
      <c r="L30" s="86">
        <f t="shared" ref="L30:N30" si="119">X30+AA30+AD30+AG30+AJ30+AM30+AP30+AS30+AV30+AY30+BB30+BE30</f>
        <v>23.45</v>
      </c>
      <c r="M30" s="86">
        <f t="shared" si="119"/>
        <v>6831.67</v>
      </c>
      <c r="N30" s="86">
        <f t="shared" si="119"/>
        <v>0</v>
      </c>
      <c r="O30" s="62">
        <f t="shared" ref="O30:Q30" si="120">IF(BH30=0,SUM(X30+AA30+AD30+AG30+AJ30+AM30+AP30+AS30+AV30+AY30+BB30+BE30),BH30)</f>
        <v>23.45</v>
      </c>
      <c r="P30" s="62">
        <f t="shared" si="120"/>
        <v>6831.67</v>
      </c>
      <c r="Q30" s="62">
        <f t="shared" si="120"/>
        <v>0</v>
      </c>
      <c r="R30" s="86">
        <f t="shared" ref="R30:T30" si="121">I30-L30</f>
        <v>8136.68</v>
      </c>
      <c r="S30" s="86">
        <f t="shared" si="121"/>
        <v>0</v>
      </c>
      <c r="T30" s="86">
        <f t="shared" si="121"/>
        <v>0</v>
      </c>
      <c r="U30" s="87">
        <f t="shared" si="106"/>
        <v>2.8737287273609608E-3</v>
      </c>
      <c r="V30" s="87">
        <f t="shared" ref="V30:W30" si="122">M30/J30</f>
        <v>1</v>
      </c>
      <c r="W30" s="87" t="e">
        <f t="shared" si="122"/>
        <v>#DIV/0!</v>
      </c>
      <c r="X30" s="84">
        <v>0</v>
      </c>
      <c r="Y30" s="84">
        <f>1644.35+84.47</f>
        <v>1728.82</v>
      </c>
      <c r="Z30" s="84"/>
      <c r="AA30" s="84">
        <v>0</v>
      </c>
      <c r="AB30" s="84">
        <f>85.09+1689.33</f>
        <v>1774.4199999999998</v>
      </c>
      <c r="AC30" s="84"/>
      <c r="AD30" s="84">
        <v>0</v>
      </c>
      <c r="AE30" s="84">
        <v>0</v>
      </c>
      <c r="AF30" s="84"/>
      <c r="AG30" s="84">
        <f>23.45</f>
        <v>23.45</v>
      </c>
      <c r="AH30" s="84">
        <f>78.55+1628.59+1566.19+55.1</f>
        <v>3328.43</v>
      </c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8"/>
      <c r="BL30" s="88"/>
      <c r="BM30" s="88"/>
      <c r="BN30" s="88"/>
      <c r="BO30" s="88"/>
    </row>
    <row r="31" spans="1:67" ht="37.5">
      <c r="A31" s="89" t="s">
        <v>149</v>
      </c>
      <c r="B31" s="95" t="s">
        <v>150</v>
      </c>
      <c r="C31" s="80" t="s">
        <v>151</v>
      </c>
      <c r="D31" s="124" t="s">
        <v>562</v>
      </c>
      <c r="E31" s="82"/>
      <c r="F31" s="125"/>
      <c r="G31" s="83" t="e">
        <f t="shared" si="1"/>
        <v>#DIV/0!</v>
      </c>
      <c r="H31" s="83" t="e">
        <f t="shared" si="2"/>
        <v>#DIV/0!</v>
      </c>
      <c r="I31" s="84">
        <v>2700</v>
      </c>
      <c r="J31" s="84">
        <v>1110.1600000000001</v>
      </c>
      <c r="K31" s="84"/>
      <c r="L31" s="86">
        <f t="shared" ref="L31:N31" si="123">X31+AA31+AD31+AG31+AJ31+AM31+AP31+AS31+AV31+AY31+BB31+BE31</f>
        <v>83.68</v>
      </c>
      <c r="M31" s="86">
        <f t="shared" si="123"/>
        <v>1110.1599999999999</v>
      </c>
      <c r="N31" s="86">
        <f t="shared" si="123"/>
        <v>0</v>
      </c>
      <c r="O31" s="62">
        <f t="shared" ref="O31:Q31" si="124">IF(BH31=0,SUM(X31+AA31+AD31+AG31+AJ31+AM31+AP31+AS31+AV31+AY31+BB31+BE31),BH31)</f>
        <v>83.68</v>
      </c>
      <c r="P31" s="62">
        <f t="shared" si="124"/>
        <v>1110.1599999999999</v>
      </c>
      <c r="Q31" s="62">
        <f t="shared" si="124"/>
        <v>0</v>
      </c>
      <c r="R31" s="86">
        <f t="shared" ref="R31:T31" si="125">I31-L31</f>
        <v>2616.3200000000002</v>
      </c>
      <c r="S31" s="86">
        <f t="shared" si="125"/>
        <v>0</v>
      </c>
      <c r="T31" s="86">
        <f t="shared" si="125"/>
        <v>0</v>
      </c>
      <c r="U31" s="87">
        <f t="shared" si="106"/>
        <v>3.0992592592592596E-2</v>
      </c>
      <c r="V31" s="87">
        <f t="shared" ref="V31:W31" si="126">M31/J31</f>
        <v>0.99999999999999978</v>
      </c>
      <c r="W31" s="87" t="e">
        <f t="shared" si="126"/>
        <v>#DIV/0!</v>
      </c>
      <c r="X31" s="84"/>
      <c r="Y31" s="84">
        <f>289.77</f>
        <v>289.77</v>
      </c>
      <c r="Z31" s="84"/>
      <c r="AA31" s="84"/>
      <c r="AB31" s="84">
        <f>289.77</f>
        <v>289.77</v>
      </c>
      <c r="AC31" s="84"/>
      <c r="AD31" s="84"/>
      <c r="AE31" s="84">
        <f>289.77</f>
        <v>289.77</v>
      </c>
      <c r="AF31" s="84"/>
      <c r="AG31" s="84">
        <f>83.68</f>
        <v>83.68</v>
      </c>
      <c r="AH31" s="84">
        <f>240.85</f>
        <v>240.85</v>
      </c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8"/>
      <c r="BL31" s="88"/>
      <c r="BM31" s="88"/>
      <c r="BN31" s="88"/>
      <c r="BO31" s="88"/>
    </row>
    <row r="32" spans="1:67" ht="37.5">
      <c r="A32" s="89" t="s">
        <v>152</v>
      </c>
      <c r="B32" s="95" t="s">
        <v>153</v>
      </c>
      <c r="C32" s="80" t="s">
        <v>151</v>
      </c>
      <c r="D32" s="126" t="s">
        <v>154</v>
      </c>
      <c r="E32" s="82"/>
      <c r="F32" s="125"/>
      <c r="G32" s="83" t="e">
        <f t="shared" si="1"/>
        <v>#DIV/0!</v>
      </c>
      <c r="H32" s="83" t="e">
        <f t="shared" si="2"/>
        <v>#DIV/0!</v>
      </c>
      <c r="I32" s="84">
        <v>10500</v>
      </c>
      <c r="J32" s="84">
        <v>20837.810000000001</v>
      </c>
      <c r="K32" s="127"/>
      <c r="L32" s="86">
        <f t="shared" ref="L32:N32" si="127">X32+AA32+AD32+AG32+AJ32+AM32+AP32+AS32+AV32+AY32+BB32+BE32</f>
        <v>0</v>
      </c>
      <c r="M32" s="86">
        <f t="shared" si="127"/>
        <v>19617.599999999999</v>
      </c>
      <c r="N32" s="86">
        <f t="shared" si="127"/>
        <v>0</v>
      </c>
      <c r="O32" s="62">
        <f t="shared" ref="O32:Q32" si="128">IF(BH32=0,SUM(X32+AA32+AD32+AG32+AJ32+AM32+AP32+AS32+AV32+AY32+BB32+BE32),BH32)</f>
        <v>0</v>
      </c>
      <c r="P32" s="62">
        <f t="shared" si="128"/>
        <v>19617.599999999999</v>
      </c>
      <c r="Q32" s="62">
        <f t="shared" si="128"/>
        <v>0</v>
      </c>
      <c r="R32" s="86">
        <f t="shared" ref="R32:T32" si="129">I32-L32</f>
        <v>10500</v>
      </c>
      <c r="S32" s="86">
        <f t="shared" si="129"/>
        <v>1220.2100000000028</v>
      </c>
      <c r="T32" s="86">
        <f t="shared" si="129"/>
        <v>0</v>
      </c>
      <c r="U32" s="87">
        <f t="shared" si="106"/>
        <v>0</v>
      </c>
      <c r="V32" s="87">
        <f t="shared" ref="V32:W32" si="130">M32/J32</f>
        <v>0.94144250283499065</v>
      </c>
      <c r="W32" s="87" t="e">
        <f t="shared" si="130"/>
        <v>#DIV/0!</v>
      </c>
      <c r="X32" s="84"/>
      <c r="Y32" s="84">
        <f>15270.6+1449</f>
        <v>16719.599999999999</v>
      </c>
      <c r="Z32" s="84"/>
      <c r="AA32" s="84"/>
      <c r="AB32" s="84">
        <f>1449</f>
        <v>1449</v>
      </c>
      <c r="AC32" s="84"/>
      <c r="AD32" s="84"/>
      <c r="AE32" s="84">
        <v>0</v>
      </c>
      <c r="AF32" s="84"/>
      <c r="AG32" s="84"/>
      <c r="AH32" s="84">
        <f>1449</f>
        <v>1449</v>
      </c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8"/>
      <c r="BL32" s="88"/>
      <c r="BM32" s="88"/>
      <c r="BN32" s="88"/>
      <c r="BO32" s="88"/>
    </row>
    <row r="33" spans="1:67" ht="37.5">
      <c r="A33" s="89"/>
      <c r="B33" s="95"/>
      <c r="C33" s="123" t="s">
        <v>155</v>
      </c>
      <c r="D33" s="124" t="s">
        <v>156</v>
      </c>
      <c r="E33" s="82"/>
      <c r="F33" s="125"/>
      <c r="G33" s="83" t="e">
        <f t="shared" si="1"/>
        <v>#DIV/0!</v>
      </c>
      <c r="H33" s="83" t="e">
        <f t="shared" si="2"/>
        <v>#DIV/0!</v>
      </c>
      <c r="I33" s="84"/>
      <c r="J33" s="84"/>
      <c r="K33" s="127"/>
      <c r="L33" s="86">
        <f t="shared" ref="L33:N33" si="131">X33+AA33+AD33+AG33+AJ33+AM33+AP33+AS33+AV33+AY33+BB33+BE33</f>
        <v>0</v>
      </c>
      <c r="M33" s="86">
        <f t="shared" si="131"/>
        <v>0</v>
      </c>
      <c r="N33" s="86">
        <f t="shared" si="131"/>
        <v>0</v>
      </c>
      <c r="O33" s="62">
        <f t="shared" ref="O33:Q33" si="132">IF(BH33=0,SUM(X33+AA33+AD33+AG33+AJ33+AM33+AP33+AS33+AV33+AY33+BB33+BE33),BH33)</f>
        <v>0</v>
      </c>
      <c r="P33" s="62">
        <f t="shared" si="132"/>
        <v>0</v>
      </c>
      <c r="Q33" s="62">
        <f t="shared" si="132"/>
        <v>0</v>
      </c>
      <c r="R33" s="86">
        <f t="shared" ref="R33:T33" si="133">I33-L33</f>
        <v>0</v>
      </c>
      <c r="S33" s="86">
        <f t="shared" si="133"/>
        <v>0</v>
      </c>
      <c r="T33" s="86">
        <f t="shared" si="133"/>
        <v>0</v>
      </c>
      <c r="U33" s="87" t="e">
        <f t="shared" si="106"/>
        <v>#DIV/0!</v>
      </c>
      <c r="V33" s="87" t="e">
        <f t="shared" ref="V33:W33" si="134">M33/J33</f>
        <v>#DIV/0!</v>
      </c>
      <c r="W33" s="87" t="e">
        <f t="shared" si="134"/>
        <v>#DIV/0!</v>
      </c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8"/>
      <c r="BL33" s="88"/>
      <c r="BM33" s="88"/>
      <c r="BN33" s="88"/>
      <c r="BO33" s="88"/>
    </row>
    <row r="34" spans="1:67" ht="15.75" customHeight="1">
      <c r="A34" s="121"/>
      <c r="B34" s="122" t="s">
        <v>157</v>
      </c>
      <c r="C34" s="123" t="s">
        <v>158</v>
      </c>
      <c r="D34" s="124" t="s">
        <v>159</v>
      </c>
      <c r="E34" s="82"/>
      <c r="F34" s="125"/>
      <c r="G34" s="83" t="e">
        <f t="shared" si="1"/>
        <v>#DIV/0!</v>
      </c>
      <c r="H34" s="83" t="e">
        <f t="shared" si="2"/>
        <v>#DIV/0!</v>
      </c>
      <c r="I34" s="84"/>
      <c r="J34" s="84">
        <v>35880</v>
      </c>
      <c r="K34" s="128"/>
      <c r="L34" s="86">
        <f t="shared" ref="L34:N34" si="135">X34+AA34+AD34+AG34+AJ34+AM34+AP34+AS34+AV34+AY34+BB34+BE34</f>
        <v>0</v>
      </c>
      <c r="M34" s="86">
        <f t="shared" si="135"/>
        <v>0</v>
      </c>
      <c r="N34" s="86">
        <f t="shared" si="135"/>
        <v>0</v>
      </c>
      <c r="O34" s="62">
        <f t="shared" ref="O34:Q34" si="136">IF(BH34=0,SUM(X34+AA34+AD34+AG34+AJ34+AM34+AP34+AS34+AV34+AY34+BB34+BE34),BH34)</f>
        <v>0</v>
      </c>
      <c r="P34" s="62">
        <f t="shared" si="136"/>
        <v>0</v>
      </c>
      <c r="Q34" s="62">
        <f t="shared" si="136"/>
        <v>0</v>
      </c>
      <c r="R34" s="86">
        <f t="shared" ref="R34:T34" si="137">I34-L34</f>
        <v>0</v>
      </c>
      <c r="S34" s="86">
        <f t="shared" si="137"/>
        <v>35880</v>
      </c>
      <c r="T34" s="86">
        <f t="shared" si="137"/>
        <v>0</v>
      </c>
      <c r="U34" s="87" t="e">
        <f t="shared" si="106"/>
        <v>#DIV/0!</v>
      </c>
      <c r="V34" s="87">
        <f t="shared" ref="V34:W34" si="138">M34/J34</f>
        <v>0</v>
      </c>
      <c r="W34" s="87" t="e">
        <f t="shared" si="138"/>
        <v>#DIV/0!</v>
      </c>
      <c r="X34" s="84"/>
      <c r="Y34" s="114">
        <v>0</v>
      </c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8"/>
      <c r="BL34" s="88"/>
      <c r="BM34" s="88"/>
      <c r="BN34" s="88"/>
      <c r="BO34" s="88"/>
    </row>
    <row r="35" spans="1:67" ht="30" customHeight="1">
      <c r="A35" s="121" t="s">
        <v>160</v>
      </c>
      <c r="B35" s="122" t="s">
        <v>161</v>
      </c>
      <c r="C35" s="123" t="s">
        <v>158</v>
      </c>
      <c r="D35" s="129" t="s">
        <v>162</v>
      </c>
      <c r="E35" s="82"/>
      <c r="F35" s="130"/>
      <c r="G35" s="83" t="e">
        <f t="shared" si="1"/>
        <v>#DIV/0!</v>
      </c>
      <c r="H35" s="83" t="e">
        <f t="shared" si="2"/>
        <v>#DIV/0!</v>
      </c>
      <c r="I35" s="84">
        <v>11658</v>
      </c>
      <c r="J35" s="84">
        <v>16744</v>
      </c>
      <c r="K35" s="131"/>
      <c r="L35" s="86">
        <f t="shared" ref="L35:N35" si="139">X35+AA35+AD35+AG35+AJ35+AM35+AP35+AS35+AV35+AY35+BB35+BE35</f>
        <v>7601</v>
      </c>
      <c r="M35" s="86">
        <f t="shared" si="139"/>
        <v>16744</v>
      </c>
      <c r="N35" s="86">
        <f t="shared" si="139"/>
        <v>0</v>
      </c>
      <c r="O35" s="62">
        <f t="shared" ref="O35:Q35" si="140">IF(BH35=0,SUM(X35+AA35+AD35+AG35+AJ35+AM35+AP35+AS35+AV35+AY35+BB35+BE35),BH35)</f>
        <v>7601</v>
      </c>
      <c r="P35" s="62">
        <f t="shared" si="140"/>
        <v>16744</v>
      </c>
      <c r="Q35" s="62">
        <f t="shared" si="140"/>
        <v>0</v>
      </c>
      <c r="R35" s="86">
        <f t="shared" ref="R35:T35" si="141">I35-L35</f>
        <v>4057</v>
      </c>
      <c r="S35" s="86">
        <f t="shared" si="141"/>
        <v>0</v>
      </c>
      <c r="T35" s="86">
        <f t="shared" si="141"/>
        <v>0</v>
      </c>
      <c r="U35" s="87">
        <f t="shared" si="106"/>
        <v>0.65199862755189575</v>
      </c>
      <c r="V35" s="87">
        <f t="shared" ref="V35:W35" si="142">M35/J35</f>
        <v>1</v>
      </c>
      <c r="W35" s="87" t="e">
        <f t="shared" si="142"/>
        <v>#DIV/0!</v>
      </c>
      <c r="X35" s="84">
        <v>0</v>
      </c>
      <c r="Y35" s="84">
        <v>0</v>
      </c>
      <c r="Z35" s="84"/>
      <c r="AA35" s="84">
        <v>0</v>
      </c>
      <c r="AB35" s="114">
        <v>0</v>
      </c>
      <c r="AC35" s="84"/>
      <c r="AD35" s="84">
        <v>0</v>
      </c>
      <c r="AE35" s="84">
        <v>0</v>
      </c>
      <c r="AF35" s="84"/>
      <c r="AG35" s="84">
        <f>7601</f>
        <v>7601</v>
      </c>
      <c r="AH35" s="84">
        <f>16744</f>
        <v>16744</v>
      </c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8"/>
      <c r="BL35" s="88"/>
      <c r="BM35" s="88"/>
      <c r="BN35" s="88"/>
      <c r="BO35" s="88"/>
    </row>
    <row r="36" spans="1:67" ht="37.5">
      <c r="A36" s="89"/>
      <c r="B36" s="95" t="s">
        <v>163</v>
      </c>
      <c r="C36" s="80" t="s">
        <v>91</v>
      </c>
      <c r="D36" s="117" t="s">
        <v>164</v>
      </c>
      <c r="E36" s="82"/>
      <c r="F36" s="97"/>
      <c r="G36" s="83" t="e">
        <f t="shared" si="1"/>
        <v>#DIV/0!</v>
      </c>
      <c r="H36" s="83" t="e">
        <f t="shared" si="2"/>
        <v>#DIV/0!</v>
      </c>
      <c r="I36" s="84"/>
      <c r="J36" s="84">
        <v>53000</v>
      </c>
      <c r="K36" s="106"/>
      <c r="L36" s="86">
        <f t="shared" ref="L36:N36" si="143">X36+AA36+AD36+AG36+AJ36+AM36+AP36+AS36+AV36+AY36+BB36+BE36</f>
        <v>0</v>
      </c>
      <c r="M36" s="86">
        <f t="shared" si="143"/>
        <v>20713.29</v>
      </c>
      <c r="N36" s="86">
        <f t="shared" si="143"/>
        <v>0</v>
      </c>
      <c r="O36" s="62">
        <f t="shared" ref="O36:Q36" si="144">IF(BH36=0,SUM(X36+AA36+AD36+AG36+AJ36+AM36+AP36+AS36+AV36+AY36+BB36+BE36),BH36)</f>
        <v>0</v>
      </c>
      <c r="P36" s="62">
        <f t="shared" si="144"/>
        <v>20713.29</v>
      </c>
      <c r="Q36" s="62">
        <f t="shared" si="144"/>
        <v>0</v>
      </c>
      <c r="R36" s="86">
        <f t="shared" ref="R36:T36" si="145">I36-L36</f>
        <v>0</v>
      </c>
      <c r="S36" s="86">
        <f t="shared" si="145"/>
        <v>32286.71</v>
      </c>
      <c r="T36" s="86">
        <f t="shared" si="145"/>
        <v>0</v>
      </c>
      <c r="U36" s="87" t="e">
        <f t="shared" si="106"/>
        <v>#DIV/0!</v>
      </c>
      <c r="V36" s="87">
        <f t="shared" ref="V36:W36" si="146">M36/J36</f>
        <v>0.39081679245283019</v>
      </c>
      <c r="W36" s="87" t="e">
        <f t="shared" si="146"/>
        <v>#DIV/0!</v>
      </c>
      <c r="X36" s="84"/>
      <c r="Y36" s="84">
        <v>0</v>
      </c>
      <c r="Z36" s="84"/>
      <c r="AA36" s="84"/>
      <c r="AB36" s="84">
        <v>0</v>
      </c>
      <c r="AC36" s="84"/>
      <c r="AD36" s="84"/>
      <c r="AE36" s="84">
        <v>0</v>
      </c>
      <c r="AF36" s="84"/>
      <c r="AG36" s="84"/>
      <c r="AH36" s="84">
        <f>20713.29</f>
        <v>20713.29</v>
      </c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8"/>
      <c r="BL36" s="88"/>
      <c r="BM36" s="88"/>
      <c r="BN36" s="88"/>
      <c r="BO36" s="88"/>
    </row>
    <row r="37" spans="1:67" ht="15.75" customHeight="1">
      <c r="A37" s="79"/>
      <c r="B37" s="91" t="s">
        <v>163</v>
      </c>
      <c r="C37" s="80" t="s">
        <v>165</v>
      </c>
      <c r="D37" s="117" t="s">
        <v>164</v>
      </c>
      <c r="E37" s="82"/>
      <c r="F37" s="97"/>
      <c r="G37" s="83" t="e">
        <f t="shared" si="1"/>
        <v>#DIV/0!</v>
      </c>
      <c r="H37" s="83" t="e">
        <f t="shared" si="2"/>
        <v>#DIV/0!</v>
      </c>
      <c r="I37" s="84"/>
      <c r="J37" s="84">
        <v>18000</v>
      </c>
      <c r="K37" s="106"/>
      <c r="L37" s="86">
        <f t="shared" ref="L37:N37" si="147">X37+AA37+AD37+AG37+AJ37+AM37+AP37+AS37+AV37+AY37+BB37+BE37</f>
        <v>0</v>
      </c>
      <c r="M37" s="86">
        <f t="shared" si="147"/>
        <v>0</v>
      </c>
      <c r="N37" s="86">
        <f t="shared" si="147"/>
        <v>0</v>
      </c>
      <c r="O37" s="62">
        <f t="shared" ref="O37:Q37" si="148">IF(BH37=0,SUM(X37+AA37+AD37+AG37+AJ37+AM37+AP37+AS37+AV37+AY37+BB37+BE37),BH37)</f>
        <v>0</v>
      </c>
      <c r="P37" s="62">
        <f t="shared" si="148"/>
        <v>0</v>
      </c>
      <c r="Q37" s="62">
        <f t="shared" si="148"/>
        <v>0</v>
      </c>
      <c r="R37" s="86">
        <f t="shared" ref="R37:T37" si="149">I37-L37</f>
        <v>0</v>
      </c>
      <c r="S37" s="86">
        <f t="shared" si="149"/>
        <v>18000</v>
      </c>
      <c r="T37" s="86">
        <f t="shared" si="149"/>
        <v>0</v>
      </c>
      <c r="U37" s="87" t="e">
        <f t="shared" si="106"/>
        <v>#DIV/0!</v>
      </c>
      <c r="V37" s="87">
        <f t="shared" ref="V37:W37" si="150">M37/J37</f>
        <v>0</v>
      </c>
      <c r="W37" s="87" t="e">
        <f t="shared" si="150"/>
        <v>#DIV/0!</v>
      </c>
      <c r="X37" s="84"/>
      <c r="Y37" s="84">
        <v>0</v>
      </c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8"/>
      <c r="BL37" s="88"/>
      <c r="BM37" s="88"/>
      <c r="BN37" s="88"/>
      <c r="BO37" s="88"/>
    </row>
    <row r="38" spans="1:67" ht="15.75" customHeight="1">
      <c r="A38" s="79"/>
      <c r="B38" s="91" t="s">
        <v>166</v>
      </c>
      <c r="C38" s="80" t="s">
        <v>167</v>
      </c>
      <c r="D38" s="117" t="s">
        <v>168</v>
      </c>
      <c r="E38" s="82"/>
      <c r="F38" s="97"/>
      <c r="G38" s="83" t="e">
        <f t="shared" si="1"/>
        <v>#DIV/0!</v>
      </c>
      <c r="H38" s="83" t="e">
        <f t="shared" si="2"/>
        <v>#DIV/0!</v>
      </c>
      <c r="I38" s="84"/>
      <c r="J38" s="84">
        <v>1080</v>
      </c>
      <c r="K38" s="106"/>
      <c r="L38" s="86">
        <f t="shared" ref="L38:N38" si="151">X38+AA38+AD38+AG38+AJ38+AM38+AP38+AS38+AV38+AY38+BB38+BE38</f>
        <v>0</v>
      </c>
      <c r="M38" s="86">
        <f t="shared" si="151"/>
        <v>0</v>
      </c>
      <c r="N38" s="86">
        <f t="shared" si="151"/>
        <v>0</v>
      </c>
      <c r="O38" s="62">
        <f t="shared" ref="O38:Q38" si="152">IF(BH38=0,SUM(X38+AA38+AD38+AG38+AJ38+AM38+AP38+AS38+AV38+AY38+BB38+BE38),BH38)</f>
        <v>0</v>
      </c>
      <c r="P38" s="62">
        <f t="shared" si="152"/>
        <v>0</v>
      </c>
      <c r="Q38" s="62">
        <f t="shared" si="152"/>
        <v>0</v>
      </c>
      <c r="R38" s="86">
        <f t="shared" ref="R38:T38" si="153">I38-L38</f>
        <v>0</v>
      </c>
      <c r="S38" s="86">
        <f t="shared" si="153"/>
        <v>1080</v>
      </c>
      <c r="T38" s="86">
        <f t="shared" si="153"/>
        <v>0</v>
      </c>
      <c r="U38" s="87" t="e">
        <f t="shared" si="106"/>
        <v>#DIV/0!</v>
      </c>
      <c r="V38" s="87">
        <f t="shared" ref="V38:W38" si="154">M38/J38</f>
        <v>0</v>
      </c>
      <c r="W38" s="87" t="e">
        <f t="shared" si="154"/>
        <v>#DIV/0!</v>
      </c>
      <c r="X38" s="84"/>
      <c r="Y38" s="84">
        <v>0</v>
      </c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8"/>
      <c r="BL38" s="88"/>
      <c r="BM38" s="88"/>
      <c r="BN38" s="88"/>
      <c r="BO38" s="88"/>
    </row>
    <row r="39" spans="1:67" ht="15.75" customHeight="1">
      <c r="A39" s="79"/>
      <c r="B39" s="91" t="s">
        <v>166</v>
      </c>
      <c r="C39" s="80" t="s">
        <v>114</v>
      </c>
      <c r="D39" s="117" t="s">
        <v>168</v>
      </c>
      <c r="E39" s="82"/>
      <c r="F39" s="97"/>
      <c r="G39" s="83" t="e">
        <f t="shared" si="1"/>
        <v>#DIV/0!</v>
      </c>
      <c r="H39" s="83" t="e">
        <f t="shared" si="2"/>
        <v>#DIV/0!</v>
      </c>
      <c r="I39" s="84"/>
      <c r="J39" s="84">
        <f>20772</f>
        <v>20772</v>
      </c>
      <c r="K39" s="106"/>
      <c r="L39" s="86">
        <f t="shared" ref="L39:N39" si="155">X39+AA39+AD39+AG39+AJ39+AM39+AP39+AS39+AV39+AY39+BB39+BE39</f>
        <v>0</v>
      </c>
      <c r="M39" s="86">
        <f t="shared" si="155"/>
        <v>0</v>
      </c>
      <c r="N39" s="86">
        <f t="shared" si="155"/>
        <v>0</v>
      </c>
      <c r="O39" s="62">
        <f t="shared" ref="O39:Q39" si="156">IF(BH39=0,SUM(X39+AA39+AD39+AG39+AJ39+AM39+AP39+AS39+AV39+AY39+BB39+BE39),BH39)</f>
        <v>0</v>
      </c>
      <c r="P39" s="62">
        <f t="shared" si="156"/>
        <v>0</v>
      </c>
      <c r="Q39" s="62">
        <f t="shared" si="156"/>
        <v>0</v>
      </c>
      <c r="R39" s="86">
        <f t="shared" ref="R39:T39" si="157">I39-L39</f>
        <v>0</v>
      </c>
      <c r="S39" s="86">
        <f t="shared" si="157"/>
        <v>20772</v>
      </c>
      <c r="T39" s="86">
        <f t="shared" si="157"/>
        <v>0</v>
      </c>
      <c r="U39" s="87" t="e">
        <f t="shared" si="106"/>
        <v>#DIV/0!</v>
      </c>
      <c r="V39" s="87">
        <f t="shared" ref="V39:W39" si="158">M39/J39</f>
        <v>0</v>
      </c>
      <c r="W39" s="87" t="e">
        <f t="shared" si="158"/>
        <v>#DIV/0!</v>
      </c>
      <c r="X39" s="84"/>
      <c r="Y39" s="84">
        <v>0</v>
      </c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8"/>
      <c r="BL39" s="88"/>
      <c r="BM39" s="88"/>
      <c r="BN39" s="88"/>
      <c r="BO39" s="88"/>
    </row>
    <row r="40" spans="1:67" ht="15.75" customHeight="1">
      <c r="A40" s="79"/>
      <c r="B40" s="132" t="s">
        <v>166</v>
      </c>
      <c r="C40" s="80" t="s">
        <v>169</v>
      </c>
      <c r="D40" s="117" t="s">
        <v>168</v>
      </c>
      <c r="E40" s="82"/>
      <c r="F40" s="97"/>
      <c r="G40" s="83" t="e">
        <f t="shared" si="1"/>
        <v>#DIV/0!</v>
      </c>
      <c r="H40" s="83" t="e">
        <f t="shared" si="2"/>
        <v>#DIV/0!</v>
      </c>
      <c r="I40" s="84"/>
      <c r="J40" s="84">
        <f>40980+10000</f>
        <v>50980</v>
      </c>
      <c r="K40" s="106"/>
      <c r="L40" s="86">
        <f t="shared" ref="L40:N40" si="159">X40+AA40+AD40+AG40+AJ40+AM40+AP40+AS40+AV40+AY40+BB40+BE40</f>
        <v>0</v>
      </c>
      <c r="M40" s="86">
        <f t="shared" si="159"/>
        <v>11433.98</v>
      </c>
      <c r="N40" s="86">
        <f t="shared" si="159"/>
        <v>0</v>
      </c>
      <c r="O40" s="62">
        <f t="shared" ref="O40:Q40" si="160">IF(BH40=0,SUM(X40+AA40+AD40+AG40+AJ40+AM40+AP40+AS40+AV40+AY40+BB40+BE40),BH40)</f>
        <v>0</v>
      </c>
      <c r="P40" s="62">
        <f t="shared" si="160"/>
        <v>11433.98</v>
      </c>
      <c r="Q40" s="62">
        <f t="shared" si="160"/>
        <v>0</v>
      </c>
      <c r="R40" s="86">
        <f t="shared" ref="R40:T40" si="161">I40-L40</f>
        <v>0</v>
      </c>
      <c r="S40" s="86">
        <f t="shared" si="161"/>
        <v>39546.020000000004</v>
      </c>
      <c r="T40" s="86">
        <f t="shared" si="161"/>
        <v>0</v>
      </c>
      <c r="U40" s="87" t="e">
        <f t="shared" si="106"/>
        <v>#DIV/0!</v>
      </c>
      <c r="V40" s="87">
        <f t="shared" ref="V40:W40" si="162">M40/J40</f>
        <v>0.22428364064338954</v>
      </c>
      <c r="W40" s="87" t="e">
        <f t="shared" si="162"/>
        <v>#DIV/0!</v>
      </c>
      <c r="X40" s="84"/>
      <c r="Y40" s="84">
        <v>0</v>
      </c>
      <c r="Z40" s="84"/>
      <c r="AA40" s="84"/>
      <c r="AB40" s="84">
        <v>0</v>
      </c>
      <c r="AC40" s="84"/>
      <c r="AD40" s="84"/>
      <c r="AE40" s="84">
        <f>1010</f>
        <v>1010</v>
      </c>
      <c r="AF40" s="84"/>
      <c r="AG40" s="84"/>
      <c r="AH40" s="84">
        <f>4033.98+6390</f>
        <v>10423.98</v>
      </c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8"/>
      <c r="BL40" s="88"/>
      <c r="BM40" s="88"/>
      <c r="BN40" s="88"/>
      <c r="BO40" s="88"/>
    </row>
    <row r="41" spans="1:67" ht="15.75" customHeight="1">
      <c r="A41" s="79"/>
      <c r="B41" s="132" t="s">
        <v>166</v>
      </c>
      <c r="C41" s="80" t="s">
        <v>170</v>
      </c>
      <c r="D41" s="117" t="s">
        <v>168</v>
      </c>
      <c r="E41" s="82"/>
      <c r="F41" s="97"/>
      <c r="G41" s="83" t="e">
        <f t="shared" si="1"/>
        <v>#DIV/0!</v>
      </c>
      <c r="H41" s="83" t="e">
        <f t="shared" si="2"/>
        <v>#DIV/0!</v>
      </c>
      <c r="I41" s="84"/>
      <c r="J41" s="84">
        <v>10942</v>
      </c>
      <c r="K41" s="106"/>
      <c r="L41" s="86">
        <f t="shared" ref="L41:N41" si="163">X41+AA41+AD41+AG41+AJ41+AM41+AP41+AS41+AV41+AY41+BB41+BE41</f>
        <v>0</v>
      </c>
      <c r="M41" s="86">
        <f t="shared" si="163"/>
        <v>4000</v>
      </c>
      <c r="N41" s="86">
        <f t="shared" si="163"/>
        <v>0</v>
      </c>
      <c r="O41" s="62">
        <f t="shared" ref="O41:Q41" si="164">IF(BH41=0,SUM(X41+AA41+AD41+AG41+AJ41+AM41+AP41+AS41+AV41+AY41+BB41+BE41),BH41)</f>
        <v>0</v>
      </c>
      <c r="P41" s="62">
        <f t="shared" si="164"/>
        <v>4000</v>
      </c>
      <c r="Q41" s="62">
        <f t="shared" si="164"/>
        <v>0</v>
      </c>
      <c r="R41" s="86">
        <f t="shared" ref="R41:T41" si="165">I41-L41</f>
        <v>0</v>
      </c>
      <c r="S41" s="86">
        <f t="shared" si="165"/>
        <v>6942</v>
      </c>
      <c r="T41" s="86">
        <f t="shared" si="165"/>
        <v>0</v>
      </c>
      <c r="U41" s="87" t="e">
        <f t="shared" si="106"/>
        <v>#DIV/0!</v>
      </c>
      <c r="V41" s="87">
        <f t="shared" ref="V41:W41" si="166">M41/J41</f>
        <v>0.3655638822884299</v>
      </c>
      <c r="W41" s="87" t="e">
        <f t="shared" si="166"/>
        <v>#DIV/0!</v>
      </c>
      <c r="X41" s="84"/>
      <c r="Y41" s="84">
        <v>0</v>
      </c>
      <c r="Z41" s="84"/>
      <c r="AA41" s="84"/>
      <c r="AB41" s="84">
        <v>0</v>
      </c>
      <c r="AC41" s="84"/>
      <c r="AD41" s="84"/>
      <c r="AE41" s="84">
        <v>0</v>
      </c>
      <c r="AF41" s="84"/>
      <c r="AG41" s="84"/>
      <c r="AH41" s="84">
        <f>4000</f>
        <v>4000</v>
      </c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8"/>
      <c r="BL41" s="88"/>
      <c r="BM41" s="88"/>
      <c r="BN41" s="88"/>
      <c r="BO41" s="88"/>
    </row>
    <row r="42" spans="1:67" ht="15.75" customHeight="1">
      <c r="A42" s="79"/>
      <c r="B42" s="132" t="s">
        <v>166</v>
      </c>
      <c r="C42" s="80" t="s">
        <v>171</v>
      </c>
      <c r="D42" s="117" t="s">
        <v>168</v>
      </c>
      <c r="E42" s="82"/>
      <c r="F42" s="97"/>
      <c r="G42" s="83" t="e">
        <f t="shared" si="1"/>
        <v>#DIV/0!</v>
      </c>
      <c r="H42" s="83" t="e">
        <f t="shared" si="2"/>
        <v>#DIV/0!</v>
      </c>
      <c r="I42" s="84"/>
      <c r="J42" s="84">
        <v>8042.6</v>
      </c>
      <c r="K42" s="106"/>
      <c r="L42" s="86">
        <f t="shared" ref="L42:N42" si="167">X42+AA42+AD42+AG42+AJ42+AM42+AP42+AS42+AV42+AY42+BB42+BE42</f>
        <v>0</v>
      </c>
      <c r="M42" s="86">
        <f t="shared" si="167"/>
        <v>0</v>
      </c>
      <c r="N42" s="86">
        <f t="shared" si="167"/>
        <v>0</v>
      </c>
      <c r="O42" s="62">
        <f t="shared" ref="O42:Q42" si="168">IF(BH42=0,SUM(X42+AA42+AD42+AG42+AJ42+AM42+AP42+AS42+AV42+AY42+BB42+BE42),BH42)</f>
        <v>0</v>
      </c>
      <c r="P42" s="62">
        <f t="shared" si="168"/>
        <v>0</v>
      </c>
      <c r="Q42" s="62">
        <f t="shared" si="168"/>
        <v>0</v>
      </c>
      <c r="R42" s="86">
        <f t="shared" ref="R42:T42" si="169">I42-L42</f>
        <v>0</v>
      </c>
      <c r="S42" s="86">
        <f t="shared" si="169"/>
        <v>8042.6</v>
      </c>
      <c r="T42" s="86">
        <f t="shared" si="169"/>
        <v>0</v>
      </c>
      <c r="U42" s="87" t="e">
        <f t="shared" si="106"/>
        <v>#DIV/0!</v>
      </c>
      <c r="V42" s="87">
        <f t="shared" ref="V42:W42" si="170">M42/J42</f>
        <v>0</v>
      </c>
      <c r="W42" s="87" t="e">
        <f t="shared" si="170"/>
        <v>#DIV/0!</v>
      </c>
      <c r="X42" s="84"/>
      <c r="Y42" s="84">
        <v>0</v>
      </c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8"/>
      <c r="BL42" s="88"/>
      <c r="BM42" s="88"/>
      <c r="BN42" s="88"/>
      <c r="BO42" s="88"/>
    </row>
    <row r="43" spans="1:67" ht="15.75" customHeight="1">
      <c r="A43" s="79"/>
      <c r="B43" s="132" t="s">
        <v>166</v>
      </c>
      <c r="C43" s="80" t="s">
        <v>172</v>
      </c>
      <c r="D43" s="117" t="s">
        <v>168</v>
      </c>
      <c r="E43" s="82"/>
      <c r="F43" s="97"/>
      <c r="G43" s="83" t="e">
        <f t="shared" si="1"/>
        <v>#DIV/0!</v>
      </c>
      <c r="H43" s="83" t="e">
        <f t="shared" si="2"/>
        <v>#DIV/0!</v>
      </c>
      <c r="I43" s="84"/>
      <c r="J43" s="84">
        <v>32226.36</v>
      </c>
      <c r="K43" s="106"/>
      <c r="L43" s="86">
        <f t="shared" ref="L43:N43" si="171">X43+AA43+AD43+AG43+AJ43+AM43+AP43+AS43+AV43+AY43+BB43+BE43</f>
        <v>0</v>
      </c>
      <c r="M43" s="86">
        <f t="shared" si="171"/>
        <v>26054.11</v>
      </c>
      <c r="N43" s="86">
        <f t="shared" si="171"/>
        <v>0</v>
      </c>
      <c r="O43" s="62">
        <f t="shared" ref="O43:Q43" si="172">IF(BH43=0,SUM(X43+AA43+AD43+AG43+AJ43+AM43+AP43+AS43+AV43+AY43+BB43+BE43),BH43)</f>
        <v>0</v>
      </c>
      <c r="P43" s="62">
        <f t="shared" si="172"/>
        <v>26054.11</v>
      </c>
      <c r="Q43" s="62">
        <f t="shared" si="172"/>
        <v>0</v>
      </c>
      <c r="R43" s="86">
        <f t="shared" ref="R43:T43" si="173">I43-L43</f>
        <v>0</v>
      </c>
      <c r="S43" s="86">
        <f t="shared" si="173"/>
        <v>6172.25</v>
      </c>
      <c r="T43" s="86">
        <f t="shared" si="173"/>
        <v>0</v>
      </c>
      <c r="U43" s="87" t="e">
        <f t="shared" si="106"/>
        <v>#DIV/0!</v>
      </c>
      <c r="V43" s="87">
        <f t="shared" ref="V43:W43" si="174">M43/J43</f>
        <v>0.80847200862896085</v>
      </c>
      <c r="W43" s="87" t="e">
        <f t="shared" si="174"/>
        <v>#DIV/0!</v>
      </c>
      <c r="X43" s="84"/>
      <c r="Y43" s="84">
        <v>0</v>
      </c>
      <c r="Z43" s="84"/>
      <c r="AA43" s="84"/>
      <c r="AB43" s="84">
        <v>0</v>
      </c>
      <c r="AC43" s="84"/>
      <c r="AD43" s="84"/>
      <c r="AE43" s="84">
        <v>0</v>
      </c>
      <c r="AF43" s="84"/>
      <c r="AG43" s="84"/>
      <c r="AH43" s="84">
        <f>4058.72+16515.32+5480.07</f>
        <v>26054.11</v>
      </c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8"/>
      <c r="BL43" s="88"/>
      <c r="BM43" s="88"/>
      <c r="BN43" s="88"/>
      <c r="BO43" s="88"/>
    </row>
    <row r="44" spans="1:67" ht="15.75" customHeight="1">
      <c r="A44" s="79"/>
      <c r="B44" s="132" t="s">
        <v>166</v>
      </c>
      <c r="C44" s="80" t="s">
        <v>173</v>
      </c>
      <c r="D44" s="117" t="s">
        <v>168</v>
      </c>
      <c r="E44" s="82"/>
      <c r="F44" s="97"/>
      <c r="G44" s="83" t="e">
        <f t="shared" si="1"/>
        <v>#DIV/0!</v>
      </c>
      <c r="H44" s="83" t="e">
        <f t="shared" si="2"/>
        <v>#DIV/0!</v>
      </c>
      <c r="I44" s="84"/>
      <c r="J44" s="84">
        <f>327.72+39490</f>
        <v>39817.72</v>
      </c>
      <c r="K44" s="106"/>
      <c r="L44" s="86">
        <f t="shared" ref="L44:N44" si="175">X44+AA44+AD44+AG44+AJ44+AM44+AP44+AS44+AV44+AY44+BB44+BE44</f>
        <v>0</v>
      </c>
      <c r="M44" s="86">
        <f t="shared" si="175"/>
        <v>12955.4</v>
      </c>
      <c r="N44" s="86">
        <f t="shared" si="175"/>
        <v>0</v>
      </c>
      <c r="O44" s="62">
        <f t="shared" ref="O44:Q44" si="176">IF(BH44=0,SUM(X44+AA44+AD44+AG44+AJ44+AM44+AP44+AS44+AV44+AY44+BB44+BE44),BH44)</f>
        <v>0</v>
      </c>
      <c r="P44" s="62">
        <f t="shared" si="176"/>
        <v>12955.4</v>
      </c>
      <c r="Q44" s="62">
        <f t="shared" si="176"/>
        <v>0</v>
      </c>
      <c r="R44" s="86">
        <f t="shared" ref="R44:T44" si="177">I44-L44</f>
        <v>0</v>
      </c>
      <c r="S44" s="86">
        <f t="shared" si="177"/>
        <v>26862.32</v>
      </c>
      <c r="T44" s="86">
        <f t="shared" si="177"/>
        <v>0</v>
      </c>
      <c r="U44" s="87" t="e">
        <f t="shared" si="106"/>
        <v>#DIV/0!</v>
      </c>
      <c r="V44" s="87">
        <f t="shared" ref="V44:W44" si="178">M44/J44</f>
        <v>0.32536770061168746</v>
      </c>
      <c r="W44" s="87" t="e">
        <f t="shared" si="178"/>
        <v>#DIV/0!</v>
      </c>
      <c r="X44" s="84"/>
      <c r="Y44" s="84">
        <v>0</v>
      </c>
      <c r="Z44" s="84"/>
      <c r="AA44" s="84"/>
      <c r="AB44" s="84">
        <v>0</v>
      </c>
      <c r="AC44" s="84"/>
      <c r="AD44" s="84"/>
      <c r="AE44" s="84">
        <f>1125+2718.4+3250</f>
        <v>7093.4</v>
      </c>
      <c r="AF44" s="84"/>
      <c r="AG44" s="84"/>
      <c r="AH44" s="84">
        <f>1950+3912</f>
        <v>5862</v>
      </c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8"/>
      <c r="BL44" s="88"/>
      <c r="BM44" s="88"/>
      <c r="BN44" s="88"/>
      <c r="BO44" s="88"/>
    </row>
    <row r="45" spans="1:67" ht="15.75" customHeight="1">
      <c r="A45" s="79"/>
      <c r="B45" s="132" t="s">
        <v>166</v>
      </c>
      <c r="C45" s="80" t="s">
        <v>112</v>
      </c>
      <c r="D45" s="117" t="s">
        <v>168</v>
      </c>
      <c r="E45" s="82"/>
      <c r="F45" s="97"/>
      <c r="G45" s="83" t="e">
        <f t="shared" si="1"/>
        <v>#DIV/0!</v>
      </c>
      <c r="H45" s="83" t="e">
        <f t="shared" si="2"/>
        <v>#DIV/0!</v>
      </c>
      <c r="I45" s="84"/>
      <c r="J45" s="84">
        <v>730</v>
      </c>
      <c r="K45" s="106"/>
      <c r="L45" s="86">
        <f t="shared" ref="L45:N45" si="179">X45+AA45+AD45+AG45+AJ45+AM45+AP45+AS45+AV45+AY45+BB45+BE45</f>
        <v>0</v>
      </c>
      <c r="M45" s="86">
        <f t="shared" si="179"/>
        <v>0</v>
      </c>
      <c r="N45" s="86">
        <f t="shared" si="179"/>
        <v>0</v>
      </c>
      <c r="O45" s="62">
        <f t="shared" ref="O45:Q45" si="180">IF(BH45=0,SUM(X45+AA45+AD45+AG45+AJ45+AM45+AP45+AS45+AV45+AY45+BB45+BE45),BH45)</f>
        <v>0</v>
      </c>
      <c r="P45" s="62">
        <f t="shared" si="180"/>
        <v>0</v>
      </c>
      <c r="Q45" s="62">
        <f t="shared" si="180"/>
        <v>0</v>
      </c>
      <c r="R45" s="86">
        <f t="shared" ref="R45:T45" si="181">I45-L45</f>
        <v>0</v>
      </c>
      <c r="S45" s="86">
        <f t="shared" si="181"/>
        <v>730</v>
      </c>
      <c r="T45" s="86">
        <f t="shared" si="181"/>
        <v>0</v>
      </c>
      <c r="U45" s="87" t="e">
        <f t="shared" si="106"/>
        <v>#DIV/0!</v>
      </c>
      <c r="V45" s="87">
        <f t="shared" ref="V45:W45" si="182">M45/J45</f>
        <v>0</v>
      </c>
      <c r="W45" s="87" t="e">
        <f t="shared" si="182"/>
        <v>#DIV/0!</v>
      </c>
      <c r="X45" s="84"/>
      <c r="Y45" s="84">
        <v>0</v>
      </c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8"/>
      <c r="BL45" s="88"/>
      <c r="BM45" s="88"/>
      <c r="BN45" s="88"/>
      <c r="BO45" s="88"/>
    </row>
    <row r="46" spans="1:67" ht="15.75" customHeight="1">
      <c r="A46" s="79"/>
      <c r="B46" s="132" t="s">
        <v>166</v>
      </c>
      <c r="C46" s="80" t="s">
        <v>174</v>
      </c>
      <c r="D46" s="117" t="s">
        <v>168</v>
      </c>
      <c r="E46" s="82"/>
      <c r="F46" s="97"/>
      <c r="G46" s="83" t="e">
        <f t="shared" si="1"/>
        <v>#DIV/0!</v>
      </c>
      <c r="H46" s="83" t="e">
        <f t="shared" si="2"/>
        <v>#DIV/0!</v>
      </c>
      <c r="I46" s="84"/>
      <c r="J46" s="84">
        <v>200</v>
      </c>
      <c r="K46" s="106"/>
      <c r="L46" s="86">
        <f t="shared" ref="L46:N46" si="183">X46+AA46+AD46+AG46+AJ46+AM46+AP46+AS46+AV46+AY46+BB46+BE46</f>
        <v>0</v>
      </c>
      <c r="M46" s="86">
        <f t="shared" si="183"/>
        <v>0</v>
      </c>
      <c r="N46" s="86">
        <f t="shared" si="183"/>
        <v>0</v>
      </c>
      <c r="O46" s="62">
        <f t="shared" ref="O46:Q46" si="184">IF(BH46=0,SUM(X46+AA46+AD46+AG46+AJ46+AM46+AP46+AS46+AV46+AY46+BB46+BE46),BH46)</f>
        <v>0</v>
      </c>
      <c r="P46" s="62">
        <f t="shared" si="184"/>
        <v>0</v>
      </c>
      <c r="Q46" s="62">
        <f t="shared" si="184"/>
        <v>0</v>
      </c>
      <c r="R46" s="86">
        <f t="shared" ref="R46:T46" si="185">I46-L46</f>
        <v>0</v>
      </c>
      <c r="S46" s="86">
        <f t="shared" si="185"/>
        <v>200</v>
      </c>
      <c r="T46" s="86">
        <f t="shared" si="185"/>
        <v>0</v>
      </c>
      <c r="U46" s="87" t="e">
        <f t="shared" si="106"/>
        <v>#DIV/0!</v>
      </c>
      <c r="V46" s="87">
        <f t="shared" ref="V46:W46" si="186">M46/J46</f>
        <v>0</v>
      </c>
      <c r="W46" s="87" t="e">
        <f t="shared" si="186"/>
        <v>#DIV/0!</v>
      </c>
      <c r="X46" s="84"/>
      <c r="Y46" s="84">
        <v>0</v>
      </c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8"/>
      <c r="BL46" s="88"/>
      <c r="BM46" s="88"/>
      <c r="BN46" s="88"/>
      <c r="BO46" s="88"/>
    </row>
    <row r="47" spans="1:67" ht="15.75" customHeight="1">
      <c r="A47" s="79"/>
      <c r="B47" s="132" t="s">
        <v>166</v>
      </c>
      <c r="C47" s="80" t="s">
        <v>175</v>
      </c>
      <c r="D47" s="117" t="s">
        <v>168</v>
      </c>
      <c r="E47" s="82"/>
      <c r="F47" s="97"/>
      <c r="G47" s="83" t="e">
        <f t="shared" si="1"/>
        <v>#DIV/0!</v>
      </c>
      <c r="H47" s="83" t="e">
        <f t="shared" si="2"/>
        <v>#DIV/0!</v>
      </c>
      <c r="I47" s="84"/>
      <c r="J47" s="84">
        <v>576.4</v>
      </c>
      <c r="K47" s="106"/>
      <c r="L47" s="86">
        <f t="shared" ref="L47:N47" si="187">X47+AA47+AD47+AG47+AJ47+AM47+AP47+AS47+AV47+AY47+BB47+BE47</f>
        <v>0</v>
      </c>
      <c r="M47" s="86">
        <f t="shared" si="187"/>
        <v>0</v>
      </c>
      <c r="N47" s="86">
        <f t="shared" si="187"/>
        <v>0</v>
      </c>
      <c r="O47" s="62">
        <f t="shared" ref="O47:Q47" si="188">IF(BH47=0,SUM(X47+AA47+AD47+AG47+AJ47+AM47+AP47+AS47+AV47+AY47+BB47+BE47),BH47)</f>
        <v>0</v>
      </c>
      <c r="P47" s="62">
        <f t="shared" si="188"/>
        <v>0</v>
      </c>
      <c r="Q47" s="62">
        <f t="shared" si="188"/>
        <v>0</v>
      </c>
      <c r="R47" s="86">
        <f t="shared" ref="R47:T47" si="189">I47-L47</f>
        <v>0</v>
      </c>
      <c r="S47" s="86">
        <f t="shared" si="189"/>
        <v>576.4</v>
      </c>
      <c r="T47" s="86">
        <f t="shared" si="189"/>
        <v>0</v>
      </c>
      <c r="U47" s="87" t="e">
        <f t="shared" si="106"/>
        <v>#DIV/0!</v>
      </c>
      <c r="V47" s="87">
        <f t="shared" ref="V47:W47" si="190">M47/J47</f>
        <v>0</v>
      </c>
      <c r="W47" s="87" t="e">
        <f t="shared" si="190"/>
        <v>#DIV/0!</v>
      </c>
      <c r="X47" s="84"/>
      <c r="Y47" s="84">
        <v>0</v>
      </c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8"/>
      <c r="BL47" s="88"/>
      <c r="BM47" s="88"/>
      <c r="BN47" s="88"/>
      <c r="BO47" s="88"/>
    </row>
    <row r="48" spans="1:67" ht="15.75" customHeight="1">
      <c r="A48" s="79"/>
      <c r="B48" s="132" t="s">
        <v>166</v>
      </c>
      <c r="C48" s="80" t="s">
        <v>176</v>
      </c>
      <c r="D48" s="117" t="s">
        <v>168</v>
      </c>
      <c r="E48" s="82"/>
      <c r="F48" s="97"/>
      <c r="G48" s="83" t="e">
        <f t="shared" si="1"/>
        <v>#DIV/0!</v>
      </c>
      <c r="H48" s="83" t="e">
        <f t="shared" si="2"/>
        <v>#DIV/0!</v>
      </c>
      <c r="I48" s="84"/>
      <c r="J48" s="84">
        <v>488</v>
      </c>
      <c r="K48" s="106"/>
      <c r="L48" s="86">
        <f t="shared" ref="L48:N48" si="191">X48+AA48+AD48+AG48+AJ48+AM48+AP48+AS48+AV48+AY48+BB48+BE48</f>
        <v>0</v>
      </c>
      <c r="M48" s="86">
        <f t="shared" si="191"/>
        <v>0</v>
      </c>
      <c r="N48" s="86">
        <f t="shared" si="191"/>
        <v>0</v>
      </c>
      <c r="O48" s="62">
        <f t="shared" ref="O48:Q48" si="192">IF(BH48=0,SUM(X48+AA48+AD48+AG48+AJ48+AM48+AP48+AS48+AV48+AY48+BB48+BE48),BH48)</f>
        <v>0</v>
      </c>
      <c r="P48" s="62">
        <f t="shared" si="192"/>
        <v>0</v>
      </c>
      <c r="Q48" s="62">
        <f t="shared" si="192"/>
        <v>0</v>
      </c>
      <c r="R48" s="86">
        <f t="shared" ref="R48:T48" si="193">I48-L48</f>
        <v>0</v>
      </c>
      <c r="S48" s="86">
        <f t="shared" si="193"/>
        <v>488</v>
      </c>
      <c r="T48" s="86">
        <f t="shared" si="193"/>
        <v>0</v>
      </c>
      <c r="U48" s="87" t="e">
        <f t="shared" si="106"/>
        <v>#DIV/0!</v>
      </c>
      <c r="V48" s="87">
        <f t="shared" ref="V48:W48" si="194">M48/J48</f>
        <v>0</v>
      </c>
      <c r="W48" s="87" t="e">
        <f t="shared" si="194"/>
        <v>#DIV/0!</v>
      </c>
      <c r="X48" s="84"/>
      <c r="Y48" s="84">
        <v>0</v>
      </c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8"/>
      <c r="BL48" s="88"/>
      <c r="BM48" s="88"/>
      <c r="BN48" s="88"/>
      <c r="BO48" s="88"/>
    </row>
    <row r="49" spans="1:67" ht="15.75" customHeight="1">
      <c r="A49" s="79" t="s">
        <v>177</v>
      </c>
      <c r="B49" s="132" t="s">
        <v>178</v>
      </c>
      <c r="C49" s="80" t="s">
        <v>174</v>
      </c>
      <c r="D49" s="133" t="s">
        <v>563</v>
      </c>
      <c r="E49" s="82"/>
      <c r="F49" s="82"/>
      <c r="G49" s="83" t="e">
        <f t="shared" si="1"/>
        <v>#DIV/0!</v>
      </c>
      <c r="H49" s="83" t="e">
        <f t="shared" si="2"/>
        <v>#DIV/0!</v>
      </c>
      <c r="I49" s="84">
        <v>129000</v>
      </c>
      <c r="J49" s="84">
        <v>68535.94</v>
      </c>
      <c r="K49" s="84"/>
      <c r="L49" s="86">
        <f t="shared" ref="L49:N49" si="195">X49+AA49+AD49+AG49+AJ49+AM49+AP49+AS49+AV49+AY49+BB49+BE49</f>
        <v>0</v>
      </c>
      <c r="M49" s="86">
        <f t="shared" si="195"/>
        <v>61271.30999999999</v>
      </c>
      <c r="N49" s="86">
        <f t="shared" si="195"/>
        <v>0</v>
      </c>
      <c r="O49" s="62">
        <f t="shared" ref="O49:Q49" si="196">IF(BH49=0,SUM(X49+AA49+AD49+AG49+AJ49+AM49+AP49+AS49+AV49+AY49+BB49+BE49),BH49)</f>
        <v>0</v>
      </c>
      <c r="P49" s="62">
        <f t="shared" si="196"/>
        <v>61271.30999999999</v>
      </c>
      <c r="Q49" s="62">
        <f t="shared" si="196"/>
        <v>0</v>
      </c>
      <c r="R49" s="86">
        <f t="shared" ref="R49:T49" si="197">I49-L49</f>
        <v>129000</v>
      </c>
      <c r="S49" s="86">
        <f t="shared" si="197"/>
        <v>7264.6300000000119</v>
      </c>
      <c r="T49" s="86">
        <f t="shared" si="197"/>
        <v>0</v>
      </c>
      <c r="U49" s="87">
        <f t="shared" si="106"/>
        <v>0</v>
      </c>
      <c r="V49" s="87">
        <f t="shared" ref="V49:W49" si="198">M49/J49</f>
        <v>0.89400262110653173</v>
      </c>
      <c r="W49" s="87" t="e">
        <f t="shared" si="198"/>
        <v>#DIV/0!</v>
      </c>
      <c r="X49" s="84"/>
      <c r="Y49" s="84">
        <f>13351.88+13351.88</f>
        <v>26703.759999999998</v>
      </c>
      <c r="Z49" s="84"/>
      <c r="AA49" s="84"/>
      <c r="AB49" s="84">
        <f>13351.88-1511.94</f>
        <v>11839.939999999999</v>
      </c>
      <c r="AC49" s="84"/>
      <c r="AD49" s="84"/>
      <c r="AE49" s="84">
        <f>13351.88-3976.15</f>
        <v>9375.73</v>
      </c>
      <c r="AF49" s="84"/>
      <c r="AG49" s="84"/>
      <c r="AH49" s="84">
        <f>13351.88</f>
        <v>13351.88</v>
      </c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8"/>
      <c r="BL49" s="88"/>
      <c r="BM49" s="88"/>
      <c r="BN49" s="88"/>
      <c r="BO49" s="88"/>
    </row>
    <row r="50" spans="1:67" ht="15.75" customHeight="1">
      <c r="A50" s="79" t="s">
        <v>179</v>
      </c>
      <c r="B50" s="132" t="s">
        <v>180</v>
      </c>
      <c r="C50" s="80" t="s">
        <v>175</v>
      </c>
      <c r="D50" s="134" t="s">
        <v>564</v>
      </c>
      <c r="E50" s="82"/>
      <c r="F50" s="82"/>
      <c r="G50" s="83" t="e">
        <f t="shared" si="1"/>
        <v>#DIV/0!</v>
      </c>
      <c r="H50" s="83" t="e">
        <f t="shared" si="2"/>
        <v>#DIV/0!</v>
      </c>
      <c r="I50" s="84">
        <v>59000</v>
      </c>
      <c r="J50" s="84">
        <v>32978.18</v>
      </c>
      <c r="K50" s="84"/>
      <c r="L50" s="86">
        <f t="shared" ref="L50:N50" si="199">X50+AA50+AD50+AG50+AJ50+AM50+AP50+AS50+AV50+AY50+BB50+BE50</f>
        <v>6441.5199999999995</v>
      </c>
      <c r="M50" s="86">
        <f t="shared" si="199"/>
        <v>32978.18</v>
      </c>
      <c r="N50" s="86">
        <f t="shared" si="199"/>
        <v>0</v>
      </c>
      <c r="O50" s="62">
        <f t="shared" ref="O50:Q50" si="200">IF(BH50=0,SUM(X50+AA50+AD50+AG50+AJ50+AM50+AP50+AS50+AV50+AY50+BB50+BE50),BH50)</f>
        <v>6441.5199999999995</v>
      </c>
      <c r="P50" s="62">
        <f t="shared" si="200"/>
        <v>32978.18</v>
      </c>
      <c r="Q50" s="62">
        <f t="shared" si="200"/>
        <v>0</v>
      </c>
      <c r="R50" s="86">
        <f t="shared" ref="R50:T50" si="201">I50-L50</f>
        <v>52558.48</v>
      </c>
      <c r="S50" s="86">
        <f t="shared" si="201"/>
        <v>0</v>
      </c>
      <c r="T50" s="86">
        <f t="shared" si="201"/>
        <v>0</v>
      </c>
      <c r="U50" s="87">
        <f t="shared" si="106"/>
        <v>0.10917830508474576</v>
      </c>
      <c r="V50" s="87">
        <f t="shared" ref="V50:W50" si="202">M50/J50</f>
        <v>1</v>
      </c>
      <c r="W50" s="87" t="e">
        <f t="shared" si="202"/>
        <v>#DIV/0!</v>
      </c>
      <c r="X50" s="84">
        <v>0</v>
      </c>
      <c r="Y50" s="84">
        <f>6354.19+6354.19+6354.19+456.63+76.59+76.59</f>
        <v>19672.38</v>
      </c>
      <c r="Z50" s="84"/>
      <c r="AA50" s="84">
        <v>0</v>
      </c>
      <c r="AB50" s="84">
        <f>6354.19+76.59</f>
        <v>6430.78</v>
      </c>
      <c r="AC50" s="84"/>
      <c r="AD50" s="84">
        <v>0</v>
      </c>
      <c r="AE50" s="84">
        <f>6354.19+225.21</f>
        <v>6579.4</v>
      </c>
      <c r="AF50" s="84"/>
      <c r="AG50" s="84">
        <f>6058.57+382.95</f>
        <v>6441.5199999999995</v>
      </c>
      <c r="AH50" s="84">
        <f>295.62</f>
        <v>295.62</v>
      </c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8"/>
      <c r="BL50" s="88"/>
      <c r="BM50" s="88"/>
      <c r="BN50" s="88"/>
      <c r="BO50" s="88"/>
    </row>
    <row r="51" spans="1:67" ht="15.75" customHeight="1">
      <c r="A51" s="79"/>
      <c r="B51" s="91"/>
      <c r="C51" s="80" t="s">
        <v>175</v>
      </c>
      <c r="D51" s="129" t="s">
        <v>565</v>
      </c>
      <c r="E51" s="82"/>
      <c r="F51" s="82"/>
      <c r="G51" s="83" t="e">
        <f t="shared" si="1"/>
        <v>#DIV/0!</v>
      </c>
      <c r="H51" s="83" t="e">
        <f t="shared" si="2"/>
        <v>#DIV/0!</v>
      </c>
      <c r="I51" s="84"/>
      <c r="J51" s="84"/>
      <c r="K51" s="84"/>
      <c r="L51" s="86">
        <f t="shared" ref="L51:N51" si="203">X51+AA51+AD51+AG51+AJ51+AM51+AP51+AS51+AV51+AY51+BB51+BE51</f>
        <v>0</v>
      </c>
      <c r="M51" s="86">
        <f t="shared" si="203"/>
        <v>0</v>
      </c>
      <c r="N51" s="86">
        <f t="shared" si="203"/>
        <v>0</v>
      </c>
      <c r="O51" s="62">
        <f t="shared" ref="O51:Q51" si="204">IF(BH51=0,SUM(X51+AA51+AD51+AG51+AJ51+AM51+AP51+AS51+AV51+AY51+BB51+BE51),BH51)</f>
        <v>0</v>
      </c>
      <c r="P51" s="62">
        <f t="shared" si="204"/>
        <v>0</v>
      </c>
      <c r="Q51" s="62">
        <f t="shared" si="204"/>
        <v>0</v>
      </c>
      <c r="R51" s="86">
        <f t="shared" ref="R51:T51" si="205">I51-L51</f>
        <v>0</v>
      </c>
      <c r="S51" s="86">
        <f t="shared" si="205"/>
        <v>0</v>
      </c>
      <c r="T51" s="86">
        <f t="shared" si="205"/>
        <v>0</v>
      </c>
      <c r="U51" s="87" t="e">
        <f t="shared" si="106"/>
        <v>#DIV/0!</v>
      </c>
      <c r="V51" s="87" t="e">
        <f t="shared" ref="V51:W51" si="206">M51/J51</f>
        <v>#DIV/0!</v>
      </c>
      <c r="W51" s="87" t="e">
        <f t="shared" si="206"/>
        <v>#DIV/0!</v>
      </c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8"/>
      <c r="BL51" s="88"/>
      <c r="BM51" s="88"/>
      <c r="BN51" s="88"/>
      <c r="BO51" s="88"/>
    </row>
    <row r="52" spans="1:67" ht="15.75" customHeight="1">
      <c r="A52" s="79" t="s">
        <v>181</v>
      </c>
      <c r="B52" s="91" t="s">
        <v>182</v>
      </c>
      <c r="C52" s="80" t="s">
        <v>175</v>
      </c>
      <c r="D52" s="129" t="s">
        <v>566</v>
      </c>
      <c r="E52" s="82"/>
      <c r="F52" s="82"/>
      <c r="G52" s="83" t="e">
        <f t="shared" si="1"/>
        <v>#DIV/0!</v>
      </c>
      <c r="H52" s="83" t="e">
        <f t="shared" si="2"/>
        <v>#DIV/0!</v>
      </c>
      <c r="I52" s="84">
        <f>15123.82</f>
        <v>15123.82</v>
      </c>
      <c r="J52" s="84">
        <v>14818.84</v>
      </c>
      <c r="K52" s="84"/>
      <c r="L52" s="86">
        <f t="shared" ref="L52:N52" si="207">X52+AA52+AD52+AG52+AJ52+AM52+AP52+AS52+AV52+AY52+BB52+BE52</f>
        <v>3792.1900000000005</v>
      </c>
      <c r="M52" s="86">
        <f t="shared" si="207"/>
        <v>14818.84</v>
      </c>
      <c r="N52" s="86">
        <f t="shared" si="207"/>
        <v>0</v>
      </c>
      <c r="O52" s="62">
        <f t="shared" ref="O52:Q52" si="208">IF(BH52=0,SUM(X52+AA52+AD52+AG52+AJ52+AM52+AP52+AS52+AV52+AY52+BB52+BE52),BH52)</f>
        <v>3792.1900000000005</v>
      </c>
      <c r="P52" s="62">
        <f t="shared" si="208"/>
        <v>14818.84</v>
      </c>
      <c r="Q52" s="62">
        <f t="shared" si="208"/>
        <v>0</v>
      </c>
      <c r="R52" s="86">
        <f t="shared" ref="R52:T52" si="209">I52-L52</f>
        <v>11331.63</v>
      </c>
      <c r="S52" s="86">
        <f t="shared" si="209"/>
        <v>0</v>
      </c>
      <c r="T52" s="86">
        <f t="shared" si="209"/>
        <v>0</v>
      </c>
      <c r="U52" s="87">
        <f t="shared" si="106"/>
        <v>0.25074286787332833</v>
      </c>
      <c r="V52" s="87">
        <f t="shared" ref="V52:W52" si="210">M52/J52</f>
        <v>1</v>
      </c>
      <c r="W52" s="87" t="e">
        <f t="shared" si="210"/>
        <v>#DIV/0!</v>
      </c>
      <c r="X52" s="84">
        <v>0</v>
      </c>
      <c r="Y52" s="84">
        <v>0</v>
      </c>
      <c r="Z52" s="84"/>
      <c r="AA52" s="84">
        <v>0</v>
      </c>
      <c r="AB52" s="84">
        <f>398.02+5111.62+2385.42</f>
        <v>7895.0599999999995</v>
      </c>
      <c r="AC52" s="84"/>
      <c r="AD52" s="84">
        <v>0</v>
      </c>
      <c r="AE52" s="84">
        <f>5511.9</f>
        <v>5511.9</v>
      </c>
      <c r="AF52" s="84"/>
      <c r="AG52" s="84">
        <f>4100.02-307.83</f>
        <v>3792.1900000000005</v>
      </c>
      <c r="AH52" s="84">
        <f>1411.88</f>
        <v>1411.88</v>
      </c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8"/>
      <c r="BL52" s="88"/>
      <c r="BM52" s="88"/>
      <c r="BN52" s="88"/>
      <c r="BO52" s="88"/>
    </row>
    <row r="53" spans="1:67" ht="15.75" customHeight="1">
      <c r="A53" s="79" t="s">
        <v>183</v>
      </c>
      <c r="B53" s="91" t="s">
        <v>184</v>
      </c>
      <c r="C53" s="80" t="s">
        <v>175</v>
      </c>
      <c r="D53" s="129" t="s">
        <v>567</v>
      </c>
      <c r="E53" s="82"/>
      <c r="F53" s="82"/>
      <c r="G53" s="83" t="e">
        <f t="shared" si="1"/>
        <v>#DIV/0!</v>
      </c>
      <c r="H53" s="83" t="e">
        <f t="shared" si="2"/>
        <v>#DIV/0!</v>
      </c>
      <c r="I53" s="84">
        <v>22268.47</v>
      </c>
      <c r="J53" s="84">
        <v>61369.24</v>
      </c>
      <c r="K53" s="84"/>
      <c r="L53" s="86">
        <f t="shared" ref="L53:N53" si="211">X53+AA53+AD53+AG53+AJ53+AM53+AP53+AS53+AV53+AY53+BB53+BE53</f>
        <v>21350.09</v>
      </c>
      <c r="M53" s="86">
        <f t="shared" si="211"/>
        <v>40478.340000000004</v>
      </c>
      <c r="N53" s="86">
        <f t="shared" si="211"/>
        <v>0</v>
      </c>
      <c r="O53" s="62">
        <f t="shared" ref="O53:Q53" si="212">IF(BH53=0,SUM(X53+AA53+AD53+AG53+AJ53+AM53+AP53+AS53+AV53+AY53+BB53+BE53),BH53)</f>
        <v>21350.09</v>
      </c>
      <c r="P53" s="62">
        <f t="shared" si="212"/>
        <v>40478.340000000004</v>
      </c>
      <c r="Q53" s="62">
        <f t="shared" si="212"/>
        <v>0</v>
      </c>
      <c r="R53" s="86">
        <f t="shared" ref="R53:T53" si="213">I53-L53</f>
        <v>918.38000000000102</v>
      </c>
      <c r="S53" s="86">
        <f t="shared" si="213"/>
        <v>20890.899999999994</v>
      </c>
      <c r="T53" s="86">
        <f t="shared" si="213"/>
        <v>0</v>
      </c>
      <c r="U53" s="87">
        <f t="shared" si="106"/>
        <v>0.95875872927057848</v>
      </c>
      <c r="V53" s="87">
        <f t="shared" ref="V53:W53" si="214">M53/J53</f>
        <v>0.6595867897337494</v>
      </c>
      <c r="W53" s="87" t="e">
        <f t="shared" si="214"/>
        <v>#DIV/0!</v>
      </c>
      <c r="X53" s="84">
        <v>0</v>
      </c>
      <c r="Y53" s="84">
        <f>19786.8-367.72</f>
        <v>19419.079999999998</v>
      </c>
      <c r="Z53" s="84"/>
      <c r="AA53" s="84">
        <v>0</v>
      </c>
      <c r="AB53" s="84">
        <f>19786.8-1209.19</f>
        <v>18577.61</v>
      </c>
      <c r="AC53" s="84"/>
      <c r="AD53" s="84">
        <f>21350.09</f>
        <v>21350.09</v>
      </c>
      <c r="AE53" s="84">
        <f>2022.46+459.19</f>
        <v>2481.65</v>
      </c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8"/>
      <c r="BL53" s="88"/>
      <c r="BM53" s="88"/>
      <c r="BN53" s="88"/>
      <c r="BO53" s="88"/>
    </row>
    <row r="54" spans="1:67" ht="15.75" customHeight="1">
      <c r="A54" s="79"/>
      <c r="B54" s="91" t="s">
        <v>185</v>
      </c>
      <c r="C54" s="80" t="s">
        <v>186</v>
      </c>
      <c r="D54" s="81" t="s">
        <v>568</v>
      </c>
      <c r="E54" s="82"/>
      <c r="F54" s="82"/>
      <c r="G54" s="83" t="e">
        <f t="shared" si="1"/>
        <v>#DIV/0!</v>
      </c>
      <c r="H54" s="83" t="e">
        <f t="shared" si="2"/>
        <v>#DIV/0!</v>
      </c>
      <c r="I54" s="84"/>
      <c r="J54" s="84">
        <v>2531.34</v>
      </c>
      <c r="K54" s="84"/>
      <c r="L54" s="86">
        <f t="shared" ref="L54:N54" si="215">X54+AA54+AD54+AG54+AJ54+AM54+AP54+AS54+AV54+AY54+BB54+BE54</f>
        <v>0</v>
      </c>
      <c r="M54" s="86">
        <f t="shared" si="215"/>
        <v>0</v>
      </c>
      <c r="N54" s="86">
        <f t="shared" si="215"/>
        <v>0</v>
      </c>
      <c r="O54" s="62">
        <f t="shared" ref="O54:Q54" si="216">IF(BH54=0,SUM(X54+AA54+AD54+AG54+AJ54+AM54+AP54+AS54+AV54+AY54+BB54+BE54),BH54)</f>
        <v>0</v>
      </c>
      <c r="P54" s="62">
        <f t="shared" si="216"/>
        <v>0</v>
      </c>
      <c r="Q54" s="62">
        <f t="shared" si="216"/>
        <v>0</v>
      </c>
      <c r="R54" s="86">
        <f t="shared" ref="R54:T54" si="217">I54-L54</f>
        <v>0</v>
      </c>
      <c r="S54" s="86">
        <f t="shared" si="217"/>
        <v>2531.34</v>
      </c>
      <c r="T54" s="86">
        <f t="shared" si="217"/>
        <v>0</v>
      </c>
      <c r="U54" s="87" t="e">
        <f t="shared" si="106"/>
        <v>#DIV/0!</v>
      </c>
      <c r="V54" s="87">
        <f t="shared" ref="V54:W54" si="218">M54/J54</f>
        <v>0</v>
      </c>
      <c r="W54" s="87" t="e">
        <f t="shared" si="218"/>
        <v>#DIV/0!</v>
      </c>
      <c r="X54" s="84"/>
      <c r="Y54" s="84">
        <v>0</v>
      </c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8"/>
      <c r="BL54" s="88"/>
      <c r="BM54" s="88"/>
      <c r="BN54" s="88"/>
      <c r="BO54" s="88"/>
    </row>
    <row r="55" spans="1:67" ht="15.75" customHeight="1">
      <c r="A55" s="89" t="s">
        <v>187</v>
      </c>
      <c r="B55" s="95"/>
      <c r="C55" s="80" t="s">
        <v>188</v>
      </c>
      <c r="D55" s="117" t="s">
        <v>569</v>
      </c>
      <c r="E55" s="82"/>
      <c r="F55" s="97"/>
      <c r="G55" s="83" t="e">
        <f t="shared" si="1"/>
        <v>#DIV/0!</v>
      </c>
      <c r="H55" s="83" t="e">
        <f t="shared" si="2"/>
        <v>#DIV/0!</v>
      </c>
      <c r="I55" s="84">
        <v>26000</v>
      </c>
      <c r="J55" s="84"/>
      <c r="K55" s="84"/>
      <c r="L55" s="86">
        <f t="shared" ref="L55:N55" si="219">X55+AA55+AD55+AG55+AJ55+AM55+AP55+AS55+AV55+AY55+BB55+BE55</f>
        <v>132.28</v>
      </c>
      <c r="M55" s="86">
        <f t="shared" si="219"/>
        <v>0</v>
      </c>
      <c r="N55" s="86">
        <f t="shared" si="219"/>
        <v>0</v>
      </c>
      <c r="O55" s="62">
        <f t="shared" ref="O55:Q55" si="220">IF(BH55=0,SUM(X55+AA55+AD55+AG55+AJ55+AM55+AP55+AS55+AV55+AY55+BB55+BE55),BH55)</f>
        <v>132.28</v>
      </c>
      <c r="P55" s="62">
        <f t="shared" si="220"/>
        <v>0</v>
      </c>
      <c r="Q55" s="62">
        <f t="shared" si="220"/>
        <v>0</v>
      </c>
      <c r="R55" s="86">
        <f t="shared" ref="R55:T55" si="221">I55-L55</f>
        <v>25867.72</v>
      </c>
      <c r="S55" s="86">
        <f t="shared" si="221"/>
        <v>0</v>
      </c>
      <c r="T55" s="86">
        <f t="shared" si="221"/>
        <v>0</v>
      </c>
      <c r="U55" s="87">
        <f t="shared" si="106"/>
        <v>5.0876923076923078E-3</v>
      </c>
      <c r="V55" s="87" t="e">
        <f t="shared" ref="V55:W55" si="222">M55/J55</f>
        <v>#DIV/0!</v>
      </c>
      <c r="W55" s="87" t="e">
        <f t="shared" si="222"/>
        <v>#DIV/0!</v>
      </c>
      <c r="X55" s="84">
        <v>0</v>
      </c>
      <c r="Y55" s="84">
        <v>0</v>
      </c>
      <c r="Z55" s="84"/>
      <c r="AA55" s="84">
        <v>0</v>
      </c>
      <c r="AB55" s="84"/>
      <c r="AC55" s="84"/>
      <c r="AD55" s="84">
        <v>0</v>
      </c>
      <c r="AE55" s="84"/>
      <c r="AF55" s="84"/>
      <c r="AG55" s="84">
        <f>132.28</f>
        <v>132.28</v>
      </c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8"/>
      <c r="BL55" s="88"/>
      <c r="BM55" s="88"/>
      <c r="BN55" s="88"/>
      <c r="BO55" s="88"/>
    </row>
    <row r="56" spans="1:67" ht="15.75" customHeight="1">
      <c r="A56" s="79"/>
      <c r="B56" s="91" t="s">
        <v>189</v>
      </c>
      <c r="C56" s="80" t="s">
        <v>190</v>
      </c>
      <c r="D56" s="117" t="s">
        <v>570</v>
      </c>
      <c r="E56" s="82"/>
      <c r="F56" s="97"/>
      <c r="G56" s="83" t="e">
        <f t="shared" si="1"/>
        <v>#DIV/0!</v>
      </c>
      <c r="H56" s="83" t="e">
        <f t="shared" si="2"/>
        <v>#DIV/0!</v>
      </c>
      <c r="I56" s="84"/>
      <c r="J56" s="84">
        <v>13122.46</v>
      </c>
      <c r="K56" s="84"/>
      <c r="L56" s="86">
        <f t="shared" ref="L56:N56" si="223">X56+AA56+AD56+AG56+AJ56+AM56+AP56+AS56+AV56+AY56+BB56+BE56</f>
        <v>0</v>
      </c>
      <c r="M56" s="86">
        <f t="shared" si="223"/>
        <v>13122.46</v>
      </c>
      <c r="N56" s="86">
        <f t="shared" si="223"/>
        <v>0</v>
      </c>
      <c r="O56" s="62">
        <f t="shared" ref="O56:Q56" si="224">IF(BH56=0,SUM(X56+AA56+AD56+AG56+AJ56+AM56+AP56+AS56+AV56+AY56+BB56+BE56),BH56)</f>
        <v>0</v>
      </c>
      <c r="P56" s="62">
        <f t="shared" si="224"/>
        <v>13122.46</v>
      </c>
      <c r="Q56" s="62">
        <f t="shared" si="224"/>
        <v>0</v>
      </c>
      <c r="R56" s="86">
        <f t="shared" ref="R56:T56" si="225">I56-L56</f>
        <v>0</v>
      </c>
      <c r="S56" s="86">
        <f t="shared" si="225"/>
        <v>0</v>
      </c>
      <c r="T56" s="86">
        <f t="shared" si="225"/>
        <v>0</v>
      </c>
      <c r="U56" s="87" t="e">
        <f t="shared" si="106"/>
        <v>#DIV/0!</v>
      </c>
      <c r="V56" s="87">
        <f t="shared" ref="V56:W56" si="226">M56/J56</f>
        <v>1</v>
      </c>
      <c r="W56" s="87" t="e">
        <f t="shared" si="226"/>
        <v>#DIV/0!</v>
      </c>
      <c r="X56" s="84"/>
      <c r="Y56" s="84">
        <f>3448.2</f>
        <v>3448.2</v>
      </c>
      <c r="Z56" s="84"/>
      <c r="AA56" s="84"/>
      <c r="AB56" s="84">
        <f>3329.23</f>
        <v>3329.23</v>
      </c>
      <c r="AC56" s="84"/>
      <c r="AD56" s="84"/>
      <c r="AE56" s="84">
        <f>3140.24</f>
        <v>3140.24</v>
      </c>
      <c r="AF56" s="84"/>
      <c r="AG56" s="84"/>
      <c r="AH56" s="84">
        <f>3204.79</f>
        <v>3204.79</v>
      </c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8"/>
      <c r="BL56" s="88"/>
      <c r="BM56" s="88"/>
      <c r="BN56" s="88"/>
      <c r="BO56" s="88"/>
    </row>
    <row r="57" spans="1:67" ht="15.75" customHeight="1">
      <c r="A57" s="79" t="s">
        <v>191</v>
      </c>
      <c r="B57" s="91"/>
      <c r="C57" s="80" t="s">
        <v>192</v>
      </c>
      <c r="D57" s="81" t="s">
        <v>193</v>
      </c>
      <c r="E57" s="82"/>
      <c r="F57" s="82"/>
      <c r="G57" s="83" t="e">
        <f t="shared" si="1"/>
        <v>#DIV/0!</v>
      </c>
      <c r="H57" s="83" t="e">
        <f t="shared" si="2"/>
        <v>#DIV/0!</v>
      </c>
      <c r="I57" s="84">
        <v>2519.8200000000002</v>
      </c>
      <c r="J57" s="84"/>
      <c r="K57" s="84"/>
      <c r="L57" s="86">
        <f t="shared" ref="L57:N57" si="227">X57+AA57+AD57+AG57+AJ57+AM57+AP57+AS57+AV57+AY57+BB57+BE57</f>
        <v>0</v>
      </c>
      <c r="M57" s="86">
        <f t="shared" si="227"/>
        <v>0</v>
      </c>
      <c r="N57" s="86">
        <f t="shared" si="227"/>
        <v>0</v>
      </c>
      <c r="O57" s="62">
        <f t="shared" ref="O57:Q57" si="228">IF(BH57=0,SUM(X57+AA57+AD57+AG57+AJ57+AM57+AP57+AS57+AV57+AY57+BB57+BE57),BH57)</f>
        <v>0</v>
      </c>
      <c r="P57" s="62">
        <f t="shared" si="228"/>
        <v>0</v>
      </c>
      <c r="Q57" s="62">
        <f t="shared" si="228"/>
        <v>0</v>
      </c>
      <c r="R57" s="86">
        <f t="shared" ref="R57:T57" si="229">I57-L57</f>
        <v>2519.8200000000002</v>
      </c>
      <c r="S57" s="86">
        <f t="shared" si="229"/>
        <v>0</v>
      </c>
      <c r="T57" s="86">
        <f t="shared" si="229"/>
        <v>0</v>
      </c>
      <c r="U57" s="87">
        <f t="shared" si="106"/>
        <v>0</v>
      </c>
      <c r="V57" s="87" t="e">
        <f t="shared" ref="V57:W57" si="230">M57/J57</f>
        <v>#DIV/0!</v>
      </c>
      <c r="W57" s="87" t="e">
        <f t="shared" si="230"/>
        <v>#DIV/0!</v>
      </c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8"/>
      <c r="BL57" s="88"/>
      <c r="BM57" s="88"/>
      <c r="BN57" s="88"/>
      <c r="BO57" s="88"/>
    </row>
    <row r="58" spans="1:67" ht="15.75" customHeight="1">
      <c r="A58" s="79"/>
      <c r="B58" s="91" t="s">
        <v>194</v>
      </c>
      <c r="C58" s="80" t="s">
        <v>97</v>
      </c>
      <c r="D58" s="117" t="s">
        <v>195</v>
      </c>
      <c r="E58" s="97"/>
      <c r="F58" s="97"/>
      <c r="G58" s="83" t="e">
        <f t="shared" si="1"/>
        <v>#DIV/0!</v>
      </c>
      <c r="H58" s="83" t="e">
        <f t="shared" si="2"/>
        <v>#DIV/0!</v>
      </c>
      <c r="I58" s="71"/>
      <c r="J58" s="84">
        <v>7280</v>
      </c>
      <c r="K58" s="84"/>
      <c r="L58" s="86">
        <f t="shared" ref="L58:N58" si="231">X58+AA58+AD58+AG58+AJ58+AM58+AP58+AS58+AV58+AY58+BB58+BE58</f>
        <v>0</v>
      </c>
      <c r="M58" s="86">
        <f t="shared" si="231"/>
        <v>0</v>
      </c>
      <c r="N58" s="86">
        <f t="shared" si="231"/>
        <v>0</v>
      </c>
      <c r="O58" s="62">
        <f t="shared" ref="O58:Q58" si="232">IF(BH58=0,SUM(X58+AA58+AD58+AG58+AJ58+AM58+AP58+AS58+AV58+AY58+BB58+BE58),BH58)</f>
        <v>0</v>
      </c>
      <c r="P58" s="62">
        <f t="shared" si="232"/>
        <v>0</v>
      </c>
      <c r="Q58" s="62">
        <f t="shared" si="232"/>
        <v>0</v>
      </c>
      <c r="R58" s="86">
        <f t="shared" ref="R58:T58" si="233">I58-L58</f>
        <v>0</v>
      </c>
      <c r="S58" s="86">
        <f t="shared" si="233"/>
        <v>7280</v>
      </c>
      <c r="T58" s="86">
        <f t="shared" si="233"/>
        <v>0</v>
      </c>
      <c r="U58" s="87" t="e">
        <f t="shared" si="106"/>
        <v>#DIV/0!</v>
      </c>
      <c r="V58" s="87">
        <f t="shared" ref="V58:W58" si="234">M58/J58</f>
        <v>0</v>
      </c>
      <c r="W58" s="87" t="e">
        <f t="shared" si="234"/>
        <v>#DIV/0!</v>
      </c>
      <c r="X58" s="84"/>
      <c r="Y58" s="84">
        <v>0</v>
      </c>
      <c r="Z58" s="84"/>
      <c r="AA58" s="84"/>
      <c r="AB58" s="84"/>
      <c r="AC58" s="84"/>
      <c r="AD58" s="84"/>
      <c r="AE58" s="84"/>
      <c r="AF58" s="84"/>
      <c r="AG58" s="71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8"/>
      <c r="BL58" s="88"/>
      <c r="BM58" s="88"/>
      <c r="BN58" s="88"/>
      <c r="BO58" s="88"/>
    </row>
    <row r="59" spans="1:67" ht="15.75" customHeight="1">
      <c r="A59" s="79" t="s">
        <v>196</v>
      </c>
      <c r="B59" s="91"/>
      <c r="C59" s="80" t="s">
        <v>158</v>
      </c>
      <c r="D59" s="117" t="s">
        <v>197</v>
      </c>
      <c r="E59" s="97"/>
      <c r="F59" s="97"/>
      <c r="G59" s="83" t="e">
        <f t="shared" si="1"/>
        <v>#DIV/0!</v>
      </c>
      <c r="H59" s="83" t="e">
        <f t="shared" si="2"/>
        <v>#DIV/0!</v>
      </c>
      <c r="I59" s="84">
        <v>4764.3</v>
      </c>
      <c r="J59" s="84"/>
      <c r="K59" s="84"/>
      <c r="L59" s="86">
        <f t="shared" ref="L59:N59" si="235">X59+AA59+AD59+AG59+AJ59+AM59+AP59+AS59+AV59+AY59+BB59+BE59</f>
        <v>4764.3</v>
      </c>
      <c r="M59" s="86">
        <f t="shared" si="235"/>
        <v>0</v>
      </c>
      <c r="N59" s="86">
        <f t="shared" si="235"/>
        <v>0</v>
      </c>
      <c r="O59" s="62">
        <f t="shared" ref="O59:Q59" si="236">IF(BH59=0,SUM(X59+AA59+AD59+AG59+AJ59+AM59+AP59+AS59+AV59+AY59+BB59+BE59),BH59)</f>
        <v>4764.3</v>
      </c>
      <c r="P59" s="62">
        <f t="shared" si="236"/>
        <v>0</v>
      </c>
      <c r="Q59" s="62">
        <f t="shared" si="236"/>
        <v>0</v>
      </c>
      <c r="R59" s="86">
        <f t="shared" ref="R59:T59" si="237">I59-L59</f>
        <v>0</v>
      </c>
      <c r="S59" s="86">
        <f t="shared" si="237"/>
        <v>0</v>
      </c>
      <c r="T59" s="86">
        <f t="shared" si="237"/>
        <v>0</v>
      </c>
      <c r="U59" s="87">
        <f t="shared" si="106"/>
        <v>1</v>
      </c>
      <c r="V59" s="87" t="e">
        <f t="shared" ref="V59:W59" si="238">M59/J59</f>
        <v>#DIV/0!</v>
      </c>
      <c r="W59" s="87" t="e">
        <f t="shared" si="238"/>
        <v>#DIV/0!</v>
      </c>
      <c r="X59" s="84">
        <v>0</v>
      </c>
      <c r="Y59" s="84"/>
      <c r="Z59" s="84"/>
      <c r="AA59" s="84">
        <v>0</v>
      </c>
      <c r="AB59" s="84"/>
      <c r="AC59" s="84"/>
      <c r="AD59" s="84">
        <v>0</v>
      </c>
      <c r="AE59" s="84"/>
      <c r="AF59" s="84"/>
      <c r="AG59" s="84">
        <f>4764.3</f>
        <v>4764.3</v>
      </c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8"/>
      <c r="BL59" s="88"/>
      <c r="BM59" s="88"/>
      <c r="BN59" s="88"/>
      <c r="BO59" s="88"/>
    </row>
    <row r="60" spans="1:67" ht="15.75" customHeight="1">
      <c r="A60" s="79"/>
      <c r="B60" s="91"/>
      <c r="C60" s="80" t="s">
        <v>198</v>
      </c>
      <c r="D60" s="117" t="s">
        <v>199</v>
      </c>
      <c r="E60" s="97"/>
      <c r="F60" s="97"/>
      <c r="G60" s="83" t="e">
        <f t="shared" si="1"/>
        <v>#DIV/0!</v>
      </c>
      <c r="H60" s="83" t="e">
        <f t="shared" si="2"/>
        <v>#DIV/0!</v>
      </c>
      <c r="I60" s="84"/>
      <c r="J60" s="84"/>
      <c r="K60" s="84"/>
      <c r="L60" s="86">
        <f t="shared" ref="L60:N60" si="239">X60+AA60+AD60+AG60+AJ60+AM60+AP60+AS60+AV60+AY60+BB60+BE60</f>
        <v>0</v>
      </c>
      <c r="M60" s="86">
        <f t="shared" si="239"/>
        <v>0</v>
      </c>
      <c r="N60" s="86">
        <f t="shared" si="239"/>
        <v>0</v>
      </c>
      <c r="O60" s="62">
        <f t="shared" ref="O60:Q60" si="240">IF(BH60=0,SUM(X60+AA60+AD60+AG60+AJ60+AM60+AP60+AS60+AV60+AY60+BB60+BE60),BH60)</f>
        <v>0</v>
      </c>
      <c r="P60" s="62">
        <f t="shared" si="240"/>
        <v>0</v>
      </c>
      <c r="Q60" s="62">
        <f t="shared" si="240"/>
        <v>0</v>
      </c>
      <c r="R60" s="86">
        <f t="shared" ref="R60:T60" si="241">I60-L60</f>
        <v>0</v>
      </c>
      <c r="S60" s="86">
        <f t="shared" si="241"/>
        <v>0</v>
      </c>
      <c r="T60" s="86">
        <f t="shared" si="241"/>
        <v>0</v>
      </c>
      <c r="U60" s="87" t="e">
        <f t="shared" si="106"/>
        <v>#DIV/0!</v>
      </c>
      <c r="V60" s="87" t="e">
        <f t="shared" ref="V60:W60" si="242">M60/J60</f>
        <v>#DIV/0!</v>
      </c>
      <c r="W60" s="87" t="e">
        <f t="shared" si="242"/>
        <v>#DIV/0!</v>
      </c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8"/>
      <c r="BL60" s="88"/>
      <c r="BM60" s="88"/>
      <c r="BN60" s="88"/>
      <c r="BO60" s="88"/>
    </row>
    <row r="61" spans="1:67" ht="15.75" customHeight="1">
      <c r="A61" s="79" t="s">
        <v>200</v>
      </c>
      <c r="B61" s="91"/>
      <c r="C61" s="80" t="s">
        <v>201</v>
      </c>
      <c r="D61" s="117" t="s">
        <v>571</v>
      </c>
      <c r="E61" s="97"/>
      <c r="F61" s="97"/>
      <c r="G61" s="83" t="e">
        <f t="shared" si="1"/>
        <v>#DIV/0!</v>
      </c>
      <c r="H61" s="83" t="e">
        <f t="shared" si="2"/>
        <v>#DIV/0!</v>
      </c>
      <c r="I61" s="84">
        <f>13.18+26.34+26.41</f>
        <v>65.929999999999993</v>
      </c>
      <c r="J61" s="84"/>
      <c r="K61" s="84"/>
      <c r="L61" s="86">
        <f t="shared" ref="L61:N61" si="243">X61+AA61+AD61+AG61+AJ61+AM61+AP61+AS61+AV61+AY61+BB61+BE61</f>
        <v>39.519999999999996</v>
      </c>
      <c r="M61" s="86">
        <f t="shared" si="243"/>
        <v>0</v>
      </c>
      <c r="N61" s="86">
        <f t="shared" si="243"/>
        <v>0</v>
      </c>
      <c r="O61" s="62">
        <f t="shared" ref="O61:Q61" si="244">IF(BH61=0,SUM(X61+AA61+AD61+AG61+AJ61+AM61+AP61+AS61+AV61+AY61+BB61+BE61),BH61)</f>
        <v>39.519999999999996</v>
      </c>
      <c r="P61" s="62">
        <f t="shared" si="244"/>
        <v>0</v>
      </c>
      <c r="Q61" s="62">
        <f t="shared" si="244"/>
        <v>0</v>
      </c>
      <c r="R61" s="86">
        <f t="shared" ref="R61:T61" si="245">I61-L61</f>
        <v>26.409999999999997</v>
      </c>
      <c r="S61" s="86">
        <f t="shared" si="245"/>
        <v>0</v>
      </c>
      <c r="T61" s="86">
        <f t="shared" si="245"/>
        <v>0</v>
      </c>
      <c r="U61" s="87">
        <f t="shared" si="106"/>
        <v>0.59942363112391928</v>
      </c>
      <c r="V61" s="87" t="e">
        <f t="shared" ref="V61:W61" si="246">M61/J61</f>
        <v>#DIV/0!</v>
      </c>
      <c r="W61" s="87" t="e">
        <f t="shared" si="246"/>
        <v>#DIV/0!</v>
      </c>
      <c r="X61" s="84">
        <v>0</v>
      </c>
      <c r="Y61" s="84"/>
      <c r="Z61" s="84"/>
      <c r="AA61" s="84">
        <v>0</v>
      </c>
      <c r="AB61" s="84"/>
      <c r="AC61" s="84"/>
      <c r="AD61" s="84">
        <f>13.18+26.34</f>
        <v>39.519999999999996</v>
      </c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8"/>
      <c r="BL61" s="88"/>
      <c r="BM61" s="88"/>
      <c r="BN61" s="88"/>
      <c r="BO61" s="88"/>
    </row>
    <row r="62" spans="1:67" ht="35.25" customHeight="1">
      <c r="A62" s="89" t="s">
        <v>202</v>
      </c>
      <c r="B62" s="95"/>
      <c r="C62" s="80" t="s">
        <v>203</v>
      </c>
      <c r="D62" s="81" t="s">
        <v>204</v>
      </c>
      <c r="E62" s="82"/>
      <c r="F62" s="82"/>
      <c r="G62" s="83" t="e">
        <f t="shared" si="1"/>
        <v>#DIV/0!</v>
      </c>
      <c r="H62" s="83" t="e">
        <f t="shared" si="2"/>
        <v>#DIV/0!</v>
      </c>
      <c r="I62" s="84">
        <v>41999.65</v>
      </c>
      <c r="J62" s="84"/>
      <c r="K62" s="84"/>
      <c r="L62" s="86">
        <f t="shared" ref="L62:N62" si="247">X62+AA62+AD62+AG62+AJ62+AM62+AP62+AS62+AV62+AY62+BB62+BE62</f>
        <v>41999.65</v>
      </c>
      <c r="M62" s="86">
        <f t="shared" si="247"/>
        <v>0</v>
      </c>
      <c r="N62" s="86">
        <f t="shared" si="247"/>
        <v>0</v>
      </c>
      <c r="O62" s="62">
        <f t="shared" ref="O62:Q62" si="248">IF(BH62=0,SUM(X62+AA62+AD62+AG62+AJ62+AM62+AP62+AS62+AV62+AY62+BB62+BE62),BH62)</f>
        <v>41999.65</v>
      </c>
      <c r="P62" s="62">
        <f t="shared" si="248"/>
        <v>0</v>
      </c>
      <c r="Q62" s="62">
        <f t="shared" si="248"/>
        <v>0</v>
      </c>
      <c r="R62" s="86">
        <f t="shared" ref="R62:T62" si="249">I62-L62</f>
        <v>0</v>
      </c>
      <c r="S62" s="86">
        <f t="shared" si="249"/>
        <v>0</v>
      </c>
      <c r="T62" s="86">
        <f t="shared" si="249"/>
        <v>0</v>
      </c>
      <c r="U62" s="87">
        <f t="shared" si="106"/>
        <v>1</v>
      </c>
      <c r="V62" s="87" t="e">
        <f t="shared" ref="V62:W62" si="250">M62/J62</f>
        <v>#DIV/0!</v>
      </c>
      <c r="W62" s="87" t="e">
        <f t="shared" si="250"/>
        <v>#DIV/0!</v>
      </c>
      <c r="X62" s="135">
        <v>0</v>
      </c>
      <c r="Y62" s="84"/>
      <c r="Z62" s="84"/>
      <c r="AA62" s="84">
        <v>0</v>
      </c>
      <c r="AB62" s="84"/>
      <c r="AC62" s="84"/>
      <c r="AD62" s="84">
        <f>41999.65</f>
        <v>41999.65</v>
      </c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8"/>
      <c r="BL62" s="88"/>
      <c r="BM62" s="88"/>
      <c r="BN62" s="88"/>
      <c r="BO62" s="88"/>
    </row>
    <row r="63" spans="1:67" ht="15.75" customHeight="1">
      <c r="A63" s="89" t="s">
        <v>205</v>
      </c>
      <c r="B63" s="90"/>
      <c r="C63" s="80" t="s">
        <v>206</v>
      </c>
      <c r="D63" s="81" t="s">
        <v>207</v>
      </c>
      <c r="E63" s="82"/>
      <c r="F63" s="82"/>
      <c r="G63" s="83" t="e">
        <f t="shared" si="1"/>
        <v>#DIV/0!</v>
      </c>
      <c r="H63" s="83" t="e">
        <f t="shared" si="2"/>
        <v>#DIV/0!</v>
      </c>
      <c r="I63" s="84">
        <v>2550</v>
      </c>
      <c r="J63" s="84"/>
      <c r="K63" s="84"/>
      <c r="L63" s="86">
        <f t="shared" ref="L63:N63" si="251">X63+AA63+AD63+AG63+AJ63+AM63+AP63+AS63+AV63+AY63+BB63+BE63</f>
        <v>0</v>
      </c>
      <c r="M63" s="86">
        <f t="shared" si="251"/>
        <v>0</v>
      </c>
      <c r="N63" s="86">
        <f t="shared" si="251"/>
        <v>0</v>
      </c>
      <c r="O63" s="62">
        <f t="shared" ref="O63:Q63" si="252">IF(BH63=0,SUM(X63+AA63+AD63+AG63+AJ63+AM63+AP63+AS63+AV63+AY63+BB63+BE63),BH63)</f>
        <v>0</v>
      </c>
      <c r="P63" s="62">
        <f t="shared" si="252"/>
        <v>0</v>
      </c>
      <c r="Q63" s="62">
        <f t="shared" si="252"/>
        <v>0</v>
      </c>
      <c r="R63" s="86">
        <f t="shared" ref="R63:T63" si="253">I63-L63</f>
        <v>2550</v>
      </c>
      <c r="S63" s="86">
        <f t="shared" si="253"/>
        <v>0</v>
      </c>
      <c r="T63" s="86">
        <f t="shared" si="253"/>
        <v>0</v>
      </c>
      <c r="U63" s="87">
        <f t="shared" si="106"/>
        <v>0</v>
      </c>
      <c r="V63" s="87" t="e">
        <f t="shared" ref="V63:W63" si="254">M63/J63</f>
        <v>#DIV/0!</v>
      </c>
      <c r="W63" s="87" t="e">
        <f t="shared" si="254"/>
        <v>#DIV/0!</v>
      </c>
      <c r="X63" s="135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8"/>
      <c r="BL63" s="88"/>
      <c r="BM63" s="88"/>
      <c r="BN63" s="88"/>
      <c r="BO63" s="88"/>
    </row>
    <row r="64" spans="1:67" ht="15.75" customHeight="1">
      <c r="A64" s="89" t="s">
        <v>208</v>
      </c>
      <c r="B64" s="90"/>
      <c r="C64" s="80" t="s">
        <v>206</v>
      </c>
      <c r="D64" s="81" t="s">
        <v>209</v>
      </c>
      <c r="E64" s="82"/>
      <c r="F64" s="82"/>
      <c r="G64" s="83" t="e">
        <f t="shared" si="1"/>
        <v>#DIV/0!</v>
      </c>
      <c r="H64" s="83" t="e">
        <f t="shared" si="2"/>
        <v>#DIV/0!</v>
      </c>
      <c r="I64" s="84">
        <v>3242.65</v>
      </c>
      <c r="J64" s="84"/>
      <c r="K64" s="84"/>
      <c r="L64" s="86">
        <f t="shared" ref="L64:N64" si="255">X64+AA64+AD64+AG64+AJ64+AM64+AP64+AS64+AV64+AY64+BB64+BE64</f>
        <v>0</v>
      </c>
      <c r="M64" s="86">
        <f t="shared" si="255"/>
        <v>0</v>
      </c>
      <c r="N64" s="86">
        <f t="shared" si="255"/>
        <v>0</v>
      </c>
      <c r="O64" s="62">
        <f t="shared" ref="O64:Q64" si="256">IF(BH64=0,SUM(X64+AA64+AD64+AG64+AJ64+AM64+AP64+AS64+AV64+AY64+BB64+BE64),BH64)</f>
        <v>0</v>
      </c>
      <c r="P64" s="62">
        <f t="shared" si="256"/>
        <v>0</v>
      </c>
      <c r="Q64" s="62">
        <f t="shared" si="256"/>
        <v>0</v>
      </c>
      <c r="R64" s="86">
        <f t="shared" ref="R64:T64" si="257">I64-L64</f>
        <v>3242.65</v>
      </c>
      <c r="S64" s="86">
        <f t="shared" si="257"/>
        <v>0</v>
      </c>
      <c r="T64" s="86">
        <f t="shared" si="257"/>
        <v>0</v>
      </c>
      <c r="U64" s="87">
        <f t="shared" si="106"/>
        <v>0</v>
      </c>
      <c r="V64" s="87" t="e">
        <f t="shared" ref="V64:W64" si="258">M64/J64</f>
        <v>#DIV/0!</v>
      </c>
      <c r="W64" s="87" t="e">
        <f t="shared" si="258"/>
        <v>#DIV/0!</v>
      </c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8"/>
      <c r="BL64" s="88"/>
      <c r="BM64" s="88"/>
      <c r="BN64" s="88"/>
      <c r="BO64" s="88"/>
    </row>
    <row r="65" spans="1:67" ht="15.75" customHeight="1">
      <c r="A65" s="89" t="s">
        <v>210</v>
      </c>
      <c r="B65" s="90"/>
      <c r="C65" s="80" t="s">
        <v>206</v>
      </c>
      <c r="D65" s="81" t="s">
        <v>211</v>
      </c>
      <c r="E65" s="82"/>
      <c r="F65" s="82"/>
      <c r="G65" s="83" t="e">
        <f t="shared" si="1"/>
        <v>#DIV/0!</v>
      </c>
      <c r="H65" s="83" t="e">
        <f t="shared" si="2"/>
        <v>#DIV/0!</v>
      </c>
      <c r="I65" s="84">
        <v>4247.0200000000004</v>
      </c>
      <c r="J65" s="84"/>
      <c r="K65" s="84"/>
      <c r="L65" s="86">
        <f t="shared" ref="L65:N65" si="259">X65+AA65+AD65+AG65+AJ65+AM65+AP65+AS65+AV65+AY65+BB65+BE65</f>
        <v>0</v>
      </c>
      <c r="M65" s="86">
        <f t="shared" si="259"/>
        <v>0</v>
      </c>
      <c r="N65" s="86">
        <f t="shared" si="259"/>
        <v>0</v>
      </c>
      <c r="O65" s="62">
        <f t="shared" ref="O65:Q65" si="260">IF(BH65=0,SUM(X65+AA65+AD65+AG65+AJ65+AM65+AP65+AS65+AV65+AY65+BB65+BE65),BH65)</f>
        <v>0</v>
      </c>
      <c r="P65" s="62">
        <f t="shared" si="260"/>
        <v>0</v>
      </c>
      <c r="Q65" s="62">
        <f t="shared" si="260"/>
        <v>0</v>
      </c>
      <c r="R65" s="86">
        <f t="shared" ref="R65:T65" si="261">I65-L65</f>
        <v>4247.0200000000004</v>
      </c>
      <c r="S65" s="86">
        <f t="shared" si="261"/>
        <v>0</v>
      </c>
      <c r="T65" s="86">
        <f t="shared" si="261"/>
        <v>0</v>
      </c>
      <c r="U65" s="87">
        <f t="shared" si="106"/>
        <v>0</v>
      </c>
      <c r="V65" s="87" t="e">
        <f t="shared" ref="V65:W65" si="262">M65/J65</f>
        <v>#DIV/0!</v>
      </c>
      <c r="W65" s="87" t="e">
        <f t="shared" si="262"/>
        <v>#DIV/0!</v>
      </c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8"/>
      <c r="BL65" s="88"/>
      <c r="BM65" s="88"/>
      <c r="BN65" s="88"/>
      <c r="BO65" s="88"/>
    </row>
    <row r="66" spans="1:67" ht="15.75" customHeight="1">
      <c r="A66" s="89" t="s">
        <v>212</v>
      </c>
      <c r="B66" s="90"/>
      <c r="C66" s="80" t="s">
        <v>206</v>
      </c>
      <c r="D66" s="81" t="s">
        <v>213</v>
      </c>
      <c r="E66" s="82"/>
      <c r="F66" s="82"/>
      <c r="G66" s="83" t="e">
        <f t="shared" si="1"/>
        <v>#DIV/0!</v>
      </c>
      <c r="H66" s="83" t="e">
        <f t="shared" si="2"/>
        <v>#DIV/0!</v>
      </c>
      <c r="I66" s="84">
        <v>7150.3</v>
      </c>
      <c r="J66" s="84"/>
      <c r="K66" s="84"/>
      <c r="L66" s="86">
        <f t="shared" ref="L66:N66" si="263">X66+AA66+AD66+AG66+AJ66+AM66+AP66+AS66+AV66+AY66+BB66+BE66</f>
        <v>0</v>
      </c>
      <c r="M66" s="86">
        <f t="shared" si="263"/>
        <v>0</v>
      </c>
      <c r="N66" s="86">
        <f t="shared" si="263"/>
        <v>0</v>
      </c>
      <c r="O66" s="62">
        <f t="shared" ref="O66:Q66" si="264">IF(BH66=0,SUM(X66+AA66+AD66+AG66+AJ66+AM66+AP66+AS66+AV66+AY66+BB66+BE66),BH66)</f>
        <v>0</v>
      </c>
      <c r="P66" s="62">
        <f t="shared" si="264"/>
        <v>0</v>
      </c>
      <c r="Q66" s="62">
        <f t="shared" si="264"/>
        <v>0</v>
      </c>
      <c r="R66" s="86">
        <f t="shared" ref="R66:T66" si="265">I66-L66</f>
        <v>7150.3</v>
      </c>
      <c r="S66" s="86">
        <f t="shared" si="265"/>
        <v>0</v>
      </c>
      <c r="T66" s="86">
        <f t="shared" si="265"/>
        <v>0</v>
      </c>
      <c r="U66" s="87">
        <f t="shared" si="106"/>
        <v>0</v>
      </c>
      <c r="V66" s="87" t="e">
        <f t="shared" ref="V66:W66" si="266">M66/J66</f>
        <v>#DIV/0!</v>
      </c>
      <c r="W66" s="87" t="e">
        <f t="shared" si="266"/>
        <v>#DIV/0!</v>
      </c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8"/>
      <c r="BL66" s="88"/>
      <c r="BM66" s="88"/>
      <c r="BN66" s="88"/>
      <c r="BO66" s="88"/>
    </row>
    <row r="67" spans="1:67" ht="15.75" customHeight="1">
      <c r="A67" s="89" t="s">
        <v>214</v>
      </c>
      <c r="B67" s="90"/>
      <c r="C67" s="80" t="s">
        <v>206</v>
      </c>
      <c r="D67" s="81" t="s">
        <v>215</v>
      </c>
      <c r="E67" s="82"/>
      <c r="F67" s="82"/>
      <c r="G67" s="83" t="e">
        <f t="shared" si="1"/>
        <v>#DIV/0!</v>
      </c>
      <c r="H67" s="83" t="e">
        <f t="shared" si="2"/>
        <v>#DIV/0!</v>
      </c>
      <c r="I67" s="84">
        <v>4032.8</v>
      </c>
      <c r="J67" s="84"/>
      <c r="K67" s="84"/>
      <c r="L67" s="86">
        <f t="shared" ref="L67:N67" si="267">X67+AA67+AD67+AG67+AJ67+AM67+AP67+AS67+AV67+AY67+BB67+BE67</f>
        <v>0</v>
      </c>
      <c r="M67" s="86">
        <f t="shared" si="267"/>
        <v>0</v>
      </c>
      <c r="N67" s="86">
        <f t="shared" si="267"/>
        <v>0</v>
      </c>
      <c r="O67" s="62">
        <f t="shared" ref="O67:Q67" si="268">IF(BH67=0,SUM(X67+AA67+AD67+AG67+AJ67+AM67+AP67+AS67+AV67+AY67+BB67+BE67),BH67)</f>
        <v>0</v>
      </c>
      <c r="P67" s="62">
        <f t="shared" si="268"/>
        <v>0</v>
      </c>
      <c r="Q67" s="62">
        <f t="shared" si="268"/>
        <v>0</v>
      </c>
      <c r="R67" s="86">
        <f t="shared" ref="R67:T67" si="269">I67-L67</f>
        <v>4032.8</v>
      </c>
      <c r="S67" s="86">
        <f t="shared" si="269"/>
        <v>0</v>
      </c>
      <c r="T67" s="86">
        <f t="shared" si="269"/>
        <v>0</v>
      </c>
      <c r="U67" s="87">
        <f t="shared" si="106"/>
        <v>0</v>
      </c>
      <c r="V67" s="87" t="e">
        <f t="shared" ref="V67:W67" si="270">M67/J67</f>
        <v>#DIV/0!</v>
      </c>
      <c r="W67" s="87" t="e">
        <f t="shared" si="270"/>
        <v>#DIV/0!</v>
      </c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8"/>
      <c r="BL67" s="88"/>
      <c r="BM67" s="88"/>
      <c r="BN67" s="88"/>
      <c r="BO67" s="88"/>
    </row>
    <row r="68" spans="1:67" ht="15.75" customHeight="1">
      <c r="A68" s="89" t="s">
        <v>216</v>
      </c>
      <c r="B68" s="90"/>
      <c r="C68" s="80" t="s">
        <v>206</v>
      </c>
      <c r="D68" s="81" t="s">
        <v>217</v>
      </c>
      <c r="E68" s="82"/>
      <c r="F68" s="82"/>
      <c r="G68" s="83" t="e">
        <f t="shared" si="1"/>
        <v>#DIV/0!</v>
      </c>
      <c r="H68" s="83" t="e">
        <f t="shared" si="2"/>
        <v>#DIV/0!</v>
      </c>
      <c r="I68" s="84">
        <v>3647.68</v>
      </c>
      <c r="J68" s="84"/>
      <c r="K68" s="84"/>
      <c r="L68" s="86">
        <f t="shared" ref="L68:N68" si="271">X68+AA68+AD68+AG68+AJ68+AM68+AP68+AS68+AV68+AY68+BB68+BE68</f>
        <v>0</v>
      </c>
      <c r="M68" s="86">
        <f t="shared" si="271"/>
        <v>0</v>
      </c>
      <c r="N68" s="86">
        <f t="shared" si="271"/>
        <v>0</v>
      </c>
      <c r="O68" s="62">
        <f t="shared" ref="O68:Q68" si="272">IF(BH68=0,SUM(X68+AA68+AD68+AG68+AJ68+AM68+AP68+AS68+AV68+AY68+BB68+BE68),BH68)</f>
        <v>0</v>
      </c>
      <c r="P68" s="62">
        <f t="shared" si="272"/>
        <v>0</v>
      </c>
      <c r="Q68" s="62">
        <f t="shared" si="272"/>
        <v>0</v>
      </c>
      <c r="R68" s="86">
        <f t="shared" ref="R68:T68" si="273">I68-L68</f>
        <v>3647.68</v>
      </c>
      <c r="S68" s="86">
        <f t="shared" si="273"/>
        <v>0</v>
      </c>
      <c r="T68" s="86">
        <f t="shared" si="273"/>
        <v>0</v>
      </c>
      <c r="U68" s="87">
        <f t="shared" si="106"/>
        <v>0</v>
      </c>
      <c r="V68" s="87" t="e">
        <f t="shared" ref="V68:W68" si="274">M68/J68</f>
        <v>#DIV/0!</v>
      </c>
      <c r="W68" s="87" t="e">
        <f t="shared" si="274"/>
        <v>#DIV/0!</v>
      </c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8"/>
      <c r="BL68" s="88"/>
      <c r="BM68" s="88"/>
      <c r="BN68" s="88"/>
      <c r="BO68" s="88"/>
    </row>
    <row r="69" spans="1:67" ht="15.75" customHeight="1">
      <c r="A69" s="89" t="s">
        <v>218</v>
      </c>
      <c r="B69" s="90"/>
      <c r="C69" s="80" t="s">
        <v>206</v>
      </c>
      <c r="D69" s="81" t="s">
        <v>219</v>
      </c>
      <c r="E69" s="82"/>
      <c r="F69" s="82"/>
      <c r="G69" s="83" t="e">
        <f t="shared" si="1"/>
        <v>#DIV/0!</v>
      </c>
      <c r="H69" s="83" t="e">
        <f t="shared" si="2"/>
        <v>#DIV/0!</v>
      </c>
      <c r="I69" s="84">
        <v>5108.71</v>
      </c>
      <c r="J69" s="84"/>
      <c r="K69" s="84"/>
      <c r="L69" s="86">
        <f t="shared" ref="L69:N69" si="275">X69+AA69+AD69+AG69+AJ69+AM69+AP69+AS69+AV69+AY69+BB69+BE69</f>
        <v>0</v>
      </c>
      <c r="M69" s="86">
        <f t="shared" si="275"/>
        <v>0</v>
      </c>
      <c r="N69" s="86">
        <f t="shared" si="275"/>
        <v>0</v>
      </c>
      <c r="O69" s="62">
        <f t="shared" ref="O69:Q69" si="276">IF(BH69=0,SUM(X69+AA69+AD69+AG69+AJ69+AM69+AP69+AS69+AV69+AY69+BB69+BE69),BH69)</f>
        <v>0</v>
      </c>
      <c r="P69" s="62">
        <f t="shared" si="276"/>
        <v>0</v>
      </c>
      <c r="Q69" s="62">
        <f t="shared" si="276"/>
        <v>0</v>
      </c>
      <c r="R69" s="86">
        <f t="shared" ref="R69:T69" si="277">I69-L69</f>
        <v>5108.71</v>
      </c>
      <c r="S69" s="86">
        <f t="shared" si="277"/>
        <v>0</v>
      </c>
      <c r="T69" s="86">
        <f t="shared" si="277"/>
        <v>0</v>
      </c>
      <c r="U69" s="87">
        <f t="shared" si="106"/>
        <v>0</v>
      </c>
      <c r="V69" s="87" t="e">
        <f t="shared" ref="V69:W69" si="278">M69/J69</f>
        <v>#DIV/0!</v>
      </c>
      <c r="W69" s="87" t="e">
        <f t="shared" si="278"/>
        <v>#DIV/0!</v>
      </c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8"/>
      <c r="BL69" s="88"/>
      <c r="BM69" s="88"/>
      <c r="BN69" s="88"/>
      <c r="BO69" s="88"/>
    </row>
    <row r="70" spans="1:67" ht="15.75" customHeight="1">
      <c r="A70" s="89"/>
      <c r="B70" s="90"/>
      <c r="C70" s="80" t="s">
        <v>220</v>
      </c>
      <c r="D70" s="81" t="s">
        <v>221</v>
      </c>
      <c r="E70" s="82"/>
      <c r="F70" s="82"/>
      <c r="G70" s="83" t="e">
        <f t="shared" si="1"/>
        <v>#DIV/0!</v>
      </c>
      <c r="H70" s="83" t="e">
        <f t="shared" si="2"/>
        <v>#DIV/0!</v>
      </c>
      <c r="I70" s="84"/>
      <c r="J70" s="84"/>
      <c r="K70" s="136"/>
      <c r="L70" s="86">
        <f t="shared" ref="L70:N70" si="279">X70+AA70+AD70+AG70+AJ70+AM70+AP70+AS70+AV70+AY70+BB70+BE70</f>
        <v>0</v>
      </c>
      <c r="M70" s="86">
        <f t="shared" si="279"/>
        <v>0</v>
      </c>
      <c r="N70" s="86">
        <f t="shared" si="279"/>
        <v>0</v>
      </c>
      <c r="O70" s="62">
        <f t="shared" ref="O70:Q70" si="280">IF(BH70=0,SUM(X70+AA70+AD70+AG70+AJ70+AM70+AP70+AS70+AV70+AY70+BB70+BE70),BH70)</f>
        <v>0</v>
      </c>
      <c r="P70" s="62">
        <f t="shared" si="280"/>
        <v>0</v>
      </c>
      <c r="Q70" s="62">
        <f t="shared" si="280"/>
        <v>0</v>
      </c>
      <c r="R70" s="86">
        <f t="shared" ref="R70:T70" si="281">I70-L70</f>
        <v>0</v>
      </c>
      <c r="S70" s="86">
        <f t="shared" si="281"/>
        <v>0</v>
      </c>
      <c r="T70" s="86">
        <f t="shared" si="281"/>
        <v>0</v>
      </c>
      <c r="U70" s="87" t="e">
        <f t="shared" si="106"/>
        <v>#DIV/0!</v>
      </c>
      <c r="V70" s="87" t="e">
        <f t="shared" ref="V70:W70" si="282">M70/J70</f>
        <v>#DIV/0!</v>
      </c>
      <c r="W70" s="87" t="e">
        <f t="shared" si="282"/>
        <v>#DIV/0!</v>
      </c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8"/>
      <c r="BL70" s="88"/>
      <c r="BM70" s="88"/>
      <c r="BN70" s="88"/>
      <c r="BO70" s="88"/>
    </row>
    <row r="71" spans="1:67" ht="15.75" customHeight="1">
      <c r="A71" s="89"/>
      <c r="B71" s="90"/>
      <c r="C71" s="80" t="s">
        <v>220</v>
      </c>
      <c r="D71" s="81" t="s">
        <v>221</v>
      </c>
      <c r="E71" s="82"/>
      <c r="F71" s="82"/>
      <c r="G71" s="83" t="e">
        <f t="shared" si="1"/>
        <v>#DIV/0!</v>
      </c>
      <c r="H71" s="83" t="e">
        <f t="shared" si="2"/>
        <v>#DIV/0!</v>
      </c>
      <c r="I71" s="84"/>
      <c r="J71" s="84"/>
      <c r="K71" s="136"/>
      <c r="L71" s="86">
        <f t="shared" ref="L71:N71" si="283">X71+AA71+AD71+AG71+AJ71+AM71+AP71+AS71+AV71+AY71+BB71+BE71</f>
        <v>0</v>
      </c>
      <c r="M71" s="86">
        <f t="shared" si="283"/>
        <v>0</v>
      </c>
      <c r="N71" s="86">
        <f t="shared" si="283"/>
        <v>0</v>
      </c>
      <c r="O71" s="62">
        <f t="shared" ref="O71:Q71" si="284">IF(BH71=0,SUM(X71+AA71+AD71+AG71+AJ71+AM71+AP71+AS71+AV71+AY71+BB71+BE71),BH71)</f>
        <v>0</v>
      </c>
      <c r="P71" s="62">
        <f t="shared" si="284"/>
        <v>0</v>
      </c>
      <c r="Q71" s="62">
        <f t="shared" si="284"/>
        <v>0</v>
      </c>
      <c r="R71" s="86">
        <f t="shared" ref="R71:T71" si="285">I71-L71</f>
        <v>0</v>
      </c>
      <c r="S71" s="86">
        <f t="shared" si="285"/>
        <v>0</v>
      </c>
      <c r="T71" s="86">
        <f t="shared" si="285"/>
        <v>0</v>
      </c>
      <c r="U71" s="87" t="e">
        <f t="shared" si="106"/>
        <v>#DIV/0!</v>
      </c>
      <c r="V71" s="87" t="e">
        <f t="shared" ref="V71:W71" si="286">M71/J71</f>
        <v>#DIV/0!</v>
      </c>
      <c r="W71" s="87" t="e">
        <f t="shared" si="286"/>
        <v>#DIV/0!</v>
      </c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8"/>
      <c r="BL71" s="88"/>
      <c r="BM71" s="88"/>
      <c r="BN71" s="88"/>
      <c r="BO71" s="88"/>
    </row>
    <row r="72" spans="1:67" ht="36" customHeight="1">
      <c r="A72" s="89" t="s">
        <v>222</v>
      </c>
      <c r="B72" s="90"/>
      <c r="C72" s="80" t="s">
        <v>223</v>
      </c>
      <c r="D72" s="81" t="s">
        <v>224</v>
      </c>
      <c r="E72" s="82"/>
      <c r="F72" s="82"/>
      <c r="G72" s="83" t="e">
        <f t="shared" si="1"/>
        <v>#DIV/0!</v>
      </c>
      <c r="H72" s="83" t="e">
        <f t="shared" si="2"/>
        <v>#DIV/0!</v>
      </c>
      <c r="I72" s="84">
        <v>100000</v>
      </c>
      <c r="J72" s="84"/>
      <c r="K72" s="136"/>
      <c r="L72" s="86">
        <f t="shared" ref="L72:N72" si="287">X72+AA72+AD72+AG72+AJ72+AM72+AP72+AS72+AV72+AY72+BB72+BE72</f>
        <v>0</v>
      </c>
      <c r="M72" s="86">
        <f t="shared" si="287"/>
        <v>0</v>
      </c>
      <c r="N72" s="86">
        <f t="shared" si="287"/>
        <v>0</v>
      </c>
      <c r="O72" s="62">
        <f t="shared" ref="O72:Q72" si="288">IF(BH72=0,SUM(X72+AA72+AD72+AG72+AJ72+AM72+AP72+AS72+AV72+AY72+BB72+BE72),BH72)</f>
        <v>0</v>
      </c>
      <c r="P72" s="62">
        <f t="shared" si="288"/>
        <v>0</v>
      </c>
      <c r="Q72" s="62">
        <f t="shared" si="288"/>
        <v>0</v>
      </c>
      <c r="R72" s="86">
        <f t="shared" ref="R72:T72" si="289">I72-L72</f>
        <v>100000</v>
      </c>
      <c r="S72" s="86">
        <f t="shared" si="289"/>
        <v>0</v>
      </c>
      <c r="T72" s="86">
        <f t="shared" si="289"/>
        <v>0</v>
      </c>
      <c r="U72" s="87">
        <f t="shared" si="106"/>
        <v>0</v>
      </c>
      <c r="V72" s="87" t="e">
        <f t="shared" ref="V72:W72" si="290">M72/J72</f>
        <v>#DIV/0!</v>
      </c>
      <c r="W72" s="87" t="e">
        <f t="shared" si="290"/>
        <v>#DIV/0!</v>
      </c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8"/>
      <c r="BL72" s="88"/>
      <c r="BM72" s="88"/>
      <c r="BN72" s="88"/>
      <c r="BO72" s="88"/>
    </row>
    <row r="73" spans="1:67" ht="15.75" customHeight="1">
      <c r="A73" s="89" t="s">
        <v>225</v>
      </c>
      <c r="B73" s="90"/>
      <c r="C73" s="80" t="s">
        <v>198</v>
      </c>
      <c r="D73" s="81" t="s">
        <v>226</v>
      </c>
      <c r="E73" s="82"/>
      <c r="F73" s="82"/>
      <c r="G73" s="83" t="e">
        <f t="shared" si="1"/>
        <v>#DIV/0!</v>
      </c>
      <c r="H73" s="83" t="e">
        <f t="shared" si="2"/>
        <v>#DIV/0!</v>
      </c>
      <c r="I73" s="135">
        <v>52036</v>
      </c>
      <c r="J73" s="84"/>
      <c r="K73" s="135"/>
      <c r="L73" s="86">
        <f t="shared" ref="L73:N73" si="291">X73+AA73+AD73+AG73+AJ73+AM73+AP73+AS73+AV73+AY73+BB73+BE73</f>
        <v>52036</v>
      </c>
      <c r="M73" s="86">
        <f t="shared" si="291"/>
        <v>0</v>
      </c>
      <c r="N73" s="86">
        <f t="shared" si="291"/>
        <v>0</v>
      </c>
      <c r="O73" s="62">
        <f t="shared" ref="O73:Q73" si="292">IF(BH73=0,SUM(X73+AA73+AD73+AG73+AJ73+AM73+AP73+AS73+AV73+AY73+BB73+BE73),BH73)</f>
        <v>52036</v>
      </c>
      <c r="P73" s="62">
        <f t="shared" si="292"/>
        <v>0</v>
      </c>
      <c r="Q73" s="62">
        <f t="shared" si="292"/>
        <v>0</v>
      </c>
      <c r="R73" s="86">
        <f t="shared" ref="R73:T73" si="293">I73-L73</f>
        <v>0</v>
      </c>
      <c r="S73" s="86">
        <f t="shared" si="293"/>
        <v>0</v>
      </c>
      <c r="T73" s="86">
        <f t="shared" si="293"/>
        <v>0</v>
      </c>
      <c r="U73" s="87">
        <f t="shared" si="106"/>
        <v>1</v>
      </c>
      <c r="V73" s="87" t="e">
        <f t="shared" ref="V73:W73" si="294">M73/J73</f>
        <v>#DIV/0!</v>
      </c>
      <c r="W73" s="87" t="e">
        <f t="shared" si="294"/>
        <v>#DIV/0!</v>
      </c>
      <c r="X73" s="84">
        <v>0</v>
      </c>
      <c r="Y73" s="84"/>
      <c r="Z73" s="84"/>
      <c r="AA73" s="84">
        <v>0</v>
      </c>
      <c r="AB73" s="84"/>
      <c r="AC73" s="84"/>
      <c r="AD73" s="84">
        <v>0</v>
      </c>
      <c r="AE73" s="84"/>
      <c r="AF73" s="84"/>
      <c r="AG73" s="84">
        <f>52036</f>
        <v>52036</v>
      </c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8"/>
      <c r="BL73" s="88"/>
      <c r="BM73" s="88"/>
      <c r="BN73" s="88"/>
      <c r="BO73" s="88"/>
    </row>
    <row r="74" spans="1:67" ht="15.75" customHeight="1">
      <c r="A74" s="89"/>
      <c r="B74" s="95"/>
      <c r="C74" s="80" t="s">
        <v>227</v>
      </c>
      <c r="D74" s="81" t="s">
        <v>228</v>
      </c>
      <c r="E74" s="82"/>
      <c r="F74" s="82"/>
      <c r="G74" s="83" t="e">
        <f t="shared" si="1"/>
        <v>#DIV/0!</v>
      </c>
      <c r="H74" s="83" t="e">
        <f t="shared" si="2"/>
        <v>#DIV/0!</v>
      </c>
      <c r="I74" s="84"/>
      <c r="J74" s="84"/>
      <c r="K74" s="84"/>
      <c r="L74" s="86">
        <f t="shared" ref="L74:N74" si="295">X74+AA74+AD74+AG74+AJ74+AM74+AP74+AS74+AV74+AY74+BB74+BE74</f>
        <v>0</v>
      </c>
      <c r="M74" s="86">
        <f t="shared" si="295"/>
        <v>0</v>
      </c>
      <c r="N74" s="86">
        <f t="shared" si="295"/>
        <v>0</v>
      </c>
      <c r="O74" s="62">
        <f t="shared" ref="O74:Q74" si="296">IF(BH74=0,SUM(X74+AA74+AD74+AG74+AJ74+AM74+AP74+AS74+AV74+AY74+BB74+BE74),BH74)</f>
        <v>0</v>
      </c>
      <c r="P74" s="62">
        <f t="shared" si="296"/>
        <v>0</v>
      </c>
      <c r="Q74" s="62">
        <f t="shared" si="296"/>
        <v>0</v>
      </c>
      <c r="R74" s="86">
        <f t="shared" ref="R74:T74" si="297">I74-L74</f>
        <v>0</v>
      </c>
      <c r="S74" s="86">
        <f t="shared" si="297"/>
        <v>0</v>
      </c>
      <c r="T74" s="86">
        <f t="shared" si="297"/>
        <v>0</v>
      </c>
      <c r="U74" s="87" t="e">
        <f t="shared" si="106"/>
        <v>#DIV/0!</v>
      </c>
      <c r="V74" s="87" t="e">
        <f t="shared" ref="V74:W74" si="298">M74/J74</f>
        <v>#DIV/0!</v>
      </c>
      <c r="W74" s="87" t="e">
        <f t="shared" si="298"/>
        <v>#DIV/0!</v>
      </c>
      <c r="X74" s="84"/>
      <c r="Y74" s="84"/>
      <c r="Z74" s="84"/>
      <c r="AA74" s="137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8"/>
      <c r="BL74" s="88"/>
      <c r="BM74" s="88"/>
      <c r="BN74" s="88"/>
      <c r="BO74" s="88"/>
    </row>
    <row r="75" spans="1:67" ht="37.5">
      <c r="A75" s="89"/>
      <c r="B75" s="95" t="s">
        <v>229</v>
      </c>
      <c r="C75" s="80" t="s">
        <v>230</v>
      </c>
      <c r="D75" s="81" t="s">
        <v>231</v>
      </c>
      <c r="E75" s="82"/>
      <c r="F75" s="82"/>
      <c r="G75" s="83" t="e">
        <f t="shared" si="1"/>
        <v>#DIV/0!</v>
      </c>
      <c r="H75" s="83" t="e">
        <f t="shared" si="2"/>
        <v>#DIV/0!</v>
      </c>
      <c r="I75" s="84"/>
      <c r="J75" s="84">
        <v>35040</v>
      </c>
      <c r="K75" s="84"/>
      <c r="L75" s="86">
        <f t="shared" ref="L75:N75" si="299">X75+AA75+AD75+AG75+AJ75+AM75+AP75+AS75+AV75+AY75+BB75+BE75</f>
        <v>0</v>
      </c>
      <c r="M75" s="86">
        <f t="shared" si="299"/>
        <v>35040</v>
      </c>
      <c r="N75" s="86">
        <f t="shared" si="299"/>
        <v>0</v>
      </c>
      <c r="O75" s="62">
        <f t="shared" ref="O75:Q75" si="300">IF(BH75=0,SUM(X75+AA75+AD75+AG75+AJ75+AM75+AP75+AS75+AV75+AY75+BB75+BE75),BH75)</f>
        <v>0</v>
      </c>
      <c r="P75" s="62">
        <f t="shared" si="300"/>
        <v>35040</v>
      </c>
      <c r="Q75" s="62">
        <f t="shared" si="300"/>
        <v>0</v>
      </c>
      <c r="R75" s="86">
        <f t="shared" ref="R75:T75" si="301">I75-L75</f>
        <v>0</v>
      </c>
      <c r="S75" s="86">
        <f t="shared" si="301"/>
        <v>0</v>
      </c>
      <c r="T75" s="86">
        <f t="shared" si="301"/>
        <v>0</v>
      </c>
      <c r="U75" s="87" t="e">
        <f t="shared" si="106"/>
        <v>#DIV/0!</v>
      </c>
      <c r="V75" s="87">
        <f t="shared" ref="V75:W75" si="302">M75/J75</f>
        <v>1</v>
      </c>
      <c r="W75" s="87" t="e">
        <f t="shared" si="302"/>
        <v>#DIV/0!</v>
      </c>
      <c r="X75" s="84"/>
      <c r="Y75" s="84">
        <v>0</v>
      </c>
      <c r="Z75" s="84"/>
      <c r="AA75" s="84"/>
      <c r="AB75" s="84">
        <v>35040</v>
      </c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8"/>
      <c r="BL75" s="88"/>
      <c r="BM75" s="88"/>
      <c r="BN75" s="88"/>
      <c r="BO75" s="88"/>
    </row>
    <row r="76" spans="1:67" ht="37.5">
      <c r="A76" s="89"/>
      <c r="B76" s="95" t="s">
        <v>232</v>
      </c>
      <c r="C76" s="80" t="s">
        <v>230</v>
      </c>
      <c r="D76" s="81" t="s">
        <v>231</v>
      </c>
      <c r="E76" s="82"/>
      <c r="F76" s="82"/>
      <c r="G76" s="83" t="e">
        <f t="shared" si="1"/>
        <v>#DIV/0!</v>
      </c>
      <c r="H76" s="83" t="e">
        <f t="shared" si="2"/>
        <v>#DIV/0!</v>
      </c>
      <c r="I76" s="84"/>
      <c r="J76" s="84">
        <v>81760</v>
      </c>
      <c r="K76" s="84"/>
      <c r="L76" s="86">
        <f t="shared" ref="L76:N76" si="303">X76+AA76+AD76+AG76+AJ76+AM76+AP76+AS76+AV76+AY76+BB76+BE76</f>
        <v>0</v>
      </c>
      <c r="M76" s="86">
        <f t="shared" si="303"/>
        <v>81760</v>
      </c>
      <c r="N76" s="86">
        <f t="shared" si="303"/>
        <v>0</v>
      </c>
      <c r="O76" s="62">
        <f t="shared" ref="O76:Q76" si="304">IF(BH76=0,SUM(X76+AA76+AD76+AG76+AJ76+AM76+AP76+AS76+AV76+AY76+BB76+BE76),BH76)</f>
        <v>0</v>
      </c>
      <c r="P76" s="62">
        <f t="shared" si="304"/>
        <v>81760</v>
      </c>
      <c r="Q76" s="62">
        <f t="shared" si="304"/>
        <v>0</v>
      </c>
      <c r="R76" s="86">
        <f t="shared" ref="R76:T76" si="305">I76-L76</f>
        <v>0</v>
      </c>
      <c r="S76" s="86">
        <f t="shared" si="305"/>
        <v>0</v>
      </c>
      <c r="T76" s="86">
        <f t="shared" si="305"/>
        <v>0</v>
      </c>
      <c r="U76" s="87" t="e">
        <f t="shared" si="106"/>
        <v>#DIV/0!</v>
      </c>
      <c r="V76" s="87">
        <f t="shared" ref="V76:W76" si="306">M76/J76</f>
        <v>1</v>
      </c>
      <c r="W76" s="87" t="e">
        <f t="shared" si="306"/>
        <v>#DIV/0!</v>
      </c>
      <c r="X76" s="84"/>
      <c r="Y76" s="84">
        <v>0</v>
      </c>
      <c r="Z76" s="84"/>
      <c r="AA76" s="84"/>
      <c r="AB76" s="84">
        <f>81760</f>
        <v>81760</v>
      </c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8"/>
      <c r="BL76" s="88"/>
      <c r="BM76" s="88"/>
      <c r="BN76" s="88"/>
      <c r="BO76" s="88"/>
    </row>
    <row r="77" spans="1:67" ht="37.5">
      <c r="A77" s="89"/>
      <c r="B77" s="95" t="s">
        <v>233</v>
      </c>
      <c r="C77" s="80" t="s">
        <v>234</v>
      </c>
      <c r="D77" s="81" t="s">
        <v>235</v>
      </c>
      <c r="E77" s="82"/>
      <c r="F77" s="82"/>
      <c r="G77" s="83" t="e">
        <f t="shared" si="1"/>
        <v>#DIV/0!</v>
      </c>
      <c r="H77" s="83" t="e">
        <f t="shared" si="2"/>
        <v>#DIV/0!</v>
      </c>
      <c r="I77" s="84"/>
      <c r="J77" s="84">
        <v>2587.6799999999998</v>
      </c>
      <c r="K77" s="84"/>
      <c r="L77" s="86">
        <f t="shared" ref="L77:N77" si="307">X77+AA77+AD77+AG77+AJ77+AM77+AP77+AS77+AV77+AY77+BB77+BE77</f>
        <v>0</v>
      </c>
      <c r="M77" s="86">
        <f t="shared" si="307"/>
        <v>2587.6799999999998</v>
      </c>
      <c r="N77" s="86">
        <f t="shared" si="307"/>
        <v>0</v>
      </c>
      <c r="O77" s="62">
        <f t="shared" ref="O77:Q77" si="308">IF(BH77=0,SUM(X77+AA77+AD77+AG77+AJ77+AM77+AP77+AS77+AV77+AY77+BB77+BE77),BH77)</f>
        <v>0</v>
      </c>
      <c r="P77" s="62">
        <f t="shared" si="308"/>
        <v>2587.6799999999998</v>
      </c>
      <c r="Q77" s="62">
        <f t="shared" si="308"/>
        <v>0</v>
      </c>
      <c r="R77" s="86">
        <f t="shared" ref="R77:T77" si="309">I77-L77</f>
        <v>0</v>
      </c>
      <c r="S77" s="86">
        <f t="shared" si="309"/>
        <v>0</v>
      </c>
      <c r="T77" s="86">
        <f t="shared" si="309"/>
        <v>0</v>
      </c>
      <c r="U77" s="87" t="e">
        <f t="shared" si="106"/>
        <v>#DIV/0!</v>
      </c>
      <c r="V77" s="87">
        <f t="shared" ref="V77:W77" si="310">M77/J77</f>
        <v>1</v>
      </c>
      <c r="W77" s="87" t="e">
        <f t="shared" si="310"/>
        <v>#DIV/0!</v>
      </c>
      <c r="X77" s="84"/>
      <c r="Y77" s="84">
        <v>0</v>
      </c>
      <c r="Z77" s="84"/>
      <c r="AA77" s="84"/>
      <c r="AB77" s="84">
        <f>2587.68</f>
        <v>2587.6799999999998</v>
      </c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8"/>
      <c r="BL77" s="88"/>
      <c r="BM77" s="88"/>
      <c r="BN77" s="88"/>
      <c r="BO77" s="88"/>
    </row>
    <row r="78" spans="1:67" ht="37.5">
      <c r="A78" s="79"/>
      <c r="B78" s="91" t="s">
        <v>236</v>
      </c>
      <c r="C78" s="80" t="s">
        <v>151</v>
      </c>
      <c r="D78" s="81" t="s">
        <v>237</v>
      </c>
      <c r="E78" s="82"/>
      <c r="F78" s="82"/>
      <c r="G78" s="83" t="e">
        <f t="shared" si="1"/>
        <v>#DIV/0!</v>
      </c>
      <c r="H78" s="83" t="e">
        <f t="shared" si="2"/>
        <v>#DIV/0!</v>
      </c>
      <c r="I78" s="84"/>
      <c r="J78" s="84">
        <v>3548</v>
      </c>
      <c r="K78" s="84"/>
      <c r="L78" s="86">
        <f t="shared" ref="L78:N78" si="311">X78+AA78+AD78+AG78+AJ78+AM78+AP78+AS78+AV78+AY78+BB78+BE78</f>
        <v>0</v>
      </c>
      <c r="M78" s="86">
        <f t="shared" si="311"/>
        <v>0</v>
      </c>
      <c r="N78" s="86">
        <f t="shared" si="311"/>
        <v>0</v>
      </c>
      <c r="O78" s="62">
        <f t="shared" ref="O78:Q78" si="312">IF(BH78=0,SUM(X78+AA78+AD78+AG78+AJ78+AM78+AP78+AS78+AV78+AY78+BB78+BE78),BH78)</f>
        <v>0</v>
      </c>
      <c r="P78" s="62">
        <f t="shared" si="312"/>
        <v>0</v>
      </c>
      <c r="Q78" s="62">
        <f t="shared" si="312"/>
        <v>0</v>
      </c>
      <c r="R78" s="86">
        <f t="shared" ref="R78:T78" si="313">I78-L78</f>
        <v>0</v>
      </c>
      <c r="S78" s="86">
        <f t="shared" si="313"/>
        <v>3548</v>
      </c>
      <c r="T78" s="86">
        <f t="shared" si="313"/>
        <v>0</v>
      </c>
      <c r="U78" s="87" t="e">
        <f t="shared" si="106"/>
        <v>#DIV/0!</v>
      </c>
      <c r="V78" s="87">
        <f t="shared" ref="V78:W78" si="314">M78/J78</f>
        <v>0</v>
      </c>
      <c r="W78" s="87" t="e">
        <f t="shared" si="314"/>
        <v>#DIV/0!</v>
      </c>
      <c r="X78" s="84"/>
      <c r="Y78" s="84">
        <v>0</v>
      </c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8"/>
      <c r="BL78" s="88"/>
      <c r="BM78" s="88"/>
      <c r="BN78" s="88"/>
      <c r="BO78" s="88"/>
    </row>
    <row r="79" spans="1:67" ht="37.5">
      <c r="A79" s="121"/>
      <c r="B79" s="122" t="s">
        <v>238</v>
      </c>
      <c r="C79" s="80" t="s">
        <v>151</v>
      </c>
      <c r="D79" s="81" t="s">
        <v>239</v>
      </c>
      <c r="E79" s="82"/>
      <c r="F79" s="130"/>
      <c r="G79" s="83" t="e">
        <f t="shared" si="1"/>
        <v>#DIV/0!</v>
      </c>
      <c r="H79" s="83" t="e">
        <f t="shared" si="2"/>
        <v>#DIV/0!</v>
      </c>
      <c r="I79" s="84"/>
      <c r="J79" s="84">
        <v>2965</v>
      </c>
      <c r="K79" s="84"/>
      <c r="L79" s="86">
        <f t="shared" ref="L79:N79" si="315">X79+AA79+AD79+AG79+AJ79+AM79+AP79+AS79+AV79+AY79+BB79+BE79</f>
        <v>0</v>
      </c>
      <c r="M79" s="86">
        <f t="shared" si="315"/>
        <v>0</v>
      </c>
      <c r="N79" s="86">
        <f t="shared" si="315"/>
        <v>0</v>
      </c>
      <c r="O79" s="62">
        <f t="shared" ref="O79:Q79" si="316">IF(BH79=0,SUM(X79+AA79+AD79+AG79+AJ79+AM79+AP79+AS79+AV79+AY79+BB79+BE79),BH79)</f>
        <v>0</v>
      </c>
      <c r="P79" s="62">
        <f t="shared" si="316"/>
        <v>0</v>
      </c>
      <c r="Q79" s="62">
        <f t="shared" si="316"/>
        <v>0</v>
      </c>
      <c r="R79" s="86">
        <f t="shared" ref="R79:T79" si="317">I79-L79</f>
        <v>0</v>
      </c>
      <c r="S79" s="86">
        <f t="shared" si="317"/>
        <v>2965</v>
      </c>
      <c r="T79" s="86">
        <f t="shared" si="317"/>
        <v>0</v>
      </c>
      <c r="U79" s="87" t="e">
        <f t="shared" si="106"/>
        <v>#DIV/0!</v>
      </c>
      <c r="V79" s="87">
        <f t="shared" ref="V79:W79" si="318">M79/J79</f>
        <v>0</v>
      </c>
      <c r="W79" s="87" t="e">
        <f t="shared" si="318"/>
        <v>#DIV/0!</v>
      </c>
      <c r="X79" s="84"/>
      <c r="Y79" s="84">
        <v>0</v>
      </c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84"/>
      <c r="BC79" s="84"/>
      <c r="BD79" s="84"/>
      <c r="BE79" s="84"/>
      <c r="BF79" s="84"/>
      <c r="BG79" s="84"/>
      <c r="BH79" s="84"/>
      <c r="BI79" s="84"/>
      <c r="BJ79" s="84"/>
      <c r="BK79" s="88"/>
      <c r="BL79" s="88"/>
      <c r="BM79" s="88"/>
      <c r="BN79" s="88"/>
      <c r="BO79" s="88"/>
    </row>
    <row r="80" spans="1:67" ht="37.5">
      <c r="A80" s="138"/>
      <c r="B80" s="139"/>
      <c r="C80" s="140" t="s">
        <v>240</v>
      </c>
      <c r="D80" s="141" t="s">
        <v>241</v>
      </c>
      <c r="E80" s="142"/>
      <c r="F80" s="142"/>
      <c r="G80" s="83" t="e">
        <f t="shared" si="1"/>
        <v>#DIV/0!</v>
      </c>
      <c r="H80" s="83" t="e">
        <f t="shared" si="2"/>
        <v>#DIV/0!</v>
      </c>
      <c r="I80" s="142"/>
      <c r="J80" s="143"/>
      <c r="K80" s="143"/>
      <c r="L80" s="86">
        <f t="shared" ref="L80:N80" si="319">X80+AA80+AD80+AG80+AJ80+AM80+AP80+AS80+AV80+AY80+BB80+BE80</f>
        <v>0</v>
      </c>
      <c r="M80" s="86">
        <f t="shared" si="319"/>
        <v>0</v>
      </c>
      <c r="N80" s="86">
        <f t="shared" si="319"/>
        <v>0</v>
      </c>
      <c r="O80" s="62">
        <f t="shared" ref="O80:Q80" si="320">IF(BH80=0,SUM(X80+AA80+AD80+AG80+AJ80+AM80+AP80+AS80+AV80+AY80+BB80+BE80),BH80)</f>
        <v>0</v>
      </c>
      <c r="P80" s="62">
        <f t="shared" si="320"/>
        <v>0</v>
      </c>
      <c r="Q80" s="62">
        <f t="shared" si="320"/>
        <v>0</v>
      </c>
      <c r="R80" s="86">
        <f t="shared" ref="R80:T80" si="321">I80-L80</f>
        <v>0</v>
      </c>
      <c r="S80" s="86">
        <f t="shared" si="321"/>
        <v>0</v>
      </c>
      <c r="T80" s="86">
        <f t="shared" si="321"/>
        <v>0</v>
      </c>
      <c r="U80" s="87" t="e">
        <f t="shared" si="106"/>
        <v>#DIV/0!</v>
      </c>
      <c r="V80" s="87" t="e">
        <f t="shared" ref="V80:W80" si="322">M80/J80</f>
        <v>#DIV/0!</v>
      </c>
      <c r="W80" s="87" t="e">
        <f t="shared" si="322"/>
        <v>#DIV/0!</v>
      </c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3"/>
      <c r="AV80" s="143"/>
      <c r="AW80" s="143"/>
      <c r="AX80" s="143"/>
      <c r="AY80" s="143"/>
      <c r="AZ80" s="143"/>
      <c r="BA80" s="143"/>
      <c r="BB80" s="143"/>
      <c r="BC80" s="143"/>
      <c r="BD80" s="143"/>
      <c r="BE80" s="143"/>
      <c r="BF80" s="143"/>
      <c r="BG80" s="143"/>
      <c r="BH80" s="143"/>
      <c r="BI80" s="143"/>
      <c r="BJ80" s="143"/>
      <c r="BK80" s="88"/>
      <c r="BL80" s="88"/>
      <c r="BM80" s="88"/>
      <c r="BN80" s="88"/>
      <c r="BO80" s="88"/>
    </row>
    <row r="81" spans="1:67" ht="37.5">
      <c r="A81" s="138"/>
      <c r="B81" s="139" t="s">
        <v>242</v>
      </c>
      <c r="C81" s="140" t="s">
        <v>243</v>
      </c>
      <c r="D81" s="141" t="s">
        <v>572</v>
      </c>
      <c r="E81" s="142"/>
      <c r="F81" s="142"/>
      <c r="G81" s="83" t="e">
        <f t="shared" si="1"/>
        <v>#DIV/0!</v>
      </c>
      <c r="H81" s="83" t="e">
        <f t="shared" si="2"/>
        <v>#DIV/0!</v>
      </c>
      <c r="I81" s="142"/>
      <c r="J81" s="143">
        <v>11370.4</v>
      </c>
      <c r="K81" s="143"/>
      <c r="L81" s="86">
        <f t="shared" ref="L81:N81" si="323">X81+AA81+AD81+AG81+AJ81+AM81+AP81+AS81+AV81+AY81+BB81+BE81</f>
        <v>0</v>
      </c>
      <c r="M81" s="86">
        <f t="shared" si="323"/>
        <v>4120</v>
      </c>
      <c r="N81" s="86">
        <f t="shared" si="323"/>
        <v>0</v>
      </c>
      <c r="O81" s="62">
        <f t="shared" ref="O81:Q81" si="324">IF(BH81=0,SUM(X81+AA81+AD81+AG81+AJ81+AM81+AP81+AS81+AV81+AY81+BB81+BE81),BH81)</f>
        <v>0</v>
      </c>
      <c r="P81" s="62">
        <f t="shared" si="324"/>
        <v>4120</v>
      </c>
      <c r="Q81" s="62">
        <f t="shared" si="324"/>
        <v>0</v>
      </c>
      <c r="R81" s="86">
        <f t="shared" ref="R81:T81" si="325">I81-L81</f>
        <v>0</v>
      </c>
      <c r="S81" s="86">
        <f t="shared" si="325"/>
        <v>7250.4</v>
      </c>
      <c r="T81" s="86">
        <f t="shared" si="325"/>
        <v>0</v>
      </c>
      <c r="U81" s="87" t="e">
        <f t="shared" si="106"/>
        <v>#DIV/0!</v>
      </c>
      <c r="V81" s="87">
        <f t="shared" ref="V81:W81" si="326">M81/J81</f>
        <v>0.36234433265320481</v>
      </c>
      <c r="W81" s="87" t="e">
        <f t="shared" si="326"/>
        <v>#DIV/0!</v>
      </c>
      <c r="X81" s="143"/>
      <c r="Y81" s="143">
        <v>0</v>
      </c>
      <c r="Z81" s="143"/>
      <c r="AA81" s="143"/>
      <c r="AB81" s="143">
        <f>206</f>
        <v>206</v>
      </c>
      <c r="AC81" s="143"/>
      <c r="AD81" s="143"/>
      <c r="AE81" s="143">
        <f>1030+824</f>
        <v>1854</v>
      </c>
      <c r="AF81" s="143"/>
      <c r="AG81" s="143"/>
      <c r="AH81" s="143">
        <f>2060</f>
        <v>2060</v>
      </c>
      <c r="AI81" s="143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  <c r="BE81" s="143"/>
      <c r="BF81" s="143"/>
      <c r="BG81" s="143"/>
      <c r="BH81" s="143"/>
      <c r="BI81" s="143"/>
      <c r="BJ81" s="143"/>
      <c r="BK81" s="88"/>
      <c r="BL81" s="88"/>
      <c r="BM81" s="88"/>
      <c r="BN81" s="88"/>
      <c r="BO81" s="88"/>
    </row>
    <row r="82" spans="1:67" ht="37.5">
      <c r="A82" s="138"/>
      <c r="B82" s="139" t="s">
        <v>244</v>
      </c>
      <c r="C82" s="140" t="s">
        <v>245</v>
      </c>
      <c r="D82" s="141" t="s">
        <v>246</v>
      </c>
      <c r="E82" s="142"/>
      <c r="F82" s="142"/>
      <c r="G82" s="83" t="e">
        <f t="shared" si="1"/>
        <v>#DIV/0!</v>
      </c>
      <c r="H82" s="83" t="e">
        <f t="shared" si="2"/>
        <v>#DIV/0!</v>
      </c>
      <c r="I82" s="142"/>
      <c r="J82" s="143">
        <v>302490.09999999998</v>
      </c>
      <c r="K82" s="143"/>
      <c r="L82" s="86">
        <f t="shared" ref="L82:N82" si="327">X82+AA82+AD82+AG82+AJ82+AM82+AP82+AS82+AV82+AY82+BB82+BE82</f>
        <v>0</v>
      </c>
      <c r="M82" s="86">
        <f t="shared" si="327"/>
        <v>12688.8</v>
      </c>
      <c r="N82" s="86">
        <f t="shared" si="327"/>
        <v>0</v>
      </c>
      <c r="O82" s="62">
        <f t="shared" ref="O82:Q82" si="328">IF(BH82=0,SUM(X82+AA82+AD82+AG82+AJ82+AM82+AP82+AS82+AV82+AY82+BB82+BE82),BH82)</f>
        <v>0</v>
      </c>
      <c r="P82" s="62">
        <f t="shared" si="328"/>
        <v>12688.8</v>
      </c>
      <c r="Q82" s="62">
        <f t="shared" si="328"/>
        <v>0</v>
      </c>
      <c r="R82" s="86">
        <f t="shared" ref="R82:T82" si="329">I82-L82</f>
        <v>0</v>
      </c>
      <c r="S82" s="86">
        <f t="shared" si="329"/>
        <v>289801.3</v>
      </c>
      <c r="T82" s="86">
        <f t="shared" si="329"/>
        <v>0</v>
      </c>
      <c r="U82" s="87" t="e">
        <f t="shared" si="106"/>
        <v>#DIV/0!</v>
      </c>
      <c r="V82" s="87">
        <f t="shared" ref="V82:W82" si="330">M82/J82</f>
        <v>4.1947819118708346E-2</v>
      </c>
      <c r="W82" s="87" t="e">
        <f t="shared" si="330"/>
        <v>#DIV/0!</v>
      </c>
      <c r="X82" s="143"/>
      <c r="Y82" s="143">
        <v>0</v>
      </c>
      <c r="Z82" s="143"/>
      <c r="AA82" s="143"/>
      <c r="AB82" s="143">
        <v>0</v>
      </c>
      <c r="AC82" s="143"/>
      <c r="AD82" s="143"/>
      <c r="AE82" s="143">
        <v>0</v>
      </c>
      <c r="AF82" s="143"/>
      <c r="AG82" s="143"/>
      <c r="AH82" s="143">
        <f>12688.8</f>
        <v>12688.8</v>
      </c>
      <c r="AI82" s="143"/>
      <c r="AJ82" s="143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3"/>
      <c r="AY82" s="143"/>
      <c r="AZ82" s="143"/>
      <c r="BA82" s="143"/>
      <c r="BB82" s="143"/>
      <c r="BC82" s="143"/>
      <c r="BD82" s="143"/>
      <c r="BE82" s="143"/>
      <c r="BF82" s="143"/>
      <c r="BG82" s="143"/>
      <c r="BH82" s="143"/>
      <c r="BI82" s="143"/>
      <c r="BJ82" s="143"/>
      <c r="BK82" s="88"/>
      <c r="BL82" s="88"/>
      <c r="BM82" s="88"/>
      <c r="BN82" s="88"/>
      <c r="BO82" s="88"/>
    </row>
    <row r="83" spans="1:67" ht="15.75" customHeight="1">
      <c r="A83" s="144" t="s">
        <v>247</v>
      </c>
      <c r="B83" s="132"/>
      <c r="C83" s="140" t="s">
        <v>89</v>
      </c>
      <c r="D83" s="141" t="s">
        <v>248</v>
      </c>
      <c r="E83" s="145"/>
      <c r="F83" s="142"/>
      <c r="G83" s="83" t="e">
        <f t="shared" si="1"/>
        <v>#DIV/0!</v>
      </c>
      <c r="H83" s="83" t="e">
        <f t="shared" si="2"/>
        <v>#DIV/0!</v>
      </c>
      <c r="I83" s="143">
        <f>5000+5000</f>
        <v>10000</v>
      </c>
      <c r="J83" s="143"/>
      <c r="K83" s="143"/>
      <c r="L83" s="86">
        <f t="shared" ref="L83:N83" si="331">X83+AA83+AD83+AG83+AJ83+AM83+AP83+AS83+AV83+AY83+BB83+BE83</f>
        <v>7733.9400000000005</v>
      </c>
      <c r="M83" s="86">
        <f t="shared" si="331"/>
        <v>0</v>
      </c>
      <c r="N83" s="86">
        <f t="shared" si="331"/>
        <v>0</v>
      </c>
      <c r="O83" s="62">
        <f t="shared" ref="O83:Q83" si="332">IF(BH83=0,SUM(X83+AA83+AD83+AG83+AJ83+AM83+AP83+AS83+AV83+AY83+BB83+BE83),BH83)</f>
        <v>7733.9400000000005</v>
      </c>
      <c r="P83" s="62">
        <f t="shared" si="332"/>
        <v>0</v>
      </c>
      <c r="Q83" s="62">
        <f t="shared" si="332"/>
        <v>0</v>
      </c>
      <c r="R83" s="86">
        <f t="shared" ref="R83:T83" si="333">I83-L83</f>
        <v>2266.0599999999995</v>
      </c>
      <c r="S83" s="86">
        <f t="shared" si="333"/>
        <v>0</v>
      </c>
      <c r="T83" s="86">
        <f t="shared" si="333"/>
        <v>0</v>
      </c>
      <c r="U83" s="87">
        <f t="shared" si="106"/>
        <v>0.77339400000000003</v>
      </c>
      <c r="V83" s="87" t="e">
        <f t="shared" ref="V83:W83" si="334">M83/J83</f>
        <v>#DIV/0!</v>
      </c>
      <c r="W83" s="87" t="e">
        <f t="shared" si="334"/>
        <v>#DIV/0!</v>
      </c>
      <c r="X83" s="143">
        <v>0</v>
      </c>
      <c r="Y83" s="143"/>
      <c r="Z83" s="143"/>
      <c r="AA83" s="143">
        <v>0</v>
      </c>
      <c r="AB83" s="143"/>
      <c r="AC83" s="143"/>
      <c r="AD83" s="143">
        <f>6171.42</f>
        <v>6171.42</v>
      </c>
      <c r="AE83" s="143"/>
      <c r="AF83" s="143"/>
      <c r="AG83" s="143">
        <f>1562.52</f>
        <v>1562.52</v>
      </c>
      <c r="AH83" s="143"/>
      <c r="AI83" s="143"/>
      <c r="AJ83" s="143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43"/>
      <c r="BA83" s="143"/>
      <c r="BB83" s="143"/>
      <c r="BC83" s="143"/>
      <c r="BD83" s="143"/>
      <c r="BE83" s="143"/>
      <c r="BF83" s="143"/>
      <c r="BG83" s="143"/>
      <c r="BH83" s="143"/>
      <c r="BI83" s="143"/>
      <c r="BJ83" s="143"/>
      <c r="BK83" s="88"/>
      <c r="BL83" s="88"/>
      <c r="BM83" s="88"/>
      <c r="BN83" s="88"/>
      <c r="BO83" s="88"/>
    </row>
    <row r="84" spans="1:67" ht="15.75" customHeight="1">
      <c r="A84" s="144" t="s">
        <v>249</v>
      </c>
      <c r="B84" s="132"/>
      <c r="C84" s="140" t="s">
        <v>250</v>
      </c>
      <c r="D84" s="141" t="s">
        <v>251</v>
      </c>
      <c r="E84" s="145"/>
      <c r="F84" s="142"/>
      <c r="G84" s="83" t="e">
        <f t="shared" si="1"/>
        <v>#DIV/0!</v>
      </c>
      <c r="H84" s="83" t="e">
        <f t="shared" si="2"/>
        <v>#DIV/0!</v>
      </c>
      <c r="I84" s="143">
        <f>1000+1500</f>
        <v>2500</v>
      </c>
      <c r="J84" s="143"/>
      <c r="K84" s="143"/>
      <c r="L84" s="86">
        <f t="shared" ref="L84:N84" si="335">X84+AA84+AD84+AG84+AJ84+AM84+AP84+AS84+AV84+AY84+BB84+BE84</f>
        <v>1107.94</v>
      </c>
      <c r="M84" s="86">
        <f t="shared" si="335"/>
        <v>0</v>
      </c>
      <c r="N84" s="86">
        <f t="shared" si="335"/>
        <v>0</v>
      </c>
      <c r="O84" s="62">
        <f t="shared" ref="O84:Q84" si="336">IF(BH84=0,SUM(X84+AA84+AD84+AG84+AJ84+AM84+AP84+AS84+AV84+AY84+BB84+BE84),BH84)</f>
        <v>1107.94</v>
      </c>
      <c r="P84" s="62">
        <f t="shared" si="336"/>
        <v>0</v>
      </c>
      <c r="Q84" s="62">
        <f t="shared" si="336"/>
        <v>0</v>
      </c>
      <c r="R84" s="86">
        <f t="shared" ref="R84:T84" si="337">I84-L84</f>
        <v>1392.06</v>
      </c>
      <c r="S84" s="86">
        <f t="shared" si="337"/>
        <v>0</v>
      </c>
      <c r="T84" s="86">
        <f t="shared" si="337"/>
        <v>0</v>
      </c>
      <c r="U84" s="87">
        <f t="shared" si="106"/>
        <v>0.44317600000000001</v>
      </c>
      <c r="V84" s="87" t="e">
        <f t="shared" ref="V84:W84" si="338">M84/J84</f>
        <v>#DIV/0!</v>
      </c>
      <c r="W84" s="87" t="e">
        <f t="shared" si="338"/>
        <v>#DIV/0!</v>
      </c>
      <c r="X84" s="143">
        <v>0</v>
      </c>
      <c r="Y84" s="143"/>
      <c r="Z84" s="143"/>
      <c r="AA84" s="143">
        <v>0</v>
      </c>
      <c r="AB84" s="143"/>
      <c r="AC84" s="143"/>
      <c r="AD84" s="143">
        <v>0</v>
      </c>
      <c r="AE84" s="143"/>
      <c r="AF84" s="143"/>
      <c r="AG84" s="143">
        <f>75.24+803.1+229.6</f>
        <v>1107.94</v>
      </c>
      <c r="AH84" s="143"/>
      <c r="AI84" s="143"/>
      <c r="AJ84" s="143"/>
      <c r="AK84" s="143"/>
      <c r="AL84" s="143"/>
      <c r="AM84" s="143"/>
      <c r="AN84" s="143"/>
      <c r="AO84" s="143"/>
      <c r="AP84" s="143"/>
      <c r="AQ84" s="143"/>
      <c r="AR84" s="143"/>
      <c r="AS84" s="143"/>
      <c r="AT84" s="143"/>
      <c r="AU84" s="143"/>
      <c r="AV84" s="143"/>
      <c r="AW84" s="143"/>
      <c r="AX84" s="143"/>
      <c r="AY84" s="143"/>
      <c r="AZ84" s="143"/>
      <c r="BA84" s="143"/>
      <c r="BB84" s="143"/>
      <c r="BC84" s="143"/>
      <c r="BD84" s="143"/>
      <c r="BE84" s="143"/>
      <c r="BF84" s="143"/>
      <c r="BG84" s="143"/>
      <c r="BH84" s="143"/>
      <c r="BI84" s="143"/>
      <c r="BJ84" s="143"/>
      <c r="BK84" s="88"/>
      <c r="BL84" s="88"/>
      <c r="BM84" s="88"/>
      <c r="BN84" s="88"/>
      <c r="BO84" s="88"/>
    </row>
    <row r="85" spans="1:67" ht="15.75" customHeight="1">
      <c r="A85" s="138"/>
      <c r="B85" s="139" t="s">
        <v>252</v>
      </c>
      <c r="C85" s="140" t="s">
        <v>158</v>
      </c>
      <c r="D85" s="141" t="s">
        <v>253</v>
      </c>
      <c r="E85" s="145"/>
      <c r="F85" s="142"/>
      <c r="G85" s="83" t="e">
        <f t="shared" si="1"/>
        <v>#DIV/0!</v>
      </c>
      <c r="H85" s="83" t="e">
        <f t="shared" si="2"/>
        <v>#DIV/0!</v>
      </c>
      <c r="I85" s="143"/>
      <c r="J85" s="143">
        <v>27000</v>
      </c>
      <c r="K85" s="143"/>
      <c r="L85" s="86">
        <f t="shared" ref="L85:N85" si="339">X85+AA85+AD85+AG85+AJ85+AM85+AP85+AS85+AV85+AY85+BB85+BE85</f>
        <v>0</v>
      </c>
      <c r="M85" s="86">
        <f t="shared" si="339"/>
        <v>27000</v>
      </c>
      <c r="N85" s="86">
        <f t="shared" si="339"/>
        <v>0</v>
      </c>
      <c r="O85" s="62">
        <f t="shared" ref="O85:Q85" si="340">IF(BH85=0,SUM(X85+AA85+AD85+AG85+AJ85+AM85+AP85+AS85+AV85+AY85+BB85+BE85),BH85)</f>
        <v>0</v>
      </c>
      <c r="P85" s="62">
        <f t="shared" si="340"/>
        <v>27000</v>
      </c>
      <c r="Q85" s="62">
        <f t="shared" si="340"/>
        <v>0</v>
      </c>
      <c r="R85" s="86">
        <f t="shared" ref="R85:T85" si="341">I85-L85</f>
        <v>0</v>
      </c>
      <c r="S85" s="86">
        <f t="shared" si="341"/>
        <v>0</v>
      </c>
      <c r="T85" s="86">
        <f t="shared" si="341"/>
        <v>0</v>
      </c>
      <c r="U85" s="87" t="e">
        <f t="shared" si="106"/>
        <v>#DIV/0!</v>
      </c>
      <c r="V85" s="87">
        <f t="shared" ref="V85:W85" si="342">M85/J85</f>
        <v>1</v>
      </c>
      <c r="W85" s="87" t="e">
        <f t="shared" si="342"/>
        <v>#DIV/0!</v>
      </c>
      <c r="X85" s="143"/>
      <c r="Y85" s="143">
        <v>0</v>
      </c>
      <c r="Z85" s="143"/>
      <c r="AA85" s="143"/>
      <c r="AB85" s="143">
        <v>0</v>
      </c>
      <c r="AC85" s="143"/>
      <c r="AD85" s="143"/>
      <c r="AE85" s="143">
        <v>0</v>
      </c>
      <c r="AF85" s="143"/>
      <c r="AG85" s="143"/>
      <c r="AH85" s="143">
        <f>27000</f>
        <v>27000</v>
      </c>
      <c r="AI85" s="143"/>
      <c r="AJ85" s="143"/>
      <c r="AK85" s="143"/>
      <c r="AL85" s="143"/>
      <c r="AM85" s="143"/>
      <c r="AN85" s="143"/>
      <c r="AO85" s="143"/>
      <c r="AP85" s="143"/>
      <c r="AQ85" s="143"/>
      <c r="AR85" s="143"/>
      <c r="AS85" s="143"/>
      <c r="AT85" s="143"/>
      <c r="AU85" s="143"/>
      <c r="AV85" s="143"/>
      <c r="AW85" s="143"/>
      <c r="AX85" s="143"/>
      <c r="AY85" s="143"/>
      <c r="AZ85" s="143"/>
      <c r="BA85" s="143"/>
      <c r="BB85" s="143"/>
      <c r="BC85" s="143"/>
      <c r="BD85" s="143"/>
      <c r="BE85" s="143"/>
      <c r="BF85" s="143"/>
      <c r="BG85" s="143"/>
      <c r="BH85" s="143"/>
      <c r="BI85" s="143"/>
      <c r="BJ85" s="143"/>
      <c r="BK85" s="88"/>
      <c r="BL85" s="88"/>
      <c r="BM85" s="88"/>
      <c r="BN85" s="88"/>
      <c r="BO85" s="88"/>
    </row>
    <row r="86" spans="1:67" ht="36" customHeight="1">
      <c r="A86" s="138"/>
      <c r="B86" s="139" t="s">
        <v>254</v>
      </c>
      <c r="C86" s="140" t="s">
        <v>91</v>
      </c>
      <c r="D86" s="141" t="s">
        <v>573</v>
      </c>
      <c r="E86" s="145"/>
      <c r="F86" s="142"/>
      <c r="G86" s="83" t="e">
        <f t="shared" si="1"/>
        <v>#DIV/0!</v>
      </c>
      <c r="H86" s="83" t="e">
        <f t="shared" si="2"/>
        <v>#DIV/0!</v>
      </c>
      <c r="I86" s="143"/>
      <c r="J86" s="143">
        <v>10869.05</v>
      </c>
      <c r="K86" s="143"/>
      <c r="L86" s="86">
        <f t="shared" ref="L86:N86" si="343">X86+AA86+AD86+AG86+AJ86+AM86+AP86+AS86+AV86+AY86+BB86+BE86</f>
        <v>0</v>
      </c>
      <c r="M86" s="86">
        <f t="shared" si="343"/>
        <v>3522.61</v>
      </c>
      <c r="N86" s="86">
        <f t="shared" si="343"/>
        <v>0</v>
      </c>
      <c r="O86" s="62">
        <f t="shared" ref="O86:Q86" si="344">IF(BH86=0,SUM(X86+AA86+AD86+AG86+AJ86+AM86+AP86+AS86+AV86+AY86+BB86+BE86),BH86)</f>
        <v>0</v>
      </c>
      <c r="P86" s="62">
        <f t="shared" si="344"/>
        <v>3522.61</v>
      </c>
      <c r="Q86" s="62">
        <f t="shared" si="344"/>
        <v>0</v>
      </c>
      <c r="R86" s="86">
        <f t="shared" ref="R86:T86" si="345">I86-L86</f>
        <v>0</v>
      </c>
      <c r="S86" s="86">
        <f t="shared" si="345"/>
        <v>7346.4399999999987</v>
      </c>
      <c r="T86" s="86">
        <f t="shared" si="345"/>
        <v>0</v>
      </c>
      <c r="U86" s="87" t="e">
        <f t="shared" si="106"/>
        <v>#DIV/0!</v>
      </c>
      <c r="V86" s="87">
        <f t="shared" ref="V86:W86" si="346">M86/J86</f>
        <v>0.32409548212585282</v>
      </c>
      <c r="W86" s="87" t="e">
        <f t="shared" si="346"/>
        <v>#DIV/0!</v>
      </c>
      <c r="X86" s="143"/>
      <c r="Y86" s="143">
        <f>3279.11-3030.4+3273.9</f>
        <v>3522.61</v>
      </c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43"/>
      <c r="AN86" s="143"/>
      <c r="AO86" s="143"/>
      <c r="AP86" s="143"/>
      <c r="AQ86" s="143"/>
      <c r="AR86" s="143"/>
      <c r="AS86" s="143"/>
      <c r="AT86" s="143"/>
      <c r="AU86" s="143"/>
      <c r="AV86" s="143"/>
      <c r="AW86" s="143"/>
      <c r="AX86" s="143"/>
      <c r="AY86" s="143"/>
      <c r="AZ86" s="143"/>
      <c r="BA86" s="143"/>
      <c r="BB86" s="143"/>
      <c r="BC86" s="143"/>
      <c r="BD86" s="143"/>
      <c r="BE86" s="143"/>
      <c r="BF86" s="143"/>
      <c r="BG86" s="143"/>
      <c r="BH86" s="143"/>
      <c r="BI86" s="143"/>
      <c r="BJ86" s="143"/>
      <c r="BK86" s="88"/>
      <c r="BL86" s="88"/>
      <c r="BM86" s="88"/>
      <c r="BN86" s="88"/>
      <c r="BO86" s="88"/>
    </row>
    <row r="87" spans="1:67" ht="15.75" customHeight="1">
      <c r="A87" s="138"/>
      <c r="B87" s="139" t="s">
        <v>255</v>
      </c>
      <c r="C87" s="140" t="s">
        <v>223</v>
      </c>
      <c r="D87" s="141" t="s">
        <v>256</v>
      </c>
      <c r="E87" s="145"/>
      <c r="F87" s="142"/>
      <c r="G87" s="83" t="e">
        <f t="shared" si="1"/>
        <v>#DIV/0!</v>
      </c>
      <c r="H87" s="83" t="e">
        <f t="shared" si="2"/>
        <v>#DIV/0!</v>
      </c>
      <c r="I87" s="143"/>
      <c r="J87" s="143">
        <v>8050</v>
      </c>
      <c r="K87" s="143"/>
      <c r="L87" s="86">
        <f t="shared" ref="L87:N87" si="347">X87+AA87+AD87+AG87+AJ87+AM87+AP87+AS87+AV87+AY87+BB87+BE87</f>
        <v>0</v>
      </c>
      <c r="M87" s="86">
        <f t="shared" si="347"/>
        <v>0</v>
      </c>
      <c r="N87" s="86">
        <f t="shared" si="347"/>
        <v>0</v>
      </c>
      <c r="O87" s="62">
        <f t="shared" ref="O87:Q87" si="348">IF(BH87=0,SUM(X87+AA87+AD87+AG87+AJ87+AM87+AP87+AS87+AV87+AY87+BB87+BE87),BH87)</f>
        <v>0</v>
      </c>
      <c r="P87" s="62">
        <f t="shared" si="348"/>
        <v>0</v>
      </c>
      <c r="Q87" s="62">
        <f t="shared" si="348"/>
        <v>0</v>
      </c>
      <c r="R87" s="86">
        <f t="shared" ref="R87:T87" si="349">I87-L87</f>
        <v>0</v>
      </c>
      <c r="S87" s="86">
        <f t="shared" si="349"/>
        <v>8050</v>
      </c>
      <c r="T87" s="86">
        <f t="shared" si="349"/>
        <v>0</v>
      </c>
      <c r="U87" s="87" t="e">
        <f t="shared" si="106"/>
        <v>#DIV/0!</v>
      </c>
      <c r="V87" s="87">
        <f t="shared" ref="V87:W87" si="350">M87/J87</f>
        <v>0</v>
      </c>
      <c r="W87" s="87" t="e">
        <f t="shared" si="350"/>
        <v>#DIV/0!</v>
      </c>
      <c r="X87" s="143"/>
      <c r="Y87" s="143">
        <v>0</v>
      </c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3"/>
      <c r="BK87" s="88"/>
      <c r="BL87" s="88"/>
      <c r="BM87" s="88"/>
      <c r="BN87" s="88"/>
      <c r="BO87" s="88"/>
    </row>
    <row r="88" spans="1:67" ht="15.75" customHeight="1">
      <c r="A88" s="138" t="s">
        <v>257</v>
      </c>
      <c r="B88" s="139"/>
      <c r="C88" s="140" t="s">
        <v>258</v>
      </c>
      <c r="D88" s="141" t="s">
        <v>259</v>
      </c>
      <c r="E88" s="142"/>
      <c r="F88" s="142"/>
      <c r="G88" s="83" t="e">
        <f t="shared" si="1"/>
        <v>#DIV/0!</v>
      </c>
      <c r="H88" s="83" t="e">
        <f t="shared" si="2"/>
        <v>#DIV/0!</v>
      </c>
      <c r="I88" s="142">
        <v>43.6</v>
      </c>
      <c r="J88" s="143"/>
      <c r="K88" s="143"/>
      <c r="L88" s="86">
        <f t="shared" ref="L88:N88" si="351">X88+AA88+AD88+AG88+AJ88+AM88+AP88+AS88+AV88+AY88+BB88+BE88</f>
        <v>43.6</v>
      </c>
      <c r="M88" s="86">
        <f t="shared" si="351"/>
        <v>0</v>
      </c>
      <c r="N88" s="86">
        <f t="shared" si="351"/>
        <v>0</v>
      </c>
      <c r="O88" s="62">
        <f t="shared" ref="O88:Q88" si="352">IF(BH88=0,SUM(X88+AA88+AD88+AG88+AJ88+AM88+AP88+AS88+AV88+AY88+BB88+BE88),BH88)</f>
        <v>43.6</v>
      </c>
      <c r="P88" s="62">
        <f t="shared" si="352"/>
        <v>0</v>
      </c>
      <c r="Q88" s="62">
        <f t="shared" si="352"/>
        <v>0</v>
      </c>
      <c r="R88" s="86">
        <f t="shared" ref="R88:T88" si="353">I88-L88</f>
        <v>0</v>
      </c>
      <c r="S88" s="86">
        <f t="shared" si="353"/>
        <v>0</v>
      </c>
      <c r="T88" s="86">
        <f t="shared" si="353"/>
        <v>0</v>
      </c>
      <c r="U88" s="87">
        <f t="shared" si="106"/>
        <v>1</v>
      </c>
      <c r="V88" s="87" t="e">
        <f t="shared" ref="V88:W88" si="354">M88/J88</f>
        <v>#DIV/0!</v>
      </c>
      <c r="W88" s="87" t="e">
        <f t="shared" si="354"/>
        <v>#DIV/0!</v>
      </c>
      <c r="X88" s="143">
        <v>0</v>
      </c>
      <c r="Y88" s="143"/>
      <c r="Z88" s="143"/>
      <c r="AA88" s="143">
        <f>43.6</f>
        <v>43.6</v>
      </c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  <c r="AM88" s="143"/>
      <c r="AN88" s="143"/>
      <c r="AO88" s="143"/>
      <c r="AP88" s="143"/>
      <c r="AQ88" s="143"/>
      <c r="AR88" s="143"/>
      <c r="AS88" s="143"/>
      <c r="AT88" s="143"/>
      <c r="AU88" s="143"/>
      <c r="AV88" s="143"/>
      <c r="AW88" s="143"/>
      <c r="AX88" s="143"/>
      <c r="AY88" s="143"/>
      <c r="AZ88" s="143"/>
      <c r="BA88" s="143"/>
      <c r="BB88" s="143"/>
      <c r="BC88" s="143"/>
      <c r="BD88" s="143"/>
      <c r="BE88" s="143"/>
      <c r="BF88" s="143"/>
      <c r="BG88" s="143"/>
      <c r="BH88" s="143"/>
      <c r="BI88" s="143"/>
      <c r="BJ88" s="143"/>
      <c r="BK88" s="88"/>
      <c r="BL88" s="88"/>
      <c r="BM88" s="88"/>
      <c r="BN88" s="88"/>
      <c r="BO88" s="88"/>
    </row>
    <row r="89" spans="1:67" ht="15.75" customHeight="1">
      <c r="A89" s="138"/>
      <c r="B89" s="139"/>
      <c r="C89" s="140" t="s">
        <v>260</v>
      </c>
      <c r="D89" s="141" t="s">
        <v>261</v>
      </c>
      <c r="E89" s="142"/>
      <c r="F89" s="142"/>
      <c r="G89" s="83" t="e">
        <f t="shared" si="1"/>
        <v>#DIV/0!</v>
      </c>
      <c r="H89" s="83" t="e">
        <f t="shared" si="2"/>
        <v>#DIV/0!</v>
      </c>
      <c r="I89" s="142"/>
      <c r="J89" s="143"/>
      <c r="K89" s="143"/>
      <c r="L89" s="86">
        <f t="shared" ref="L89:N89" si="355">X89+AA89+AD89+AG89+AJ89+AM89+AP89+AS89+AV89+AY89+BB89+BE89</f>
        <v>0</v>
      </c>
      <c r="M89" s="86">
        <f t="shared" si="355"/>
        <v>0</v>
      </c>
      <c r="N89" s="86">
        <f t="shared" si="355"/>
        <v>0</v>
      </c>
      <c r="O89" s="62">
        <f t="shared" ref="O89:Q89" si="356">IF(BH89=0,SUM(X89+AA89+AD89+AG89+AJ89+AM89+AP89+AS89+AV89+AY89+BB89+BE89),BH89)</f>
        <v>0</v>
      </c>
      <c r="P89" s="62">
        <f t="shared" si="356"/>
        <v>0</v>
      </c>
      <c r="Q89" s="62">
        <f t="shared" si="356"/>
        <v>0</v>
      </c>
      <c r="R89" s="86">
        <f t="shared" ref="R89:T89" si="357">I89-L89</f>
        <v>0</v>
      </c>
      <c r="S89" s="86">
        <f t="shared" si="357"/>
        <v>0</v>
      </c>
      <c r="T89" s="86">
        <f t="shared" si="357"/>
        <v>0</v>
      </c>
      <c r="U89" s="87" t="e">
        <f t="shared" si="106"/>
        <v>#DIV/0!</v>
      </c>
      <c r="V89" s="87" t="e">
        <f t="shared" ref="V89:W89" si="358">M89/J89</f>
        <v>#DIV/0!</v>
      </c>
      <c r="W89" s="87" t="e">
        <f t="shared" si="358"/>
        <v>#DIV/0!</v>
      </c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88"/>
      <c r="BL89" s="88"/>
      <c r="BM89" s="88"/>
      <c r="BN89" s="88"/>
      <c r="BO89" s="88"/>
    </row>
    <row r="90" spans="1:67" ht="15.75" customHeight="1">
      <c r="A90" s="138" t="s">
        <v>262</v>
      </c>
      <c r="B90" s="139"/>
      <c r="C90" s="140" t="s">
        <v>263</v>
      </c>
      <c r="D90" s="141" t="s">
        <v>264</v>
      </c>
      <c r="E90" s="142"/>
      <c r="F90" s="142"/>
      <c r="G90" s="83" t="e">
        <f t="shared" si="1"/>
        <v>#DIV/0!</v>
      </c>
      <c r="H90" s="83" t="e">
        <f t="shared" si="2"/>
        <v>#DIV/0!</v>
      </c>
      <c r="I90" s="142">
        <v>500</v>
      </c>
      <c r="J90" s="143"/>
      <c r="K90" s="143"/>
      <c r="L90" s="86">
        <f t="shared" ref="L90:N90" si="359">X90+AA90+AD90+AG90+AJ90+AM90+AP90+AS90+AV90+AY90+BB90+BE90</f>
        <v>403.8</v>
      </c>
      <c r="M90" s="86">
        <f t="shared" si="359"/>
        <v>0</v>
      </c>
      <c r="N90" s="86">
        <f t="shared" si="359"/>
        <v>0</v>
      </c>
      <c r="O90" s="62">
        <f t="shared" ref="O90:Q90" si="360">IF(BH90=0,SUM(X90+AA90+AD90+AG90+AJ90+AM90+AP90+AS90+AV90+AY90+BB90+BE90),BH90)</f>
        <v>403.8</v>
      </c>
      <c r="P90" s="62">
        <f t="shared" si="360"/>
        <v>0</v>
      </c>
      <c r="Q90" s="62">
        <f t="shared" si="360"/>
        <v>0</v>
      </c>
      <c r="R90" s="86">
        <f t="shared" ref="R90:T90" si="361">I90-L90</f>
        <v>96.199999999999989</v>
      </c>
      <c r="S90" s="86">
        <f t="shared" si="361"/>
        <v>0</v>
      </c>
      <c r="T90" s="86">
        <f t="shared" si="361"/>
        <v>0</v>
      </c>
      <c r="U90" s="87">
        <f t="shared" si="106"/>
        <v>0.80759999999999998</v>
      </c>
      <c r="V90" s="87" t="e">
        <f t="shared" ref="V90:W90" si="362">M90/J90</f>
        <v>#DIV/0!</v>
      </c>
      <c r="W90" s="87" t="e">
        <f t="shared" si="362"/>
        <v>#DIV/0!</v>
      </c>
      <c r="X90" s="143">
        <v>0</v>
      </c>
      <c r="Y90" s="143"/>
      <c r="Z90" s="143"/>
      <c r="AA90" s="143">
        <v>0</v>
      </c>
      <c r="AB90" s="143"/>
      <c r="AC90" s="143"/>
      <c r="AD90" s="143">
        <v>0</v>
      </c>
      <c r="AE90" s="143"/>
      <c r="AF90" s="143"/>
      <c r="AG90" s="143">
        <f>403.8</f>
        <v>403.8</v>
      </c>
      <c r="AH90" s="143"/>
      <c r="AI90" s="143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88"/>
      <c r="BL90" s="88"/>
      <c r="BM90" s="88"/>
      <c r="BN90" s="88"/>
      <c r="BO90" s="88"/>
    </row>
    <row r="91" spans="1:67" ht="33.75" customHeight="1">
      <c r="A91" s="89" t="s">
        <v>265</v>
      </c>
      <c r="B91" s="95" t="s">
        <v>266</v>
      </c>
      <c r="C91" s="80" t="s">
        <v>267</v>
      </c>
      <c r="D91" s="117" t="s">
        <v>268</v>
      </c>
      <c r="E91" s="146"/>
      <c r="F91" s="97"/>
      <c r="G91" s="83" t="e">
        <f t="shared" si="1"/>
        <v>#DIV/0!</v>
      </c>
      <c r="H91" s="83" t="e">
        <f t="shared" si="2"/>
        <v>#DIV/0!</v>
      </c>
      <c r="I91" s="84">
        <v>300000</v>
      </c>
      <c r="J91" s="85">
        <v>525019.36</v>
      </c>
      <c r="K91" s="85"/>
      <c r="L91" s="86">
        <f t="shared" ref="L91:N91" si="363">X91+AA91+AD91+AG91+AJ91+AM91+AP91+AS91+AV91+AY91+BB91+BE91</f>
        <v>0</v>
      </c>
      <c r="M91" s="86">
        <f t="shared" si="363"/>
        <v>229907.68999999997</v>
      </c>
      <c r="N91" s="86">
        <f t="shared" si="363"/>
        <v>0</v>
      </c>
      <c r="O91" s="62">
        <f t="shared" ref="O91:Q91" si="364">IF(BH91=0,SUM(X91+AA91+AD91+AG91+AJ91+AM91+AP91+AS91+AV91+AY91+BB91+BE91),BH91)</f>
        <v>0</v>
      </c>
      <c r="P91" s="62">
        <f t="shared" si="364"/>
        <v>229907.68999999997</v>
      </c>
      <c r="Q91" s="62">
        <f t="shared" si="364"/>
        <v>0</v>
      </c>
      <c r="R91" s="86">
        <f t="shared" ref="R91:T91" si="365">I91-L91</f>
        <v>300000</v>
      </c>
      <c r="S91" s="86">
        <f t="shared" si="365"/>
        <v>295111.67000000004</v>
      </c>
      <c r="T91" s="86">
        <f t="shared" si="365"/>
        <v>0</v>
      </c>
      <c r="U91" s="87">
        <f t="shared" si="106"/>
        <v>0</v>
      </c>
      <c r="V91" s="87">
        <f t="shared" ref="V91:W91" si="366">M91/J91</f>
        <v>0.43790326131973489</v>
      </c>
      <c r="W91" s="87" t="e">
        <f t="shared" si="366"/>
        <v>#DIV/0!</v>
      </c>
      <c r="X91" s="84"/>
      <c r="Y91" s="84">
        <f>52926.1</f>
        <v>52926.1</v>
      </c>
      <c r="Z91" s="84"/>
      <c r="AA91" s="84"/>
      <c r="AB91" s="84">
        <f>52991.35</f>
        <v>52991.35</v>
      </c>
      <c r="AC91" s="84"/>
      <c r="AD91" s="84"/>
      <c r="AE91" s="84">
        <f>67065.9</f>
        <v>67065.899999999994</v>
      </c>
      <c r="AF91" s="84"/>
      <c r="AG91" s="84"/>
      <c r="AH91" s="84">
        <f>56924.34</f>
        <v>56924.34</v>
      </c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8"/>
      <c r="BL91" s="88"/>
      <c r="BM91" s="88"/>
      <c r="BN91" s="88"/>
      <c r="BO91" s="88"/>
    </row>
    <row r="92" spans="1:67" ht="15.75" customHeight="1">
      <c r="A92" s="89"/>
      <c r="B92" s="95" t="s">
        <v>269</v>
      </c>
      <c r="C92" s="140" t="s">
        <v>270</v>
      </c>
      <c r="D92" s="141" t="s">
        <v>271</v>
      </c>
      <c r="E92" s="97"/>
      <c r="F92" s="97"/>
      <c r="G92" s="83" t="e">
        <f t="shared" si="1"/>
        <v>#DIV/0!</v>
      </c>
      <c r="H92" s="83" t="e">
        <f t="shared" si="2"/>
        <v>#DIV/0!</v>
      </c>
      <c r="I92" s="84"/>
      <c r="J92" s="85">
        <v>411880.09</v>
      </c>
      <c r="K92" s="85"/>
      <c r="L92" s="86">
        <f t="shared" ref="L92:N92" si="367">X92+AA92+AD92+AG92+AJ92+AM92+AP92+AS92+AV92+AY92+BB92+BE92</f>
        <v>0</v>
      </c>
      <c r="M92" s="86">
        <f t="shared" si="367"/>
        <v>411880.08999999997</v>
      </c>
      <c r="N92" s="86">
        <f t="shared" si="367"/>
        <v>0</v>
      </c>
      <c r="O92" s="62">
        <f t="shared" ref="O92:Q92" si="368">IF(BH92=0,SUM(X92+AA92+AD92+AG92+AJ92+AM92+AP92+AS92+AV92+AY92+BB92+BE92),BH92)</f>
        <v>0</v>
      </c>
      <c r="P92" s="62">
        <f t="shared" si="368"/>
        <v>411880.08999999997</v>
      </c>
      <c r="Q92" s="62">
        <f t="shared" si="368"/>
        <v>0</v>
      </c>
      <c r="R92" s="86">
        <f t="shared" ref="R92:T92" si="369">I92-L92</f>
        <v>0</v>
      </c>
      <c r="S92" s="86">
        <f t="shared" si="369"/>
        <v>0</v>
      </c>
      <c r="T92" s="86">
        <f t="shared" si="369"/>
        <v>0</v>
      </c>
      <c r="U92" s="87" t="e">
        <f t="shared" si="106"/>
        <v>#DIV/0!</v>
      </c>
      <c r="V92" s="87">
        <f t="shared" ref="V92:W92" si="370">M92/J92</f>
        <v>0.99999999999999989</v>
      </c>
      <c r="W92" s="87" t="e">
        <f t="shared" si="370"/>
        <v>#DIV/0!</v>
      </c>
      <c r="X92" s="84"/>
      <c r="Y92" s="84">
        <f>220444.08</f>
        <v>220444.08</v>
      </c>
      <c r="Z92" s="84"/>
      <c r="AA92" s="84"/>
      <c r="AB92" s="84">
        <f>67178.03</f>
        <v>67178.03</v>
      </c>
      <c r="AC92" s="84"/>
      <c r="AD92" s="84"/>
      <c r="AE92" s="84">
        <v>124257.98</v>
      </c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8"/>
      <c r="BL92" s="88"/>
      <c r="BM92" s="88"/>
      <c r="BN92" s="88"/>
      <c r="BO92" s="88"/>
    </row>
    <row r="93" spans="1:67" ht="15.75" customHeight="1">
      <c r="A93" s="89"/>
      <c r="B93" s="95" t="s">
        <v>272</v>
      </c>
      <c r="C93" s="140" t="s">
        <v>270</v>
      </c>
      <c r="D93" s="141" t="s">
        <v>271</v>
      </c>
      <c r="E93" s="97"/>
      <c r="F93" s="97"/>
      <c r="G93" s="83" t="e">
        <f t="shared" si="1"/>
        <v>#DIV/0!</v>
      </c>
      <c r="H93" s="83" t="e">
        <f t="shared" si="2"/>
        <v>#DIV/0!</v>
      </c>
      <c r="I93" s="84"/>
      <c r="J93" s="85">
        <v>21022</v>
      </c>
      <c r="K93" s="85"/>
      <c r="L93" s="86">
        <f t="shared" ref="L93:N93" si="371">X93+AA93+AD93+AG93+AJ93+AM93+AP93+AS93+AV93+AY93+BB93+BE93</f>
        <v>0</v>
      </c>
      <c r="M93" s="86">
        <f t="shared" si="371"/>
        <v>21022</v>
      </c>
      <c r="N93" s="86">
        <f t="shared" si="371"/>
        <v>0</v>
      </c>
      <c r="O93" s="62">
        <f t="shared" ref="O93:Q93" si="372">IF(BH93=0,SUM(X93+AA93+AD93+AG93+AJ93+AM93+AP93+AS93+AV93+AY93+BB93+BE93),BH93)</f>
        <v>0</v>
      </c>
      <c r="P93" s="62">
        <f t="shared" si="372"/>
        <v>21022</v>
      </c>
      <c r="Q93" s="62">
        <f t="shared" si="372"/>
        <v>0</v>
      </c>
      <c r="R93" s="86">
        <f t="shared" ref="R93:T93" si="373">I93-L93</f>
        <v>0</v>
      </c>
      <c r="S93" s="86">
        <f t="shared" si="373"/>
        <v>0</v>
      </c>
      <c r="T93" s="86">
        <f t="shared" si="373"/>
        <v>0</v>
      </c>
      <c r="U93" s="87" t="e">
        <f t="shared" si="106"/>
        <v>#DIV/0!</v>
      </c>
      <c r="V93" s="87">
        <f t="shared" ref="V93:W93" si="374">M93/J93</f>
        <v>1</v>
      </c>
      <c r="W93" s="87" t="e">
        <f t="shared" si="374"/>
        <v>#DIV/0!</v>
      </c>
      <c r="X93" s="84"/>
      <c r="Y93" s="84">
        <v>0</v>
      </c>
      <c r="Z93" s="84"/>
      <c r="AA93" s="84"/>
      <c r="AB93" s="84">
        <v>0</v>
      </c>
      <c r="AC93" s="84"/>
      <c r="AD93" s="84"/>
      <c r="AE93" s="84">
        <f>21022</f>
        <v>21022</v>
      </c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8"/>
      <c r="BL93" s="88"/>
      <c r="BM93" s="88"/>
      <c r="BN93" s="88"/>
      <c r="BO93" s="88"/>
    </row>
    <row r="94" spans="1:67" ht="15.75" customHeight="1">
      <c r="A94" s="89" t="s">
        <v>273</v>
      </c>
      <c r="B94" s="95" t="s">
        <v>274</v>
      </c>
      <c r="C94" s="140" t="s">
        <v>270</v>
      </c>
      <c r="D94" s="141" t="s">
        <v>275</v>
      </c>
      <c r="E94" s="97"/>
      <c r="F94" s="97"/>
      <c r="G94" s="83" t="e">
        <f t="shared" si="1"/>
        <v>#DIV/0!</v>
      </c>
      <c r="H94" s="83" t="e">
        <f t="shared" si="2"/>
        <v>#DIV/0!</v>
      </c>
      <c r="I94" s="84">
        <f>25902.27+400000</f>
        <v>425902.27</v>
      </c>
      <c r="J94" s="85">
        <v>374</v>
      </c>
      <c r="K94" s="85"/>
      <c r="L94" s="86">
        <f t="shared" ref="L94:N94" si="375">X94+AA94+AD94+AG94+AJ94+AM94+AP94+AS94+AV94+AY94+BB94+BE94</f>
        <v>192663.42</v>
      </c>
      <c r="M94" s="86">
        <f t="shared" si="375"/>
        <v>374</v>
      </c>
      <c r="N94" s="86">
        <f t="shared" si="375"/>
        <v>0</v>
      </c>
      <c r="O94" s="62">
        <f t="shared" ref="O94:Q94" si="376">IF(BH94=0,SUM(X94+AA94+AD94+AG94+AJ94+AM94+AP94+AS94+AV94+AY94+BB94+BE94),BH94)</f>
        <v>192663.42</v>
      </c>
      <c r="P94" s="62">
        <f t="shared" si="376"/>
        <v>374</v>
      </c>
      <c r="Q94" s="62">
        <f t="shared" si="376"/>
        <v>0</v>
      </c>
      <c r="R94" s="86">
        <f t="shared" ref="R94:T94" si="377">I94-L94</f>
        <v>233238.85</v>
      </c>
      <c r="S94" s="86">
        <f t="shared" si="377"/>
        <v>0</v>
      </c>
      <c r="T94" s="86">
        <f t="shared" si="377"/>
        <v>0</v>
      </c>
      <c r="U94" s="87">
        <f t="shared" si="106"/>
        <v>0.45236532784856959</v>
      </c>
      <c r="V94" s="87">
        <f t="shared" ref="V94:W94" si="378">M94/J94</f>
        <v>1</v>
      </c>
      <c r="W94" s="87" t="e">
        <f t="shared" si="378"/>
        <v>#DIV/0!</v>
      </c>
      <c r="X94" s="84">
        <v>0</v>
      </c>
      <c r="Y94" s="84">
        <v>0</v>
      </c>
      <c r="Z94" s="84"/>
      <c r="AA94" s="84">
        <v>0</v>
      </c>
      <c r="AB94" s="84">
        <v>0</v>
      </c>
      <c r="AC94" s="84"/>
      <c r="AD94" s="84">
        <v>0</v>
      </c>
      <c r="AE94" s="84">
        <f>374</f>
        <v>374</v>
      </c>
      <c r="AF94" s="84"/>
      <c r="AG94" s="84">
        <f>192663.42</f>
        <v>192663.42</v>
      </c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8"/>
      <c r="BL94" s="88"/>
      <c r="BM94" s="88"/>
      <c r="BN94" s="88"/>
      <c r="BO94" s="88"/>
    </row>
    <row r="95" spans="1:67" ht="15.75" customHeight="1">
      <c r="A95" s="89"/>
      <c r="B95" s="95" t="s">
        <v>276</v>
      </c>
      <c r="C95" s="80" t="s">
        <v>277</v>
      </c>
      <c r="D95" s="117" t="s">
        <v>278</v>
      </c>
      <c r="E95" s="97"/>
      <c r="F95" s="97"/>
      <c r="G95" s="83" t="e">
        <f t="shared" si="1"/>
        <v>#DIV/0!</v>
      </c>
      <c r="H95" s="83" t="e">
        <f t="shared" si="2"/>
        <v>#DIV/0!</v>
      </c>
      <c r="I95" s="84"/>
      <c r="J95" s="85">
        <v>25876.2</v>
      </c>
      <c r="K95" s="85"/>
      <c r="L95" s="86">
        <f t="shared" ref="L95:N95" si="379">X95+AA95+AD95+AG95+AJ95+AM95+AP95+AS95+AV95+AY95+BB95+BE95</f>
        <v>0</v>
      </c>
      <c r="M95" s="86">
        <f t="shared" si="379"/>
        <v>0</v>
      </c>
      <c r="N95" s="86">
        <f t="shared" si="379"/>
        <v>0</v>
      </c>
      <c r="O95" s="62">
        <f t="shared" ref="O95:Q95" si="380">IF(BH95=0,SUM(X95+AA95+AD95+AG95+AJ95+AM95+AP95+AS95+AV95+AY95+BB95+BE95),BH95)</f>
        <v>0</v>
      </c>
      <c r="P95" s="62">
        <f t="shared" si="380"/>
        <v>0</v>
      </c>
      <c r="Q95" s="62">
        <f t="shared" si="380"/>
        <v>0</v>
      </c>
      <c r="R95" s="86">
        <f t="shared" ref="R95:T95" si="381">I95-L95</f>
        <v>0</v>
      </c>
      <c r="S95" s="86">
        <f t="shared" si="381"/>
        <v>25876.2</v>
      </c>
      <c r="T95" s="86">
        <f t="shared" si="381"/>
        <v>0</v>
      </c>
      <c r="U95" s="87" t="e">
        <f t="shared" si="106"/>
        <v>#DIV/0!</v>
      </c>
      <c r="V95" s="87">
        <f t="shared" ref="V95:W95" si="382">M95/J95</f>
        <v>0</v>
      </c>
      <c r="W95" s="87" t="e">
        <f t="shared" si="382"/>
        <v>#DIV/0!</v>
      </c>
      <c r="X95" s="84"/>
      <c r="Y95" s="84">
        <v>0</v>
      </c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8"/>
      <c r="BL95" s="88"/>
      <c r="BM95" s="88"/>
      <c r="BN95" s="88"/>
      <c r="BO95" s="88"/>
    </row>
    <row r="96" spans="1:67" ht="15.75" customHeight="1">
      <c r="A96" s="89"/>
      <c r="B96" s="95"/>
      <c r="C96" s="80" t="s">
        <v>279</v>
      </c>
      <c r="D96" s="81" t="s">
        <v>280</v>
      </c>
      <c r="E96" s="82"/>
      <c r="F96" s="82"/>
      <c r="G96" s="83" t="e">
        <f t="shared" si="1"/>
        <v>#DIV/0!</v>
      </c>
      <c r="H96" s="83" t="e">
        <f t="shared" si="2"/>
        <v>#DIV/0!</v>
      </c>
      <c r="I96" s="84"/>
      <c r="J96" s="85"/>
      <c r="K96" s="85"/>
      <c r="L96" s="86">
        <f t="shared" ref="L96:N96" si="383">X96+AA96+AD96+AG96+AJ96+AM96+AP96+AS96+AV96+AY96+BB96+BE96</f>
        <v>0</v>
      </c>
      <c r="M96" s="86">
        <f t="shared" si="383"/>
        <v>0</v>
      </c>
      <c r="N96" s="86">
        <f t="shared" si="383"/>
        <v>0</v>
      </c>
      <c r="O96" s="62">
        <f t="shared" ref="O96:Q96" si="384">IF(BH96=0,SUM(X96+AA96+AD96+AG96+AJ96+AM96+AP96+AS96+AV96+AY96+BB96+BE96),BH96)</f>
        <v>0</v>
      </c>
      <c r="P96" s="62">
        <f t="shared" si="384"/>
        <v>0</v>
      </c>
      <c r="Q96" s="62">
        <f t="shared" si="384"/>
        <v>0</v>
      </c>
      <c r="R96" s="86">
        <f t="shared" ref="R96:T96" si="385">I96-L96</f>
        <v>0</v>
      </c>
      <c r="S96" s="86">
        <f t="shared" si="385"/>
        <v>0</v>
      </c>
      <c r="T96" s="86">
        <f t="shared" si="385"/>
        <v>0</v>
      </c>
      <c r="U96" s="87" t="e">
        <f t="shared" si="106"/>
        <v>#DIV/0!</v>
      </c>
      <c r="V96" s="87" t="e">
        <f t="shared" ref="V96:W96" si="386">M96/J96</f>
        <v>#DIV/0!</v>
      </c>
      <c r="W96" s="87" t="e">
        <f t="shared" si="386"/>
        <v>#DIV/0!</v>
      </c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8"/>
      <c r="BL96" s="88"/>
      <c r="BM96" s="88"/>
      <c r="BN96" s="88"/>
      <c r="BO96" s="88"/>
    </row>
    <row r="97" spans="1:67" ht="30" customHeight="1">
      <c r="A97" s="89"/>
      <c r="B97" s="95"/>
      <c r="C97" s="80" t="s">
        <v>279</v>
      </c>
      <c r="D97" s="81" t="s">
        <v>281</v>
      </c>
      <c r="E97" s="82"/>
      <c r="F97" s="82"/>
      <c r="G97" s="83" t="e">
        <f t="shared" si="1"/>
        <v>#DIV/0!</v>
      </c>
      <c r="H97" s="83" t="e">
        <f t="shared" si="2"/>
        <v>#DIV/0!</v>
      </c>
      <c r="I97" s="84"/>
      <c r="J97" s="85"/>
      <c r="K97" s="99"/>
      <c r="L97" s="86">
        <f t="shared" ref="L97:N97" si="387">X97+AA97+AD97+AG97+AJ97+AM97+AP97+AS97+AV97+AY97+BB97+BE97</f>
        <v>0</v>
      </c>
      <c r="M97" s="86">
        <f t="shared" si="387"/>
        <v>0</v>
      </c>
      <c r="N97" s="86">
        <f t="shared" si="387"/>
        <v>0</v>
      </c>
      <c r="O97" s="62">
        <f t="shared" ref="O97:Q97" si="388">IF(BH97=0,SUM(X97+AA97+AD97+AG97+AJ97+AM97+AP97+AS97+AV97+AY97+BB97+BE97),BH97)</f>
        <v>0</v>
      </c>
      <c r="P97" s="62">
        <f t="shared" si="388"/>
        <v>0</v>
      </c>
      <c r="Q97" s="62">
        <f t="shared" si="388"/>
        <v>0</v>
      </c>
      <c r="R97" s="86">
        <f t="shared" ref="R97:T97" si="389">I97-L97</f>
        <v>0</v>
      </c>
      <c r="S97" s="86">
        <f t="shared" si="389"/>
        <v>0</v>
      </c>
      <c r="T97" s="86">
        <f t="shared" si="389"/>
        <v>0</v>
      </c>
      <c r="U97" s="87" t="e">
        <f t="shared" si="106"/>
        <v>#DIV/0!</v>
      </c>
      <c r="V97" s="87" t="e">
        <f t="shared" ref="V97:W97" si="390">M97/J97</f>
        <v>#DIV/0!</v>
      </c>
      <c r="W97" s="87" t="e">
        <f t="shared" si="390"/>
        <v>#DIV/0!</v>
      </c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/>
      <c r="BK97" s="88"/>
      <c r="BL97" s="88"/>
      <c r="BM97" s="88"/>
      <c r="BN97" s="88"/>
      <c r="BO97" s="88"/>
    </row>
    <row r="98" spans="1:67" ht="30" customHeight="1">
      <c r="A98" s="89" t="s">
        <v>282</v>
      </c>
      <c r="B98" s="95"/>
      <c r="C98" s="80" t="s">
        <v>283</v>
      </c>
      <c r="D98" s="81" t="s">
        <v>284</v>
      </c>
      <c r="E98" s="97"/>
      <c r="F98" s="98"/>
      <c r="G98" s="83" t="e">
        <f t="shared" si="1"/>
        <v>#DIV/0!</v>
      </c>
      <c r="H98" s="83" t="e">
        <f t="shared" si="2"/>
        <v>#DIV/0!</v>
      </c>
      <c r="I98" s="84">
        <v>249.74</v>
      </c>
      <c r="J98" s="85"/>
      <c r="K98" s="99"/>
      <c r="L98" s="86">
        <f t="shared" ref="L98:N98" si="391">X98+AA98+AD98+AG98+AJ98+AM98+AP98+AS98+AV98+AY98+BB98+BE98</f>
        <v>0</v>
      </c>
      <c r="M98" s="86">
        <f t="shared" si="391"/>
        <v>0</v>
      </c>
      <c r="N98" s="86">
        <f t="shared" si="391"/>
        <v>0</v>
      </c>
      <c r="O98" s="62">
        <f t="shared" ref="O98:Q98" si="392">IF(BH98=0,SUM(X98+AA98+AD98+AG98+AJ98+AM98+AP98+AS98+AV98+AY98+BB98+BE98),BH98)</f>
        <v>0</v>
      </c>
      <c r="P98" s="62">
        <f t="shared" si="392"/>
        <v>0</v>
      </c>
      <c r="Q98" s="62">
        <f t="shared" si="392"/>
        <v>0</v>
      </c>
      <c r="R98" s="86">
        <f t="shared" ref="R98:T98" si="393">I98-L98</f>
        <v>249.74</v>
      </c>
      <c r="S98" s="86">
        <f t="shared" si="393"/>
        <v>0</v>
      </c>
      <c r="T98" s="86">
        <f t="shared" si="393"/>
        <v>0</v>
      </c>
      <c r="U98" s="87">
        <f t="shared" si="106"/>
        <v>0</v>
      </c>
      <c r="V98" s="87" t="e">
        <f t="shared" ref="V98:W98" si="394">M98/J98</f>
        <v>#DIV/0!</v>
      </c>
      <c r="W98" s="87" t="e">
        <f t="shared" si="394"/>
        <v>#DIV/0!</v>
      </c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8"/>
      <c r="BL98" s="88"/>
      <c r="BM98" s="88"/>
      <c r="BN98" s="88"/>
      <c r="BO98" s="88"/>
    </row>
    <row r="99" spans="1:67" ht="30" customHeight="1">
      <c r="A99" s="89"/>
      <c r="B99" s="95" t="s">
        <v>285</v>
      </c>
      <c r="C99" s="80" t="s">
        <v>270</v>
      </c>
      <c r="D99" s="81" t="s">
        <v>286</v>
      </c>
      <c r="E99" s="97"/>
      <c r="F99" s="98"/>
      <c r="G99" s="83" t="e">
        <f t="shared" si="1"/>
        <v>#DIV/0!</v>
      </c>
      <c r="H99" s="83" t="e">
        <f t="shared" si="2"/>
        <v>#DIV/0!</v>
      </c>
      <c r="I99" s="84"/>
      <c r="J99" s="85">
        <v>2090</v>
      </c>
      <c r="K99" s="99"/>
      <c r="L99" s="86">
        <f t="shared" ref="L99:N99" si="395">X99+AA99+AD99+AG99+AJ99+AM99+AP99+AS99+AV99+AY99+BB99+BE99</f>
        <v>0</v>
      </c>
      <c r="M99" s="86">
        <f t="shared" si="395"/>
        <v>0</v>
      </c>
      <c r="N99" s="86">
        <f t="shared" si="395"/>
        <v>0</v>
      </c>
      <c r="O99" s="62">
        <f t="shared" ref="O99:Q99" si="396">IF(BH99=0,SUM(X99+AA99+AD99+AG99+AJ99+AM99+AP99+AS99+AV99+AY99+BB99+BE99),BH99)</f>
        <v>0</v>
      </c>
      <c r="P99" s="62">
        <f t="shared" si="396"/>
        <v>0</v>
      </c>
      <c r="Q99" s="62">
        <f t="shared" si="396"/>
        <v>0</v>
      </c>
      <c r="R99" s="86">
        <f t="shared" ref="R99:T99" si="397">I99-L99</f>
        <v>0</v>
      </c>
      <c r="S99" s="86">
        <f t="shared" si="397"/>
        <v>2090</v>
      </c>
      <c r="T99" s="86">
        <f t="shared" si="397"/>
        <v>0</v>
      </c>
      <c r="U99" s="87" t="e">
        <f t="shared" si="106"/>
        <v>#DIV/0!</v>
      </c>
      <c r="V99" s="87">
        <f t="shared" ref="V99:W99" si="398">M99/J99</f>
        <v>0</v>
      </c>
      <c r="W99" s="87" t="e">
        <f t="shared" si="398"/>
        <v>#DIV/0!</v>
      </c>
      <c r="X99" s="84"/>
      <c r="Y99" s="84">
        <v>0</v>
      </c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84"/>
      <c r="BC99" s="84"/>
      <c r="BD99" s="84"/>
      <c r="BE99" s="84"/>
      <c r="BF99" s="84"/>
      <c r="BG99" s="84"/>
      <c r="BH99" s="84"/>
      <c r="BI99" s="84"/>
      <c r="BJ99" s="84"/>
      <c r="BK99" s="88"/>
      <c r="BL99" s="88"/>
      <c r="BM99" s="88"/>
      <c r="BN99" s="88"/>
      <c r="BO99" s="88"/>
    </row>
    <row r="100" spans="1:67" ht="31.5" customHeight="1">
      <c r="A100" s="89"/>
      <c r="B100" s="95" t="s">
        <v>287</v>
      </c>
      <c r="C100" s="80" t="s">
        <v>288</v>
      </c>
      <c r="D100" s="81" t="s">
        <v>289</v>
      </c>
      <c r="E100" s="97"/>
      <c r="F100" s="82"/>
      <c r="G100" s="83" t="e">
        <f t="shared" si="1"/>
        <v>#DIV/0!</v>
      </c>
      <c r="H100" s="83" t="e">
        <f t="shared" si="2"/>
        <v>#DIV/0!</v>
      </c>
      <c r="I100" s="84"/>
      <c r="J100" s="85">
        <v>900</v>
      </c>
      <c r="K100" s="85"/>
      <c r="L100" s="86">
        <f t="shared" ref="L100:N100" si="399">X100+AA100+AD100+AG100+AJ100+AM100+AP100+AS100+AV100+AY100+BB100+BE100</f>
        <v>0</v>
      </c>
      <c r="M100" s="86">
        <f t="shared" si="399"/>
        <v>900</v>
      </c>
      <c r="N100" s="86">
        <f t="shared" si="399"/>
        <v>0</v>
      </c>
      <c r="O100" s="62">
        <f t="shared" ref="O100:Q100" si="400">IF(BH100=0,SUM(X100+AA100+AD100+AG100+AJ100+AM100+AP100+AS100+AV100+AY100+BB100+BE100),BH100)</f>
        <v>0</v>
      </c>
      <c r="P100" s="62">
        <f t="shared" si="400"/>
        <v>900</v>
      </c>
      <c r="Q100" s="62">
        <f t="shared" si="400"/>
        <v>0</v>
      </c>
      <c r="R100" s="86">
        <f t="shared" ref="R100:T100" si="401">I100-L100</f>
        <v>0</v>
      </c>
      <c r="S100" s="86">
        <f t="shared" si="401"/>
        <v>0</v>
      </c>
      <c r="T100" s="86">
        <f t="shared" si="401"/>
        <v>0</v>
      </c>
      <c r="U100" s="87" t="e">
        <f t="shared" si="106"/>
        <v>#DIV/0!</v>
      </c>
      <c r="V100" s="87">
        <f t="shared" ref="V100:W100" si="402">M100/J100</f>
        <v>1</v>
      </c>
      <c r="W100" s="87" t="e">
        <f t="shared" si="402"/>
        <v>#DIV/0!</v>
      </c>
      <c r="X100" s="84"/>
      <c r="Y100" s="84">
        <v>900</v>
      </c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84"/>
      <c r="BC100" s="84"/>
      <c r="BD100" s="84"/>
      <c r="BE100" s="84"/>
      <c r="BF100" s="84"/>
      <c r="BG100" s="84"/>
      <c r="BH100" s="84"/>
      <c r="BI100" s="84"/>
      <c r="BJ100" s="84"/>
      <c r="BK100" s="88"/>
      <c r="BL100" s="88"/>
      <c r="BM100" s="88"/>
      <c r="BN100" s="88"/>
      <c r="BO100" s="88"/>
    </row>
    <row r="101" spans="1:67" ht="33" customHeight="1">
      <c r="A101" s="89" t="s">
        <v>290</v>
      </c>
      <c r="B101" s="90"/>
      <c r="C101" s="80" t="s">
        <v>158</v>
      </c>
      <c r="D101" s="81" t="s">
        <v>291</v>
      </c>
      <c r="E101" s="97"/>
      <c r="F101" s="82"/>
      <c r="G101" s="83" t="e">
        <f t="shared" si="1"/>
        <v>#DIV/0!</v>
      </c>
      <c r="H101" s="83" t="e">
        <f t="shared" si="2"/>
        <v>#DIV/0!</v>
      </c>
      <c r="I101" s="84">
        <v>13800</v>
      </c>
      <c r="J101" s="85"/>
      <c r="K101" s="85"/>
      <c r="L101" s="86">
        <f t="shared" ref="L101:N101" si="403">X101+AA101+AD101+AG101+AJ101+AM101+AP101+AS101+AV101+AY101+BB101+BE101</f>
        <v>0</v>
      </c>
      <c r="M101" s="86">
        <f t="shared" si="403"/>
        <v>0</v>
      </c>
      <c r="N101" s="86">
        <f t="shared" si="403"/>
        <v>0</v>
      </c>
      <c r="O101" s="62">
        <f t="shared" ref="O101:Q101" si="404">IF(BH101=0,SUM(X101+AA101+AD101+AG101+AJ101+AM101+AP101+AS101+AV101+AY101+BB101+BE101),BH101)</f>
        <v>0</v>
      </c>
      <c r="P101" s="62">
        <f t="shared" si="404"/>
        <v>0</v>
      </c>
      <c r="Q101" s="62">
        <f t="shared" si="404"/>
        <v>0</v>
      </c>
      <c r="R101" s="86">
        <f t="shared" ref="R101:T101" si="405">I101-L101</f>
        <v>13800</v>
      </c>
      <c r="S101" s="86">
        <f t="shared" si="405"/>
        <v>0</v>
      </c>
      <c r="T101" s="86">
        <f t="shared" si="405"/>
        <v>0</v>
      </c>
      <c r="U101" s="87">
        <f t="shared" si="106"/>
        <v>0</v>
      </c>
      <c r="V101" s="87" t="e">
        <f t="shared" ref="V101:W101" si="406">M101/J101</f>
        <v>#DIV/0!</v>
      </c>
      <c r="W101" s="87" t="e">
        <f t="shared" si="406"/>
        <v>#DIV/0!</v>
      </c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84"/>
      <c r="BC101" s="84"/>
      <c r="BD101" s="84"/>
      <c r="BE101" s="84"/>
      <c r="BF101" s="84"/>
      <c r="BG101" s="84"/>
      <c r="BH101" s="84"/>
      <c r="BI101" s="84"/>
      <c r="BJ101" s="84"/>
      <c r="BK101" s="88"/>
      <c r="BL101" s="88"/>
      <c r="BM101" s="88"/>
      <c r="BN101" s="88"/>
      <c r="BO101" s="88"/>
    </row>
    <row r="102" spans="1:67" ht="15.75" customHeight="1">
      <c r="A102" s="89" t="s">
        <v>292</v>
      </c>
      <c r="B102" s="90"/>
      <c r="C102" s="80" t="s">
        <v>158</v>
      </c>
      <c r="D102" s="81" t="s">
        <v>293</v>
      </c>
      <c r="E102" s="97"/>
      <c r="F102" s="82"/>
      <c r="G102" s="83" t="e">
        <f t="shared" si="1"/>
        <v>#DIV/0!</v>
      </c>
      <c r="H102" s="83" t="e">
        <f t="shared" si="2"/>
        <v>#DIV/0!</v>
      </c>
      <c r="I102" s="84">
        <v>3400</v>
      </c>
      <c r="J102" s="85"/>
      <c r="K102" s="85"/>
      <c r="L102" s="86">
        <f t="shared" ref="L102:N102" si="407">X102+AA102+AD102+AG102+AJ102+AM102+AP102+AS102+AV102+AY102+BB102+BE102</f>
        <v>3400</v>
      </c>
      <c r="M102" s="86">
        <f t="shared" si="407"/>
        <v>0</v>
      </c>
      <c r="N102" s="86">
        <f t="shared" si="407"/>
        <v>0</v>
      </c>
      <c r="O102" s="62">
        <f t="shared" ref="O102:Q102" si="408">IF(BH102=0,SUM(X102+AA102+AD102+AG102+AJ102+AM102+AP102+AS102+AV102+AY102+BB102+BE102),BH102)</f>
        <v>3400</v>
      </c>
      <c r="P102" s="62">
        <f t="shared" si="408"/>
        <v>0</v>
      </c>
      <c r="Q102" s="62">
        <f t="shared" si="408"/>
        <v>0</v>
      </c>
      <c r="R102" s="86">
        <f t="shared" ref="R102:T102" si="409">I102-L102</f>
        <v>0</v>
      </c>
      <c r="S102" s="86">
        <f t="shared" si="409"/>
        <v>0</v>
      </c>
      <c r="T102" s="86">
        <f t="shared" si="409"/>
        <v>0</v>
      </c>
      <c r="U102" s="87">
        <f t="shared" si="106"/>
        <v>1</v>
      </c>
      <c r="V102" s="87" t="e">
        <f t="shared" ref="V102:W102" si="410">M102/J102</f>
        <v>#DIV/0!</v>
      </c>
      <c r="W102" s="87" t="e">
        <f t="shared" si="410"/>
        <v>#DIV/0!</v>
      </c>
      <c r="X102" s="84">
        <v>0</v>
      </c>
      <c r="Y102" s="84"/>
      <c r="Z102" s="84"/>
      <c r="AA102" s="84">
        <v>0</v>
      </c>
      <c r="AB102" s="84"/>
      <c r="AC102" s="84"/>
      <c r="AD102" s="84">
        <f>3400</f>
        <v>3400</v>
      </c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84"/>
      <c r="BC102" s="84"/>
      <c r="BD102" s="84"/>
      <c r="BE102" s="84"/>
      <c r="BF102" s="84"/>
      <c r="BG102" s="84"/>
      <c r="BH102" s="84"/>
      <c r="BI102" s="84"/>
      <c r="BJ102" s="84"/>
      <c r="BK102" s="88"/>
      <c r="BL102" s="88"/>
      <c r="BM102" s="88"/>
      <c r="BN102" s="88"/>
      <c r="BO102" s="88"/>
    </row>
    <row r="103" spans="1:67" ht="15.75" customHeight="1">
      <c r="A103" s="89" t="s">
        <v>294</v>
      </c>
      <c r="B103" s="90"/>
      <c r="C103" s="80" t="s">
        <v>158</v>
      </c>
      <c r="D103" s="81" t="s">
        <v>295</v>
      </c>
      <c r="E103" s="97"/>
      <c r="F103" s="82"/>
      <c r="G103" s="83" t="e">
        <f t="shared" si="1"/>
        <v>#DIV/0!</v>
      </c>
      <c r="H103" s="83" t="e">
        <f t="shared" si="2"/>
        <v>#DIV/0!</v>
      </c>
      <c r="I103" s="84">
        <v>17010</v>
      </c>
      <c r="J103" s="85"/>
      <c r="K103" s="85"/>
      <c r="L103" s="86">
        <f t="shared" ref="L103:N103" si="411">X103+AA103+AD103+AG103+AJ103+AM103+AP103+AS103+AV103+AY103+BB103+BE103</f>
        <v>17010</v>
      </c>
      <c r="M103" s="86">
        <f t="shared" si="411"/>
        <v>0</v>
      </c>
      <c r="N103" s="86">
        <f t="shared" si="411"/>
        <v>0</v>
      </c>
      <c r="O103" s="62">
        <f t="shared" ref="O103:Q103" si="412">IF(BH103=0,SUM(X103+AA103+AD103+AG103+AJ103+AM103+AP103+AS103+AV103+AY103+BB103+BE103),BH103)</f>
        <v>17010</v>
      </c>
      <c r="P103" s="62">
        <f t="shared" si="412"/>
        <v>0</v>
      </c>
      <c r="Q103" s="62">
        <f t="shared" si="412"/>
        <v>0</v>
      </c>
      <c r="R103" s="86">
        <f t="shared" ref="R103:T103" si="413">I103-L103</f>
        <v>0</v>
      </c>
      <c r="S103" s="86">
        <f t="shared" si="413"/>
        <v>0</v>
      </c>
      <c r="T103" s="86">
        <f t="shared" si="413"/>
        <v>0</v>
      </c>
      <c r="U103" s="87">
        <f t="shared" si="106"/>
        <v>1</v>
      </c>
      <c r="V103" s="87" t="e">
        <f t="shared" ref="V103:W103" si="414">M103/J103</f>
        <v>#DIV/0!</v>
      </c>
      <c r="W103" s="87" t="e">
        <f t="shared" si="414"/>
        <v>#DIV/0!</v>
      </c>
      <c r="X103" s="84">
        <v>0</v>
      </c>
      <c r="Y103" s="84"/>
      <c r="Z103" s="84"/>
      <c r="AA103" s="84">
        <v>0</v>
      </c>
      <c r="AB103" s="84"/>
      <c r="AC103" s="84"/>
      <c r="AD103" s="84">
        <v>0</v>
      </c>
      <c r="AE103" s="84"/>
      <c r="AF103" s="84"/>
      <c r="AG103" s="84">
        <f>17010</f>
        <v>17010</v>
      </c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84"/>
      <c r="BC103" s="84"/>
      <c r="BD103" s="84"/>
      <c r="BE103" s="84"/>
      <c r="BF103" s="84"/>
      <c r="BG103" s="84"/>
      <c r="BH103" s="84"/>
      <c r="BI103" s="84"/>
      <c r="BJ103" s="84"/>
      <c r="BK103" s="88"/>
      <c r="BL103" s="88"/>
      <c r="BM103" s="88"/>
      <c r="BN103" s="88"/>
      <c r="BO103" s="88"/>
    </row>
    <row r="104" spans="1:67" ht="18.75">
      <c r="A104" s="73"/>
      <c r="B104" s="75" t="s">
        <v>296</v>
      </c>
      <c r="C104" s="147"/>
      <c r="D104" s="75"/>
      <c r="E104" s="76">
        <f>E105+E116+E119+E123+E128+E132</f>
        <v>0</v>
      </c>
      <c r="F104" s="76" t="e">
        <f>F105+F112+#REF!+F114+F115+F116+F119+F123+F132</f>
        <v>#REF!</v>
      </c>
      <c r="G104" s="103" t="e">
        <f t="shared" si="1"/>
        <v>#REF!</v>
      </c>
      <c r="H104" s="103" t="e">
        <f t="shared" si="2"/>
        <v>#REF!</v>
      </c>
      <c r="I104" s="76" t="e">
        <f t="shared" ref="I104:N104" si="415">I105+I112+#REF!+I114+I115+I116+I119+I123+I132</f>
        <v>#REF!</v>
      </c>
      <c r="J104" s="76" t="e">
        <f t="shared" si="415"/>
        <v>#REF!</v>
      </c>
      <c r="K104" s="76" t="e">
        <f t="shared" si="415"/>
        <v>#REF!</v>
      </c>
      <c r="L104" s="76" t="e">
        <f t="shared" si="415"/>
        <v>#REF!</v>
      </c>
      <c r="M104" s="76" t="e">
        <f t="shared" si="415"/>
        <v>#REF!</v>
      </c>
      <c r="N104" s="76" t="e">
        <f t="shared" si="415"/>
        <v>#REF!</v>
      </c>
      <c r="O104" s="78" t="e">
        <f t="shared" ref="O104:Q104" si="416">IF(BH104=0,SUM(X104+AA104+AD104+AG104+AJ104+AM104+AP104+AS104+AV104+AY104+BB104+BE104),BH104)</f>
        <v>#REF!</v>
      </c>
      <c r="P104" s="78" t="e">
        <f t="shared" si="416"/>
        <v>#REF!</v>
      </c>
      <c r="Q104" s="78" t="e">
        <f t="shared" si="416"/>
        <v>#REF!</v>
      </c>
      <c r="R104" s="76" t="e">
        <f t="shared" ref="R104:T104" si="417">R105+R112+#REF!+R114+R115+R116+R119+R123+R132</f>
        <v>#REF!</v>
      </c>
      <c r="S104" s="76" t="e">
        <f t="shared" si="417"/>
        <v>#REF!</v>
      </c>
      <c r="T104" s="76" t="e">
        <f t="shared" si="417"/>
        <v>#REF!</v>
      </c>
      <c r="U104" s="77" t="e">
        <f t="shared" si="106"/>
        <v>#REF!</v>
      </c>
      <c r="V104" s="77" t="e">
        <f t="shared" ref="V104:W104" si="418">M104/J104</f>
        <v>#REF!</v>
      </c>
      <c r="W104" s="77" t="e">
        <f t="shared" si="418"/>
        <v>#REF!</v>
      </c>
      <c r="X104" s="76" t="e">
        <f t="shared" ref="X104:BJ104" si="419">X105+X112+#REF!+X114+X115+X116+X119+X123+X132</f>
        <v>#REF!</v>
      </c>
      <c r="Y104" s="76" t="e">
        <f t="shared" si="419"/>
        <v>#REF!</v>
      </c>
      <c r="Z104" s="76" t="e">
        <f t="shared" si="419"/>
        <v>#REF!</v>
      </c>
      <c r="AA104" s="76" t="e">
        <f t="shared" si="419"/>
        <v>#REF!</v>
      </c>
      <c r="AB104" s="76" t="e">
        <f t="shared" si="419"/>
        <v>#REF!</v>
      </c>
      <c r="AC104" s="76" t="e">
        <f t="shared" si="419"/>
        <v>#REF!</v>
      </c>
      <c r="AD104" s="76" t="e">
        <f t="shared" si="419"/>
        <v>#REF!</v>
      </c>
      <c r="AE104" s="76" t="e">
        <f t="shared" si="419"/>
        <v>#REF!</v>
      </c>
      <c r="AF104" s="76" t="e">
        <f t="shared" si="419"/>
        <v>#REF!</v>
      </c>
      <c r="AG104" s="76" t="e">
        <f t="shared" si="419"/>
        <v>#REF!</v>
      </c>
      <c r="AH104" s="76" t="e">
        <f t="shared" si="419"/>
        <v>#REF!</v>
      </c>
      <c r="AI104" s="76" t="e">
        <f t="shared" si="419"/>
        <v>#REF!</v>
      </c>
      <c r="AJ104" s="76" t="e">
        <f t="shared" si="419"/>
        <v>#REF!</v>
      </c>
      <c r="AK104" s="76" t="e">
        <f t="shared" si="419"/>
        <v>#REF!</v>
      </c>
      <c r="AL104" s="76" t="e">
        <f t="shared" si="419"/>
        <v>#REF!</v>
      </c>
      <c r="AM104" s="76" t="e">
        <f t="shared" si="419"/>
        <v>#REF!</v>
      </c>
      <c r="AN104" s="76" t="e">
        <f t="shared" si="419"/>
        <v>#REF!</v>
      </c>
      <c r="AO104" s="76" t="e">
        <f t="shared" si="419"/>
        <v>#REF!</v>
      </c>
      <c r="AP104" s="76" t="e">
        <f t="shared" si="419"/>
        <v>#REF!</v>
      </c>
      <c r="AQ104" s="76" t="e">
        <f t="shared" si="419"/>
        <v>#REF!</v>
      </c>
      <c r="AR104" s="76" t="e">
        <f t="shared" si="419"/>
        <v>#REF!</v>
      </c>
      <c r="AS104" s="76" t="e">
        <f t="shared" si="419"/>
        <v>#REF!</v>
      </c>
      <c r="AT104" s="76" t="e">
        <f t="shared" si="419"/>
        <v>#REF!</v>
      </c>
      <c r="AU104" s="76" t="e">
        <f t="shared" si="419"/>
        <v>#REF!</v>
      </c>
      <c r="AV104" s="76" t="e">
        <f t="shared" si="419"/>
        <v>#REF!</v>
      </c>
      <c r="AW104" s="76" t="e">
        <f t="shared" si="419"/>
        <v>#REF!</v>
      </c>
      <c r="AX104" s="76" t="e">
        <f t="shared" si="419"/>
        <v>#REF!</v>
      </c>
      <c r="AY104" s="76" t="e">
        <f t="shared" si="419"/>
        <v>#REF!</v>
      </c>
      <c r="AZ104" s="76" t="e">
        <f t="shared" si="419"/>
        <v>#REF!</v>
      </c>
      <c r="BA104" s="76" t="e">
        <f t="shared" si="419"/>
        <v>#REF!</v>
      </c>
      <c r="BB104" s="76" t="e">
        <f t="shared" si="419"/>
        <v>#REF!</v>
      </c>
      <c r="BC104" s="76" t="e">
        <f t="shared" si="419"/>
        <v>#REF!</v>
      </c>
      <c r="BD104" s="76" t="e">
        <f t="shared" si="419"/>
        <v>#REF!</v>
      </c>
      <c r="BE104" s="76" t="e">
        <f t="shared" si="419"/>
        <v>#REF!</v>
      </c>
      <c r="BF104" s="76" t="e">
        <f t="shared" si="419"/>
        <v>#REF!</v>
      </c>
      <c r="BG104" s="76" t="e">
        <f t="shared" si="419"/>
        <v>#REF!</v>
      </c>
      <c r="BH104" s="76" t="e">
        <f t="shared" si="419"/>
        <v>#REF!</v>
      </c>
      <c r="BI104" s="76" t="e">
        <f t="shared" si="419"/>
        <v>#REF!</v>
      </c>
      <c r="BJ104" s="76" t="e">
        <f t="shared" si="419"/>
        <v>#REF!</v>
      </c>
      <c r="BK104" s="148"/>
      <c r="BL104" s="148"/>
      <c r="BM104" s="148"/>
      <c r="BN104" s="148"/>
      <c r="BO104" s="148"/>
    </row>
    <row r="105" spans="1:67" ht="15.75" customHeight="1">
      <c r="A105" s="149"/>
      <c r="B105" s="149"/>
      <c r="C105" s="150"/>
      <c r="D105" s="151" t="s">
        <v>297</v>
      </c>
      <c r="E105" s="152">
        <f>SUM(E106:E115)</f>
        <v>0</v>
      </c>
      <c r="F105" s="152">
        <f>SUM(F106:F107)</f>
        <v>0</v>
      </c>
      <c r="G105" s="153" t="e">
        <f t="shared" si="1"/>
        <v>#DIV/0!</v>
      </c>
      <c r="H105" s="153" t="e">
        <f t="shared" si="2"/>
        <v>#DIV/0!</v>
      </c>
      <c r="I105" s="152">
        <f t="shared" ref="I105:N105" si="420">SUM(I106:I107)</f>
        <v>5000</v>
      </c>
      <c r="J105" s="152">
        <f t="shared" si="420"/>
        <v>0</v>
      </c>
      <c r="K105" s="152">
        <f t="shared" si="420"/>
        <v>0</v>
      </c>
      <c r="L105" s="152">
        <f t="shared" si="420"/>
        <v>2785.54</v>
      </c>
      <c r="M105" s="152">
        <f t="shared" si="420"/>
        <v>0</v>
      </c>
      <c r="N105" s="152">
        <f t="shared" si="420"/>
        <v>0</v>
      </c>
      <c r="O105" s="65">
        <f t="shared" ref="O105:Q105" si="421">IF(BH105=0,SUM(X105+AA105+AD105+AG105+AJ105+AM105+AP105+AS105+AV105+AY105+BB105+BE105),BH105)</f>
        <v>2785.54</v>
      </c>
      <c r="P105" s="65">
        <f t="shared" si="421"/>
        <v>0</v>
      </c>
      <c r="Q105" s="65">
        <f t="shared" si="421"/>
        <v>0</v>
      </c>
      <c r="R105" s="152">
        <f t="shared" ref="R105:T105" si="422">SUM(R106:R107)</f>
        <v>2214.46</v>
      </c>
      <c r="S105" s="152">
        <f t="shared" si="422"/>
        <v>0</v>
      </c>
      <c r="T105" s="152">
        <f t="shared" si="422"/>
        <v>0</v>
      </c>
      <c r="U105" s="154">
        <f t="shared" si="106"/>
        <v>0.55710800000000005</v>
      </c>
      <c r="V105" s="154" t="e">
        <f t="shared" ref="V105:W105" si="423">M105/J105</f>
        <v>#DIV/0!</v>
      </c>
      <c r="W105" s="154" t="e">
        <f t="shared" si="423"/>
        <v>#DIV/0!</v>
      </c>
      <c r="X105" s="152">
        <f t="shared" ref="X105:BJ105" si="424">SUM(X106:X107)</f>
        <v>0</v>
      </c>
      <c r="Y105" s="152">
        <f t="shared" si="424"/>
        <v>0</v>
      </c>
      <c r="Z105" s="152">
        <f t="shared" si="424"/>
        <v>0</v>
      </c>
      <c r="AA105" s="152">
        <f t="shared" si="424"/>
        <v>0</v>
      </c>
      <c r="AB105" s="152">
        <f t="shared" si="424"/>
        <v>0</v>
      </c>
      <c r="AC105" s="152">
        <f t="shared" si="424"/>
        <v>0</v>
      </c>
      <c r="AD105" s="152">
        <f t="shared" si="424"/>
        <v>639.72</v>
      </c>
      <c r="AE105" s="152">
        <f t="shared" si="424"/>
        <v>0</v>
      </c>
      <c r="AF105" s="152">
        <f t="shared" si="424"/>
        <v>0</v>
      </c>
      <c r="AG105" s="152">
        <f t="shared" si="424"/>
        <v>2145.8200000000002</v>
      </c>
      <c r="AH105" s="152">
        <f t="shared" si="424"/>
        <v>0</v>
      </c>
      <c r="AI105" s="152">
        <f t="shared" si="424"/>
        <v>0</v>
      </c>
      <c r="AJ105" s="152">
        <f t="shared" si="424"/>
        <v>0</v>
      </c>
      <c r="AK105" s="152">
        <f t="shared" si="424"/>
        <v>0</v>
      </c>
      <c r="AL105" s="152">
        <f t="shared" si="424"/>
        <v>0</v>
      </c>
      <c r="AM105" s="152">
        <f t="shared" si="424"/>
        <v>0</v>
      </c>
      <c r="AN105" s="152">
        <f t="shared" si="424"/>
        <v>0</v>
      </c>
      <c r="AO105" s="152">
        <f t="shared" si="424"/>
        <v>0</v>
      </c>
      <c r="AP105" s="152">
        <f t="shared" si="424"/>
        <v>0</v>
      </c>
      <c r="AQ105" s="152">
        <f t="shared" si="424"/>
        <v>0</v>
      </c>
      <c r="AR105" s="152">
        <f t="shared" si="424"/>
        <v>0</v>
      </c>
      <c r="AS105" s="152">
        <f t="shared" si="424"/>
        <v>0</v>
      </c>
      <c r="AT105" s="152">
        <f t="shared" si="424"/>
        <v>0</v>
      </c>
      <c r="AU105" s="152">
        <f t="shared" si="424"/>
        <v>0</v>
      </c>
      <c r="AV105" s="152">
        <f t="shared" si="424"/>
        <v>0</v>
      </c>
      <c r="AW105" s="152">
        <f t="shared" si="424"/>
        <v>0</v>
      </c>
      <c r="AX105" s="152">
        <f t="shared" si="424"/>
        <v>0</v>
      </c>
      <c r="AY105" s="152">
        <f t="shared" si="424"/>
        <v>0</v>
      </c>
      <c r="AZ105" s="152">
        <f t="shared" si="424"/>
        <v>0</v>
      </c>
      <c r="BA105" s="152">
        <f t="shared" si="424"/>
        <v>0</v>
      </c>
      <c r="BB105" s="152">
        <f t="shared" si="424"/>
        <v>0</v>
      </c>
      <c r="BC105" s="152">
        <f t="shared" si="424"/>
        <v>0</v>
      </c>
      <c r="BD105" s="152">
        <f t="shared" si="424"/>
        <v>0</v>
      </c>
      <c r="BE105" s="152">
        <f t="shared" si="424"/>
        <v>0</v>
      </c>
      <c r="BF105" s="152">
        <f t="shared" si="424"/>
        <v>0</v>
      </c>
      <c r="BG105" s="152">
        <f t="shared" si="424"/>
        <v>0</v>
      </c>
      <c r="BH105" s="152">
        <f t="shared" si="424"/>
        <v>0</v>
      </c>
      <c r="BI105" s="152">
        <f t="shared" si="424"/>
        <v>0</v>
      </c>
      <c r="BJ105" s="152">
        <f t="shared" si="424"/>
        <v>0</v>
      </c>
      <c r="BK105" s="155"/>
      <c r="BL105" s="155"/>
      <c r="BM105" s="155"/>
      <c r="BN105" s="155"/>
      <c r="BO105" s="155"/>
    </row>
    <row r="106" spans="1:67" ht="15.75" customHeight="1">
      <c r="A106" s="79" t="s">
        <v>298</v>
      </c>
      <c r="B106" s="80"/>
      <c r="C106" s="80" t="s">
        <v>89</v>
      </c>
      <c r="D106" s="81" t="s">
        <v>90</v>
      </c>
      <c r="E106" s="82"/>
      <c r="F106" s="82"/>
      <c r="G106" s="83" t="e">
        <f t="shared" si="1"/>
        <v>#DIV/0!</v>
      </c>
      <c r="H106" s="83" t="e">
        <f t="shared" si="2"/>
        <v>#DIV/0!</v>
      </c>
      <c r="I106" s="82">
        <v>5000</v>
      </c>
      <c r="J106" s="84"/>
      <c r="K106" s="85"/>
      <c r="L106" s="86">
        <f t="shared" ref="L106:N106" si="425">X106+AA106+AD106+AG106+AJ106+AM106+AP106+AS106+AV106+AY106+BB106+BE106</f>
        <v>2785.54</v>
      </c>
      <c r="M106" s="86">
        <f t="shared" si="425"/>
        <v>0</v>
      </c>
      <c r="N106" s="86">
        <f t="shared" si="425"/>
        <v>0</v>
      </c>
      <c r="O106" s="62">
        <f t="shared" ref="O106:Q106" si="426">IF(BH106=0,SUM(X106+AA106+AD106+AG106+AJ106+AM106+AP106+AS106+AV106+AY106+BB106+BE106),BH106)</f>
        <v>2785.54</v>
      </c>
      <c r="P106" s="62">
        <f t="shared" si="426"/>
        <v>0</v>
      </c>
      <c r="Q106" s="62">
        <f t="shared" si="426"/>
        <v>0</v>
      </c>
      <c r="R106" s="86">
        <f t="shared" ref="R106:T106" si="427">I106-L106</f>
        <v>2214.46</v>
      </c>
      <c r="S106" s="86">
        <f t="shared" si="427"/>
        <v>0</v>
      </c>
      <c r="T106" s="86">
        <f t="shared" si="427"/>
        <v>0</v>
      </c>
      <c r="U106" s="87">
        <f t="shared" si="106"/>
        <v>0.55710800000000005</v>
      </c>
      <c r="V106" s="87" t="e">
        <f t="shared" ref="V106:W106" si="428">M106/J106</f>
        <v>#DIV/0!</v>
      </c>
      <c r="W106" s="87" t="e">
        <f t="shared" si="428"/>
        <v>#DIV/0!</v>
      </c>
      <c r="X106" s="84">
        <v>0</v>
      </c>
      <c r="Y106" s="84"/>
      <c r="Z106" s="84"/>
      <c r="AA106" s="84">
        <v>0</v>
      </c>
      <c r="AB106" s="84"/>
      <c r="AC106" s="84"/>
      <c r="AD106" s="84">
        <f>639.72</f>
        <v>639.72</v>
      </c>
      <c r="AE106" s="84"/>
      <c r="AF106" s="84"/>
      <c r="AG106" s="84">
        <f>949.37+1196.45</f>
        <v>2145.8200000000002</v>
      </c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71"/>
      <c r="AU106" s="71"/>
      <c r="AV106" s="84"/>
      <c r="AW106" s="71"/>
      <c r="AX106" s="71"/>
      <c r="AY106" s="84"/>
      <c r="AZ106" s="71"/>
      <c r="BA106" s="71"/>
      <c r="BB106" s="84"/>
      <c r="BC106" s="71"/>
      <c r="BD106" s="71"/>
      <c r="BE106" s="84"/>
      <c r="BF106" s="71"/>
      <c r="BG106" s="71"/>
      <c r="BH106" s="84"/>
      <c r="BI106" s="71"/>
      <c r="BJ106" s="71"/>
      <c r="BK106" s="156"/>
      <c r="BL106" s="156"/>
      <c r="BM106" s="156"/>
      <c r="BN106" s="156"/>
      <c r="BO106" s="156"/>
    </row>
    <row r="107" spans="1:67" ht="15.75" customHeight="1">
      <c r="A107" s="89"/>
      <c r="B107" s="90"/>
      <c r="C107" s="80" t="s">
        <v>91</v>
      </c>
      <c r="D107" s="81" t="s">
        <v>92</v>
      </c>
      <c r="E107" s="82"/>
      <c r="F107" s="82"/>
      <c r="G107" s="83" t="e">
        <f t="shared" si="1"/>
        <v>#DIV/0!</v>
      </c>
      <c r="H107" s="83" t="e">
        <f t="shared" si="2"/>
        <v>#DIV/0!</v>
      </c>
      <c r="I107" s="84"/>
      <c r="J107" s="84"/>
      <c r="K107" s="85"/>
      <c r="L107" s="86">
        <f t="shared" ref="L107:N107" si="429">X107+AA107+AD107+AG107+AJ107+AM107+AP107+AS107+AV107+AY107+BB107+BE107</f>
        <v>0</v>
      </c>
      <c r="M107" s="86">
        <f t="shared" si="429"/>
        <v>0</v>
      </c>
      <c r="N107" s="86">
        <f t="shared" si="429"/>
        <v>0</v>
      </c>
      <c r="O107" s="62">
        <f t="shared" ref="O107:Q107" si="430">IF(BH107=0,SUM(X107+AA107+AD107+AG107+AJ107+AM107+AP107+AS107+AV107+AY107+BB107+BE107),BH107)</f>
        <v>0</v>
      </c>
      <c r="P107" s="62">
        <f t="shared" si="430"/>
        <v>0</v>
      </c>
      <c r="Q107" s="62">
        <f t="shared" si="430"/>
        <v>0</v>
      </c>
      <c r="R107" s="86">
        <f t="shared" ref="R107:T107" si="431">I107-L107</f>
        <v>0</v>
      </c>
      <c r="S107" s="86">
        <f t="shared" si="431"/>
        <v>0</v>
      </c>
      <c r="T107" s="86">
        <f t="shared" si="431"/>
        <v>0</v>
      </c>
      <c r="U107" s="87" t="e">
        <f t="shared" si="106"/>
        <v>#DIV/0!</v>
      </c>
      <c r="V107" s="87" t="e">
        <f t="shared" ref="V107:W107" si="432">M107/J107</f>
        <v>#DIV/0!</v>
      </c>
      <c r="W107" s="87" t="e">
        <f t="shared" si="432"/>
        <v>#DIV/0!</v>
      </c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71"/>
      <c r="AU107" s="71"/>
      <c r="AV107" s="71"/>
      <c r="AW107" s="71"/>
      <c r="AX107" s="71"/>
      <c r="AY107" s="71"/>
      <c r="AZ107" s="71"/>
      <c r="BA107" s="71"/>
      <c r="BB107" s="84"/>
      <c r="BC107" s="71"/>
      <c r="BD107" s="71"/>
      <c r="BE107" s="71"/>
      <c r="BF107" s="71"/>
      <c r="BG107" s="71"/>
      <c r="BH107" s="71"/>
      <c r="BI107" s="71"/>
      <c r="BJ107" s="71"/>
      <c r="BK107" s="156"/>
      <c r="BL107" s="156"/>
      <c r="BM107" s="156"/>
      <c r="BN107" s="156"/>
      <c r="BO107" s="156"/>
    </row>
    <row r="108" spans="1:67" ht="14.25" customHeight="1">
      <c r="A108" s="138"/>
      <c r="B108" s="157"/>
      <c r="C108" s="140" t="s">
        <v>260</v>
      </c>
      <c r="D108" s="141" t="s">
        <v>299</v>
      </c>
      <c r="E108" s="158"/>
      <c r="F108" s="159"/>
      <c r="G108" s="83" t="e">
        <f t="shared" si="1"/>
        <v>#DIV/0!</v>
      </c>
      <c r="H108" s="83" t="e">
        <f t="shared" si="2"/>
        <v>#DIV/0!</v>
      </c>
      <c r="I108" s="142"/>
      <c r="J108" s="160"/>
      <c r="K108" s="160"/>
      <c r="L108" s="86">
        <f t="shared" ref="L108:N108" si="433">X108+AA108+AD108+AG108+AJ108+AM108+AP108+AS108+AV108+AY108+BB108+BE108</f>
        <v>0</v>
      </c>
      <c r="M108" s="86">
        <f t="shared" si="433"/>
        <v>0</v>
      </c>
      <c r="N108" s="86">
        <f t="shared" si="433"/>
        <v>0</v>
      </c>
      <c r="O108" s="62">
        <f t="shared" ref="O108:Q108" si="434">IF(BH108=0,SUM(X108+AA108+AD108+AG108+AJ108+AM108+AP108+AS108+AV108+AY108+BB108+BE108),BH108)</f>
        <v>0</v>
      </c>
      <c r="P108" s="62">
        <f t="shared" si="434"/>
        <v>0</v>
      </c>
      <c r="Q108" s="62">
        <f t="shared" si="434"/>
        <v>0</v>
      </c>
      <c r="R108" s="86">
        <f t="shared" ref="R108:T108" si="435">I108-L108</f>
        <v>0</v>
      </c>
      <c r="S108" s="86">
        <f t="shared" si="435"/>
        <v>0</v>
      </c>
      <c r="T108" s="86">
        <f t="shared" si="435"/>
        <v>0</v>
      </c>
      <c r="U108" s="87" t="e">
        <f t="shared" si="106"/>
        <v>#DIV/0!</v>
      </c>
      <c r="V108" s="87" t="e">
        <f t="shared" ref="V108:W108" si="436">M108/J108</f>
        <v>#DIV/0!</v>
      </c>
      <c r="W108" s="87" t="e">
        <f t="shared" si="436"/>
        <v>#DIV/0!</v>
      </c>
      <c r="X108" s="142"/>
      <c r="Y108" s="158"/>
      <c r="Z108" s="158"/>
      <c r="AA108" s="142"/>
      <c r="AB108" s="158"/>
      <c r="AC108" s="158"/>
      <c r="AE108" s="158"/>
      <c r="AF108" s="158"/>
      <c r="AG108" s="158"/>
      <c r="AH108" s="158"/>
      <c r="AI108" s="158"/>
      <c r="AJ108" s="158"/>
      <c r="AK108" s="158"/>
      <c r="AL108" s="158"/>
      <c r="AM108" s="158"/>
      <c r="AN108" s="158"/>
      <c r="AO108" s="158"/>
      <c r="AP108" s="158"/>
      <c r="AQ108" s="158"/>
      <c r="AR108" s="158"/>
      <c r="AS108" s="158"/>
      <c r="AT108" s="158"/>
      <c r="AU108" s="158"/>
      <c r="AW108" s="158"/>
      <c r="AX108" s="158"/>
      <c r="AY108" s="158"/>
      <c r="AZ108" s="158"/>
      <c r="BA108" s="158"/>
      <c r="BB108" s="158"/>
      <c r="BC108" s="158"/>
      <c r="BD108" s="158"/>
      <c r="BE108" s="158"/>
      <c r="BF108" s="158"/>
      <c r="BG108" s="158"/>
      <c r="BH108" s="158"/>
      <c r="BI108" s="158"/>
      <c r="BJ108" s="158"/>
      <c r="BK108" s="161"/>
      <c r="BL108" s="161"/>
      <c r="BM108" s="161"/>
      <c r="BN108" s="161"/>
      <c r="BO108" s="161"/>
    </row>
    <row r="109" spans="1:67" ht="14.25" customHeight="1">
      <c r="A109" s="138"/>
      <c r="B109" s="157"/>
      <c r="C109" s="140" t="s">
        <v>260</v>
      </c>
      <c r="D109" s="141" t="s">
        <v>299</v>
      </c>
      <c r="E109" s="158"/>
      <c r="F109" s="159"/>
      <c r="G109" s="83" t="e">
        <f t="shared" si="1"/>
        <v>#DIV/0!</v>
      </c>
      <c r="H109" s="83" t="e">
        <f t="shared" si="2"/>
        <v>#DIV/0!</v>
      </c>
      <c r="I109" s="142"/>
      <c r="J109" s="160"/>
      <c r="K109" s="160"/>
      <c r="L109" s="86">
        <f t="shared" ref="L109:N109" si="437">X109+AA109+AD109+AG109+AJ109+AM109+AP109+AS109+AV109+AY109+BB109+BE109</f>
        <v>0</v>
      </c>
      <c r="M109" s="86">
        <f t="shared" si="437"/>
        <v>0</v>
      </c>
      <c r="N109" s="86">
        <f t="shared" si="437"/>
        <v>0</v>
      </c>
      <c r="O109" s="62">
        <f t="shared" ref="O109:Q109" si="438">IF(BH109=0,SUM(X109+AA109+AD109+AG109+AJ109+AM109+AP109+AS109+AV109+AY109+BB109+BE109),BH109)</f>
        <v>0</v>
      </c>
      <c r="P109" s="62">
        <f t="shared" si="438"/>
        <v>0</v>
      </c>
      <c r="Q109" s="62">
        <f t="shared" si="438"/>
        <v>0</v>
      </c>
      <c r="R109" s="86">
        <f t="shared" ref="R109:T109" si="439">I109-L109</f>
        <v>0</v>
      </c>
      <c r="S109" s="86">
        <f t="shared" si="439"/>
        <v>0</v>
      </c>
      <c r="T109" s="86">
        <f t="shared" si="439"/>
        <v>0</v>
      </c>
      <c r="U109" s="87" t="e">
        <f t="shared" si="106"/>
        <v>#DIV/0!</v>
      </c>
      <c r="V109" s="87" t="e">
        <f t="shared" ref="V109:W109" si="440">M109/J109</f>
        <v>#DIV/0!</v>
      </c>
      <c r="W109" s="87" t="e">
        <f t="shared" si="440"/>
        <v>#DIV/0!</v>
      </c>
      <c r="X109" s="142"/>
      <c r="Y109" s="158"/>
      <c r="Z109" s="158"/>
      <c r="AA109" s="142"/>
      <c r="AB109" s="158"/>
      <c r="AC109" s="158"/>
      <c r="AD109" s="142"/>
      <c r="AE109" s="158"/>
      <c r="AF109" s="158"/>
      <c r="AG109" s="158"/>
      <c r="AH109" s="158"/>
      <c r="AI109" s="158"/>
      <c r="AJ109" s="158"/>
      <c r="AK109" s="158"/>
      <c r="AL109" s="158"/>
      <c r="AM109" s="158"/>
      <c r="AN109" s="158"/>
      <c r="AO109" s="158"/>
      <c r="AP109" s="158"/>
      <c r="AQ109" s="158"/>
      <c r="AR109" s="158"/>
      <c r="AS109" s="158"/>
      <c r="AT109" s="158"/>
      <c r="AU109" s="158"/>
      <c r="AV109" s="158"/>
      <c r="AW109" s="158"/>
      <c r="AX109" s="158"/>
      <c r="AY109" s="158"/>
      <c r="AZ109" s="158"/>
      <c r="BA109" s="158"/>
      <c r="BB109" s="158"/>
      <c r="BC109" s="158"/>
      <c r="BD109" s="158"/>
      <c r="BE109" s="158"/>
      <c r="BF109" s="158"/>
      <c r="BG109" s="158"/>
      <c r="BH109" s="158"/>
      <c r="BI109" s="158"/>
      <c r="BJ109" s="158"/>
      <c r="BK109" s="161"/>
      <c r="BL109" s="161"/>
      <c r="BM109" s="161"/>
      <c r="BN109" s="161"/>
      <c r="BO109" s="161"/>
    </row>
    <row r="110" spans="1:67" ht="14.25" customHeight="1">
      <c r="A110" s="138"/>
      <c r="B110" s="157"/>
      <c r="C110" s="140" t="s">
        <v>250</v>
      </c>
      <c r="D110" s="141" t="s">
        <v>300</v>
      </c>
      <c r="E110" s="158"/>
      <c r="F110" s="159"/>
      <c r="G110" s="83" t="e">
        <f t="shared" si="1"/>
        <v>#DIV/0!</v>
      </c>
      <c r="H110" s="83" t="e">
        <f t="shared" si="2"/>
        <v>#DIV/0!</v>
      </c>
      <c r="I110" s="142"/>
      <c r="J110" s="160"/>
      <c r="K110" s="160"/>
      <c r="L110" s="86">
        <f t="shared" ref="L110:N110" si="441">X110+AA110+AD110+AG110+AJ110+AM110+AP110+AS110+AV110+AY110+BB110+BE110</f>
        <v>0</v>
      </c>
      <c r="M110" s="86">
        <f t="shared" si="441"/>
        <v>0</v>
      </c>
      <c r="N110" s="86">
        <f t="shared" si="441"/>
        <v>0</v>
      </c>
      <c r="O110" s="62">
        <f t="shared" ref="O110:Q110" si="442">IF(BH110=0,SUM(X110+AA110+AD110+AG110+AJ110+AM110+AP110+AS110+AV110+AY110+BB110+BE110),BH110)</f>
        <v>0</v>
      </c>
      <c r="P110" s="62">
        <f t="shared" si="442"/>
        <v>0</v>
      </c>
      <c r="Q110" s="62">
        <f t="shared" si="442"/>
        <v>0</v>
      </c>
      <c r="R110" s="86">
        <f t="shared" ref="R110:T110" si="443">I110-L110</f>
        <v>0</v>
      </c>
      <c r="S110" s="86">
        <f t="shared" si="443"/>
        <v>0</v>
      </c>
      <c r="T110" s="86">
        <f t="shared" si="443"/>
        <v>0</v>
      </c>
      <c r="U110" s="87" t="e">
        <f t="shared" si="106"/>
        <v>#DIV/0!</v>
      </c>
      <c r="V110" s="87" t="e">
        <f t="shared" ref="V110:W110" si="444">M110/J110</f>
        <v>#DIV/0!</v>
      </c>
      <c r="W110" s="87" t="e">
        <f t="shared" si="444"/>
        <v>#DIV/0!</v>
      </c>
      <c r="X110" s="142"/>
      <c r="Y110" s="158"/>
      <c r="Z110" s="158"/>
      <c r="AA110" s="142"/>
      <c r="AB110" s="158"/>
      <c r="AC110" s="158"/>
      <c r="AD110" s="142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61"/>
      <c r="BL110" s="161"/>
      <c r="BM110" s="161"/>
      <c r="BN110" s="161"/>
      <c r="BO110" s="161"/>
    </row>
    <row r="111" spans="1:67" ht="14.25" customHeight="1">
      <c r="A111" s="138"/>
      <c r="B111" s="157"/>
      <c r="C111" s="140" t="s">
        <v>250</v>
      </c>
      <c r="D111" s="141" t="s">
        <v>300</v>
      </c>
      <c r="E111" s="158"/>
      <c r="F111" s="159"/>
      <c r="G111" s="83" t="e">
        <f t="shared" si="1"/>
        <v>#DIV/0!</v>
      </c>
      <c r="H111" s="83" t="e">
        <f t="shared" si="2"/>
        <v>#DIV/0!</v>
      </c>
      <c r="I111" s="142"/>
      <c r="J111" s="160"/>
      <c r="K111" s="160"/>
      <c r="L111" s="86">
        <f t="shared" ref="L111:N111" si="445">X111+AA111+AD111+AG111+AJ111+AM111+AP111+AS111+AV111+AY111+BB111+BE111</f>
        <v>0</v>
      </c>
      <c r="M111" s="86">
        <f t="shared" si="445"/>
        <v>0</v>
      </c>
      <c r="N111" s="86">
        <f t="shared" si="445"/>
        <v>0</v>
      </c>
      <c r="O111" s="62">
        <f t="shared" ref="O111:Q111" si="446">IF(BH111=0,SUM(X111+AA111+AD111+AG111+AJ111+AM111+AP111+AS111+AV111+AY111+BB111+BE111),BH111)</f>
        <v>0</v>
      </c>
      <c r="P111" s="62">
        <f t="shared" si="446"/>
        <v>0</v>
      </c>
      <c r="Q111" s="62">
        <f t="shared" si="446"/>
        <v>0</v>
      </c>
      <c r="R111" s="86">
        <f t="shared" ref="R111:T111" si="447">I111-L111</f>
        <v>0</v>
      </c>
      <c r="S111" s="86">
        <f t="shared" si="447"/>
        <v>0</v>
      </c>
      <c r="T111" s="86">
        <f t="shared" si="447"/>
        <v>0</v>
      </c>
      <c r="U111" s="87" t="e">
        <f t="shared" si="106"/>
        <v>#DIV/0!</v>
      </c>
      <c r="V111" s="87" t="e">
        <f t="shared" ref="V111:W111" si="448">M111/J111</f>
        <v>#DIV/0!</v>
      </c>
      <c r="W111" s="87" t="e">
        <f t="shared" si="448"/>
        <v>#DIV/0!</v>
      </c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  <c r="AM111" s="158"/>
      <c r="AN111" s="158"/>
      <c r="AO111" s="158"/>
      <c r="AP111" s="158"/>
      <c r="AQ111" s="158"/>
      <c r="AR111" s="158"/>
      <c r="AS111" s="158"/>
      <c r="AT111" s="158"/>
      <c r="AU111" s="158"/>
      <c r="AV111" s="158"/>
      <c r="AW111" s="158"/>
      <c r="AX111" s="158"/>
      <c r="AY111" s="158"/>
      <c r="AZ111" s="158"/>
      <c r="BA111" s="158"/>
      <c r="BB111" s="158"/>
      <c r="BC111" s="158"/>
      <c r="BD111" s="158"/>
      <c r="BE111" s="158"/>
      <c r="BF111" s="158"/>
      <c r="BG111" s="158"/>
      <c r="BH111" s="158"/>
      <c r="BI111" s="158"/>
      <c r="BJ111" s="158"/>
      <c r="BK111" s="161"/>
      <c r="BL111" s="161"/>
      <c r="BM111" s="161"/>
      <c r="BN111" s="161"/>
      <c r="BO111" s="161"/>
    </row>
    <row r="112" spans="1:67" ht="36.75" customHeight="1">
      <c r="A112" s="138"/>
      <c r="B112" s="157"/>
      <c r="C112" s="140" t="s">
        <v>301</v>
      </c>
      <c r="D112" s="162" t="s">
        <v>302</v>
      </c>
      <c r="E112" s="158"/>
      <c r="F112" s="159"/>
      <c r="G112" s="83" t="e">
        <f t="shared" si="1"/>
        <v>#DIV/0!</v>
      </c>
      <c r="H112" s="83" t="e">
        <f t="shared" si="2"/>
        <v>#DIV/0!</v>
      </c>
      <c r="I112" s="142"/>
      <c r="J112" s="143"/>
      <c r="K112" s="160"/>
      <c r="L112" s="163">
        <f t="shared" ref="L112:N112" si="449">X112+AA112+AD112+AG112+AJ112+AM112+AP112+AS112+AV112+AY112+BB112+BE112</f>
        <v>0</v>
      </c>
      <c r="M112" s="163">
        <f t="shared" si="449"/>
        <v>0</v>
      </c>
      <c r="N112" s="163">
        <f t="shared" si="449"/>
        <v>0</v>
      </c>
      <c r="O112" s="62">
        <f t="shared" ref="O112:Q112" si="450">IF(BH112=0,SUM(X112+AA112+AD112+AG112+AJ112+AM112+AP112+AS112+AV112+AY112+BB112+BE112),BH112)</f>
        <v>0</v>
      </c>
      <c r="P112" s="62">
        <f t="shared" si="450"/>
        <v>0</v>
      </c>
      <c r="Q112" s="62">
        <f t="shared" si="450"/>
        <v>0</v>
      </c>
      <c r="R112" s="86">
        <f t="shared" ref="R112:T112" si="451">I112-L112</f>
        <v>0</v>
      </c>
      <c r="S112" s="86">
        <f t="shared" si="451"/>
        <v>0</v>
      </c>
      <c r="T112" s="163">
        <f t="shared" si="451"/>
        <v>0</v>
      </c>
      <c r="U112" s="164" t="e">
        <f t="shared" si="106"/>
        <v>#DIV/0!</v>
      </c>
      <c r="V112" s="164" t="e">
        <f t="shared" ref="V112:W112" si="452">M112/J112</f>
        <v>#DIV/0!</v>
      </c>
      <c r="W112" s="164" t="e">
        <f t="shared" si="452"/>
        <v>#DIV/0!</v>
      </c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  <c r="AM112" s="158"/>
      <c r="AN112" s="158"/>
      <c r="AO112" s="158"/>
      <c r="AP112" s="158"/>
      <c r="AQ112" s="158"/>
      <c r="AR112" s="158"/>
      <c r="AS112" s="158"/>
      <c r="AT112" s="158"/>
      <c r="AU112" s="158"/>
      <c r="AV112" s="158"/>
      <c r="AW112" s="158"/>
      <c r="AX112" s="158"/>
      <c r="AY112" s="158"/>
      <c r="AZ112" s="158"/>
      <c r="BA112" s="158"/>
      <c r="BB112" s="158"/>
      <c r="BC112" s="158"/>
      <c r="BD112" s="158"/>
      <c r="BE112" s="158"/>
      <c r="BF112" s="158"/>
      <c r="BG112" s="158"/>
      <c r="BH112" s="158"/>
      <c r="BI112" s="158"/>
      <c r="BJ112" s="158"/>
      <c r="BK112" s="165"/>
      <c r="BL112" s="165"/>
      <c r="BM112" s="165"/>
      <c r="BN112" s="165"/>
      <c r="BO112" s="165"/>
    </row>
    <row r="113" spans="1:67" ht="37.5">
      <c r="A113" s="138"/>
      <c r="B113" s="166"/>
      <c r="C113" s="144" t="s">
        <v>301</v>
      </c>
      <c r="D113" s="167" t="s">
        <v>303</v>
      </c>
      <c r="E113" s="168"/>
      <c r="F113" s="168"/>
      <c r="G113" s="83" t="e">
        <f t="shared" si="1"/>
        <v>#DIV/0!</v>
      </c>
      <c r="H113" s="83" t="e">
        <f t="shared" si="2"/>
        <v>#DIV/0!</v>
      </c>
      <c r="I113" s="145"/>
      <c r="J113" s="168"/>
      <c r="K113" s="168"/>
      <c r="L113" s="163">
        <f t="shared" ref="L113:N113" si="453">X113+AA113+AD113+AG113+AJ113+AM113+AP113+AS113+AV113+AY113+BB113+BE113</f>
        <v>0</v>
      </c>
      <c r="M113" s="163">
        <f t="shared" si="453"/>
        <v>0</v>
      </c>
      <c r="N113" s="163">
        <f t="shared" si="453"/>
        <v>0</v>
      </c>
      <c r="O113" s="62">
        <f t="shared" ref="O113:Q113" si="454">IF(BH113=0,SUM(X113+AA113+AD113+AG113+AJ113+AM113+AP113+AS113+AV113+AY113+BB113+BE113),BH113)</f>
        <v>0</v>
      </c>
      <c r="P113" s="62">
        <f t="shared" si="454"/>
        <v>0</v>
      </c>
      <c r="Q113" s="62">
        <f t="shared" si="454"/>
        <v>0</v>
      </c>
      <c r="R113" s="163">
        <f t="shared" ref="R113:T113" si="455">I113-L113</f>
        <v>0</v>
      </c>
      <c r="S113" s="163">
        <f t="shared" si="455"/>
        <v>0</v>
      </c>
      <c r="T113" s="163">
        <f t="shared" si="455"/>
        <v>0</v>
      </c>
      <c r="U113" s="164" t="e">
        <f t="shared" si="106"/>
        <v>#DIV/0!</v>
      </c>
      <c r="V113" s="164" t="e">
        <f t="shared" ref="V113:W113" si="456">M113/J113</f>
        <v>#DIV/0!</v>
      </c>
      <c r="W113" s="164" t="e">
        <f t="shared" si="456"/>
        <v>#DIV/0!</v>
      </c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68"/>
      <c r="AZ113" s="168"/>
      <c r="BA113" s="168"/>
      <c r="BB113" s="168"/>
      <c r="BC113" s="168"/>
      <c r="BD113" s="168"/>
      <c r="BE113" s="168"/>
      <c r="BF113" s="168"/>
      <c r="BG113" s="168"/>
      <c r="BH113" s="168"/>
      <c r="BI113" s="168"/>
      <c r="BJ113" s="168"/>
      <c r="BK113" s="165"/>
      <c r="BL113" s="165"/>
      <c r="BM113" s="165"/>
      <c r="BN113" s="165"/>
      <c r="BO113" s="165"/>
    </row>
    <row r="114" spans="1:67" ht="18.75">
      <c r="A114" s="138"/>
      <c r="B114" s="166"/>
      <c r="C114" s="144"/>
      <c r="D114" s="169" t="s">
        <v>304</v>
      </c>
      <c r="E114" s="168"/>
      <c r="F114" s="168"/>
      <c r="G114" s="83" t="e">
        <f t="shared" si="1"/>
        <v>#DIV/0!</v>
      </c>
      <c r="H114" s="83" t="e">
        <f t="shared" si="2"/>
        <v>#DIV/0!</v>
      </c>
      <c r="I114" s="168"/>
      <c r="J114" s="168"/>
      <c r="K114" s="168"/>
      <c r="L114" s="163">
        <f t="shared" ref="L114:N114" si="457">X114+AA114+AD114+AG114+AJ114+AM114+AP114+AS114+AV114+AY114+BB114+BE114</f>
        <v>0</v>
      </c>
      <c r="M114" s="163">
        <f t="shared" si="457"/>
        <v>0</v>
      </c>
      <c r="N114" s="163">
        <f t="shared" si="457"/>
        <v>0</v>
      </c>
      <c r="O114" s="62">
        <f t="shared" ref="O114:Q114" si="458">IF(BH114=0,SUM(X114+AA114+AD114+AG114+AJ114+AM114+AP114+AS114+AV114+AY114+BB114+BE114),BH114)</f>
        <v>0</v>
      </c>
      <c r="P114" s="62">
        <f t="shared" si="458"/>
        <v>0</v>
      </c>
      <c r="Q114" s="62">
        <f t="shared" si="458"/>
        <v>0</v>
      </c>
      <c r="R114" s="163">
        <f t="shared" ref="R114:T114" si="459">I114-L114</f>
        <v>0</v>
      </c>
      <c r="S114" s="163">
        <f t="shared" si="459"/>
        <v>0</v>
      </c>
      <c r="T114" s="163">
        <f t="shared" si="459"/>
        <v>0</v>
      </c>
      <c r="U114" s="164" t="e">
        <f t="shared" si="106"/>
        <v>#DIV/0!</v>
      </c>
      <c r="V114" s="164" t="e">
        <f t="shared" ref="V114:W114" si="460">M114/J114</f>
        <v>#DIV/0!</v>
      </c>
      <c r="W114" s="164" t="e">
        <f t="shared" si="460"/>
        <v>#DIV/0!</v>
      </c>
      <c r="X114" s="168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68"/>
      <c r="AZ114" s="168"/>
      <c r="BA114" s="168"/>
      <c r="BB114" s="168"/>
      <c r="BC114" s="168"/>
      <c r="BD114" s="168"/>
      <c r="BE114" s="168"/>
      <c r="BF114" s="168"/>
      <c r="BG114" s="168"/>
      <c r="BH114" s="168"/>
      <c r="BI114" s="168"/>
      <c r="BJ114" s="168"/>
      <c r="BK114" s="165"/>
      <c r="BL114" s="165"/>
      <c r="BM114" s="165"/>
      <c r="BN114" s="165"/>
      <c r="BO114" s="165"/>
    </row>
    <row r="115" spans="1:67" ht="15.75" customHeight="1">
      <c r="A115" s="138"/>
      <c r="B115" s="139" t="s">
        <v>305</v>
      </c>
      <c r="C115" s="144" t="s">
        <v>125</v>
      </c>
      <c r="D115" s="170" t="s">
        <v>306</v>
      </c>
      <c r="E115" s="171"/>
      <c r="F115" s="170"/>
      <c r="G115" s="83" t="e">
        <f t="shared" si="1"/>
        <v>#DIV/0!</v>
      </c>
      <c r="H115" s="83" t="e">
        <f t="shared" si="2"/>
        <v>#DIV/0!</v>
      </c>
      <c r="I115" s="172"/>
      <c r="J115" s="172">
        <v>51078.68</v>
      </c>
      <c r="K115" s="172"/>
      <c r="L115" s="163">
        <f t="shared" ref="L115:N115" si="461">X115+AA115+AD115+AG115+AJ115+AM115+AP115+AS115+AV115+AY115+BB115+BE115</f>
        <v>0</v>
      </c>
      <c r="M115" s="163">
        <f t="shared" si="461"/>
        <v>0</v>
      </c>
      <c r="N115" s="163">
        <f t="shared" si="461"/>
        <v>0</v>
      </c>
      <c r="O115" s="62">
        <f t="shared" ref="O115:Q115" si="462">IF(BH115=0,SUM(X115+AA115+AD115+AG115+AJ115+AM115+AP115+AS115+AV115+AY115+BB115+BE115),BH115)</f>
        <v>0</v>
      </c>
      <c r="P115" s="62">
        <f t="shared" si="462"/>
        <v>0</v>
      </c>
      <c r="Q115" s="62">
        <f t="shared" si="462"/>
        <v>0</v>
      </c>
      <c r="R115" s="163">
        <f t="shared" ref="R115:T115" si="463">I115-L115</f>
        <v>0</v>
      </c>
      <c r="S115" s="163">
        <f t="shared" si="463"/>
        <v>51078.68</v>
      </c>
      <c r="T115" s="163">
        <f t="shared" si="463"/>
        <v>0</v>
      </c>
      <c r="U115" s="164" t="e">
        <f t="shared" si="106"/>
        <v>#DIV/0!</v>
      </c>
      <c r="V115" s="164">
        <f t="shared" ref="V115:W115" si="464">M115/J115</f>
        <v>0</v>
      </c>
      <c r="W115" s="164" t="e">
        <f t="shared" si="464"/>
        <v>#DIV/0!</v>
      </c>
      <c r="X115" s="173"/>
      <c r="Y115" s="173">
        <v>0</v>
      </c>
      <c r="Z115" s="173"/>
      <c r="AA115" s="173"/>
      <c r="AB115" s="173"/>
      <c r="AC115" s="173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173"/>
      <c r="AO115" s="173"/>
      <c r="AP115" s="173"/>
      <c r="AQ115" s="173"/>
      <c r="AR115" s="173"/>
      <c r="AS115" s="173"/>
      <c r="AT115" s="173"/>
      <c r="AU115" s="173"/>
      <c r="AV115" s="173"/>
      <c r="AW115" s="173"/>
      <c r="AX115" s="173"/>
      <c r="AY115" s="173"/>
      <c r="AZ115" s="173"/>
      <c r="BA115" s="173"/>
      <c r="BB115" s="173"/>
      <c r="BC115" s="173"/>
      <c r="BD115" s="173"/>
      <c r="BE115" s="174"/>
      <c r="BF115" s="173"/>
      <c r="BG115" s="173"/>
      <c r="BH115" s="174"/>
      <c r="BI115" s="173"/>
      <c r="BJ115" s="173"/>
      <c r="BK115" s="165"/>
      <c r="BL115" s="165"/>
      <c r="BM115" s="165"/>
      <c r="BN115" s="165"/>
      <c r="BO115" s="165"/>
    </row>
    <row r="116" spans="1:67" ht="18.75" customHeight="1">
      <c r="A116" s="175"/>
      <c r="B116" s="175"/>
      <c r="C116" s="176"/>
      <c r="D116" s="177" t="s">
        <v>307</v>
      </c>
      <c r="E116" s="178">
        <f t="shared" ref="E116:F116" si="465">SUM(E117:E118)</f>
        <v>0</v>
      </c>
      <c r="F116" s="178">
        <f t="shared" si="465"/>
        <v>0</v>
      </c>
      <c r="G116" s="179" t="e">
        <f t="shared" si="1"/>
        <v>#DIV/0!</v>
      </c>
      <c r="H116" s="180" t="e">
        <f t="shared" si="2"/>
        <v>#DIV/0!</v>
      </c>
      <c r="I116" s="178">
        <f t="shared" ref="I116:N116" si="466">SUM(I117:I118)</f>
        <v>0</v>
      </c>
      <c r="J116" s="178">
        <f t="shared" si="466"/>
        <v>0</v>
      </c>
      <c r="K116" s="178">
        <f t="shared" si="466"/>
        <v>0</v>
      </c>
      <c r="L116" s="178">
        <f t="shared" si="466"/>
        <v>0</v>
      </c>
      <c r="M116" s="178">
        <f t="shared" si="466"/>
        <v>0</v>
      </c>
      <c r="N116" s="178">
        <f t="shared" si="466"/>
        <v>0</v>
      </c>
      <c r="O116" s="65">
        <f t="shared" ref="O116:Q116" si="467">IF(BH116=0,SUM(X116+AA116+AD116+AG116+AJ116+AM116+AP116+AS116+AV116+AY116+BB116+BE116),BH116)</f>
        <v>0</v>
      </c>
      <c r="P116" s="65">
        <f t="shared" si="467"/>
        <v>0</v>
      </c>
      <c r="Q116" s="65">
        <f t="shared" si="467"/>
        <v>0</v>
      </c>
      <c r="R116" s="178">
        <f t="shared" ref="R116:T116" si="468">SUM(R117:R118)</f>
        <v>0</v>
      </c>
      <c r="S116" s="178">
        <f t="shared" si="468"/>
        <v>0</v>
      </c>
      <c r="T116" s="178">
        <f t="shared" si="468"/>
        <v>0</v>
      </c>
      <c r="U116" s="181" t="e">
        <f t="shared" si="106"/>
        <v>#DIV/0!</v>
      </c>
      <c r="V116" s="181" t="e">
        <f t="shared" ref="V116:W116" si="469">M116/J116</f>
        <v>#DIV/0!</v>
      </c>
      <c r="W116" s="181" t="e">
        <f t="shared" si="469"/>
        <v>#DIV/0!</v>
      </c>
      <c r="X116" s="178">
        <f t="shared" ref="X116:BJ116" si="470">SUM(X117:X118)</f>
        <v>0</v>
      </c>
      <c r="Y116" s="178">
        <f t="shared" si="470"/>
        <v>0</v>
      </c>
      <c r="Z116" s="178">
        <f t="shared" si="470"/>
        <v>0</v>
      </c>
      <c r="AA116" s="178">
        <f t="shared" si="470"/>
        <v>0</v>
      </c>
      <c r="AB116" s="178">
        <f t="shared" si="470"/>
        <v>0</v>
      </c>
      <c r="AC116" s="178">
        <f t="shared" si="470"/>
        <v>0</v>
      </c>
      <c r="AD116" s="178">
        <f t="shared" si="470"/>
        <v>0</v>
      </c>
      <c r="AE116" s="178">
        <f t="shared" si="470"/>
        <v>0</v>
      </c>
      <c r="AF116" s="178">
        <f t="shared" si="470"/>
        <v>0</v>
      </c>
      <c r="AG116" s="178">
        <f t="shared" si="470"/>
        <v>0</v>
      </c>
      <c r="AH116" s="178">
        <f t="shared" si="470"/>
        <v>0</v>
      </c>
      <c r="AI116" s="178">
        <f t="shared" si="470"/>
        <v>0</v>
      </c>
      <c r="AJ116" s="178">
        <f t="shared" si="470"/>
        <v>0</v>
      </c>
      <c r="AK116" s="178">
        <f t="shared" si="470"/>
        <v>0</v>
      </c>
      <c r="AL116" s="178">
        <f t="shared" si="470"/>
        <v>0</v>
      </c>
      <c r="AM116" s="178">
        <f t="shared" si="470"/>
        <v>0</v>
      </c>
      <c r="AN116" s="178">
        <f t="shared" si="470"/>
        <v>0</v>
      </c>
      <c r="AO116" s="178">
        <f t="shared" si="470"/>
        <v>0</v>
      </c>
      <c r="AP116" s="178">
        <f t="shared" si="470"/>
        <v>0</v>
      </c>
      <c r="AQ116" s="178">
        <f t="shared" si="470"/>
        <v>0</v>
      </c>
      <c r="AR116" s="178">
        <f t="shared" si="470"/>
        <v>0</v>
      </c>
      <c r="AS116" s="178">
        <f t="shared" si="470"/>
        <v>0</v>
      </c>
      <c r="AT116" s="178">
        <f t="shared" si="470"/>
        <v>0</v>
      </c>
      <c r="AU116" s="178">
        <f t="shared" si="470"/>
        <v>0</v>
      </c>
      <c r="AV116" s="178">
        <f t="shared" si="470"/>
        <v>0</v>
      </c>
      <c r="AW116" s="178">
        <f t="shared" si="470"/>
        <v>0</v>
      </c>
      <c r="AX116" s="178">
        <f t="shared" si="470"/>
        <v>0</v>
      </c>
      <c r="AY116" s="178">
        <f t="shared" si="470"/>
        <v>0</v>
      </c>
      <c r="AZ116" s="178">
        <f t="shared" si="470"/>
        <v>0</v>
      </c>
      <c r="BA116" s="178">
        <f t="shared" si="470"/>
        <v>0</v>
      </c>
      <c r="BB116" s="178">
        <f t="shared" si="470"/>
        <v>0</v>
      </c>
      <c r="BC116" s="178">
        <f t="shared" si="470"/>
        <v>0</v>
      </c>
      <c r="BD116" s="178">
        <f t="shared" si="470"/>
        <v>0</v>
      </c>
      <c r="BE116" s="178">
        <f t="shared" si="470"/>
        <v>0</v>
      </c>
      <c r="BF116" s="178">
        <f t="shared" si="470"/>
        <v>0</v>
      </c>
      <c r="BG116" s="178">
        <f t="shared" si="470"/>
        <v>0</v>
      </c>
      <c r="BH116" s="178">
        <f t="shared" si="470"/>
        <v>0</v>
      </c>
      <c r="BI116" s="178">
        <f t="shared" si="470"/>
        <v>0</v>
      </c>
      <c r="BJ116" s="178">
        <f t="shared" si="470"/>
        <v>0</v>
      </c>
      <c r="BK116" s="155"/>
      <c r="BL116" s="155"/>
      <c r="BM116" s="155"/>
      <c r="BN116" s="155"/>
      <c r="BO116" s="155"/>
    </row>
    <row r="117" spans="1:67" ht="15.75" customHeight="1">
      <c r="A117" s="89"/>
      <c r="B117" s="90"/>
      <c r="C117" s="80" t="s">
        <v>308</v>
      </c>
      <c r="D117" s="81" t="s">
        <v>309</v>
      </c>
      <c r="E117" s="82"/>
      <c r="F117" s="82"/>
      <c r="G117" s="83" t="e">
        <f t="shared" si="1"/>
        <v>#DIV/0!</v>
      </c>
      <c r="H117" s="83" t="e">
        <f t="shared" si="2"/>
        <v>#DIV/0!</v>
      </c>
      <c r="I117" s="182"/>
      <c r="J117" s="137"/>
      <c r="K117" s="182"/>
      <c r="L117" s="86">
        <f t="shared" ref="L117:N117" si="471">X117+AA117+AD117+AG117+AJ117+AM117+AP117+AS117+AV117+AY117+BB117+BE117</f>
        <v>0</v>
      </c>
      <c r="M117" s="86">
        <f t="shared" si="471"/>
        <v>0</v>
      </c>
      <c r="N117" s="86">
        <f t="shared" si="471"/>
        <v>0</v>
      </c>
      <c r="O117" s="62">
        <f t="shared" ref="O117:Q117" si="472">IF(BH117=0,SUM(X117+AA117+AD117+AG117+AJ117+AM117+AP117+AS117+AV117+AY117+BB117+BE117),BH117)</f>
        <v>0</v>
      </c>
      <c r="P117" s="62">
        <f t="shared" si="472"/>
        <v>0</v>
      </c>
      <c r="Q117" s="62">
        <f t="shared" si="472"/>
        <v>0</v>
      </c>
      <c r="R117" s="86">
        <f t="shared" ref="R117:T117" si="473">I117-L117</f>
        <v>0</v>
      </c>
      <c r="S117" s="86">
        <f t="shared" si="473"/>
        <v>0</v>
      </c>
      <c r="T117" s="86">
        <f t="shared" si="473"/>
        <v>0</v>
      </c>
      <c r="U117" s="87" t="e">
        <f t="shared" si="106"/>
        <v>#DIV/0!</v>
      </c>
      <c r="V117" s="87" t="e">
        <f t="shared" ref="V117:W117" si="474">M117/J117</f>
        <v>#DIV/0!</v>
      </c>
      <c r="W117" s="87" t="e">
        <f t="shared" si="474"/>
        <v>#DIV/0!</v>
      </c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88"/>
      <c r="BL117" s="88"/>
      <c r="BM117" s="88"/>
      <c r="BN117" s="88"/>
      <c r="BO117" s="88"/>
    </row>
    <row r="118" spans="1:67" ht="15.75" customHeight="1">
      <c r="A118" s="89"/>
      <c r="B118" s="90"/>
      <c r="C118" s="80" t="s">
        <v>263</v>
      </c>
      <c r="D118" s="129" t="s">
        <v>310</v>
      </c>
      <c r="E118" s="130"/>
      <c r="F118" s="82"/>
      <c r="G118" s="83" t="e">
        <f t="shared" si="1"/>
        <v>#DIV/0!</v>
      </c>
      <c r="H118" s="83" t="e">
        <f t="shared" si="2"/>
        <v>#DIV/0!</v>
      </c>
      <c r="I118" s="137"/>
      <c r="J118" s="93"/>
      <c r="K118" s="93"/>
      <c r="L118" s="86">
        <f t="shared" ref="L118:N118" si="475">X118+AA118+AD118+AG118+AJ118+AM118+AP118+AS118+AV118+AY118+BB118+BE118</f>
        <v>0</v>
      </c>
      <c r="M118" s="86">
        <f t="shared" si="475"/>
        <v>0</v>
      </c>
      <c r="N118" s="86">
        <f t="shared" si="475"/>
        <v>0</v>
      </c>
      <c r="O118" s="62">
        <f t="shared" ref="O118:Q118" si="476">IF(BH118=0,SUM(X118+AA118+AD118+AG118+AJ118+AM118+AP118+AS118+AV118+AY118+BB118+BE118),BH118)</f>
        <v>0</v>
      </c>
      <c r="P118" s="62">
        <f t="shared" si="476"/>
        <v>0</v>
      </c>
      <c r="Q118" s="62">
        <f t="shared" si="476"/>
        <v>0</v>
      </c>
      <c r="R118" s="86">
        <f t="shared" ref="R118:T118" si="477">I118-L118</f>
        <v>0</v>
      </c>
      <c r="S118" s="86">
        <f t="shared" si="477"/>
        <v>0</v>
      </c>
      <c r="T118" s="86">
        <f t="shared" si="477"/>
        <v>0</v>
      </c>
      <c r="U118" s="87" t="e">
        <f t="shared" si="106"/>
        <v>#DIV/0!</v>
      </c>
      <c r="V118" s="87" t="e">
        <f t="shared" ref="V118:W118" si="478">M118/J118</f>
        <v>#DIV/0!</v>
      </c>
      <c r="W118" s="87" t="e">
        <f t="shared" si="478"/>
        <v>#DIV/0!</v>
      </c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182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182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88"/>
      <c r="BL118" s="88"/>
      <c r="BM118" s="88"/>
      <c r="BN118" s="88"/>
      <c r="BO118" s="88"/>
    </row>
    <row r="119" spans="1:67" ht="15.75" customHeight="1">
      <c r="A119" s="149"/>
      <c r="B119" s="149"/>
      <c r="C119" s="183"/>
      <c r="D119" s="151" t="s">
        <v>311</v>
      </c>
      <c r="E119" s="152">
        <f t="shared" ref="E119:F119" si="479">SUM(E120:E122)</f>
        <v>0</v>
      </c>
      <c r="F119" s="152">
        <f t="shared" si="479"/>
        <v>0</v>
      </c>
      <c r="G119" s="184" t="e">
        <f t="shared" si="1"/>
        <v>#DIV/0!</v>
      </c>
      <c r="H119" s="153" t="e">
        <f t="shared" si="2"/>
        <v>#DIV/0!</v>
      </c>
      <c r="I119" s="152">
        <f t="shared" ref="I119:N119" si="480">SUM(I120:I122)</f>
        <v>0</v>
      </c>
      <c r="J119" s="152">
        <f t="shared" si="480"/>
        <v>0</v>
      </c>
      <c r="K119" s="152">
        <f t="shared" si="480"/>
        <v>0</v>
      </c>
      <c r="L119" s="152">
        <f t="shared" si="480"/>
        <v>0</v>
      </c>
      <c r="M119" s="152">
        <f t="shared" si="480"/>
        <v>0</v>
      </c>
      <c r="N119" s="152">
        <f t="shared" si="480"/>
        <v>0</v>
      </c>
      <c r="O119" s="65">
        <f t="shared" ref="O119:Q119" si="481">IF(BH119=0,SUM(X119+AA119+AD119+AG119+AJ119+AM119+AP119+AS119+AV119+AY119+BB119+BE119),BH119)</f>
        <v>0</v>
      </c>
      <c r="P119" s="65">
        <f t="shared" si="481"/>
        <v>0</v>
      </c>
      <c r="Q119" s="65">
        <f t="shared" si="481"/>
        <v>0</v>
      </c>
      <c r="R119" s="152">
        <f t="shared" ref="R119:T119" si="482">SUM(R120:R122)</f>
        <v>0</v>
      </c>
      <c r="S119" s="152">
        <f t="shared" si="482"/>
        <v>0</v>
      </c>
      <c r="T119" s="152">
        <f t="shared" si="482"/>
        <v>0</v>
      </c>
      <c r="U119" s="185" t="e">
        <f t="shared" si="106"/>
        <v>#DIV/0!</v>
      </c>
      <c r="V119" s="185" t="e">
        <f t="shared" ref="V119:W119" si="483">M119/J119</f>
        <v>#DIV/0!</v>
      </c>
      <c r="W119" s="185" t="e">
        <f t="shared" si="483"/>
        <v>#DIV/0!</v>
      </c>
      <c r="X119" s="152">
        <f t="shared" ref="X119:BJ119" si="484">SUM(X120:X122)</f>
        <v>0</v>
      </c>
      <c r="Y119" s="152">
        <f t="shared" si="484"/>
        <v>0</v>
      </c>
      <c r="Z119" s="152">
        <f t="shared" si="484"/>
        <v>0</v>
      </c>
      <c r="AA119" s="152">
        <f t="shared" si="484"/>
        <v>0</v>
      </c>
      <c r="AB119" s="152">
        <f t="shared" si="484"/>
        <v>0</v>
      </c>
      <c r="AC119" s="152">
        <f t="shared" si="484"/>
        <v>0</v>
      </c>
      <c r="AD119" s="152">
        <f t="shared" si="484"/>
        <v>0</v>
      </c>
      <c r="AE119" s="152">
        <f t="shared" si="484"/>
        <v>0</v>
      </c>
      <c r="AF119" s="152">
        <f t="shared" si="484"/>
        <v>0</v>
      </c>
      <c r="AG119" s="152">
        <f t="shared" si="484"/>
        <v>0</v>
      </c>
      <c r="AH119" s="152">
        <f t="shared" si="484"/>
        <v>0</v>
      </c>
      <c r="AI119" s="152">
        <f t="shared" si="484"/>
        <v>0</v>
      </c>
      <c r="AJ119" s="152">
        <f t="shared" si="484"/>
        <v>0</v>
      </c>
      <c r="AK119" s="152">
        <f t="shared" si="484"/>
        <v>0</v>
      </c>
      <c r="AL119" s="152">
        <f t="shared" si="484"/>
        <v>0</v>
      </c>
      <c r="AM119" s="152">
        <f t="shared" si="484"/>
        <v>0</v>
      </c>
      <c r="AN119" s="152">
        <f t="shared" si="484"/>
        <v>0</v>
      </c>
      <c r="AO119" s="152">
        <f t="shared" si="484"/>
        <v>0</v>
      </c>
      <c r="AP119" s="152">
        <f t="shared" si="484"/>
        <v>0</v>
      </c>
      <c r="AQ119" s="152">
        <f t="shared" si="484"/>
        <v>0</v>
      </c>
      <c r="AR119" s="152">
        <f t="shared" si="484"/>
        <v>0</v>
      </c>
      <c r="AS119" s="152">
        <f t="shared" si="484"/>
        <v>0</v>
      </c>
      <c r="AT119" s="152">
        <f t="shared" si="484"/>
        <v>0</v>
      </c>
      <c r="AU119" s="152">
        <f t="shared" si="484"/>
        <v>0</v>
      </c>
      <c r="AV119" s="152">
        <f t="shared" si="484"/>
        <v>0</v>
      </c>
      <c r="AW119" s="152">
        <f t="shared" si="484"/>
        <v>0</v>
      </c>
      <c r="AX119" s="152">
        <f t="shared" si="484"/>
        <v>0</v>
      </c>
      <c r="AY119" s="152">
        <f t="shared" si="484"/>
        <v>0</v>
      </c>
      <c r="AZ119" s="152">
        <f t="shared" si="484"/>
        <v>0</v>
      </c>
      <c r="BA119" s="152">
        <f t="shared" si="484"/>
        <v>0</v>
      </c>
      <c r="BB119" s="152">
        <f t="shared" si="484"/>
        <v>0</v>
      </c>
      <c r="BC119" s="152">
        <f t="shared" si="484"/>
        <v>0</v>
      </c>
      <c r="BD119" s="152">
        <f t="shared" si="484"/>
        <v>0</v>
      </c>
      <c r="BE119" s="152">
        <f t="shared" si="484"/>
        <v>0</v>
      </c>
      <c r="BF119" s="152">
        <f t="shared" si="484"/>
        <v>0</v>
      </c>
      <c r="BG119" s="152">
        <f t="shared" si="484"/>
        <v>0</v>
      </c>
      <c r="BH119" s="152">
        <f t="shared" si="484"/>
        <v>0</v>
      </c>
      <c r="BI119" s="152">
        <f t="shared" si="484"/>
        <v>0</v>
      </c>
      <c r="BJ119" s="152">
        <f t="shared" si="484"/>
        <v>0</v>
      </c>
      <c r="BK119" s="155"/>
      <c r="BL119" s="155"/>
      <c r="BM119" s="155"/>
      <c r="BN119" s="155"/>
      <c r="BO119" s="155"/>
    </row>
    <row r="120" spans="1:67" ht="15.75" customHeight="1">
      <c r="A120" s="79"/>
      <c r="B120" s="80"/>
      <c r="C120" s="80" t="s">
        <v>89</v>
      </c>
      <c r="D120" s="81" t="s">
        <v>90</v>
      </c>
      <c r="E120" s="82"/>
      <c r="F120" s="82"/>
      <c r="G120" s="83" t="e">
        <f t="shared" si="1"/>
        <v>#DIV/0!</v>
      </c>
      <c r="H120" s="83" t="e">
        <f t="shared" si="2"/>
        <v>#DIV/0!</v>
      </c>
      <c r="I120" s="137"/>
      <c r="J120" s="137"/>
      <c r="K120" s="182"/>
      <c r="L120" s="86">
        <f t="shared" ref="L120:N120" si="485">X120+AA120+AD120+AG120+AJ120+AM120+AP120+AS120+AV120+AY120+BB120+BE120</f>
        <v>0</v>
      </c>
      <c r="M120" s="86">
        <f t="shared" si="485"/>
        <v>0</v>
      </c>
      <c r="N120" s="86">
        <f t="shared" si="485"/>
        <v>0</v>
      </c>
      <c r="O120" s="62">
        <f t="shared" ref="O120:Q120" si="486">IF(BH120=0,SUM(X120+AA120+AD120+AG120+AJ120+AM120+AP120+AS120+AV120+AY120+BB120+BE120),BH120)</f>
        <v>0</v>
      </c>
      <c r="P120" s="62">
        <f t="shared" si="486"/>
        <v>0</v>
      </c>
      <c r="Q120" s="62">
        <f t="shared" si="486"/>
        <v>0</v>
      </c>
      <c r="R120" s="86">
        <f t="shared" ref="R120:T120" si="487">I120-L120</f>
        <v>0</v>
      </c>
      <c r="S120" s="86">
        <f t="shared" si="487"/>
        <v>0</v>
      </c>
      <c r="T120" s="86">
        <f t="shared" si="487"/>
        <v>0</v>
      </c>
      <c r="U120" s="87" t="e">
        <f t="shared" si="106"/>
        <v>#DIV/0!</v>
      </c>
      <c r="V120" s="87" t="e">
        <f t="shared" ref="V120:W120" si="488">M120/J120</f>
        <v>#DIV/0!</v>
      </c>
      <c r="W120" s="87" t="e">
        <f t="shared" si="488"/>
        <v>#DIV/0!</v>
      </c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37"/>
      <c r="BB120" s="137"/>
      <c r="BC120" s="137"/>
      <c r="BD120" s="137"/>
      <c r="BE120" s="137"/>
      <c r="BF120" s="137"/>
      <c r="BG120" s="137"/>
      <c r="BH120" s="137"/>
      <c r="BI120" s="137"/>
      <c r="BJ120" s="137"/>
      <c r="BK120" s="88"/>
      <c r="BL120" s="88"/>
      <c r="BM120" s="88"/>
      <c r="BN120" s="88"/>
      <c r="BO120" s="88"/>
    </row>
    <row r="121" spans="1:67" ht="15.75" customHeight="1">
      <c r="A121" s="89"/>
      <c r="B121" s="90"/>
      <c r="C121" s="80" t="s">
        <v>91</v>
      </c>
      <c r="D121" s="81" t="s">
        <v>92</v>
      </c>
      <c r="E121" s="82"/>
      <c r="F121" s="82"/>
      <c r="G121" s="83" t="e">
        <f t="shared" si="1"/>
        <v>#DIV/0!</v>
      </c>
      <c r="H121" s="83" t="e">
        <f t="shared" si="2"/>
        <v>#DIV/0!</v>
      </c>
      <c r="I121" s="137"/>
      <c r="J121" s="137"/>
      <c r="K121" s="182"/>
      <c r="L121" s="86">
        <f t="shared" ref="L121:N121" si="489">X121+AA121+AD121+AG121+AJ121+AM121+AP121+AS121+AV121+AY121+BB121+BE121</f>
        <v>0</v>
      </c>
      <c r="M121" s="86">
        <f t="shared" si="489"/>
        <v>0</v>
      </c>
      <c r="N121" s="86">
        <f t="shared" si="489"/>
        <v>0</v>
      </c>
      <c r="O121" s="62">
        <f t="shared" ref="O121:Q121" si="490">IF(BH121=0,SUM(X121+AA121+AD121+AG121+AJ121+AM121+AP121+AS121+AV121+AY121+BB121+BE121),BH121)</f>
        <v>0</v>
      </c>
      <c r="P121" s="62">
        <f t="shared" si="490"/>
        <v>0</v>
      </c>
      <c r="Q121" s="62">
        <f t="shared" si="490"/>
        <v>0</v>
      </c>
      <c r="R121" s="86">
        <f t="shared" ref="R121:T121" si="491">I121-L121</f>
        <v>0</v>
      </c>
      <c r="S121" s="86">
        <f t="shared" si="491"/>
        <v>0</v>
      </c>
      <c r="T121" s="86">
        <f t="shared" si="491"/>
        <v>0</v>
      </c>
      <c r="U121" s="87" t="e">
        <f t="shared" si="106"/>
        <v>#DIV/0!</v>
      </c>
      <c r="V121" s="87" t="e">
        <f t="shared" ref="V121:W121" si="492">M121/J121</f>
        <v>#DIV/0!</v>
      </c>
      <c r="W121" s="87" t="e">
        <f t="shared" si="492"/>
        <v>#DIV/0!</v>
      </c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37"/>
      <c r="BG121" s="137"/>
      <c r="BH121" s="137"/>
      <c r="BI121" s="137"/>
      <c r="BJ121" s="137"/>
      <c r="BK121" s="88"/>
      <c r="BL121" s="88"/>
      <c r="BM121" s="88"/>
      <c r="BN121" s="88"/>
      <c r="BO121" s="88"/>
    </row>
    <row r="122" spans="1:67" ht="41.25" customHeight="1">
      <c r="A122" s="89"/>
      <c r="B122" s="90"/>
      <c r="C122" s="80" t="s">
        <v>158</v>
      </c>
      <c r="D122" s="81" t="s">
        <v>312</v>
      </c>
      <c r="E122" s="82"/>
      <c r="F122" s="82"/>
      <c r="G122" s="83" t="e">
        <f t="shared" si="1"/>
        <v>#DIV/0!</v>
      </c>
      <c r="H122" s="83" t="e">
        <f t="shared" si="2"/>
        <v>#DIV/0!</v>
      </c>
      <c r="I122" s="82"/>
      <c r="J122" s="137"/>
      <c r="K122" s="182"/>
      <c r="L122" s="86">
        <f t="shared" ref="L122:N122" si="493">X122+AA122+AD122+AG122+AJ122+AM122+AP122+AS122+AV122+AY122+BB122+BE122</f>
        <v>0</v>
      </c>
      <c r="M122" s="86">
        <f t="shared" si="493"/>
        <v>0</v>
      </c>
      <c r="N122" s="86">
        <f t="shared" si="493"/>
        <v>0</v>
      </c>
      <c r="O122" s="62">
        <f t="shared" ref="O122:Q122" si="494">IF(BH122=0,SUM(X122+AA122+AD122+AG122+AJ122+AM122+AP122+AS122+AV122+AY122+BB122+BE122),BH122)</f>
        <v>0</v>
      </c>
      <c r="P122" s="62">
        <f t="shared" si="494"/>
        <v>0</v>
      </c>
      <c r="Q122" s="62">
        <f t="shared" si="494"/>
        <v>0</v>
      </c>
      <c r="R122" s="86">
        <f t="shared" ref="R122:T122" si="495">I122-L122</f>
        <v>0</v>
      </c>
      <c r="S122" s="86">
        <f t="shared" si="495"/>
        <v>0</v>
      </c>
      <c r="T122" s="86">
        <f t="shared" si="495"/>
        <v>0</v>
      </c>
      <c r="U122" s="87" t="e">
        <f t="shared" si="106"/>
        <v>#DIV/0!</v>
      </c>
      <c r="V122" s="87" t="e">
        <f t="shared" ref="V122:W122" si="496">M122/J122</f>
        <v>#DIV/0!</v>
      </c>
      <c r="W122" s="87" t="e">
        <f t="shared" si="496"/>
        <v>#DIV/0!</v>
      </c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37"/>
      <c r="BA122" s="137"/>
      <c r="BB122" s="137"/>
      <c r="BC122" s="137"/>
      <c r="BD122" s="137"/>
      <c r="BE122" s="137"/>
      <c r="BF122" s="137"/>
      <c r="BG122" s="137"/>
      <c r="BH122" s="137"/>
      <c r="BI122" s="137"/>
      <c r="BJ122" s="137"/>
      <c r="BK122" s="88"/>
      <c r="BL122" s="88"/>
      <c r="BM122" s="88"/>
      <c r="BN122" s="88"/>
      <c r="BO122" s="88"/>
    </row>
    <row r="123" spans="1:67" ht="15.75" customHeight="1">
      <c r="A123" s="149"/>
      <c r="B123" s="149"/>
      <c r="C123" s="183"/>
      <c r="D123" s="151" t="s">
        <v>313</v>
      </c>
      <c r="E123" s="152">
        <f t="shared" ref="E123:F123" si="497">SUM(E124:E127)</f>
        <v>0</v>
      </c>
      <c r="F123" s="152">
        <f t="shared" si="497"/>
        <v>0</v>
      </c>
      <c r="G123" s="184" t="e">
        <f t="shared" si="1"/>
        <v>#DIV/0!</v>
      </c>
      <c r="H123" s="153" t="e">
        <f t="shared" si="2"/>
        <v>#DIV/0!</v>
      </c>
      <c r="I123" s="152">
        <f t="shared" ref="I123:N123" si="498">SUM(I124:I127)</f>
        <v>0</v>
      </c>
      <c r="J123" s="152">
        <f t="shared" si="498"/>
        <v>0</v>
      </c>
      <c r="K123" s="152">
        <f t="shared" si="498"/>
        <v>0</v>
      </c>
      <c r="L123" s="152">
        <f t="shared" si="498"/>
        <v>0</v>
      </c>
      <c r="M123" s="152">
        <f t="shared" si="498"/>
        <v>0</v>
      </c>
      <c r="N123" s="152">
        <f t="shared" si="498"/>
        <v>0</v>
      </c>
      <c r="O123" s="65">
        <f t="shared" ref="O123:Q123" si="499">IF(BH123=0,SUM(X123+AA123+AD123+AG123+AJ123+AM123+AP123+AS123+AV123+AY123+BB123+BE123),BH123)</f>
        <v>0</v>
      </c>
      <c r="P123" s="65">
        <f t="shared" si="499"/>
        <v>0</v>
      </c>
      <c r="Q123" s="65">
        <f t="shared" si="499"/>
        <v>0</v>
      </c>
      <c r="R123" s="152">
        <f t="shared" ref="R123:T123" si="500">SUM(R124:R127)</f>
        <v>0</v>
      </c>
      <c r="S123" s="152">
        <f t="shared" si="500"/>
        <v>0</v>
      </c>
      <c r="T123" s="152">
        <f t="shared" si="500"/>
        <v>0</v>
      </c>
      <c r="U123" s="185" t="e">
        <f t="shared" si="106"/>
        <v>#DIV/0!</v>
      </c>
      <c r="V123" s="185" t="e">
        <f t="shared" ref="V123:W123" si="501">M123/J123</f>
        <v>#DIV/0!</v>
      </c>
      <c r="W123" s="185" t="e">
        <f t="shared" si="501"/>
        <v>#DIV/0!</v>
      </c>
      <c r="X123" s="152">
        <f t="shared" ref="X123:BJ123" si="502">SUM(X124:X127)</f>
        <v>0</v>
      </c>
      <c r="Y123" s="152">
        <f t="shared" si="502"/>
        <v>0</v>
      </c>
      <c r="Z123" s="152">
        <f t="shared" si="502"/>
        <v>0</v>
      </c>
      <c r="AA123" s="152">
        <f t="shared" si="502"/>
        <v>0</v>
      </c>
      <c r="AB123" s="152">
        <f t="shared" si="502"/>
        <v>0</v>
      </c>
      <c r="AC123" s="152">
        <f t="shared" si="502"/>
        <v>0</v>
      </c>
      <c r="AD123" s="152">
        <f t="shared" si="502"/>
        <v>0</v>
      </c>
      <c r="AE123" s="152">
        <f t="shared" si="502"/>
        <v>0</v>
      </c>
      <c r="AF123" s="152">
        <f t="shared" si="502"/>
        <v>0</v>
      </c>
      <c r="AG123" s="152">
        <f t="shared" si="502"/>
        <v>0</v>
      </c>
      <c r="AH123" s="152">
        <f t="shared" si="502"/>
        <v>0</v>
      </c>
      <c r="AI123" s="152">
        <f t="shared" si="502"/>
        <v>0</v>
      </c>
      <c r="AJ123" s="152">
        <f t="shared" si="502"/>
        <v>0</v>
      </c>
      <c r="AK123" s="152">
        <f t="shared" si="502"/>
        <v>0</v>
      </c>
      <c r="AL123" s="152">
        <f t="shared" si="502"/>
        <v>0</v>
      </c>
      <c r="AM123" s="152">
        <f t="shared" si="502"/>
        <v>0</v>
      </c>
      <c r="AN123" s="152">
        <f t="shared" si="502"/>
        <v>0</v>
      </c>
      <c r="AO123" s="152">
        <f t="shared" si="502"/>
        <v>0</v>
      </c>
      <c r="AP123" s="152">
        <f t="shared" si="502"/>
        <v>0</v>
      </c>
      <c r="AQ123" s="152">
        <f t="shared" si="502"/>
        <v>0</v>
      </c>
      <c r="AR123" s="152">
        <f t="shared" si="502"/>
        <v>0</v>
      </c>
      <c r="AS123" s="152">
        <f t="shared" si="502"/>
        <v>0</v>
      </c>
      <c r="AT123" s="152">
        <f t="shared" si="502"/>
        <v>0</v>
      </c>
      <c r="AU123" s="152">
        <f t="shared" si="502"/>
        <v>0</v>
      </c>
      <c r="AV123" s="152">
        <f t="shared" si="502"/>
        <v>0</v>
      </c>
      <c r="AW123" s="152">
        <f t="shared" si="502"/>
        <v>0</v>
      </c>
      <c r="AX123" s="152">
        <f t="shared" si="502"/>
        <v>0</v>
      </c>
      <c r="AY123" s="152">
        <f t="shared" si="502"/>
        <v>0</v>
      </c>
      <c r="AZ123" s="152">
        <f t="shared" si="502"/>
        <v>0</v>
      </c>
      <c r="BA123" s="152">
        <f t="shared" si="502"/>
        <v>0</v>
      </c>
      <c r="BB123" s="152">
        <f t="shared" si="502"/>
        <v>0</v>
      </c>
      <c r="BC123" s="152">
        <f t="shared" si="502"/>
        <v>0</v>
      </c>
      <c r="BD123" s="152">
        <f t="shared" si="502"/>
        <v>0</v>
      </c>
      <c r="BE123" s="152">
        <f t="shared" si="502"/>
        <v>0</v>
      </c>
      <c r="BF123" s="152">
        <f t="shared" si="502"/>
        <v>0</v>
      </c>
      <c r="BG123" s="152">
        <f t="shared" si="502"/>
        <v>0</v>
      </c>
      <c r="BH123" s="152">
        <f t="shared" si="502"/>
        <v>0</v>
      </c>
      <c r="BI123" s="152">
        <f t="shared" si="502"/>
        <v>0</v>
      </c>
      <c r="BJ123" s="152">
        <f t="shared" si="502"/>
        <v>0</v>
      </c>
      <c r="BK123" s="155"/>
      <c r="BL123" s="155"/>
      <c r="BM123" s="155"/>
      <c r="BN123" s="155"/>
      <c r="BO123" s="155"/>
    </row>
    <row r="124" spans="1:67" ht="15.75" customHeight="1">
      <c r="A124" s="79"/>
      <c r="B124" s="80"/>
      <c r="C124" s="80" t="s">
        <v>89</v>
      </c>
      <c r="D124" s="81" t="s">
        <v>314</v>
      </c>
      <c r="E124" s="82"/>
      <c r="F124" s="82"/>
      <c r="G124" s="83" t="e">
        <f t="shared" si="1"/>
        <v>#DIV/0!</v>
      </c>
      <c r="H124" s="83" t="e">
        <f t="shared" si="2"/>
        <v>#DIV/0!</v>
      </c>
      <c r="I124" s="82"/>
      <c r="J124" s="137"/>
      <c r="K124" s="182"/>
      <c r="L124" s="86">
        <f t="shared" ref="L124:N124" si="503">X124+AA124+AD124+AG124+AJ124+AM124+AP124+AS124+AV124+AY124+BB124+BE124</f>
        <v>0</v>
      </c>
      <c r="M124" s="86">
        <f t="shared" si="503"/>
        <v>0</v>
      </c>
      <c r="N124" s="86">
        <f t="shared" si="503"/>
        <v>0</v>
      </c>
      <c r="O124" s="62">
        <f t="shared" ref="O124:Q124" si="504">IF(BH124=0,SUM(X124+AA124+AD124+AG124+AJ124+AM124+AP124+AS124+AV124+AY124+BB124+BE124),BH124)</f>
        <v>0</v>
      </c>
      <c r="P124" s="62">
        <f t="shared" si="504"/>
        <v>0</v>
      </c>
      <c r="Q124" s="62">
        <f t="shared" si="504"/>
        <v>0</v>
      </c>
      <c r="R124" s="86">
        <f t="shared" ref="R124:T124" si="505">I124-L124</f>
        <v>0</v>
      </c>
      <c r="S124" s="86">
        <f t="shared" si="505"/>
        <v>0</v>
      </c>
      <c r="T124" s="86">
        <f t="shared" si="505"/>
        <v>0</v>
      </c>
      <c r="U124" s="87" t="e">
        <f t="shared" si="106"/>
        <v>#DIV/0!</v>
      </c>
      <c r="V124" s="87" t="e">
        <f t="shared" ref="V124:W124" si="506">M124/J124</f>
        <v>#DIV/0!</v>
      </c>
      <c r="W124" s="87" t="e">
        <f t="shared" si="506"/>
        <v>#DIV/0!</v>
      </c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  <c r="AL124" s="137"/>
      <c r="AM124" s="137"/>
      <c r="AN124" s="137"/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  <c r="AY124" s="137"/>
      <c r="AZ124" s="137"/>
      <c r="BA124" s="137"/>
      <c r="BB124" s="137"/>
      <c r="BC124" s="137"/>
      <c r="BD124" s="137"/>
      <c r="BE124" s="137"/>
      <c r="BF124" s="137"/>
      <c r="BG124" s="137"/>
      <c r="BH124" s="137"/>
      <c r="BI124" s="137"/>
      <c r="BJ124" s="137"/>
      <c r="BK124" s="88"/>
      <c r="BL124" s="88"/>
      <c r="BM124" s="88"/>
      <c r="BN124" s="88"/>
      <c r="BO124" s="88"/>
    </row>
    <row r="125" spans="1:67" ht="15.75" customHeight="1">
      <c r="A125" s="89"/>
      <c r="B125" s="90"/>
      <c r="C125" s="80" t="s">
        <v>315</v>
      </c>
      <c r="D125" s="117" t="s">
        <v>316</v>
      </c>
      <c r="E125" s="97"/>
      <c r="F125" s="97"/>
      <c r="G125" s="83" t="e">
        <f t="shared" si="1"/>
        <v>#DIV/0!</v>
      </c>
      <c r="H125" s="83" t="e">
        <f t="shared" si="2"/>
        <v>#DIV/0!</v>
      </c>
      <c r="I125" s="182"/>
      <c r="J125" s="186"/>
      <c r="K125" s="182"/>
      <c r="L125" s="86">
        <f t="shared" ref="L125:N125" si="507">X125+AA125+AD125+AG125+AJ125+AM125+AP125+AS125+AV125+AY125+BB125+BE125</f>
        <v>0</v>
      </c>
      <c r="M125" s="86">
        <f t="shared" si="507"/>
        <v>0</v>
      </c>
      <c r="N125" s="86">
        <f t="shared" si="507"/>
        <v>0</v>
      </c>
      <c r="O125" s="62">
        <f t="shared" ref="O125:Q125" si="508">IF(BH125=0,SUM(X125+AA125+AD125+AG125+AJ125+AM125+AP125+AS125+AV125+AY125+BB125+BE125),BH125)</f>
        <v>0</v>
      </c>
      <c r="P125" s="62">
        <f t="shared" si="508"/>
        <v>0</v>
      </c>
      <c r="Q125" s="62">
        <f t="shared" si="508"/>
        <v>0</v>
      </c>
      <c r="R125" s="86">
        <f t="shared" ref="R125:T125" si="509">I125-L125</f>
        <v>0</v>
      </c>
      <c r="S125" s="86">
        <f t="shared" si="509"/>
        <v>0</v>
      </c>
      <c r="T125" s="86">
        <f t="shared" si="509"/>
        <v>0</v>
      </c>
      <c r="U125" s="87" t="e">
        <f t="shared" si="106"/>
        <v>#DIV/0!</v>
      </c>
      <c r="V125" s="87" t="e">
        <f t="shared" ref="V125:W125" si="510">M125/J125</f>
        <v>#DIV/0!</v>
      </c>
      <c r="W125" s="87" t="e">
        <f t="shared" si="510"/>
        <v>#DIV/0!</v>
      </c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37"/>
      <c r="BB125" s="137"/>
      <c r="BC125" s="137"/>
      <c r="BD125" s="137"/>
      <c r="BE125" s="137"/>
      <c r="BF125" s="137"/>
      <c r="BG125" s="137"/>
      <c r="BH125" s="137"/>
      <c r="BI125" s="137"/>
      <c r="BJ125" s="137"/>
      <c r="BK125" s="88"/>
      <c r="BL125" s="88"/>
      <c r="BM125" s="88"/>
      <c r="BN125" s="88"/>
      <c r="BO125" s="88"/>
    </row>
    <row r="126" spans="1:67" ht="37.5">
      <c r="A126" s="89"/>
      <c r="B126" s="90"/>
      <c r="C126" s="80" t="s">
        <v>94</v>
      </c>
      <c r="D126" s="117" t="s">
        <v>317</v>
      </c>
      <c r="E126" s="97"/>
      <c r="F126" s="97"/>
      <c r="G126" s="83" t="e">
        <f t="shared" si="1"/>
        <v>#DIV/0!</v>
      </c>
      <c r="H126" s="83" t="e">
        <f t="shared" si="2"/>
        <v>#DIV/0!</v>
      </c>
      <c r="I126" s="97"/>
      <c r="J126" s="186"/>
      <c r="K126" s="182"/>
      <c r="L126" s="86">
        <f t="shared" ref="L126:N126" si="511">X126+AA126+AD126+AG126+AJ126+AM126+AP126+AS126+AV126+AY126+BB126+BE126</f>
        <v>0</v>
      </c>
      <c r="M126" s="86">
        <f t="shared" si="511"/>
        <v>0</v>
      </c>
      <c r="N126" s="86">
        <f t="shared" si="511"/>
        <v>0</v>
      </c>
      <c r="O126" s="62">
        <f t="shared" ref="O126:Q126" si="512">IF(BH126=0,SUM(X126+AA126+AD126+AG126+AJ126+AM126+AP126+AS126+AV126+AY126+BB126+BE126),BH126)</f>
        <v>0</v>
      </c>
      <c r="P126" s="62">
        <f t="shared" si="512"/>
        <v>0</v>
      </c>
      <c r="Q126" s="62">
        <f t="shared" si="512"/>
        <v>0</v>
      </c>
      <c r="R126" s="86">
        <f t="shared" ref="R126:T126" si="513">I126-L126</f>
        <v>0</v>
      </c>
      <c r="S126" s="86">
        <f t="shared" si="513"/>
        <v>0</v>
      </c>
      <c r="T126" s="86">
        <f t="shared" si="513"/>
        <v>0</v>
      </c>
      <c r="U126" s="87" t="e">
        <f t="shared" si="106"/>
        <v>#DIV/0!</v>
      </c>
      <c r="V126" s="87" t="e">
        <f t="shared" ref="V126:W126" si="514">M126/J126</f>
        <v>#DIV/0!</v>
      </c>
      <c r="W126" s="87" t="e">
        <f t="shared" si="514"/>
        <v>#DIV/0!</v>
      </c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37"/>
      <c r="BB126" s="137"/>
      <c r="BC126" s="137"/>
      <c r="BD126" s="137"/>
      <c r="BE126" s="137"/>
      <c r="BF126" s="137"/>
      <c r="BG126" s="137"/>
      <c r="BH126" s="137"/>
      <c r="BI126" s="137"/>
      <c r="BJ126" s="137"/>
      <c r="BK126" s="88"/>
      <c r="BL126" s="88"/>
      <c r="BM126" s="88"/>
      <c r="BN126" s="88"/>
      <c r="BO126" s="88"/>
    </row>
    <row r="127" spans="1:67" ht="18.75">
      <c r="A127" s="89"/>
      <c r="B127" s="90"/>
      <c r="C127" s="80"/>
      <c r="D127" s="117"/>
      <c r="E127" s="97"/>
      <c r="F127" s="97"/>
      <c r="G127" s="83" t="e">
        <f t="shared" si="1"/>
        <v>#DIV/0!</v>
      </c>
      <c r="H127" s="83" t="e">
        <f t="shared" si="2"/>
        <v>#DIV/0!</v>
      </c>
      <c r="I127" s="97"/>
      <c r="J127" s="186"/>
      <c r="K127" s="182"/>
      <c r="L127" s="86">
        <f t="shared" ref="L127:N127" si="515">X127+AA127+AD127+AG127+AJ127+AM127+AP127+AS127+AV127+AY127+BB127+BE127</f>
        <v>0</v>
      </c>
      <c r="M127" s="86">
        <f t="shared" si="515"/>
        <v>0</v>
      </c>
      <c r="N127" s="86">
        <f t="shared" si="515"/>
        <v>0</v>
      </c>
      <c r="O127" s="62">
        <f t="shared" ref="O127:Q127" si="516">IF(BH127=0,SUM(X127+AA127+AD127+AG127+AJ127+AM127+AP127+AS127+AV127+AY127+BB127+BE127),BH127)</f>
        <v>0</v>
      </c>
      <c r="P127" s="62">
        <f t="shared" si="516"/>
        <v>0</v>
      </c>
      <c r="Q127" s="62">
        <f t="shared" si="516"/>
        <v>0</v>
      </c>
      <c r="R127" s="86">
        <f t="shared" ref="R127:T127" si="517">I127-L127</f>
        <v>0</v>
      </c>
      <c r="S127" s="86">
        <f t="shared" si="517"/>
        <v>0</v>
      </c>
      <c r="T127" s="86">
        <f t="shared" si="517"/>
        <v>0</v>
      </c>
      <c r="U127" s="87" t="e">
        <f t="shared" si="106"/>
        <v>#DIV/0!</v>
      </c>
      <c r="V127" s="87" t="e">
        <f t="shared" ref="V127:W127" si="518">M127/J127</f>
        <v>#DIV/0!</v>
      </c>
      <c r="W127" s="87" t="e">
        <f t="shared" si="518"/>
        <v>#DIV/0!</v>
      </c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/>
      <c r="BD127" s="137"/>
      <c r="BE127" s="137"/>
      <c r="BF127" s="137"/>
      <c r="BG127" s="137"/>
      <c r="BH127" s="137"/>
      <c r="BI127" s="137"/>
      <c r="BJ127" s="137"/>
      <c r="BK127" s="88"/>
      <c r="BL127" s="88"/>
      <c r="BM127" s="88"/>
      <c r="BN127" s="88"/>
      <c r="BO127" s="88"/>
    </row>
    <row r="128" spans="1:67" ht="15.75" customHeight="1">
      <c r="A128" s="149"/>
      <c r="B128" s="149"/>
      <c r="C128" s="183"/>
      <c r="D128" s="151" t="s">
        <v>318</v>
      </c>
      <c r="E128" s="152">
        <f t="shared" ref="E128:F128" si="519">SUM(E129:E131)</f>
        <v>0</v>
      </c>
      <c r="F128" s="152">
        <f t="shared" si="519"/>
        <v>0</v>
      </c>
      <c r="G128" s="184" t="e">
        <f t="shared" si="1"/>
        <v>#DIV/0!</v>
      </c>
      <c r="H128" s="153" t="e">
        <f t="shared" si="2"/>
        <v>#DIV/0!</v>
      </c>
      <c r="I128" s="152">
        <f t="shared" ref="I128:K128" si="520">SUM(I129:I134)</f>
        <v>15923.2</v>
      </c>
      <c r="J128" s="152">
        <f t="shared" si="520"/>
        <v>55773.460000000006</v>
      </c>
      <c r="K128" s="152">
        <f t="shared" si="520"/>
        <v>0</v>
      </c>
      <c r="L128" s="152">
        <f t="shared" ref="L128:N128" si="521">SUM(L131:L133)</f>
        <v>7946.16</v>
      </c>
      <c r="M128" s="152">
        <f t="shared" si="521"/>
        <v>621.46</v>
      </c>
      <c r="N128" s="152">
        <f t="shared" si="521"/>
        <v>0</v>
      </c>
      <c r="O128" s="65">
        <f t="shared" ref="O128:Q128" si="522">IF(BH128=0,SUM(X128+AA128+AD128+AG128+AJ128+AM128+AP128+AS128+AV128+AY128+BB128+BE128),BH128)</f>
        <v>15892.32</v>
      </c>
      <c r="P128" s="65">
        <f t="shared" si="522"/>
        <v>621.46</v>
      </c>
      <c r="Q128" s="65">
        <f t="shared" si="522"/>
        <v>0</v>
      </c>
      <c r="R128" s="152">
        <f t="shared" ref="R128:T128" si="523">SUM(R131:R133)</f>
        <v>15.440000000000509</v>
      </c>
      <c r="S128" s="152">
        <f t="shared" si="523"/>
        <v>55152</v>
      </c>
      <c r="T128" s="152">
        <f t="shared" si="523"/>
        <v>0</v>
      </c>
      <c r="U128" s="185">
        <f t="shared" si="106"/>
        <v>0.49903034565916393</v>
      </c>
      <c r="V128" s="185">
        <f t="shared" ref="V128:W128" si="524">M128/J128</f>
        <v>1.11425756981905E-2</v>
      </c>
      <c r="W128" s="185" t="e">
        <f t="shared" si="524"/>
        <v>#DIV/0!</v>
      </c>
      <c r="X128" s="152">
        <f t="shared" ref="X128:BJ128" si="525">SUM(X131:X135)</f>
        <v>0</v>
      </c>
      <c r="Y128" s="152">
        <f t="shared" si="525"/>
        <v>0</v>
      </c>
      <c r="Z128" s="152">
        <f t="shared" si="525"/>
        <v>0</v>
      </c>
      <c r="AA128" s="152">
        <f t="shared" si="525"/>
        <v>0</v>
      </c>
      <c r="AB128" s="152">
        <f t="shared" si="525"/>
        <v>621.46</v>
      </c>
      <c r="AC128" s="152">
        <f t="shared" si="525"/>
        <v>0</v>
      </c>
      <c r="AD128" s="152">
        <f t="shared" si="525"/>
        <v>0</v>
      </c>
      <c r="AE128" s="152">
        <f t="shared" si="525"/>
        <v>0</v>
      </c>
      <c r="AF128" s="152">
        <f t="shared" si="525"/>
        <v>0</v>
      </c>
      <c r="AG128" s="152">
        <f t="shared" si="525"/>
        <v>15892.32</v>
      </c>
      <c r="AH128" s="152">
        <f t="shared" si="525"/>
        <v>0</v>
      </c>
      <c r="AI128" s="152">
        <f t="shared" si="525"/>
        <v>0</v>
      </c>
      <c r="AJ128" s="152">
        <f t="shared" si="525"/>
        <v>0</v>
      </c>
      <c r="AK128" s="152">
        <f t="shared" si="525"/>
        <v>0</v>
      </c>
      <c r="AL128" s="152">
        <f t="shared" si="525"/>
        <v>0</v>
      </c>
      <c r="AM128" s="152">
        <f t="shared" si="525"/>
        <v>0</v>
      </c>
      <c r="AN128" s="152">
        <f t="shared" si="525"/>
        <v>0</v>
      </c>
      <c r="AO128" s="152">
        <f t="shared" si="525"/>
        <v>0</v>
      </c>
      <c r="AP128" s="152">
        <f t="shared" si="525"/>
        <v>0</v>
      </c>
      <c r="AQ128" s="152">
        <f t="shared" si="525"/>
        <v>0</v>
      </c>
      <c r="AR128" s="152">
        <f t="shared" si="525"/>
        <v>0</v>
      </c>
      <c r="AS128" s="152">
        <f t="shared" si="525"/>
        <v>0</v>
      </c>
      <c r="AT128" s="152">
        <f t="shared" si="525"/>
        <v>0</v>
      </c>
      <c r="AU128" s="152">
        <f t="shared" si="525"/>
        <v>0</v>
      </c>
      <c r="AV128" s="152">
        <f t="shared" si="525"/>
        <v>0</v>
      </c>
      <c r="AW128" s="152">
        <f t="shared" si="525"/>
        <v>0</v>
      </c>
      <c r="AX128" s="152">
        <f t="shared" si="525"/>
        <v>0</v>
      </c>
      <c r="AY128" s="152">
        <f t="shared" si="525"/>
        <v>0</v>
      </c>
      <c r="AZ128" s="152">
        <f t="shared" si="525"/>
        <v>0</v>
      </c>
      <c r="BA128" s="152">
        <f t="shared" si="525"/>
        <v>0</v>
      </c>
      <c r="BB128" s="152">
        <f t="shared" si="525"/>
        <v>0</v>
      </c>
      <c r="BC128" s="152">
        <f t="shared" si="525"/>
        <v>0</v>
      </c>
      <c r="BD128" s="152">
        <f t="shared" si="525"/>
        <v>0</v>
      </c>
      <c r="BE128" s="152">
        <f t="shared" si="525"/>
        <v>0</v>
      </c>
      <c r="BF128" s="152">
        <f t="shared" si="525"/>
        <v>0</v>
      </c>
      <c r="BG128" s="152">
        <f t="shared" si="525"/>
        <v>0</v>
      </c>
      <c r="BH128" s="152">
        <f t="shared" si="525"/>
        <v>0</v>
      </c>
      <c r="BI128" s="152">
        <f t="shared" si="525"/>
        <v>0</v>
      </c>
      <c r="BJ128" s="152">
        <f t="shared" si="525"/>
        <v>0</v>
      </c>
      <c r="BK128" s="155"/>
      <c r="BL128" s="155"/>
      <c r="BM128" s="155"/>
      <c r="BN128" s="155"/>
      <c r="BO128" s="155"/>
    </row>
    <row r="129" spans="1:67" ht="51.75" customHeight="1">
      <c r="A129" s="121"/>
      <c r="B129" s="187"/>
      <c r="C129" s="123" t="s">
        <v>319</v>
      </c>
      <c r="D129" s="129" t="s">
        <v>320</v>
      </c>
      <c r="E129" s="188"/>
      <c r="F129" s="188"/>
      <c r="G129" s="83" t="e">
        <f t="shared" si="1"/>
        <v>#DIV/0!</v>
      </c>
      <c r="H129" s="83" t="e">
        <f t="shared" si="2"/>
        <v>#DIV/0!</v>
      </c>
      <c r="I129" s="188"/>
      <c r="J129" s="188"/>
      <c r="K129" s="188"/>
      <c r="L129" s="86">
        <f t="shared" ref="L129:N129" si="526">X129+AA129+AD129+AG129+AJ129+AM129+AP129+AS129+AV129+AY129+BB129+BE129</f>
        <v>0</v>
      </c>
      <c r="M129" s="86">
        <f t="shared" si="526"/>
        <v>0</v>
      </c>
      <c r="N129" s="86">
        <f t="shared" si="526"/>
        <v>0</v>
      </c>
      <c r="O129" s="62">
        <f t="shared" ref="O129:Q129" si="527">IF(BH129=0,SUM(X129+AA129+AD129+AG129+AJ129+AM129+AP129+AS129+AV129+AY129+BB129+BE129),BH129)</f>
        <v>0</v>
      </c>
      <c r="P129" s="62">
        <f t="shared" si="527"/>
        <v>0</v>
      </c>
      <c r="Q129" s="62">
        <f t="shared" si="527"/>
        <v>0</v>
      </c>
      <c r="R129" s="86">
        <f t="shared" ref="R129:T129" si="528">I129-L129</f>
        <v>0</v>
      </c>
      <c r="S129" s="86">
        <f t="shared" si="528"/>
        <v>0</v>
      </c>
      <c r="T129" s="86">
        <f t="shared" si="528"/>
        <v>0</v>
      </c>
      <c r="U129" s="87" t="e">
        <f t="shared" si="106"/>
        <v>#DIV/0!</v>
      </c>
      <c r="V129" s="87" t="e">
        <f t="shared" ref="V129:W129" si="529">M129/J129</f>
        <v>#DIV/0!</v>
      </c>
      <c r="W129" s="87" t="e">
        <f t="shared" si="529"/>
        <v>#DIV/0!</v>
      </c>
      <c r="X129" s="188"/>
      <c r="Y129" s="188"/>
      <c r="Z129" s="188"/>
      <c r="AA129" s="188"/>
      <c r="AB129" s="188"/>
      <c r="AC129" s="188"/>
      <c r="AD129" s="188"/>
      <c r="AE129" s="188"/>
      <c r="AF129" s="188"/>
      <c r="AG129" s="188"/>
      <c r="AH129" s="188"/>
      <c r="AI129" s="188"/>
      <c r="AJ129" s="188"/>
      <c r="AK129" s="188"/>
      <c r="AL129" s="188"/>
      <c r="AM129" s="188"/>
      <c r="AN129" s="188"/>
      <c r="AO129" s="188"/>
      <c r="AP129" s="188"/>
      <c r="AQ129" s="188"/>
      <c r="AR129" s="188"/>
      <c r="AS129" s="188"/>
      <c r="AT129" s="188"/>
      <c r="AU129" s="188"/>
      <c r="AV129" s="188"/>
      <c r="AW129" s="188"/>
      <c r="AX129" s="188"/>
      <c r="AY129" s="188"/>
      <c r="AZ129" s="188"/>
      <c r="BA129" s="188"/>
      <c r="BB129" s="188"/>
      <c r="BC129" s="188"/>
      <c r="BD129" s="188"/>
      <c r="BE129" s="188"/>
      <c r="BF129" s="188"/>
      <c r="BG129" s="188"/>
      <c r="BH129" s="188"/>
      <c r="BI129" s="188"/>
      <c r="BJ129" s="188"/>
      <c r="BK129" s="155"/>
      <c r="BL129" s="155"/>
      <c r="BM129" s="155"/>
      <c r="BN129" s="155"/>
      <c r="BO129" s="155"/>
    </row>
    <row r="130" spans="1:67" ht="15.75" customHeight="1">
      <c r="A130" s="121"/>
      <c r="B130" s="122"/>
      <c r="C130" s="189" t="s">
        <v>321</v>
      </c>
      <c r="D130" s="129" t="s">
        <v>320</v>
      </c>
      <c r="E130" s="188"/>
      <c r="F130" s="188"/>
      <c r="G130" s="83" t="e">
        <f t="shared" si="1"/>
        <v>#DIV/0!</v>
      </c>
      <c r="H130" s="83" t="e">
        <f t="shared" si="2"/>
        <v>#DIV/0!</v>
      </c>
      <c r="I130" s="188"/>
      <c r="J130" s="188"/>
      <c r="K130" s="188"/>
      <c r="L130" s="86">
        <f t="shared" ref="L130:N130" si="530">X130+AA130+AD130+AG130+AJ130+AM130+AP130+AS130+AV130+AY130+BB130+BE130</f>
        <v>0</v>
      </c>
      <c r="M130" s="86">
        <f t="shared" si="530"/>
        <v>0</v>
      </c>
      <c r="N130" s="86">
        <f t="shared" si="530"/>
        <v>0</v>
      </c>
      <c r="O130" s="62">
        <f t="shared" ref="O130:Q130" si="531">IF(BH130=0,SUM(X130+AA130+AD130+AG130+AJ130+AM130+AP130+AS130+AV130+AY130+BB130+BE130),BH130)</f>
        <v>0</v>
      </c>
      <c r="P130" s="62">
        <f t="shared" si="531"/>
        <v>0</v>
      </c>
      <c r="Q130" s="62">
        <f t="shared" si="531"/>
        <v>0</v>
      </c>
      <c r="R130" s="86">
        <f t="shared" ref="R130:T130" si="532">I130-L130</f>
        <v>0</v>
      </c>
      <c r="S130" s="86">
        <f t="shared" si="532"/>
        <v>0</v>
      </c>
      <c r="T130" s="86">
        <f t="shared" si="532"/>
        <v>0</v>
      </c>
      <c r="U130" s="87" t="e">
        <f t="shared" si="106"/>
        <v>#DIV/0!</v>
      </c>
      <c r="V130" s="87" t="e">
        <f t="shared" ref="V130:W130" si="533">M130/J130</f>
        <v>#DIV/0!</v>
      </c>
      <c r="W130" s="87" t="e">
        <f t="shared" si="533"/>
        <v>#DIV/0!</v>
      </c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55"/>
      <c r="BL130" s="155"/>
      <c r="BM130" s="155"/>
      <c r="BN130" s="155"/>
      <c r="BO130" s="155"/>
    </row>
    <row r="131" spans="1:67" ht="15.75" customHeight="1">
      <c r="A131" s="121"/>
      <c r="B131" s="121"/>
      <c r="C131" s="189"/>
      <c r="D131" s="190"/>
      <c r="E131" s="188"/>
      <c r="F131" s="188"/>
      <c r="G131" s="83" t="e">
        <f t="shared" si="1"/>
        <v>#DIV/0!</v>
      </c>
      <c r="H131" s="83" t="e">
        <f t="shared" si="2"/>
        <v>#DIV/0!</v>
      </c>
      <c r="I131" s="188"/>
      <c r="J131" s="188"/>
      <c r="K131" s="188"/>
      <c r="L131" s="86">
        <f t="shared" ref="L131:N131" si="534">X131+AA131+AD131+AG131+AJ131+AM131+AP131+AS131+AV131+AY131+BB131+BE131</f>
        <v>0</v>
      </c>
      <c r="M131" s="86">
        <f t="shared" si="534"/>
        <v>0</v>
      </c>
      <c r="N131" s="86">
        <f t="shared" si="534"/>
        <v>0</v>
      </c>
      <c r="O131" s="62">
        <f t="shared" ref="O131:Q131" si="535">IF(BH131=0,SUM(X131+AA131+AD131+AG131+AJ131+AM131+AP131+AS131+AV131+AY131+BB131+BE131),BH131)</f>
        <v>0</v>
      </c>
      <c r="P131" s="62">
        <f t="shared" si="535"/>
        <v>0</v>
      </c>
      <c r="Q131" s="62">
        <f t="shared" si="535"/>
        <v>0</v>
      </c>
      <c r="R131" s="86">
        <f t="shared" ref="R131:T131" si="536">I131-L131</f>
        <v>0</v>
      </c>
      <c r="S131" s="86">
        <f t="shared" si="536"/>
        <v>0</v>
      </c>
      <c r="T131" s="86">
        <f t="shared" si="536"/>
        <v>0</v>
      </c>
      <c r="U131" s="87" t="e">
        <f t="shared" si="106"/>
        <v>#DIV/0!</v>
      </c>
      <c r="V131" s="87" t="e">
        <f t="shared" ref="V131:W131" si="537">M131/J131</f>
        <v>#DIV/0!</v>
      </c>
      <c r="W131" s="87" t="e">
        <f t="shared" si="537"/>
        <v>#DIV/0!</v>
      </c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55"/>
      <c r="BL131" s="155"/>
      <c r="BM131" s="155"/>
      <c r="BN131" s="155"/>
      <c r="BO131" s="155"/>
    </row>
    <row r="132" spans="1:67" ht="15.75" customHeight="1">
      <c r="A132" s="149"/>
      <c r="B132" s="149"/>
      <c r="C132" s="183"/>
      <c r="D132" s="151" t="s">
        <v>322</v>
      </c>
      <c r="E132" s="152">
        <f t="shared" ref="E132:F132" si="538">SUM(E133:E140)</f>
        <v>0</v>
      </c>
      <c r="F132" s="152">
        <f t="shared" si="538"/>
        <v>0</v>
      </c>
      <c r="G132" s="184" t="e">
        <f t="shared" si="1"/>
        <v>#DIV/0!</v>
      </c>
      <c r="H132" s="153" t="e">
        <f t="shared" si="2"/>
        <v>#DIV/0!</v>
      </c>
      <c r="I132" s="152">
        <f t="shared" ref="I132:N132" si="539">SUM(I133:I140)</f>
        <v>7961.6</v>
      </c>
      <c r="J132" s="152">
        <f t="shared" si="539"/>
        <v>55462.73</v>
      </c>
      <c r="K132" s="152">
        <f t="shared" si="539"/>
        <v>0</v>
      </c>
      <c r="L132" s="152">
        <f t="shared" si="539"/>
        <v>7946.16</v>
      </c>
      <c r="M132" s="152">
        <f t="shared" si="539"/>
        <v>310.73</v>
      </c>
      <c r="N132" s="152">
        <f t="shared" si="539"/>
        <v>0</v>
      </c>
      <c r="O132" s="65">
        <f t="shared" ref="O132:Q132" si="540">IF(BH132=0,SUM(X132+AA132+AD132+AG132+AJ132+AM132+AP132+AS132+AV132+AY132+BB132+BE132),BH132)</f>
        <v>7946.16</v>
      </c>
      <c r="P132" s="65">
        <f t="shared" si="540"/>
        <v>310.73</v>
      </c>
      <c r="Q132" s="65">
        <f t="shared" si="540"/>
        <v>0</v>
      </c>
      <c r="R132" s="152">
        <f t="shared" ref="R132:T132" si="541">SUM(R133:R140)</f>
        <v>15.440000000000509</v>
      </c>
      <c r="S132" s="152">
        <f t="shared" si="541"/>
        <v>55152</v>
      </c>
      <c r="T132" s="152">
        <f t="shared" si="541"/>
        <v>0</v>
      </c>
      <c r="U132" s="185">
        <f t="shared" si="106"/>
        <v>0.99806069131832786</v>
      </c>
      <c r="V132" s="185">
        <f t="shared" ref="V132:W132" si="542">M132/J132</f>
        <v>5.6025009948121917E-3</v>
      </c>
      <c r="W132" s="185" t="e">
        <f t="shared" si="542"/>
        <v>#DIV/0!</v>
      </c>
      <c r="X132" s="152">
        <f t="shared" ref="X132:BJ132" si="543">SUM(X133:X140)</f>
        <v>0</v>
      </c>
      <c r="Y132" s="152">
        <f t="shared" si="543"/>
        <v>0</v>
      </c>
      <c r="Z132" s="152">
        <f t="shared" si="543"/>
        <v>0</v>
      </c>
      <c r="AA132" s="152">
        <f t="shared" si="543"/>
        <v>0</v>
      </c>
      <c r="AB132" s="152">
        <f t="shared" si="543"/>
        <v>310.73</v>
      </c>
      <c r="AC132" s="152">
        <f t="shared" si="543"/>
        <v>0</v>
      </c>
      <c r="AD132" s="152">
        <f t="shared" si="543"/>
        <v>0</v>
      </c>
      <c r="AE132" s="152">
        <f t="shared" si="543"/>
        <v>0</v>
      </c>
      <c r="AF132" s="152">
        <f t="shared" si="543"/>
        <v>0</v>
      </c>
      <c r="AG132" s="152">
        <f t="shared" si="543"/>
        <v>7946.16</v>
      </c>
      <c r="AH132" s="152">
        <f t="shared" si="543"/>
        <v>0</v>
      </c>
      <c r="AI132" s="152">
        <f t="shared" si="543"/>
        <v>0</v>
      </c>
      <c r="AJ132" s="152">
        <f t="shared" si="543"/>
        <v>0</v>
      </c>
      <c r="AK132" s="152">
        <f t="shared" si="543"/>
        <v>0</v>
      </c>
      <c r="AL132" s="152">
        <f t="shared" si="543"/>
        <v>0</v>
      </c>
      <c r="AM132" s="152">
        <f t="shared" si="543"/>
        <v>0</v>
      </c>
      <c r="AN132" s="152">
        <f t="shared" si="543"/>
        <v>0</v>
      </c>
      <c r="AO132" s="152">
        <f t="shared" si="543"/>
        <v>0</v>
      </c>
      <c r="AP132" s="152">
        <f t="shared" si="543"/>
        <v>0</v>
      </c>
      <c r="AQ132" s="152">
        <f t="shared" si="543"/>
        <v>0</v>
      </c>
      <c r="AR132" s="152">
        <f t="shared" si="543"/>
        <v>0</v>
      </c>
      <c r="AS132" s="152">
        <f t="shared" si="543"/>
        <v>0</v>
      </c>
      <c r="AT132" s="152">
        <f t="shared" si="543"/>
        <v>0</v>
      </c>
      <c r="AU132" s="152">
        <f t="shared" si="543"/>
        <v>0</v>
      </c>
      <c r="AV132" s="152">
        <f t="shared" si="543"/>
        <v>0</v>
      </c>
      <c r="AW132" s="152">
        <f t="shared" si="543"/>
        <v>0</v>
      </c>
      <c r="AX132" s="152">
        <f t="shared" si="543"/>
        <v>0</v>
      </c>
      <c r="AY132" s="152">
        <f t="shared" si="543"/>
        <v>0</v>
      </c>
      <c r="AZ132" s="152">
        <f t="shared" si="543"/>
        <v>0</v>
      </c>
      <c r="BA132" s="152">
        <f t="shared" si="543"/>
        <v>0</v>
      </c>
      <c r="BB132" s="152">
        <f t="shared" si="543"/>
        <v>0</v>
      </c>
      <c r="BC132" s="152">
        <f t="shared" si="543"/>
        <v>0</v>
      </c>
      <c r="BD132" s="152">
        <f t="shared" si="543"/>
        <v>0</v>
      </c>
      <c r="BE132" s="152">
        <f t="shared" si="543"/>
        <v>0</v>
      </c>
      <c r="BF132" s="152">
        <f t="shared" si="543"/>
        <v>0</v>
      </c>
      <c r="BG132" s="152">
        <f t="shared" si="543"/>
        <v>0</v>
      </c>
      <c r="BH132" s="152">
        <f t="shared" si="543"/>
        <v>0</v>
      </c>
      <c r="BI132" s="152">
        <f t="shared" si="543"/>
        <v>0</v>
      </c>
      <c r="BJ132" s="152">
        <f t="shared" si="543"/>
        <v>0</v>
      </c>
      <c r="BK132" s="155"/>
      <c r="BL132" s="155"/>
      <c r="BM132" s="155"/>
      <c r="BN132" s="155"/>
      <c r="BO132" s="155"/>
    </row>
    <row r="133" spans="1:67" ht="37.5">
      <c r="A133" s="89"/>
      <c r="B133" s="95" t="s">
        <v>323</v>
      </c>
      <c r="C133" s="80" t="s">
        <v>142</v>
      </c>
      <c r="D133" s="117" t="s">
        <v>574</v>
      </c>
      <c r="E133" s="97"/>
      <c r="F133" s="97"/>
      <c r="G133" s="83" t="e">
        <f t="shared" si="1"/>
        <v>#DIV/0!</v>
      </c>
      <c r="H133" s="83" t="e">
        <f t="shared" si="2"/>
        <v>#DIV/0!</v>
      </c>
      <c r="I133" s="137"/>
      <c r="J133" s="137">
        <v>310.73</v>
      </c>
      <c r="K133" s="191"/>
      <c r="L133" s="86">
        <f t="shared" ref="L133:N133" si="544">X133+AA133+AD133+AG133+AJ133+AM133+AP133+AS133+AV133+AY133+BB133+BE133</f>
        <v>0</v>
      </c>
      <c r="M133" s="86">
        <f t="shared" si="544"/>
        <v>310.73</v>
      </c>
      <c r="N133" s="86">
        <f t="shared" si="544"/>
        <v>0</v>
      </c>
      <c r="O133" s="62">
        <f t="shared" ref="O133:Q133" si="545">IF(BH133=0,SUM(X133+AA133+AD133+AG133+AJ133+AM133+AP133+AS133+AV133+AY133+BB133+BE133),BH133)</f>
        <v>0</v>
      </c>
      <c r="P133" s="62">
        <f t="shared" si="545"/>
        <v>310.73</v>
      </c>
      <c r="Q133" s="62">
        <f t="shared" si="545"/>
        <v>0</v>
      </c>
      <c r="R133" s="86">
        <f t="shared" ref="R133:T133" si="546">I133-L133</f>
        <v>0</v>
      </c>
      <c r="S133" s="86">
        <f t="shared" si="546"/>
        <v>0</v>
      </c>
      <c r="T133" s="86">
        <f t="shared" si="546"/>
        <v>0</v>
      </c>
      <c r="U133" s="87" t="e">
        <f t="shared" si="106"/>
        <v>#DIV/0!</v>
      </c>
      <c r="V133" s="87">
        <f t="shared" ref="V133:W133" si="547">M133/J133</f>
        <v>1</v>
      </c>
      <c r="W133" s="87" t="e">
        <f t="shared" si="547"/>
        <v>#DIV/0!</v>
      </c>
      <c r="X133" s="137"/>
      <c r="Y133" s="137">
        <v>0</v>
      </c>
      <c r="Z133" s="137"/>
      <c r="AA133" s="137"/>
      <c r="AB133" s="137">
        <f>310.73</f>
        <v>310.73</v>
      </c>
      <c r="AC133" s="137"/>
      <c r="AD133" s="137"/>
      <c r="AE133" s="137"/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  <c r="AY133" s="137"/>
      <c r="AZ133" s="137"/>
      <c r="BA133" s="137"/>
      <c r="BB133" s="137"/>
      <c r="BC133" s="137"/>
      <c r="BD133" s="137"/>
      <c r="BE133" s="137"/>
      <c r="BF133" s="137"/>
      <c r="BG133" s="137"/>
      <c r="BH133" s="137"/>
      <c r="BI133" s="137"/>
      <c r="BJ133" s="137"/>
      <c r="BK133" s="88"/>
      <c r="BL133" s="88"/>
      <c r="BM133" s="88"/>
      <c r="BN133" s="88"/>
      <c r="BO133" s="88"/>
    </row>
    <row r="134" spans="1:67" ht="37.5">
      <c r="A134" s="89" t="s">
        <v>324</v>
      </c>
      <c r="B134" s="95"/>
      <c r="C134" s="80" t="s">
        <v>325</v>
      </c>
      <c r="D134" s="117" t="s">
        <v>575</v>
      </c>
      <c r="E134" s="97"/>
      <c r="F134" s="97"/>
      <c r="G134" s="83" t="e">
        <f t="shared" si="1"/>
        <v>#DIV/0!</v>
      </c>
      <c r="H134" s="83" t="e">
        <f t="shared" si="2"/>
        <v>#DIV/0!</v>
      </c>
      <c r="I134" s="137">
        <v>7961.6</v>
      </c>
      <c r="J134" s="137"/>
      <c r="K134" s="137"/>
      <c r="L134" s="86">
        <f t="shared" ref="L134:N134" si="548">X134+AA134+AD134+AG134+AJ134+AM134+AP134+AS134+AV134+AY134+BB134+BE134</f>
        <v>7946.16</v>
      </c>
      <c r="M134" s="86">
        <f t="shared" si="548"/>
        <v>0</v>
      </c>
      <c r="N134" s="86">
        <f t="shared" si="548"/>
        <v>0</v>
      </c>
      <c r="O134" s="62">
        <f t="shared" ref="O134:Q134" si="549">IF(BH134=0,SUM(X134+AA134+AD134+AG134+AJ134+AM134+AP134+AS134+AV134+AY134+BB134+BE134),BH134)</f>
        <v>7946.16</v>
      </c>
      <c r="P134" s="62">
        <f t="shared" si="549"/>
        <v>0</v>
      </c>
      <c r="Q134" s="62">
        <f t="shared" si="549"/>
        <v>0</v>
      </c>
      <c r="R134" s="86">
        <f t="shared" ref="R134:T134" si="550">I134-L134</f>
        <v>15.440000000000509</v>
      </c>
      <c r="S134" s="86">
        <f t="shared" si="550"/>
        <v>0</v>
      </c>
      <c r="T134" s="86">
        <f t="shared" si="550"/>
        <v>0</v>
      </c>
      <c r="U134" s="87">
        <f t="shared" si="106"/>
        <v>0.99806069131832786</v>
      </c>
      <c r="V134" s="87" t="e">
        <f t="shared" ref="V134:W134" si="551">M134/J134</f>
        <v>#DIV/0!</v>
      </c>
      <c r="W134" s="87" t="e">
        <f t="shared" si="551"/>
        <v>#DIV/0!</v>
      </c>
      <c r="X134" s="137">
        <v>0</v>
      </c>
      <c r="Y134" s="137"/>
      <c r="Z134" s="137"/>
      <c r="AA134" s="137">
        <v>0</v>
      </c>
      <c r="AB134" s="137"/>
      <c r="AC134" s="137"/>
      <c r="AD134" s="137">
        <v>0</v>
      </c>
      <c r="AE134" s="192"/>
      <c r="AF134" s="137"/>
      <c r="AG134" s="137">
        <f>7946.16</f>
        <v>7946.16</v>
      </c>
      <c r="AH134" s="137"/>
      <c r="AI134" s="137"/>
      <c r="AJ134" s="137"/>
      <c r="AK134" s="137"/>
      <c r="AL134" s="137"/>
      <c r="AM134" s="137"/>
      <c r="AN134" s="137"/>
      <c r="AO134" s="137"/>
      <c r="AP134" s="137"/>
      <c r="AQ134" s="137"/>
      <c r="AR134" s="137"/>
      <c r="AS134" s="137"/>
      <c r="AT134" s="137"/>
      <c r="AU134" s="137"/>
      <c r="AV134" s="137"/>
      <c r="AW134" s="137"/>
      <c r="AX134" s="137"/>
      <c r="AY134" s="137"/>
      <c r="AZ134" s="137"/>
      <c r="BA134" s="137"/>
      <c r="BB134" s="137"/>
      <c r="BC134" s="137"/>
      <c r="BD134" s="137"/>
      <c r="BE134" s="137"/>
      <c r="BF134" s="137"/>
      <c r="BG134" s="137"/>
      <c r="BH134" s="137"/>
      <c r="BI134" s="137"/>
      <c r="BJ134" s="137"/>
      <c r="BK134" s="88"/>
      <c r="BL134" s="88"/>
      <c r="BM134" s="88"/>
      <c r="BN134" s="88"/>
      <c r="BO134" s="88"/>
    </row>
    <row r="135" spans="1:67" ht="15.75" customHeight="1">
      <c r="A135" s="89"/>
      <c r="B135" s="95"/>
      <c r="C135" s="80" t="s">
        <v>326</v>
      </c>
      <c r="D135" s="81" t="s">
        <v>327</v>
      </c>
      <c r="E135" s="98"/>
      <c r="F135" s="98"/>
      <c r="G135" s="83" t="e">
        <f t="shared" si="1"/>
        <v>#DIV/0!</v>
      </c>
      <c r="H135" s="83" t="e">
        <f t="shared" si="2"/>
        <v>#DIV/0!</v>
      </c>
      <c r="I135" s="191"/>
      <c r="J135" s="137"/>
      <c r="K135" s="193"/>
      <c r="L135" s="86">
        <f t="shared" ref="L135:N135" si="552">X135+AA135+AD135+AG135+AJ135+AM135+AP135+AS135+AV135+AY135+BB135+BE135</f>
        <v>0</v>
      </c>
      <c r="M135" s="86">
        <f t="shared" si="552"/>
        <v>0</v>
      </c>
      <c r="N135" s="86">
        <f t="shared" si="552"/>
        <v>0</v>
      </c>
      <c r="O135" s="62">
        <f t="shared" ref="O135:Q135" si="553">IF(BH135=0,SUM(X135+AA135+AD135+AG135+AJ135+AM135+AP135+AS135+AV135+AY135+BB135+BE135),BH135)</f>
        <v>0</v>
      </c>
      <c r="P135" s="62">
        <f t="shared" si="553"/>
        <v>0</v>
      </c>
      <c r="Q135" s="62">
        <f t="shared" si="553"/>
        <v>0</v>
      </c>
      <c r="R135" s="86">
        <f t="shared" ref="R135:T135" si="554">I135-L135</f>
        <v>0</v>
      </c>
      <c r="S135" s="86">
        <f t="shared" si="554"/>
        <v>0</v>
      </c>
      <c r="T135" s="86">
        <f t="shared" si="554"/>
        <v>0</v>
      </c>
      <c r="U135" s="87" t="e">
        <f t="shared" si="106"/>
        <v>#DIV/0!</v>
      </c>
      <c r="V135" s="87" t="e">
        <f t="shared" ref="V135:W135" si="555">M135/J135</f>
        <v>#DIV/0!</v>
      </c>
      <c r="W135" s="87" t="e">
        <f t="shared" si="555"/>
        <v>#DIV/0!</v>
      </c>
      <c r="X135" s="193"/>
      <c r="Y135" s="137"/>
      <c r="Z135" s="193"/>
      <c r="AA135" s="193"/>
      <c r="AB135" s="137"/>
      <c r="AC135" s="193"/>
      <c r="AD135" s="193"/>
      <c r="AE135" s="137"/>
      <c r="AF135" s="193"/>
      <c r="AG135" s="193"/>
      <c r="AH135" s="137"/>
      <c r="AI135" s="193"/>
      <c r="AJ135" s="193"/>
      <c r="AK135" s="193"/>
      <c r="AL135" s="193"/>
      <c r="AM135" s="193"/>
      <c r="AN135" s="193"/>
      <c r="AO135" s="193"/>
      <c r="AP135" s="193"/>
      <c r="AQ135" s="193"/>
      <c r="AR135" s="193"/>
      <c r="AS135" s="193"/>
      <c r="AT135" s="193"/>
      <c r="AU135" s="193"/>
      <c r="AV135" s="193"/>
      <c r="AW135" s="193"/>
      <c r="AX135" s="193"/>
      <c r="AY135" s="193"/>
      <c r="AZ135" s="193"/>
      <c r="BA135" s="193"/>
      <c r="BB135" s="193"/>
      <c r="BC135" s="193"/>
      <c r="BD135" s="193"/>
      <c r="BE135" s="193"/>
      <c r="BF135" s="193"/>
      <c r="BG135" s="193"/>
      <c r="BH135" s="193"/>
      <c r="BI135" s="193"/>
      <c r="BJ135" s="193"/>
      <c r="BK135" s="88"/>
      <c r="BL135" s="88"/>
      <c r="BM135" s="88"/>
      <c r="BN135" s="88"/>
      <c r="BO135" s="88"/>
    </row>
    <row r="136" spans="1:67" ht="15.75" customHeight="1">
      <c r="A136" s="89"/>
      <c r="B136" s="95"/>
      <c r="C136" s="80" t="s">
        <v>328</v>
      </c>
      <c r="D136" s="81" t="s">
        <v>329</v>
      </c>
      <c r="E136" s="82"/>
      <c r="F136" s="82"/>
      <c r="G136" s="83" t="e">
        <f t="shared" si="1"/>
        <v>#DIV/0!</v>
      </c>
      <c r="H136" s="83" t="e">
        <f t="shared" si="2"/>
        <v>#DIV/0!</v>
      </c>
      <c r="I136" s="137"/>
      <c r="J136" s="137"/>
      <c r="K136" s="137"/>
      <c r="L136" s="86">
        <f t="shared" ref="L136:N136" si="556">X136+AA136+AD136+AG136+AJ136+AM136+AP136+AS136+AV136+AY136+BB136+BE136</f>
        <v>0</v>
      </c>
      <c r="M136" s="86">
        <f t="shared" si="556"/>
        <v>0</v>
      </c>
      <c r="N136" s="86">
        <f t="shared" si="556"/>
        <v>0</v>
      </c>
      <c r="O136" s="62">
        <f t="shared" ref="O136:Q136" si="557">IF(BH136=0,SUM(X136+AA136+AD136+AG136+AJ136+AM136+AP136+AS136+AV136+AY136+BB136+BE136),BH136)</f>
        <v>0</v>
      </c>
      <c r="P136" s="62">
        <f t="shared" si="557"/>
        <v>0</v>
      </c>
      <c r="Q136" s="62">
        <f t="shared" si="557"/>
        <v>0</v>
      </c>
      <c r="R136" s="86">
        <f t="shared" ref="R136:T136" si="558">I136-L136</f>
        <v>0</v>
      </c>
      <c r="S136" s="86">
        <f t="shared" si="558"/>
        <v>0</v>
      </c>
      <c r="T136" s="86">
        <f t="shared" si="558"/>
        <v>0</v>
      </c>
      <c r="U136" s="87" t="e">
        <f t="shared" si="106"/>
        <v>#DIV/0!</v>
      </c>
      <c r="V136" s="87" t="e">
        <f t="shared" ref="V136:W136" si="559">M136/J136</f>
        <v>#DIV/0!</v>
      </c>
      <c r="W136" s="87" t="e">
        <f t="shared" si="559"/>
        <v>#DIV/0!</v>
      </c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  <c r="BA136" s="137"/>
      <c r="BB136" s="137"/>
      <c r="BC136" s="137"/>
      <c r="BD136" s="137"/>
      <c r="BE136" s="137"/>
      <c r="BF136" s="137"/>
      <c r="BG136" s="137"/>
      <c r="BH136" s="137"/>
      <c r="BI136" s="137"/>
      <c r="BJ136" s="137"/>
      <c r="BK136" s="88"/>
      <c r="BL136" s="88"/>
      <c r="BM136" s="88"/>
      <c r="BN136" s="88"/>
      <c r="BO136" s="88"/>
    </row>
    <row r="137" spans="1:67" ht="15.75" customHeight="1">
      <c r="A137" s="89"/>
      <c r="B137" s="95" t="s">
        <v>330</v>
      </c>
      <c r="C137" s="80" t="s">
        <v>326</v>
      </c>
      <c r="D137" s="81" t="s">
        <v>331</v>
      </c>
      <c r="E137" s="82"/>
      <c r="F137" s="82"/>
      <c r="G137" s="83" t="e">
        <f t="shared" si="1"/>
        <v>#DIV/0!</v>
      </c>
      <c r="H137" s="83" t="e">
        <f t="shared" si="2"/>
        <v>#DIV/0!</v>
      </c>
      <c r="I137" s="137"/>
      <c r="J137" s="137">
        <v>55152</v>
      </c>
      <c r="K137" s="137"/>
      <c r="L137" s="86">
        <f t="shared" ref="L137:N137" si="560">X137+AA137+AD137+AG137+AJ137+AM137+AP137+AS137+AV137+AY137+BB137+BE137</f>
        <v>0</v>
      </c>
      <c r="M137" s="86">
        <f t="shared" si="560"/>
        <v>0</v>
      </c>
      <c r="N137" s="86">
        <f t="shared" si="560"/>
        <v>0</v>
      </c>
      <c r="O137" s="62">
        <f t="shared" ref="O137:Q137" si="561">IF(BH137=0,SUM(X137+AA137+AD137+AG137+AJ137+AM137+AP137+AS137+AV137+AY137+BB137+BE137),BH137)</f>
        <v>0</v>
      </c>
      <c r="P137" s="62">
        <f t="shared" si="561"/>
        <v>0</v>
      </c>
      <c r="Q137" s="62">
        <f t="shared" si="561"/>
        <v>0</v>
      </c>
      <c r="R137" s="86">
        <f t="shared" ref="R137:T137" si="562">I137-L137</f>
        <v>0</v>
      </c>
      <c r="S137" s="86">
        <f t="shared" si="562"/>
        <v>55152</v>
      </c>
      <c r="T137" s="86">
        <f t="shared" si="562"/>
        <v>0</v>
      </c>
      <c r="U137" s="87" t="e">
        <f t="shared" si="106"/>
        <v>#DIV/0!</v>
      </c>
      <c r="V137" s="87">
        <f t="shared" ref="V137:W137" si="563">M137/J137</f>
        <v>0</v>
      </c>
      <c r="W137" s="87" t="e">
        <f t="shared" si="563"/>
        <v>#DIV/0!</v>
      </c>
      <c r="X137" s="137"/>
      <c r="Y137" s="137">
        <v>0</v>
      </c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137"/>
      <c r="AP137" s="137"/>
      <c r="AQ137" s="137"/>
      <c r="AR137" s="137"/>
      <c r="AS137" s="137"/>
      <c r="AT137" s="137"/>
      <c r="AU137" s="137"/>
      <c r="AV137" s="137"/>
      <c r="AW137" s="137"/>
      <c r="AX137" s="137"/>
      <c r="AY137" s="137"/>
      <c r="AZ137" s="137"/>
      <c r="BA137" s="137"/>
      <c r="BB137" s="137"/>
      <c r="BC137" s="137"/>
      <c r="BD137" s="137"/>
      <c r="BE137" s="137"/>
      <c r="BF137" s="137"/>
      <c r="BG137" s="137"/>
      <c r="BH137" s="137"/>
      <c r="BI137" s="137"/>
      <c r="BJ137" s="137"/>
      <c r="BK137" s="88"/>
      <c r="BL137" s="88"/>
      <c r="BM137" s="88"/>
      <c r="BN137" s="88"/>
      <c r="BO137" s="88"/>
    </row>
    <row r="138" spans="1:67" ht="15.75" customHeight="1">
      <c r="A138" s="89"/>
      <c r="B138" s="95"/>
      <c r="C138" s="80" t="s">
        <v>125</v>
      </c>
      <c r="D138" s="81" t="s">
        <v>576</v>
      </c>
      <c r="E138" s="82"/>
      <c r="F138" s="82"/>
      <c r="G138" s="83" t="e">
        <f t="shared" si="1"/>
        <v>#DIV/0!</v>
      </c>
      <c r="H138" s="83" t="e">
        <f t="shared" si="2"/>
        <v>#DIV/0!</v>
      </c>
      <c r="I138" s="137"/>
      <c r="J138" s="137"/>
      <c r="K138" s="137"/>
      <c r="L138" s="86">
        <f t="shared" ref="L138:N138" si="564">X138+AA138+AD138+AG138+AJ138+AM138+AP138+AS138+AV138+AY138+BB138+BE138</f>
        <v>0</v>
      </c>
      <c r="M138" s="86">
        <f t="shared" si="564"/>
        <v>0</v>
      </c>
      <c r="N138" s="86">
        <f t="shared" si="564"/>
        <v>0</v>
      </c>
      <c r="O138" s="62">
        <f t="shared" ref="O138:Q138" si="565">IF(BH138=0,SUM(X138+AA138+AD138+AG138+AJ138+AM138+AP138+AS138+AV138+AY138+BB138+BE138),BH138)</f>
        <v>0</v>
      </c>
      <c r="P138" s="62">
        <f t="shared" si="565"/>
        <v>0</v>
      </c>
      <c r="Q138" s="62">
        <f t="shared" si="565"/>
        <v>0</v>
      </c>
      <c r="R138" s="86">
        <f t="shared" ref="R138:T138" si="566">I138-L138</f>
        <v>0</v>
      </c>
      <c r="S138" s="86">
        <f t="shared" si="566"/>
        <v>0</v>
      </c>
      <c r="T138" s="86">
        <f t="shared" si="566"/>
        <v>0</v>
      </c>
      <c r="U138" s="87" t="e">
        <f t="shared" si="106"/>
        <v>#DIV/0!</v>
      </c>
      <c r="V138" s="87" t="e">
        <f t="shared" ref="V138:W138" si="567">M138/J138</f>
        <v>#DIV/0!</v>
      </c>
      <c r="W138" s="87" t="e">
        <f t="shared" si="567"/>
        <v>#DIV/0!</v>
      </c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  <c r="AY138" s="137"/>
      <c r="AZ138" s="137"/>
      <c r="BA138" s="137"/>
      <c r="BB138" s="137"/>
      <c r="BC138" s="137"/>
      <c r="BD138" s="137"/>
      <c r="BE138" s="137"/>
      <c r="BF138" s="137"/>
      <c r="BG138" s="137"/>
      <c r="BH138" s="137"/>
      <c r="BI138" s="137"/>
      <c r="BJ138" s="137"/>
      <c r="BK138" s="88"/>
      <c r="BL138" s="88"/>
      <c r="BM138" s="88"/>
      <c r="BN138" s="88"/>
      <c r="BO138" s="88"/>
    </row>
    <row r="139" spans="1:67" ht="53.25" customHeight="1">
      <c r="A139" s="89"/>
      <c r="B139" s="91"/>
      <c r="C139" s="80" t="s">
        <v>332</v>
      </c>
      <c r="D139" s="81" t="s">
        <v>333</v>
      </c>
      <c r="E139" s="82"/>
      <c r="F139" s="82"/>
      <c r="G139" s="83" t="e">
        <f t="shared" si="1"/>
        <v>#DIV/0!</v>
      </c>
      <c r="H139" s="83" t="e">
        <f t="shared" si="2"/>
        <v>#DIV/0!</v>
      </c>
      <c r="I139" s="137"/>
      <c r="J139" s="137"/>
      <c r="K139" s="137"/>
      <c r="L139" s="86">
        <f t="shared" ref="L139:N139" si="568">X139+AA139+AD139+AG139+AJ139+AM139+AP139+AS139+AV139+AY139+BB139+BE139</f>
        <v>0</v>
      </c>
      <c r="M139" s="86">
        <f t="shared" si="568"/>
        <v>0</v>
      </c>
      <c r="N139" s="86">
        <f t="shared" si="568"/>
        <v>0</v>
      </c>
      <c r="O139" s="62">
        <f t="shared" ref="O139:Q139" si="569">IF(BH139=0,SUM(X139+AA139+AD139+AG139+AJ139+AM139+AP139+AS139+AV139+AY139+BB139+BE139),BH139)</f>
        <v>0</v>
      </c>
      <c r="P139" s="62">
        <f t="shared" si="569"/>
        <v>0</v>
      </c>
      <c r="Q139" s="62">
        <f t="shared" si="569"/>
        <v>0</v>
      </c>
      <c r="R139" s="86">
        <f t="shared" ref="R139:T139" si="570">I139-L139</f>
        <v>0</v>
      </c>
      <c r="S139" s="86">
        <f t="shared" si="570"/>
        <v>0</v>
      </c>
      <c r="T139" s="86">
        <f t="shared" si="570"/>
        <v>0</v>
      </c>
      <c r="U139" s="87" t="e">
        <f t="shared" si="106"/>
        <v>#DIV/0!</v>
      </c>
      <c r="V139" s="87" t="e">
        <f t="shared" ref="V139:W139" si="571">M139/J139</f>
        <v>#DIV/0!</v>
      </c>
      <c r="W139" s="87" t="e">
        <f t="shared" si="571"/>
        <v>#DIV/0!</v>
      </c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  <c r="AL139" s="137"/>
      <c r="AM139" s="137"/>
      <c r="AN139" s="137"/>
      <c r="AO139" s="137"/>
      <c r="AP139" s="137"/>
      <c r="AQ139" s="137"/>
      <c r="AR139" s="137"/>
      <c r="AS139" s="137"/>
      <c r="AT139" s="137"/>
      <c r="AU139" s="137"/>
      <c r="AV139" s="137"/>
      <c r="AW139" s="137"/>
      <c r="AX139" s="137"/>
      <c r="AY139" s="137"/>
      <c r="AZ139" s="137"/>
      <c r="BA139" s="137"/>
      <c r="BB139" s="137"/>
      <c r="BC139" s="137"/>
      <c r="BD139" s="137"/>
      <c r="BE139" s="137"/>
      <c r="BF139" s="137"/>
      <c r="BG139" s="137"/>
      <c r="BH139" s="137"/>
      <c r="BI139" s="137"/>
      <c r="BJ139" s="137"/>
      <c r="BK139" s="88"/>
      <c r="BL139" s="88"/>
      <c r="BM139" s="88"/>
      <c r="BN139" s="88"/>
      <c r="BO139" s="88"/>
    </row>
    <row r="140" spans="1:67" ht="15.75" customHeight="1">
      <c r="A140" s="89"/>
      <c r="B140" s="90"/>
      <c r="C140" s="80" t="s">
        <v>332</v>
      </c>
      <c r="D140" s="81" t="s">
        <v>333</v>
      </c>
      <c r="E140" s="82"/>
      <c r="F140" s="82"/>
      <c r="G140" s="83" t="e">
        <f t="shared" si="1"/>
        <v>#DIV/0!</v>
      </c>
      <c r="H140" s="83" t="e">
        <f t="shared" si="2"/>
        <v>#DIV/0!</v>
      </c>
      <c r="I140" s="137"/>
      <c r="J140" s="137"/>
      <c r="K140" s="137"/>
      <c r="L140" s="86">
        <f t="shared" ref="L140:N140" si="572">X140+AA140+AD140+AG140+AJ140+AM140+AP140+AS140+AV140+AY140+BB140+BE140</f>
        <v>0</v>
      </c>
      <c r="M140" s="86">
        <f t="shared" si="572"/>
        <v>0</v>
      </c>
      <c r="N140" s="86">
        <f t="shared" si="572"/>
        <v>0</v>
      </c>
      <c r="O140" s="62">
        <f t="shared" ref="O140:Q140" si="573">IF(BH140=0,SUM(X140+AA140+AD140+AG140+AJ140+AM140+AP140+AS140+AV140+AY140+BB140+BE140),BH140)</f>
        <v>0</v>
      </c>
      <c r="P140" s="62">
        <f t="shared" si="573"/>
        <v>0</v>
      </c>
      <c r="Q140" s="62">
        <f t="shared" si="573"/>
        <v>0</v>
      </c>
      <c r="R140" s="86">
        <f t="shared" ref="R140:T140" si="574">I140-L140</f>
        <v>0</v>
      </c>
      <c r="S140" s="86">
        <f t="shared" si="574"/>
        <v>0</v>
      </c>
      <c r="T140" s="86">
        <f t="shared" si="574"/>
        <v>0</v>
      </c>
      <c r="U140" s="87" t="e">
        <f t="shared" si="106"/>
        <v>#DIV/0!</v>
      </c>
      <c r="V140" s="87" t="e">
        <f t="shared" ref="V140:W140" si="575">M140/J140</f>
        <v>#DIV/0!</v>
      </c>
      <c r="W140" s="87" t="e">
        <f t="shared" si="575"/>
        <v>#DIV/0!</v>
      </c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7"/>
      <c r="AP140" s="137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  <c r="BA140" s="137"/>
      <c r="BB140" s="137"/>
      <c r="BC140" s="137"/>
      <c r="BD140" s="137"/>
      <c r="BE140" s="137"/>
      <c r="BF140" s="137"/>
      <c r="BG140" s="137"/>
      <c r="BH140" s="137"/>
      <c r="BI140" s="137"/>
      <c r="BJ140" s="137"/>
      <c r="BK140" s="88"/>
      <c r="BL140" s="88"/>
      <c r="BM140" s="88"/>
      <c r="BN140" s="88"/>
      <c r="BO140" s="88"/>
    </row>
    <row r="141" spans="1:67" ht="18.75">
      <c r="A141" s="73"/>
      <c r="B141" s="75" t="s">
        <v>334</v>
      </c>
      <c r="C141" s="147"/>
      <c r="D141" s="75"/>
      <c r="E141" s="76">
        <f t="shared" ref="E141:F141" si="576">E142+E169+E187+E209+E213+E216</f>
        <v>0</v>
      </c>
      <c r="F141" s="76">
        <f t="shared" si="576"/>
        <v>0</v>
      </c>
      <c r="G141" s="103" t="e">
        <f t="shared" si="1"/>
        <v>#DIV/0!</v>
      </c>
      <c r="H141" s="103" t="e">
        <f t="shared" si="2"/>
        <v>#DIV/0!</v>
      </c>
      <c r="I141" s="76">
        <f t="shared" ref="I141:N141" si="577">I142+I169+I187+I209+I213+I216</f>
        <v>213378.40000000002</v>
      </c>
      <c r="J141" s="76">
        <f t="shared" si="577"/>
        <v>1284114.4000000001</v>
      </c>
      <c r="K141" s="76">
        <f t="shared" si="577"/>
        <v>46990</v>
      </c>
      <c r="L141" s="76">
        <f t="shared" si="577"/>
        <v>53343.97</v>
      </c>
      <c r="M141" s="76">
        <f t="shared" si="577"/>
        <v>134309.91</v>
      </c>
      <c r="N141" s="76">
        <f t="shared" si="577"/>
        <v>0</v>
      </c>
      <c r="O141" s="78">
        <f t="shared" ref="O141:Q141" si="578">IF(BH141=0,SUM(X141+AA141+AD141+AG141+AJ141+AM141+AP141+AS141+AV141+AY141+BB141+BE141),BH141)</f>
        <v>53343.97</v>
      </c>
      <c r="P141" s="78">
        <f t="shared" si="578"/>
        <v>134309.91</v>
      </c>
      <c r="Q141" s="78">
        <f t="shared" si="578"/>
        <v>0</v>
      </c>
      <c r="R141" s="76">
        <f t="shared" ref="R141:T141" si="579">R142+R169+R187+R209+R213+R216</f>
        <v>160034.43</v>
      </c>
      <c r="S141" s="76">
        <f t="shared" si="579"/>
        <v>1149804.4900000002</v>
      </c>
      <c r="T141" s="76">
        <f t="shared" si="579"/>
        <v>46990</v>
      </c>
      <c r="U141" s="77">
        <f t="shared" si="106"/>
        <v>0.24999704749871587</v>
      </c>
      <c r="V141" s="77">
        <f t="shared" ref="V141:W141" si="580">M141/J141</f>
        <v>0.10459341473002716</v>
      </c>
      <c r="W141" s="77">
        <f t="shared" si="580"/>
        <v>0</v>
      </c>
      <c r="X141" s="76">
        <f t="shared" ref="X141:BJ141" si="581">X142+X169+X187+X209+X213+X216</f>
        <v>0</v>
      </c>
      <c r="Y141" s="76">
        <f t="shared" si="581"/>
        <v>27521.550000000003</v>
      </c>
      <c r="Z141" s="76">
        <f t="shared" si="581"/>
        <v>0</v>
      </c>
      <c r="AA141" s="76">
        <f t="shared" si="581"/>
        <v>7960.41</v>
      </c>
      <c r="AB141" s="76">
        <f t="shared" si="581"/>
        <v>40085.730000000003</v>
      </c>
      <c r="AC141" s="76">
        <f t="shared" si="581"/>
        <v>0</v>
      </c>
      <c r="AD141" s="76">
        <f t="shared" si="581"/>
        <v>6765.96</v>
      </c>
      <c r="AE141" s="76">
        <f t="shared" si="581"/>
        <v>33902.01</v>
      </c>
      <c r="AF141" s="76">
        <f t="shared" si="581"/>
        <v>0</v>
      </c>
      <c r="AG141" s="76">
        <f t="shared" si="581"/>
        <v>38617.600000000006</v>
      </c>
      <c r="AH141" s="76">
        <f t="shared" si="581"/>
        <v>32800.620000000003</v>
      </c>
      <c r="AI141" s="76">
        <f t="shared" si="581"/>
        <v>0</v>
      </c>
      <c r="AJ141" s="76">
        <f t="shared" si="581"/>
        <v>0</v>
      </c>
      <c r="AK141" s="76">
        <f t="shared" si="581"/>
        <v>0</v>
      </c>
      <c r="AL141" s="76">
        <f t="shared" si="581"/>
        <v>0</v>
      </c>
      <c r="AM141" s="76">
        <f t="shared" si="581"/>
        <v>0</v>
      </c>
      <c r="AN141" s="76">
        <f t="shared" si="581"/>
        <v>0</v>
      </c>
      <c r="AO141" s="76">
        <f t="shared" si="581"/>
        <v>0</v>
      </c>
      <c r="AP141" s="76">
        <f t="shared" si="581"/>
        <v>0</v>
      </c>
      <c r="AQ141" s="76">
        <f t="shared" si="581"/>
        <v>0</v>
      </c>
      <c r="AR141" s="76">
        <f t="shared" si="581"/>
        <v>0</v>
      </c>
      <c r="AS141" s="76">
        <f t="shared" si="581"/>
        <v>0</v>
      </c>
      <c r="AT141" s="76">
        <f t="shared" si="581"/>
        <v>0</v>
      </c>
      <c r="AU141" s="76">
        <f t="shared" si="581"/>
        <v>0</v>
      </c>
      <c r="AV141" s="76">
        <f t="shared" si="581"/>
        <v>0</v>
      </c>
      <c r="AW141" s="76">
        <f t="shared" si="581"/>
        <v>0</v>
      </c>
      <c r="AX141" s="76">
        <f t="shared" si="581"/>
        <v>0</v>
      </c>
      <c r="AY141" s="76">
        <f t="shared" si="581"/>
        <v>0</v>
      </c>
      <c r="AZ141" s="76">
        <f t="shared" si="581"/>
        <v>0</v>
      </c>
      <c r="BA141" s="76">
        <f t="shared" si="581"/>
        <v>0</v>
      </c>
      <c r="BB141" s="76">
        <f t="shared" si="581"/>
        <v>0</v>
      </c>
      <c r="BC141" s="76">
        <f t="shared" si="581"/>
        <v>0</v>
      </c>
      <c r="BD141" s="76">
        <f t="shared" si="581"/>
        <v>0</v>
      </c>
      <c r="BE141" s="76">
        <f t="shared" si="581"/>
        <v>0</v>
      </c>
      <c r="BF141" s="76">
        <f t="shared" si="581"/>
        <v>0</v>
      </c>
      <c r="BG141" s="76">
        <f t="shared" si="581"/>
        <v>0</v>
      </c>
      <c r="BH141" s="76">
        <f t="shared" si="581"/>
        <v>0</v>
      </c>
      <c r="BI141" s="76">
        <f t="shared" si="581"/>
        <v>0</v>
      </c>
      <c r="BJ141" s="76">
        <f t="shared" si="581"/>
        <v>0</v>
      </c>
      <c r="BK141" s="148"/>
      <c r="BL141" s="148"/>
      <c r="BM141" s="148"/>
      <c r="BN141" s="148"/>
      <c r="BO141" s="148"/>
    </row>
    <row r="142" spans="1:67" ht="15.75" customHeight="1">
      <c r="A142" s="149"/>
      <c r="B142" s="149"/>
      <c r="C142" s="150"/>
      <c r="D142" s="151" t="s">
        <v>297</v>
      </c>
      <c r="E142" s="152">
        <f t="shared" ref="E142:F142" si="582">SUM(E143:E168)</f>
        <v>0</v>
      </c>
      <c r="F142" s="152">
        <f t="shared" si="582"/>
        <v>0</v>
      </c>
      <c r="G142" s="184" t="e">
        <f t="shared" si="1"/>
        <v>#DIV/0!</v>
      </c>
      <c r="H142" s="184" t="e">
        <f t="shared" si="2"/>
        <v>#DIV/0!</v>
      </c>
      <c r="I142" s="152">
        <f t="shared" ref="I142:N142" si="583">SUM(I143:I168)</f>
        <v>140325.52000000002</v>
      </c>
      <c r="J142" s="152">
        <f t="shared" si="583"/>
        <v>54592.46</v>
      </c>
      <c r="K142" s="152">
        <f t="shared" si="583"/>
        <v>46990</v>
      </c>
      <c r="L142" s="152">
        <f t="shared" si="583"/>
        <v>31255.27</v>
      </c>
      <c r="M142" s="152">
        <f t="shared" si="583"/>
        <v>41068.199999999997</v>
      </c>
      <c r="N142" s="152">
        <f t="shared" si="583"/>
        <v>0</v>
      </c>
      <c r="O142" s="65">
        <f t="shared" ref="O142:Q142" si="584">IF(BH142=0,SUM(X142+AA142+AD142+AG142+AJ142+AM142+AP142+AS142+AV142+AY142+BB142+BE142),BH142)</f>
        <v>31255.270000000004</v>
      </c>
      <c r="P142" s="65">
        <f t="shared" si="584"/>
        <v>41068.200000000004</v>
      </c>
      <c r="Q142" s="65">
        <f t="shared" si="584"/>
        <v>0</v>
      </c>
      <c r="R142" s="152">
        <f t="shared" ref="R142:T142" si="585">SUM(R143:R168)</f>
        <v>109070.25</v>
      </c>
      <c r="S142" s="152">
        <f t="shared" si="585"/>
        <v>13524.260000000002</v>
      </c>
      <c r="T142" s="152">
        <f t="shared" si="585"/>
        <v>46990</v>
      </c>
      <c r="U142" s="185">
        <f t="shared" si="106"/>
        <v>0.22273404010902648</v>
      </c>
      <c r="V142" s="185">
        <f t="shared" ref="V142:W142" si="586">M142/J142</f>
        <v>0.75226871989282029</v>
      </c>
      <c r="W142" s="185">
        <f t="shared" si="586"/>
        <v>0</v>
      </c>
      <c r="X142" s="152">
        <f t="shared" ref="X142:BJ142" si="587">SUM(X143:X168)</f>
        <v>0</v>
      </c>
      <c r="Y142" s="152">
        <f t="shared" si="587"/>
        <v>12733.220000000001</v>
      </c>
      <c r="Z142" s="152">
        <f t="shared" si="587"/>
        <v>0</v>
      </c>
      <c r="AA142" s="152">
        <f t="shared" si="587"/>
        <v>84.93</v>
      </c>
      <c r="AB142" s="152">
        <f t="shared" si="587"/>
        <v>15601.760000000002</v>
      </c>
      <c r="AC142" s="152">
        <f t="shared" si="587"/>
        <v>0</v>
      </c>
      <c r="AD142" s="152">
        <f t="shared" si="587"/>
        <v>428.22</v>
      </c>
      <c r="AE142" s="152">
        <f t="shared" si="587"/>
        <v>9864.68</v>
      </c>
      <c r="AF142" s="152">
        <f t="shared" si="587"/>
        <v>0</v>
      </c>
      <c r="AG142" s="152">
        <f t="shared" si="587"/>
        <v>30742.120000000003</v>
      </c>
      <c r="AH142" s="152">
        <f t="shared" si="587"/>
        <v>2868.54</v>
      </c>
      <c r="AI142" s="152">
        <f t="shared" si="587"/>
        <v>0</v>
      </c>
      <c r="AJ142" s="152">
        <f t="shared" si="587"/>
        <v>0</v>
      </c>
      <c r="AK142" s="152">
        <f t="shared" si="587"/>
        <v>0</v>
      </c>
      <c r="AL142" s="152">
        <f t="shared" si="587"/>
        <v>0</v>
      </c>
      <c r="AM142" s="152">
        <f t="shared" si="587"/>
        <v>0</v>
      </c>
      <c r="AN142" s="152">
        <f t="shared" si="587"/>
        <v>0</v>
      </c>
      <c r="AO142" s="152">
        <f t="shared" si="587"/>
        <v>0</v>
      </c>
      <c r="AP142" s="152">
        <f t="shared" si="587"/>
        <v>0</v>
      </c>
      <c r="AQ142" s="152">
        <f t="shared" si="587"/>
        <v>0</v>
      </c>
      <c r="AR142" s="152">
        <f t="shared" si="587"/>
        <v>0</v>
      </c>
      <c r="AS142" s="152">
        <f t="shared" si="587"/>
        <v>0</v>
      </c>
      <c r="AT142" s="152">
        <f t="shared" si="587"/>
        <v>0</v>
      </c>
      <c r="AU142" s="152">
        <f t="shared" si="587"/>
        <v>0</v>
      </c>
      <c r="AV142" s="152">
        <f t="shared" si="587"/>
        <v>0</v>
      </c>
      <c r="AW142" s="152">
        <f t="shared" si="587"/>
        <v>0</v>
      </c>
      <c r="AX142" s="152">
        <f t="shared" si="587"/>
        <v>0</v>
      </c>
      <c r="AY142" s="152">
        <f t="shared" si="587"/>
        <v>0</v>
      </c>
      <c r="AZ142" s="152">
        <f t="shared" si="587"/>
        <v>0</v>
      </c>
      <c r="BA142" s="152">
        <f t="shared" si="587"/>
        <v>0</v>
      </c>
      <c r="BB142" s="152">
        <f t="shared" si="587"/>
        <v>0</v>
      </c>
      <c r="BC142" s="152">
        <f t="shared" si="587"/>
        <v>0</v>
      </c>
      <c r="BD142" s="152">
        <f t="shared" si="587"/>
        <v>0</v>
      </c>
      <c r="BE142" s="152">
        <f t="shared" si="587"/>
        <v>0</v>
      </c>
      <c r="BF142" s="152">
        <f t="shared" si="587"/>
        <v>0</v>
      </c>
      <c r="BG142" s="152">
        <f t="shared" si="587"/>
        <v>0</v>
      </c>
      <c r="BH142" s="152">
        <f t="shared" si="587"/>
        <v>0</v>
      </c>
      <c r="BI142" s="152">
        <f t="shared" si="587"/>
        <v>0</v>
      </c>
      <c r="BJ142" s="152">
        <f t="shared" si="587"/>
        <v>0</v>
      </c>
      <c r="BK142" s="155"/>
      <c r="BL142" s="155"/>
      <c r="BM142" s="155"/>
      <c r="BN142" s="155"/>
      <c r="BO142" s="155"/>
    </row>
    <row r="143" spans="1:67" ht="15.75" customHeight="1">
      <c r="A143" s="79" t="s">
        <v>335</v>
      </c>
      <c r="B143" s="80"/>
      <c r="C143" s="80" t="s">
        <v>89</v>
      </c>
      <c r="D143" s="81" t="s">
        <v>90</v>
      </c>
      <c r="E143" s="82"/>
      <c r="F143" s="82"/>
      <c r="G143" s="83" t="e">
        <f t="shared" si="1"/>
        <v>#DIV/0!</v>
      </c>
      <c r="H143" s="83" t="e">
        <f t="shared" si="2"/>
        <v>#DIV/0!</v>
      </c>
      <c r="I143" s="84">
        <v>5000</v>
      </c>
      <c r="J143" s="84"/>
      <c r="K143" s="84"/>
      <c r="L143" s="86">
        <f t="shared" ref="L143:N143" si="588">X143+AA143+AD143+AG143+AJ143+AM143+AP143+AS143+AV143+AY143+BB143+BE143</f>
        <v>1009.0500000000002</v>
      </c>
      <c r="M143" s="86">
        <f t="shared" si="588"/>
        <v>0</v>
      </c>
      <c r="N143" s="86">
        <f t="shared" si="588"/>
        <v>0</v>
      </c>
      <c r="O143" s="62">
        <f t="shared" ref="O143:Q143" si="589">IF(BH143=0,SUM(X143+AA143+AD143+AG143+AJ143+AM143+AP143+AS143+AV143+AY143+BB143+BE143),BH143)</f>
        <v>1009.0500000000002</v>
      </c>
      <c r="P143" s="62">
        <f t="shared" si="589"/>
        <v>0</v>
      </c>
      <c r="Q143" s="62">
        <f t="shared" si="589"/>
        <v>0</v>
      </c>
      <c r="R143" s="86">
        <f t="shared" ref="R143:T143" si="590">I143-L143</f>
        <v>3990.95</v>
      </c>
      <c r="S143" s="86">
        <f t="shared" si="590"/>
        <v>0</v>
      </c>
      <c r="T143" s="86">
        <f t="shared" si="590"/>
        <v>0</v>
      </c>
      <c r="U143" s="87">
        <f t="shared" si="106"/>
        <v>0.20181000000000004</v>
      </c>
      <c r="V143" s="87" t="e">
        <f t="shared" ref="V143:W143" si="591">M143/J143</f>
        <v>#DIV/0!</v>
      </c>
      <c r="W143" s="87" t="e">
        <f t="shared" si="591"/>
        <v>#DIV/0!</v>
      </c>
      <c r="X143" s="84">
        <v>0</v>
      </c>
      <c r="Y143" s="84"/>
      <c r="Z143" s="84"/>
      <c r="AA143" s="84">
        <f>84.93</f>
        <v>84.93</v>
      </c>
      <c r="AB143" s="84"/>
      <c r="AC143" s="84"/>
      <c r="AD143" s="84">
        <f>67.68+84.93+275.61</f>
        <v>428.22</v>
      </c>
      <c r="AE143" s="84"/>
      <c r="AF143" s="84"/>
      <c r="AG143" s="84">
        <f>67.68+67.68+84.93+275.61</f>
        <v>495.90000000000003</v>
      </c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84"/>
      <c r="BC143" s="84"/>
      <c r="BD143" s="84"/>
      <c r="BE143" s="84"/>
      <c r="BF143" s="84"/>
      <c r="BG143" s="84"/>
      <c r="BH143" s="84"/>
      <c r="BI143" s="84"/>
      <c r="BJ143" s="84"/>
      <c r="BK143" s="88"/>
      <c r="BL143" s="88"/>
      <c r="BM143" s="88"/>
      <c r="BN143" s="88"/>
      <c r="BO143" s="88"/>
    </row>
    <row r="144" spans="1:67" ht="15.75" customHeight="1">
      <c r="A144" s="79" t="s">
        <v>336</v>
      </c>
      <c r="B144" s="80"/>
      <c r="C144" s="80" t="s">
        <v>260</v>
      </c>
      <c r="D144" s="81" t="s">
        <v>337</v>
      </c>
      <c r="E144" s="82"/>
      <c r="F144" s="82"/>
      <c r="G144" s="83" t="e">
        <f t="shared" si="1"/>
        <v>#DIV/0!</v>
      </c>
      <c r="H144" s="83" t="e">
        <f t="shared" si="2"/>
        <v>#DIV/0!</v>
      </c>
      <c r="I144" s="84">
        <v>20705.38</v>
      </c>
      <c r="J144" s="84"/>
      <c r="K144" s="84"/>
      <c r="L144" s="86">
        <f t="shared" ref="L144:N144" si="592">X144+AA144+AD144+AG144+AJ144+AM144+AP144+AS144+AV144+AY144+BB144+BE144</f>
        <v>20705.38</v>
      </c>
      <c r="M144" s="86">
        <f t="shared" si="592"/>
        <v>0</v>
      </c>
      <c r="N144" s="86">
        <f t="shared" si="592"/>
        <v>0</v>
      </c>
      <c r="O144" s="62">
        <f t="shared" ref="O144:Q144" si="593">IF(BH144=0,SUM(X144+AA144+AD144+AG144+AJ144+AM144+AP144+AS144+AV144+AY144+BB144+BE144),BH144)</f>
        <v>20705.38</v>
      </c>
      <c r="P144" s="62">
        <f t="shared" si="593"/>
        <v>0</v>
      </c>
      <c r="Q144" s="62">
        <f t="shared" si="593"/>
        <v>0</v>
      </c>
      <c r="R144" s="86">
        <f t="shared" ref="R144:T144" si="594">I144-L144</f>
        <v>0</v>
      </c>
      <c r="S144" s="86">
        <f t="shared" si="594"/>
        <v>0</v>
      </c>
      <c r="T144" s="86">
        <f t="shared" si="594"/>
        <v>0</v>
      </c>
      <c r="U144" s="87">
        <f t="shared" si="106"/>
        <v>1</v>
      </c>
      <c r="V144" s="87" t="e">
        <f t="shared" ref="V144:W144" si="595">M144/J144</f>
        <v>#DIV/0!</v>
      </c>
      <c r="W144" s="87" t="e">
        <f t="shared" si="595"/>
        <v>#DIV/0!</v>
      </c>
      <c r="X144" s="84">
        <v>0</v>
      </c>
      <c r="Y144" s="84"/>
      <c r="Z144" s="84"/>
      <c r="AA144" s="84">
        <v>0</v>
      </c>
      <c r="AB144" s="84"/>
      <c r="AC144" s="84"/>
      <c r="AD144" s="84">
        <v>0</v>
      </c>
      <c r="AE144" s="84"/>
      <c r="AF144" s="84"/>
      <c r="AG144" s="84">
        <f>20705.38</f>
        <v>20705.38</v>
      </c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8"/>
      <c r="BL144" s="88"/>
      <c r="BM144" s="88"/>
      <c r="BN144" s="88"/>
      <c r="BO144" s="88"/>
    </row>
    <row r="145" spans="1:67" ht="15.75" customHeight="1">
      <c r="A145" s="89"/>
      <c r="B145" s="90"/>
      <c r="C145" s="80" t="s">
        <v>91</v>
      </c>
      <c r="D145" s="81" t="s">
        <v>92</v>
      </c>
      <c r="E145" s="82"/>
      <c r="F145" s="82"/>
      <c r="G145" s="83" t="e">
        <f t="shared" si="1"/>
        <v>#DIV/0!</v>
      </c>
      <c r="H145" s="83" t="e">
        <f t="shared" si="2"/>
        <v>#DIV/0!</v>
      </c>
      <c r="I145" s="84"/>
      <c r="J145" s="84"/>
      <c r="K145" s="84"/>
      <c r="L145" s="86">
        <f t="shared" ref="L145:N145" si="596">X145+AA145+AD145+AG145+AJ145+AM145+AP145+AS145+AV145+AY145+BB145+BE145</f>
        <v>0</v>
      </c>
      <c r="M145" s="86">
        <f t="shared" si="596"/>
        <v>0</v>
      </c>
      <c r="N145" s="86">
        <f t="shared" si="596"/>
        <v>0</v>
      </c>
      <c r="O145" s="62">
        <f t="shared" ref="O145:Q145" si="597">IF(BH145=0,SUM(X145+AA145+AD145+AG145+AJ145+AM145+AP145+AS145+AV145+AY145+BB145+BE145),BH145)</f>
        <v>0</v>
      </c>
      <c r="P145" s="62">
        <f t="shared" si="597"/>
        <v>0</v>
      </c>
      <c r="Q145" s="62">
        <f t="shared" si="597"/>
        <v>0</v>
      </c>
      <c r="R145" s="86">
        <f t="shared" ref="R145:T145" si="598">I145-L145</f>
        <v>0</v>
      </c>
      <c r="S145" s="86">
        <f t="shared" si="598"/>
        <v>0</v>
      </c>
      <c r="T145" s="86">
        <f t="shared" si="598"/>
        <v>0</v>
      </c>
      <c r="U145" s="87" t="e">
        <f t="shared" si="106"/>
        <v>#DIV/0!</v>
      </c>
      <c r="V145" s="87" t="e">
        <f t="shared" ref="V145:W145" si="599">M145/J145</f>
        <v>#DIV/0!</v>
      </c>
      <c r="W145" s="87" t="e">
        <f t="shared" si="599"/>
        <v>#DIV/0!</v>
      </c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  <c r="BH145" s="84"/>
      <c r="BI145" s="84"/>
      <c r="BJ145" s="84"/>
      <c r="BK145" s="88"/>
      <c r="BL145" s="88"/>
      <c r="BM145" s="88"/>
      <c r="BN145" s="88"/>
      <c r="BO145" s="88"/>
    </row>
    <row r="146" spans="1:67" ht="15.75" customHeight="1">
      <c r="A146" s="89"/>
      <c r="B146" s="95"/>
      <c r="C146" s="80" t="s">
        <v>338</v>
      </c>
      <c r="D146" s="81" t="s">
        <v>339</v>
      </c>
      <c r="E146" s="98"/>
      <c r="F146" s="98"/>
      <c r="G146" s="83" t="e">
        <f t="shared" si="1"/>
        <v>#DIV/0!</v>
      </c>
      <c r="H146" s="83" t="e">
        <f t="shared" si="2"/>
        <v>#DIV/0!</v>
      </c>
      <c r="I146" s="127"/>
      <c r="J146" s="84"/>
      <c r="K146" s="127"/>
      <c r="L146" s="86">
        <f t="shared" ref="L146:N146" si="600">X146+AA146+AD146+AG146+AJ146+AM146+AP146+AS146+AV146+AY146+BB146+BE146</f>
        <v>0</v>
      </c>
      <c r="M146" s="86">
        <f t="shared" si="600"/>
        <v>0</v>
      </c>
      <c r="N146" s="86">
        <f t="shared" si="600"/>
        <v>0</v>
      </c>
      <c r="O146" s="62">
        <f t="shared" ref="O146:Q146" si="601">IF(BH146=0,SUM(X146+AA146+AD146+AG146+AJ146+AM146+AP146+AS146+AV146+AY146+BB146+BE146),BH146)</f>
        <v>0</v>
      </c>
      <c r="P146" s="62">
        <f t="shared" si="601"/>
        <v>0</v>
      </c>
      <c r="Q146" s="62">
        <f t="shared" si="601"/>
        <v>0</v>
      </c>
      <c r="R146" s="86">
        <f t="shared" ref="R146:T146" si="602">I146-L146</f>
        <v>0</v>
      </c>
      <c r="S146" s="86">
        <f t="shared" si="602"/>
        <v>0</v>
      </c>
      <c r="T146" s="86">
        <f t="shared" si="602"/>
        <v>0</v>
      </c>
      <c r="U146" s="87" t="e">
        <f t="shared" si="106"/>
        <v>#DIV/0!</v>
      </c>
      <c r="V146" s="87" t="e">
        <f t="shared" ref="V146:W146" si="603">M146/J146</f>
        <v>#DIV/0!</v>
      </c>
      <c r="W146" s="87" t="e">
        <f t="shared" si="603"/>
        <v>#DIV/0!</v>
      </c>
      <c r="X146" s="194"/>
      <c r="Y146" s="84"/>
      <c r="Z146" s="194"/>
      <c r="AA146" s="194"/>
      <c r="AB146" s="84"/>
      <c r="AC146" s="194"/>
      <c r="AD146" s="194"/>
      <c r="AE146" s="84"/>
      <c r="AF146" s="194"/>
      <c r="AG146" s="194"/>
      <c r="AH146" s="194"/>
      <c r="AI146" s="194"/>
      <c r="AJ146" s="194"/>
      <c r="AK146" s="194"/>
      <c r="AL146" s="194"/>
      <c r="AM146" s="194"/>
      <c r="AN146" s="194"/>
      <c r="AO146" s="194"/>
      <c r="AP146" s="194"/>
      <c r="AQ146" s="194"/>
      <c r="AR146" s="194"/>
      <c r="AS146" s="194"/>
      <c r="AT146" s="194"/>
      <c r="AU146" s="194"/>
      <c r="AV146" s="194"/>
      <c r="AW146" s="194"/>
      <c r="AX146" s="194"/>
      <c r="AY146" s="194"/>
      <c r="AZ146" s="194"/>
      <c r="BA146" s="194"/>
      <c r="BB146" s="194"/>
      <c r="BC146" s="194"/>
      <c r="BD146" s="194"/>
      <c r="BE146" s="195"/>
      <c r="BF146" s="194"/>
      <c r="BG146" s="194"/>
      <c r="BH146" s="195"/>
      <c r="BI146" s="194"/>
      <c r="BJ146" s="194"/>
      <c r="BK146" s="88"/>
      <c r="BL146" s="88"/>
      <c r="BM146" s="88"/>
      <c r="BN146" s="88"/>
      <c r="BO146" s="88"/>
    </row>
    <row r="147" spans="1:67" ht="37.5">
      <c r="A147" s="89"/>
      <c r="B147" s="95"/>
      <c r="C147" s="80" t="s">
        <v>326</v>
      </c>
      <c r="D147" s="81" t="s">
        <v>340</v>
      </c>
      <c r="E147" s="82"/>
      <c r="F147" s="97"/>
      <c r="G147" s="83" t="e">
        <f t="shared" si="1"/>
        <v>#DIV/0!</v>
      </c>
      <c r="H147" s="83" t="e">
        <f t="shared" si="2"/>
        <v>#DIV/0!</v>
      </c>
      <c r="I147" s="84"/>
      <c r="J147" s="84"/>
      <c r="K147" s="84"/>
      <c r="L147" s="86">
        <f t="shared" ref="L147:N147" si="604">X147+AA147+AD147+AG147+AJ147+AM147+AP147+AS147+AV147+AY147+BB147+BE147</f>
        <v>0</v>
      </c>
      <c r="M147" s="86">
        <f t="shared" si="604"/>
        <v>0</v>
      </c>
      <c r="N147" s="86">
        <f t="shared" si="604"/>
        <v>0</v>
      </c>
      <c r="O147" s="62">
        <f t="shared" ref="O147:Q147" si="605">IF(BH147=0,SUM(X147+AA147+AD147+AG147+AJ147+AM147+AP147+AS147+AV147+AY147+BB147+BE147),BH147)</f>
        <v>0</v>
      </c>
      <c r="P147" s="62">
        <f t="shared" si="605"/>
        <v>0</v>
      </c>
      <c r="Q147" s="62">
        <f t="shared" si="605"/>
        <v>0</v>
      </c>
      <c r="R147" s="86">
        <f t="shared" ref="R147:T147" si="606">I147-L147</f>
        <v>0</v>
      </c>
      <c r="S147" s="86">
        <f t="shared" si="606"/>
        <v>0</v>
      </c>
      <c r="T147" s="86">
        <f t="shared" si="606"/>
        <v>0</v>
      </c>
      <c r="U147" s="87" t="e">
        <f t="shared" si="106"/>
        <v>#DIV/0!</v>
      </c>
      <c r="V147" s="87" t="e">
        <f t="shared" ref="V147:W147" si="607">M147/J147</f>
        <v>#DIV/0!</v>
      </c>
      <c r="W147" s="87" t="e">
        <f t="shared" si="607"/>
        <v>#DIV/0!</v>
      </c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  <c r="BH147" s="84"/>
      <c r="BI147" s="84"/>
      <c r="BJ147" s="84"/>
      <c r="BK147" s="88"/>
      <c r="BL147" s="88"/>
      <c r="BM147" s="88"/>
      <c r="BN147" s="88"/>
      <c r="BO147" s="88"/>
    </row>
    <row r="148" spans="1:67" ht="37.5">
      <c r="A148" s="89"/>
      <c r="B148" s="95"/>
      <c r="C148" s="80" t="s">
        <v>341</v>
      </c>
      <c r="D148" s="81" t="s">
        <v>339</v>
      </c>
      <c r="E148" s="82"/>
      <c r="F148" s="97"/>
      <c r="G148" s="83" t="e">
        <f t="shared" si="1"/>
        <v>#DIV/0!</v>
      </c>
      <c r="H148" s="83" t="e">
        <f t="shared" si="2"/>
        <v>#DIV/0!</v>
      </c>
      <c r="I148" s="84"/>
      <c r="J148" s="84"/>
      <c r="K148" s="84"/>
      <c r="L148" s="86">
        <f t="shared" ref="L148:N148" si="608">X148+AA148+AD148+AG148+AJ148+AM148+AP148+AS148+AV148+AY148+BB148+BE148</f>
        <v>0</v>
      </c>
      <c r="M148" s="86">
        <f t="shared" si="608"/>
        <v>0</v>
      </c>
      <c r="N148" s="86">
        <f t="shared" si="608"/>
        <v>0</v>
      </c>
      <c r="O148" s="62">
        <f t="shared" ref="O148:Q148" si="609">IF(BH148=0,SUM(X148+AA148+AD148+AG148+AJ148+AM148+AP148+AS148+AV148+AY148+BB148+BE148),BH148)</f>
        <v>0</v>
      </c>
      <c r="P148" s="62">
        <f t="shared" si="609"/>
        <v>0</v>
      </c>
      <c r="Q148" s="62">
        <f t="shared" si="609"/>
        <v>0</v>
      </c>
      <c r="R148" s="86">
        <f t="shared" ref="R148:T148" si="610">I148-L148</f>
        <v>0</v>
      </c>
      <c r="S148" s="86">
        <f t="shared" si="610"/>
        <v>0</v>
      </c>
      <c r="T148" s="86">
        <f t="shared" si="610"/>
        <v>0</v>
      </c>
      <c r="U148" s="87" t="e">
        <f t="shared" si="106"/>
        <v>#DIV/0!</v>
      </c>
      <c r="V148" s="87" t="e">
        <f t="shared" ref="V148:W148" si="611">M148/J148</f>
        <v>#DIV/0!</v>
      </c>
      <c r="W148" s="87" t="e">
        <f t="shared" si="611"/>
        <v>#DIV/0!</v>
      </c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8"/>
      <c r="BL148" s="88"/>
      <c r="BM148" s="88"/>
      <c r="BN148" s="88"/>
      <c r="BO148" s="88"/>
    </row>
    <row r="149" spans="1:67" ht="37.5">
      <c r="A149" s="89"/>
      <c r="B149" s="95"/>
      <c r="C149" s="80" t="s">
        <v>341</v>
      </c>
      <c r="D149" s="81" t="s">
        <v>340</v>
      </c>
      <c r="E149" s="82"/>
      <c r="F149" s="97"/>
      <c r="G149" s="83" t="e">
        <f t="shared" si="1"/>
        <v>#DIV/0!</v>
      </c>
      <c r="H149" s="83" t="e">
        <f t="shared" si="2"/>
        <v>#DIV/0!</v>
      </c>
      <c r="I149" s="84"/>
      <c r="J149" s="84"/>
      <c r="K149" s="84"/>
      <c r="L149" s="86">
        <f t="shared" ref="L149:N149" si="612">X149+AA149+AD149+AG149+AJ149+AM149+AP149+AS149+AV149+AY149+BB149+BE149</f>
        <v>0</v>
      </c>
      <c r="M149" s="86">
        <f t="shared" si="612"/>
        <v>0</v>
      </c>
      <c r="N149" s="86">
        <f t="shared" si="612"/>
        <v>0</v>
      </c>
      <c r="O149" s="62">
        <f t="shared" ref="O149:Q149" si="613">IF(BH149=0,SUM(X149+AA149+AD149+AG149+AJ149+AM149+AP149+AS149+AV149+AY149+BB149+BE149),BH149)</f>
        <v>0</v>
      </c>
      <c r="P149" s="62">
        <f t="shared" si="613"/>
        <v>0</v>
      </c>
      <c r="Q149" s="62">
        <f t="shared" si="613"/>
        <v>0</v>
      </c>
      <c r="R149" s="86">
        <f t="shared" ref="R149:T149" si="614">I149-L149</f>
        <v>0</v>
      </c>
      <c r="S149" s="86">
        <f t="shared" si="614"/>
        <v>0</v>
      </c>
      <c r="T149" s="86">
        <f t="shared" si="614"/>
        <v>0</v>
      </c>
      <c r="U149" s="87" t="e">
        <f t="shared" si="106"/>
        <v>#DIV/0!</v>
      </c>
      <c r="V149" s="87" t="e">
        <f t="shared" ref="V149:W149" si="615">M149/J149</f>
        <v>#DIV/0!</v>
      </c>
      <c r="W149" s="87" t="e">
        <f t="shared" si="615"/>
        <v>#DIV/0!</v>
      </c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  <c r="BH149" s="84"/>
      <c r="BI149" s="84"/>
      <c r="BJ149" s="84"/>
      <c r="BK149" s="88"/>
      <c r="BL149" s="88"/>
      <c r="BM149" s="88"/>
      <c r="BN149" s="88"/>
      <c r="BO149" s="88"/>
    </row>
    <row r="150" spans="1:67" ht="37.5">
      <c r="A150" s="89"/>
      <c r="B150" s="95"/>
      <c r="C150" s="80" t="s">
        <v>341</v>
      </c>
      <c r="D150" s="81" t="s">
        <v>339</v>
      </c>
      <c r="E150" s="82"/>
      <c r="F150" s="97"/>
      <c r="G150" s="83" t="e">
        <f t="shared" si="1"/>
        <v>#DIV/0!</v>
      </c>
      <c r="H150" s="83" t="e">
        <f t="shared" si="2"/>
        <v>#DIV/0!</v>
      </c>
      <c r="I150" s="84"/>
      <c r="J150" s="84"/>
      <c r="K150" s="84"/>
      <c r="L150" s="86">
        <f t="shared" ref="L150:N150" si="616">X150+AA150+AD150+AG150+AJ150+AM150+AP150+AS150+AV150+AY150+BB150+BE150</f>
        <v>0</v>
      </c>
      <c r="M150" s="86">
        <f t="shared" si="616"/>
        <v>0</v>
      </c>
      <c r="N150" s="86">
        <f t="shared" si="616"/>
        <v>0</v>
      </c>
      <c r="O150" s="62">
        <f t="shared" ref="O150:Q150" si="617">IF(BH150=0,SUM(X150+AA150+AD150+AG150+AJ150+AM150+AP150+AS150+AV150+AY150+BB150+BE150),BH150)</f>
        <v>0</v>
      </c>
      <c r="P150" s="62">
        <f t="shared" si="617"/>
        <v>0</v>
      </c>
      <c r="Q150" s="62">
        <f t="shared" si="617"/>
        <v>0</v>
      </c>
      <c r="R150" s="86">
        <f t="shared" ref="R150:T150" si="618">I150-L150</f>
        <v>0</v>
      </c>
      <c r="S150" s="86">
        <f t="shared" si="618"/>
        <v>0</v>
      </c>
      <c r="T150" s="86">
        <f t="shared" si="618"/>
        <v>0</v>
      </c>
      <c r="U150" s="87" t="e">
        <f t="shared" si="106"/>
        <v>#DIV/0!</v>
      </c>
      <c r="V150" s="87" t="e">
        <f t="shared" ref="V150:W150" si="619">M150/J150</f>
        <v>#DIV/0!</v>
      </c>
      <c r="W150" s="87" t="e">
        <f t="shared" si="619"/>
        <v>#DIV/0!</v>
      </c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84"/>
      <c r="BC150" s="84"/>
      <c r="BD150" s="84"/>
      <c r="BE150" s="84"/>
      <c r="BF150" s="84"/>
      <c r="BG150" s="84"/>
      <c r="BH150" s="84"/>
      <c r="BI150" s="84"/>
      <c r="BJ150" s="84"/>
      <c r="BK150" s="88"/>
      <c r="BL150" s="88"/>
      <c r="BM150" s="88"/>
      <c r="BN150" s="88"/>
      <c r="BO150" s="88"/>
    </row>
    <row r="151" spans="1:67" ht="37.5">
      <c r="A151" s="89"/>
      <c r="B151" s="95"/>
      <c r="C151" s="80" t="s">
        <v>342</v>
      </c>
      <c r="D151" s="81" t="s">
        <v>343</v>
      </c>
      <c r="E151" s="82"/>
      <c r="F151" s="97"/>
      <c r="G151" s="83" t="e">
        <f t="shared" si="1"/>
        <v>#DIV/0!</v>
      </c>
      <c r="H151" s="83" t="e">
        <f t="shared" si="2"/>
        <v>#DIV/0!</v>
      </c>
      <c r="I151" s="84"/>
      <c r="J151" s="84"/>
      <c r="K151" s="84"/>
      <c r="L151" s="86">
        <f t="shared" ref="L151:N151" si="620">X151+AA151+AD151+AG151+AJ151+AM151+AP151+AS151+AV151+AY151+BB151+BE151</f>
        <v>0</v>
      </c>
      <c r="M151" s="86">
        <f t="shared" si="620"/>
        <v>0</v>
      </c>
      <c r="N151" s="86">
        <f t="shared" si="620"/>
        <v>0</v>
      </c>
      <c r="O151" s="62">
        <f t="shared" ref="O151:Q151" si="621">IF(BH151=0,SUM(X151+AA151+AD151+AG151+AJ151+AM151+AP151+AS151+AV151+AY151+BB151+BE151),BH151)</f>
        <v>0</v>
      </c>
      <c r="P151" s="62">
        <f t="shared" si="621"/>
        <v>0</v>
      </c>
      <c r="Q151" s="62">
        <f t="shared" si="621"/>
        <v>0</v>
      </c>
      <c r="R151" s="86">
        <f t="shared" ref="R151:T151" si="622">I151-L151</f>
        <v>0</v>
      </c>
      <c r="S151" s="86">
        <f t="shared" si="622"/>
        <v>0</v>
      </c>
      <c r="T151" s="86">
        <f t="shared" si="622"/>
        <v>0</v>
      </c>
      <c r="U151" s="87" t="e">
        <f t="shared" si="106"/>
        <v>#DIV/0!</v>
      </c>
      <c r="V151" s="87" t="e">
        <f t="shared" ref="V151:W151" si="623">M151/J151</f>
        <v>#DIV/0!</v>
      </c>
      <c r="W151" s="87" t="e">
        <f t="shared" si="623"/>
        <v>#DIV/0!</v>
      </c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84"/>
      <c r="BC151" s="84"/>
      <c r="BD151" s="84"/>
      <c r="BE151" s="84"/>
      <c r="BF151" s="84"/>
      <c r="BG151" s="84"/>
      <c r="BH151" s="84"/>
      <c r="BI151" s="84"/>
      <c r="BJ151" s="84"/>
      <c r="BK151" s="88"/>
      <c r="BL151" s="88"/>
      <c r="BM151" s="88"/>
      <c r="BN151" s="88"/>
      <c r="BO151" s="88"/>
    </row>
    <row r="152" spans="1:67" ht="37.5">
      <c r="A152" s="89"/>
      <c r="B152" s="95"/>
      <c r="C152" s="80" t="s">
        <v>342</v>
      </c>
      <c r="D152" s="81" t="s">
        <v>343</v>
      </c>
      <c r="E152" s="82"/>
      <c r="F152" s="82"/>
      <c r="G152" s="83" t="e">
        <f t="shared" si="1"/>
        <v>#DIV/0!</v>
      </c>
      <c r="H152" s="83" t="e">
        <f t="shared" si="2"/>
        <v>#DIV/0!</v>
      </c>
      <c r="I152" s="84"/>
      <c r="J152" s="84"/>
      <c r="K152" s="84"/>
      <c r="L152" s="196">
        <f t="shared" ref="L152:N152" si="624">X152+AA152+AD152+AG152+AJ152+AM152+AP152+AS152+AV152+AY152+BB152+BE152</f>
        <v>0</v>
      </c>
      <c r="M152" s="197">
        <f t="shared" si="624"/>
        <v>0</v>
      </c>
      <c r="N152" s="197">
        <f t="shared" si="624"/>
        <v>0</v>
      </c>
      <c r="O152" s="198">
        <f t="shared" ref="O152:O154" si="625">IF(BH152=0,SUM(X152+AA152+AD152+AG152+AJ152+AM152+AP152+AS152+AV152+AY152+BB152+BE152),BH152)</f>
        <v>0</v>
      </c>
      <c r="P152" s="62">
        <f t="shared" ref="P152:Q152" si="626">IF(BI152=0,SUM(Y152+AB152+AE152+AH152+AK152+AN152+AQ152+AT152+AW152+AZ152+BC152+BF152),BI152)</f>
        <v>0</v>
      </c>
      <c r="Q152" s="62">
        <f t="shared" si="626"/>
        <v>0</v>
      </c>
      <c r="R152" s="86">
        <f t="shared" ref="R152:T152" si="627">I152-L152</f>
        <v>0</v>
      </c>
      <c r="S152" s="86">
        <f t="shared" si="627"/>
        <v>0</v>
      </c>
      <c r="T152" s="86">
        <f t="shared" si="627"/>
        <v>0</v>
      </c>
      <c r="U152" s="87" t="e">
        <f t="shared" si="106"/>
        <v>#DIV/0!</v>
      </c>
      <c r="V152" s="87" t="e">
        <f t="shared" ref="V152:W152" si="628">M152/J152</f>
        <v>#DIV/0!</v>
      </c>
      <c r="W152" s="87" t="e">
        <f t="shared" si="628"/>
        <v>#DIV/0!</v>
      </c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  <c r="BH152" s="84"/>
      <c r="BI152" s="84"/>
      <c r="BJ152" s="84"/>
      <c r="BK152" s="88"/>
      <c r="BL152" s="88"/>
      <c r="BM152" s="88"/>
      <c r="BN152" s="88"/>
      <c r="BO152" s="88"/>
    </row>
    <row r="153" spans="1:67" ht="37.5">
      <c r="A153" s="89"/>
      <c r="B153" s="95"/>
      <c r="C153" s="80" t="s">
        <v>342</v>
      </c>
      <c r="D153" s="81" t="s">
        <v>343</v>
      </c>
      <c r="E153" s="82"/>
      <c r="F153" s="82"/>
      <c r="G153" s="83" t="e">
        <f t="shared" si="1"/>
        <v>#DIV/0!</v>
      </c>
      <c r="H153" s="83" t="e">
        <f t="shared" si="2"/>
        <v>#DIV/0!</v>
      </c>
      <c r="I153" s="84"/>
      <c r="J153" s="84"/>
      <c r="K153" s="84"/>
      <c r="L153" s="196">
        <f t="shared" ref="L153:N153" si="629">X153+AA153+AD153+AG153+AJ153+AM153+AP153+AS153+AV153+AY153+BB153+BE153</f>
        <v>0</v>
      </c>
      <c r="M153" s="197">
        <f t="shared" si="629"/>
        <v>0</v>
      </c>
      <c r="N153" s="197">
        <f t="shared" si="629"/>
        <v>0</v>
      </c>
      <c r="O153" s="198">
        <f t="shared" si="625"/>
        <v>0</v>
      </c>
      <c r="P153" s="62">
        <f t="shared" ref="P153:Q153" si="630">IF(BI153=0,SUM(Y153+AB153+AE153+AH153+AK153+AN153+AQ153+AT153+AW153+AZ153+BC153+BF153),BI153)</f>
        <v>0</v>
      </c>
      <c r="Q153" s="62">
        <f t="shared" si="630"/>
        <v>0</v>
      </c>
      <c r="R153" s="86">
        <f t="shared" ref="R153:T153" si="631">I153-L153</f>
        <v>0</v>
      </c>
      <c r="S153" s="86">
        <f t="shared" si="631"/>
        <v>0</v>
      </c>
      <c r="T153" s="86">
        <f t="shared" si="631"/>
        <v>0</v>
      </c>
      <c r="U153" s="87" t="e">
        <f t="shared" si="106"/>
        <v>#DIV/0!</v>
      </c>
      <c r="V153" s="87" t="e">
        <f t="shared" ref="V153:W153" si="632">M153/J153</f>
        <v>#DIV/0!</v>
      </c>
      <c r="W153" s="87" t="e">
        <f t="shared" si="632"/>
        <v>#DIV/0!</v>
      </c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84"/>
      <c r="BI153" s="84"/>
      <c r="BJ153" s="84"/>
      <c r="BK153" s="88"/>
      <c r="BL153" s="88"/>
      <c r="BM153" s="88"/>
      <c r="BN153" s="88"/>
      <c r="BO153" s="88"/>
    </row>
    <row r="154" spans="1:67" ht="37.5">
      <c r="A154" s="89"/>
      <c r="B154" s="95"/>
      <c r="C154" s="80" t="s">
        <v>342</v>
      </c>
      <c r="D154" s="81" t="s">
        <v>343</v>
      </c>
      <c r="E154" s="82"/>
      <c r="F154" s="82"/>
      <c r="G154" s="83" t="e">
        <f t="shared" si="1"/>
        <v>#DIV/0!</v>
      </c>
      <c r="H154" s="83" t="e">
        <f t="shared" si="2"/>
        <v>#DIV/0!</v>
      </c>
      <c r="I154" s="84"/>
      <c r="J154" s="84"/>
      <c r="K154" s="84"/>
      <c r="L154" s="196">
        <f t="shared" ref="L154:N154" si="633">X154+AA154+AD154+AG154+AJ154+AM154+AP154+AS154+AV154+AY154+BB154+BE154</f>
        <v>0</v>
      </c>
      <c r="M154" s="197">
        <f t="shared" si="633"/>
        <v>0</v>
      </c>
      <c r="N154" s="197">
        <f t="shared" si="633"/>
        <v>0</v>
      </c>
      <c r="O154" s="198">
        <f t="shared" si="625"/>
        <v>0</v>
      </c>
      <c r="P154" s="62">
        <f t="shared" ref="P154:Q154" si="634">IF(BI154=0,SUM(Y154+AB154+AE154+AH154+AK154+AN154+AQ154+AT154+AW154+AZ154+BC154+BF154),BI154)</f>
        <v>0</v>
      </c>
      <c r="Q154" s="62">
        <f t="shared" si="634"/>
        <v>0</v>
      </c>
      <c r="R154" s="86">
        <f t="shared" ref="R154:T154" si="635">I154-L154</f>
        <v>0</v>
      </c>
      <c r="S154" s="86">
        <f t="shared" si="635"/>
        <v>0</v>
      </c>
      <c r="T154" s="86">
        <f t="shared" si="635"/>
        <v>0</v>
      </c>
      <c r="U154" s="87" t="e">
        <f t="shared" si="106"/>
        <v>#DIV/0!</v>
      </c>
      <c r="V154" s="87" t="e">
        <f t="shared" ref="V154:W154" si="636">M154/J154</f>
        <v>#DIV/0!</v>
      </c>
      <c r="W154" s="87" t="e">
        <f t="shared" si="636"/>
        <v>#DIV/0!</v>
      </c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8"/>
      <c r="BL154" s="88"/>
      <c r="BM154" s="88"/>
      <c r="BN154" s="88"/>
      <c r="BO154" s="88"/>
    </row>
    <row r="155" spans="1:67" ht="37.5">
      <c r="A155" s="89"/>
      <c r="B155" s="95"/>
      <c r="C155" s="80" t="s">
        <v>342</v>
      </c>
      <c r="D155" s="81" t="s">
        <v>343</v>
      </c>
      <c r="E155" s="82"/>
      <c r="F155" s="82"/>
      <c r="G155" s="83" t="e">
        <f t="shared" si="1"/>
        <v>#DIV/0!</v>
      </c>
      <c r="H155" s="83" t="e">
        <f t="shared" si="2"/>
        <v>#DIV/0!</v>
      </c>
      <c r="I155" s="84"/>
      <c r="J155" s="84"/>
      <c r="K155" s="84"/>
      <c r="L155" s="196">
        <f>X155+AA155+AD155+AG155+AJ155+AM155+AP155+AS155+AV155+AY155+BB155+BE161</f>
        <v>0</v>
      </c>
      <c r="M155" s="197">
        <f t="shared" ref="M155:N155" si="637">Y155+AB155+AE155+AH155+AK155+AN155+AQ155+AT155+AW155+AZ155+BC155+BF155</f>
        <v>0</v>
      </c>
      <c r="N155" s="197">
        <f t="shared" si="637"/>
        <v>0</v>
      </c>
      <c r="O155" s="198">
        <f>IF(BH155=0,SUM(X155+AA155+AD155+AG155+AJ155+AM155+AP155+AS155+AV155+AY155+BB155+BE161),BH155)</f>
        <v>0</v>
      </c>
      <c r="P155" s="62">
        <f t="shared" ref="P155:Q155" si="638">IF(BI155=0,SUM(Y155+AB155+AE155+AH155+AK155+AN155+AQ155+AT155+AW155+AZ155+BC155+BF155),BI155)</f>
        <v>0</v>
      </c>
      <c r="Q155" s="62">
        <f t="shared" si="638"/>
        <v>0</v>
      </c>
      <c r="R155" s="86">
        <f t="shared" ref="R155:T155" si="639">I155-L155</f>
        <v>0</v>
      </c>
      <c r="S155" s="86">
        <f t="shared" si="639"/>
        <v>0</v>
      </c>
      <c r="T155" s="86">
        <f t="shared" si="639"/>
        <v>0</v>
      </c>
      <c r="U155" s="87" t="e">
        <f t="shared" si="106"/>
        <v>#DIV/0!</v>
      </c>
      <c r="V155" s="87" t="e">
        <f t="shared" ref="V155:W155" si="640">M155/J155</f>
        <v>#DIV/0!</v>
      </c>
      <c r="W155" s="87" t="e">
        <f t="shared" si="640"/>
        <v>#DIV/0!</v>
      </c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F155" s="84"/>
      <c r="BG155" s="84"/>
      <c r="BH155" s="84"/>
      <c r="BI155" s="84"/>
      <c r="BJ155" s="84"/>
      <c r="BK155" s="88"/>
      <c r="BL155" s="88"/>
      <c r="BM155" s="88"/>
      <c r="BN155" s="88"/>
      <c r="BO155" s="88"/>
    </row>
    <row r="156" spans="1:67" ht="37.5">
      <c r="A156" s="89"/>
      <c r="B156" s="95"/>
      <c r="C156" s="80" t="s">
        <v>342</v>
      </c>
      <c r="D156" s="81" t="s">
        <v>343</v>
      </c>
      <c r="E156" s="82"/>
      <c r="F156" s="82"/>
      <c r="G156" s="83" t="e">
        <f t="shared" si="1"/>
        <v>#DIV/0!</v>
      </c>
      <c r="H156" s="83" t="e">
        <f t="shared" si="2"/>
        <v>#DIV/0!</v>
      </c>
      <c r="I156" s="84"/>
      <c r="J156" s="84"/>
      <c r="K156" s="84"/>
      <c r="L156" s="196">
        <f>X156+AA156+AD156+AG156+AJ156+AM156+AP156+AS162+AV156+AY156+BB156+BE156</f>
        <v>0</v>
      </c>
      <c r="M156" s="197">
        <f t="shared" ref="M156:N156" si="641">Y156+AB156+AE156+AH156+AK156+AN156+AQ156+AT156+AW156+AZ156+BC156+BF156</f>
        <v>0</v>
      </c>
      <c r="N156" s="197">
        <f t="shared" si="641"/>
        <v>0</v>
      </c>
      <c r="O156" s="198">
        <f>IF(BH156=0,SUM(X156+AA156+AD156+AG156+AJ156+AM156+AP156+AS162+AV156+AY156+BB156+BE156),BH156)</f>
        <v>0</v>
      </c>
      <c r="P156" s="62">
        <f t="shared" ref="P156:Q156" si="642">IF(BI156=0,SUM(Y156+AB156+AE156+AH156+AK156+AN156+AQ156+AT156+AW156+AZ156+BC156+BF156),BI156)</f>
        <v>0</v>
      </c>
      <c r="Q156" s="62">
        <f t="shared" si="642"/>
        <v>0</v>
      </c>
      <c r="R156" s="86">
        <f t="shared" ref="R156:T156" si="643">I156-L156</f>
        <v>0</v>
      </c>
      <c r="S156" s="86">
        <f t="shared" si="643"/>
        <v>0</v>
      </c>
      <c r="T156" s="86">
        <f t="shared" si="643"/>
        <v>0</v>
      </c>
      <c r="U156" s="87" t="e">
        <f t="shared" si="106"/>
        <v>#DIV/0!</v>
      </c>
      <c r="V156" s="87" t="e">
        <f t="shared" ref="V156:W156" si="644">M156/J156</f>
        <v>#DIV/0!</v>
      </c>
      <c r="W156" s="87" t="e">
        <f t="shared" si="644"/>
        <v>#DIV/0!</v>
      </c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8"/>
      <c r="BL156" s="88"/>
      <c r="BM156" s="88"/>
      <c r="BN156" s="88"/>
      <c r="BO156" s="88"/>
    </row>
    <row r="157" spans="1:67" ht="37.5">
      <c r="A157" s="89"/>
      <c r="B157" s="95"/>
      <c r="C157" s="80" t="s">
        <v>344</v>
      </c>
      <c r="D157" s="81" t="s">
        <v>343</v>
      </c>
      <c r="E157" s="82"/>
      <c r="F157" s="82"/>
      <c r="G157" s="83" t="e">
        <f t="shared" si="1"/>
        <v>#DIV/0!</v>
      </c>
      <c r="H157" s="83" t="e">
        <f t="shared" si="2"/>
        <v>#DIV/0!</v>
      </c>
      <c r="I157" s="84"/>
      <c r="J157" s="84"/>
      <c r="K157" s="84"/>
      <c r="L157" s="196">
        <f t="shared" ref="L157:N157" si="645">X157+AA157+AD157+AG157+AJ157+AM157+AP157+AS157+AV157+AY157+BB157+BE157</f>
        <v>0</v>
      </c>
      <c r="M157" s="197">
        <f t="shared" si="645"/>
        <v>0</v>
      </c>
      <c r="N157" s="197">
        <f t="shared" si="645"/>
        <v>0</v>
      </c>
      <c r="O157" s="198">
        <f>IF(BH157=0,SUM(X157+AA157+AD157+AG157+AJ157+AM157+AP157+AS157+AV157+AY157+BB157+BE157),BH157)</f>
        <v>0</v>
      </c>
      <c r="P157" s="62">
        <f t="shared" ref="P157:Q157" si="646">IF(BI157=0,SUM(Y157+AB157+AE157+AH157+AK157+AN157+AQ157+AT157+AW157+AZ157+BC157+BF157),BI157)</f>
        <v>0</v>
      </c>
      <c r="Q157" s="62">
        <f t="shared" si="646"/>
        <v>0</v>
      </c>
      <c r="R157" s="86">
        <f t="shared" ref="R157:T157" si="647">I157-L157</f>
        <v>0</v>
      </c>
      <c r="S157" s="86">
        <f t="shared" si="647"/>
        <v>0</v>
      </c>
      <c r="T157" s="86">
        <f t="shared" si="647"/>
        <v>0</v>
      </c>
      <c r="U157" s="87" t="e">
        <f t="shared" si="106"/>
        <v>#DIV/0!</v>
      </c>
      <c r="V157" s="87" t="e">
        <f t="shared" ref="V157:W157" si="648">M157/J157</f>
        <v>#DIV/0!</v>
      </c>
      <c r="W157" s="87" t="e">
        <f t="shared" si="648"/>
        <v>#DIV/0!</v>
      </c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8"/>
      <c r="BL157" s="88"/>
      <c r="BM157" s="88"/>
      <c r="BN157" s="88"/>
      <c r="BO157" s="88"/>
    </row>
    <row r="158" spans="1:67" ht="37.5">
      <c r="A158" s="89"/>
      <c r="B158" s="95"/>
      <c r="C158" s="80" t="s">
        <v>345</v>
      </c>
      <c r="D158" s="81" t="s">
        <v>343</v>
      </c>
      <c r="E158" s="82"/>
      <c r="F158" s="82"/>
      <c r="G158" s="83" t="e">
        <f t="shared" si="1"/>
        <v>#DIV/0!</v>
      </c>
      <c r="H158" s="83" t="e">
        <f t="shared" si="2"/>
        <v>#DIV/0!</v>
      </c>
      <c r="I158" s="84"/>
      <c r="J158" s="84"/>
      <c r="K158" s="84"/>
      <c r="L158" s="196">
        <f>X158+AA158+AD158+AG158+AJ158+AM162+AP158+AS158+AV158+AY158+BB158+BE158</f>
        <v>0</v>
      </c>
      <c r="M158" s="197">
        <f t="shared" ref="M158:N158" si="649">Y158+AB158+AE158+AH158+AK158+AN158+AQ158+AT158+AW158+AZ158+BC158+BF158</f>
        <v>0</v>
      </c>
      <c r="N158" s="197">
        <f t="shared" si="649"/>
        <v>0</v>
      </c>
      <c r="O158" s="198">
        <f>IF(BH158=0,SUM(X158+AA158+AD158+AG158+AJ158+AM162+AP158+AS158+AV158+AY158+BB158+BE158),BH158)</f>
        <v>0</v>
      </c>
      <c r="P158" s="62">
        <f t="shared" ref="P158:Q158" si="650">IF(BI158=0,SUM(Y158+AB158+AE158+AH158+AK158+AN158+AQ158+AT158+AW158+AZ158+BC158+BF158),BI158)</f>
        <v>0</v>
      </c>
      <c r="Q158" s="62">
        <f t="shared" si="650"/>
        <v>0</v>
      </c>
      <c r="R158" s="86">
        <f t="shared" ref="R158:T158" si="651">I158-L158</f>
        <v>0</v>
      </c>
      <c r="S158" s="86">
        <f t="shared" si="651"/>
        <v>0</v>
      </c>
      <c r="T158" s="86">
        <f t="shared" si="651"/>
        <v>0</v>
      </c>
      <c r="U158" s="87" t="e">
        <f t="shared" si="106"/>
        <v>#DIV/0!</v>
      </c>
      <c r="V158" s="87" t="e">
        <f t="shared" ref="V158:W158" si="652">M158/J158</f>
        <v>#DIV/0!</v>
      </c>
      <c r="W158" s="87" t="e">
        <f t="shared" si="652"/>
        <v>#DIV/0!</v>
      </c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  <c r="BH158" s="84"/>
      <c r="BI158" s="84"/>
      <c r="BJ158" s="84"/>
      <c r="BK158" s="88"/>
      <c r="BL158" s="88"/>
      <c r="BM158" s="88"/>
      <c r="BN158" s="88"/>
      <c r="BO158" s="88"/>
    </row>
    <row r="159" spans="1:67" ht="37.5">
      <c r="A159" s="89"/>
      <c r="B159" s="95"/>
      <c r="C159" s="80" t="s">
        <v>342</v>
      </c>
      <c r="D159" s="81" t="s">
        <v>343</v>
      </c>
      <c r="E159" s="82"/>
      <c r="F159" s="82"/>
      <c r="G159" s="83" t="e">
        <f t="shared" si="1"/>
        <v>#DIV/0!</v>
      </c>
      <c r="H159" s="83" t="e">
        <f t="shared" si="2"/>
        <v>#DIV/0!</v>
      </c>
      <c r="I159" s="84"/>
      <c r="J159" s="84"/>
      <c r="K159" s="84"/>
      <c r="L159" s="196">
        <f t="shared" ref="L159:N159" si="653">X159+AA159+AD159+AG159+AJ159+AM159+AP159+AS159+AV159+AY159+BB159+BE159</f>
        <v>0</v>
      </c>
      <c r="M159" s="197">
        <f t="shared" si="653"/>
        <v>0</v>
      </c>
      <c r="N159" s="197">
        <f t="shared" si="653"/>
        <v>0</v>
      </c>
      <c r="O159" s="198">
        <f>IF(BH159=0,SUM(X159+AA159+AD159+AG159+AJ159+AM159+AP159+AS159+AV159+AY159+BB159+BE159),BH159)</f>
        <v>0</v>
      </c>
      <c r="P159" s="62">
        <f t="shared" ref="P159:Q159" si="654">IF(BI159=0,SUM(Y159+AB159+AE159+AH159+AK159+AN159+AQ159+AT159+AW159+AZ159+BC159+BF159),BI159)</f>
        <v>0</v>
      </c>
      <c r="Q159" s="62">
        <f t="shared" si="654"/>
        <v>0</v>
      </c>
      <c r="R159" s="86">
        <f t="shared" ref="R159:T159" si="655">I159-L159</f>
        <v>0</v>
      </c>
      <c r="S159" s="86">
        <f t="shared" si="655"/>
        <v>0</v>
      </c>
      <c r="T159" s="86">
        <f t="shared" si="655"/>
        <v>0</v>
      </c>
      <c r="U159" s="87" t="e">
        <f t="shared" si="106"/>
        <v>#DIV/0!</v>
      </c>
      <c r="V159" s="87" t="e">
        <f t="shared" ref="V159:W159" si="656">M159/J159</f>
        <v>#DIV/0!</v>
      </c>
      <c r="W159" s="87" t="e">
        <f t="shared" si="656"/>
        <v>#DIV/0!</v>
      </c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  <c r="BH159" s="84"/>
      <c r="BI159" s="84"/>
      <c r="BJ159" s="84"/>
      <c r="BK159" s="88"/>
      <c r="BL159" s="88"/>
      <c r="BM159" s="88"/>
      <c r="BN159" s="88"/>
      <c r="BO159" s="88"/>
    </row>
    <row r="160" spans="1:67" ht="37.5">
      <c r="A160" s="89" t="s">
        <v>346</v>
      </c>
      <c r="B160" s="95" t="s">
        <v>347</v>
      </c>
      <c r="C160" s="79" t="s">
        <v>119</v>
      </c>
      <c r="D160" s="92" t="s">
        <v>348</v>
      </c>
      <c r="E160" s="82"/>
      <c r="F160" s="82"/>
      <c r="G160" s="83" t="e">
        <f t="shared" si="1"/>
        <v>#DIV/0!</v>
      </c>
      <c r="H160" s="83" t="e">
        <f t="shared" si="2"/>
        <v>#DIV/0!</v>
      </c>
      <c r="I160" s="84">
        <v>25816.86</v>
      </c>
      <c r="J160" s="84">
        <v>11868.54</v>
      </c>
      <c r="K160" s="84"/>
      <c r="L160" s="86">
        <f t="shared" ref="L160:N160" si="657">X160+AA160+AD160+AG160+AJ160+AM160+AP160+AS160+AV160+AY160+BB160+BE160</f>
        <v>0</v>
      </c>
      <c r="M160" s="86">
        <f t="shared" si="657"/>
        <v>11474.16</v>
      </c>
      <c r="N160" s="86">
        <f t="shared" si="657"/>
        <v>0</v>
      </c>
      <c r="O160" s="62">
        <f t="shared" ref="O160:Q160" si="658">IF(BH160=0,SUM(X160+AA160+AD160+AG160+AJ160+AM160+AP160+AS160+AV160+AY160+BB160+BE160),BH160)</f>
        <v>0</v>
      </c>
      <c r="P160" s="62">
        <f t="shared" si="658"/>
        <v>11474.16</v>
      </c>
      <c r="Q160" s="62">
        <f t="shared" si="658"/>
        <v>0</v>
      </c>
      <c r="R160" s="86">
        <f t="shared" ref="R160:T160" si="659">I160-L160</f>
        <v>25816.86</v>
      </c>
      <c r="S160" s="86">
        <f t="shared" si="659"/>
        <v>394.38000000000102</v>
      </c>
      <c r="T160" s="86">
        <f t="shared" si="659"/>
        <v>0</v>
      </c>
      <c r="U160" s="87">
        <f t="shared" si="106"/>
        <v>0</v>
      </c>
      <c r="V160" s="87">
        <f t="shared" ref="V160:W160" si="660">M160/J160</f>
        <v>0.96677097604254603</v>
      </c>
      <c r="W160" s="87" t="e">
        <f t="shared" si="660"/>
        <v>#DIV/0!</v>
      </c>
      <c r="X160" s="84"/>
      <c r="Y160" s="84">
        <f>2868.54</f>
        <v>2868.54</v>
      </c>
      <c r="Z160" s="84"/>
      <c r="AA160" s="84"/>
      <c r="AB160" s="84">
        <f>2868.54</f>
        <v>2868.54</v>
      </c>
      <c r="AC160" s="84"/>
      <c r="AD160" s="84"/>
      <c r="AE160" s="84">
        <f>2868.54</f>
        <v>2868.54</v>
      </c>
      <c r="AF160" s="84"/>
      <c r="AG160" s="84"/>
      <c r="AH160" s="84">
        <f>2868.54</f>
        <v>2868.54</v>
      </c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8"/>
      <c r="BL160" s="88"/>
      <c r="BM160" s="88"/>
      <c r="BN160" s="88"/>
      <c r="BO160" s="88"/>
    </row>
    <row r="161" spans="1:67" ht="37.5">
      <c r="A161" s="89" t="s">
        <v>349</v>
      </c>
      <c r="B161" s="95" t="s">
        <v>350</v>
      </c>
      <c r="C161" s="79" t="s">
        <v>114</v>
      </c>
      <c r="D161" s="92" t="s">
        <v>351</v>
      </c>
      <c r="E161" s="82"/>
      <c r="F161" s="82"/>
      <c r="G161" s="83" t="e">
        <f t="shared" si="1"/>
        <v>#DIV/0!</v>
      </c>
      <c r="H161" s="83" t="e">
        <f t="shared" si="2"/>
        <v>#DIV/0!</v>
      </c>
      <c r="I161" s="84">
        <f>88458.28</f>
        <v>88458.28</v>
      </c>
      <c r="J161" s="84">
        <v>29917.88</v>
      </c>
      <c r="K161" s="84"/>
      <c r="L161" s="86">
        <f t="shared" ref="L161:N161" si="661">X161+AA161+AD161+AG161+AJ161+AM161+AP161+AS161+AV161+AY161+BB161+BE161</f>
        <v>9540.84</v>
      </c>
      <c r="M161" s="86">
        <f t="shared" si="661"/>
        <v>29594.04</v>
      </c>
      <c r="N161" s="86">
        <f t="shared" si="661"/>
        <v>0</v>
      </c>
      <c r="O161" s="62">
        <f t="shared" ref="O161:Q161" si="662">IF(BH161=0,SUM(X161+AA161+AD161+AG161+AJ161+AM161+AP161+AS161+AV161+AY161+BB161+BE161),BH161)</f>
        <v>9540.84</v>
      </c>
      <c r="P161" s="62">
        <f t="shared" si="662"/>
        <v>29594.04</v>
      </c>
      <c r="Q161" s="62">
        <f t="shared" si="662"/>
        <v>0</v>
      </c>
      <c r="R161" s="86">
        <f t="shared" ref="R161:T161" si="663">I161-L161</f>
        <v>78917.440000000002</v>
      </c>
      <c r="S161" s="86">
        <f t="shared" si="663"/>
        <v>323.84000000000015</v>
      </c>
      <c r="T161" s="86">
        <f t="shared" si="663"/>
        <v>0</v>
      </c>
      <c r="U161" s="87">
        <f t="shared" si="106"/>
        <v>0.10785694680023171</v>
      </c>
      <c r="V161" s="87">
        <f t="shared" ref="V161:W161" si="664">M161/J161</f>
        <v>0.98917570362605911</v>
      </c>
      <c r="W161" s="87" t="e">
        <f t="shared" si="664"/>
        <v>#DIV/0!</v>
      </c>
      <c r="X161" s="84">
        <v>0</v>
      </c>
      <c r="Y161" s="84">
        <f>9864.68</f>
        <v>9864.68</v>
      </c>
      <c r="Z161" s="84"/>
      <c r="AA161" s="84">
        <v>0</v>
      </c>
      <c r="AB161" s="84">
        <f>9864.68+2868.54</f>
        <v>12733.220000000001</v>
      </c>
      <c r="AC161" s="84"/>
      <c r="AD161" s="84">
        <v>0</v>
      </c>
      <c r="AE161" s="84">
        <f>-2868.54+9864.68</f>
        <v>6996.14</v>
      </c>
      <c r="AF161" s="84"/>
      <c r="AG161" s="84">
        <f>9540.84</f>
        <v>9540.84</v>
      </c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8"/>
      <c r="BL161" s="88"/>
      <c r="BM161" s="88"/>
      <c r="BN161" s="88"/>
      <c r="BO161" s="88"/>
    </row>
    <row r="162" spans="1:67" ht="37.5">
      <c r="A162" s="89"/>
      <c r="B162" s="95"/>
      <c r="C162" s="79" t="s">
        <v>139</v>
      </c>
      <c r="D162" s="92" t="s">
        <v>352</v>
      </c>
      <c r="E162" s="82"/>
      <c r="F162" s="82"/>
      <c r="G162" s="83" t="e">
        <f t="shared" si="1"/>
        <v>#DIV/0!</v>
      </c>
      <c r="H162" s="83" t="e">
        <f t="shared" si="2"/>
        <v>#DIV/0!</v>
      </c>
      <c r="I162" s="84"/>
      <c r="J162" s="84"/>
      <c r="K162" s="84"/>
      <c r="L162" s="86">
        <f t="shared" ref="L162:N162" si="665">X162+AA162+AD162+AG162+AJ162+AM162+AP162+AS162+AV162+AY162+BB162+BE162</f>
        <v>0</v>
      </c>
      <c r="M162" s="86">
        <f t="shared" si="665"/>
        <v>0</v>
      </c>
      <c r="N162" s="86">
        <f t="shared" si="665"/>
        <v>0</v>
      </c>
      <c r="O162" s="62">
        <f t="shared" ref="O162:Q162" si="666">IF(BH162=0,SUM(X162+AA162+AD162+AG162+AJ162+AM162+AP162+AS162+AV162+AY162+BB162+BE162),BH162)</f>
        <v>0</v>
      </c>
      <c r="P162" s="62">
        <f t="shared" si="666"/>
        <v>0</v>
      </c>
      <c r="Q162" s="62">
        <f t="shared" si="666"/>
        <v>0</v>
      </c>
      <c r="R162" s="86">
        <f t="shared" ref="R162:T162" si="667">I162-L162</f>
        <v>0</v>
      </c>
      <c r="S162" s="86">
        <f t="shared" si="667"/>
        <v>0</v>
      </c>
      <c r="T162" s="86">
        <f t="shared" si="667"/>
        <v>0</v>
      </c>
      <c r="U162" s="87" t="e">
        <f t="shared" si="106"/>
        <v>#DIV/0!</v>
      </c>
      <c r="V162" s="87" t="e">
        <f t="shared" ref="V162:W162" si="668">M162/J162</f>
        <v>#DIV/0!</v>
      </c>
      <c r="W162" s="87" t="e">
        <f t="shared" si="668"/>
        <v>#DIV/0!</v>
      </c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8"/>
      <c r="BL162" s="88"/>
      <c r="BM162" s="88"/>
      <c r="BN162" s="88"/>
      <c r="BO162" s="88"/>
    </row>
    <row r="163" spans="1:67" ht="37.5">
      <c r="A163" s="89"/>
      <c r="B163" s="95"/>
      <c r="C163" s="80" t="s">
        <v>353</v>
      </c>
      <c r="D163" s="92" t="s">
        <v>354</v>
      </c>
      <c r="E163" s="82"/>
      <c r="F163" s="82"/>
      <c r="G163" s="83" t="e">
        <f t="shared" si="1"/>
        <v>#DIV/0!</v>
      </c>
      <c r="H163" s="83" t="e">
        <f t="shared" si="2"/>
        <v>#DIV/0!</v>
      </c>
      <c r="I163" s="84"/>
      <c r="J163" s="84"/>
      <c r="K163" s="84"/>
      <c r="L163" s="86">
        <f t="shared" ref="L163:N163" si="669">X163+AA163+AD163+AG163+AJ163+AM163+AP163+AS163+AV163+AY163+BB163+BE163</f>
        <v>0</v>
      </c>
      <c r="M163" s="86">
        <f t="shared" si="669"/>
        <v>0</v>
      </c>
      <c r="N163" s="86">
        <f t="shared" si="669"/>
        <v>0</v>
      </c>
      <c r="O163" s="62">
        <f t="shared" ref="O163:Q163" si="670">IF(BH163=0,SUM(X163+AA163+AD163+AG163+AJ163+AM163+AP163+AS163+AV163+AY163+BB163+BE163),BH163)</f>
        <v>0</v>
      </c>
      <c r="P163" s="62">
        <f t="shared" si="670"/>
        <v>0</v>
      </c>
      <c r="Q163" s="62">
        <f t="shared" si="670"/>
        <v>0</v>
      </c>
      <c r="R163" s="86">
        <f t="shared" ref="R163:T163" si="671">I163-L163</f>
        <v>0</v>
      </c>
      <c r="S163" s="86">
        <f t="shared" si="671"/>
        <v>0</v>
      </c>
      <c r="T163" s="86">
        <f t="shared" si="671"/>
        <v>0</v>
      </c>
      <c r="U163" s="87" t="e">
        <f t="shared" si="106"/>
        <v>#DIV/0!</v>
      </c>
      <c r="V163" s="87" t="e">
        <f t="shared" ref="V163:W163" si="672">M163/J163</f>
        <v>#DIV/0!</v>
      </c>
      <c r="W163" s="87" t="e">
        <f t="shared" si="672"/>
        <v>#DIV/0!</v>
      </c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  <c r="BH163" s="84"/>
      <c r="BI163" s="84"/>
      <c r="BJ163" s="84"/>
      <c r="BK163" s="88"/>
      <c r="BL163" s="88"/>
      <c r="BM163" s="88"/>
      <c r="BN163" s="88"/>
      <c r="BO163" s="88"/>
    </row>
    <row r="164" spans="1:67" ht="37.5">
      <c r="A164" s="89" t="s">
        <v>355</v>
      </c>
      <c r="B164" s="95"/>
      <c r="C164" s="80" t="s">
        <v>94</v>
      </c>
      <c r="D164" s="81" t="s">
        <v>356</v>
      </c>
      <c r="E164" s="82"/>
      <c r="F164" s="82"/>
      <c r="G164" s="83" t="e">
        <f t="shared" si="1"/>
        <v>#DIV/0!</v>
      </c>
      <c r="H164" s="83" t="e">
        <f t="shared" si="2"/>
        <v>#DIV/0!</v>
      </c>
      <c r="I164" s="84">
        <f>345</f>
        <v>345</v>
      </c>
      <c r="J164" s="84"/>
      <c r="K164" s="84"/>
      <c r="L164" s="86">
        <f t="shared" ref="L164:N164" si="673">X164+AA164+AD164+AG164+AJ164+AM164+AP164+AS164+AV164+AY164+BB164+BE164</f>
        <v>0</v>
      </c>
      <c r="M164" s="86">
        <f t="shared" si="673"/>
        <v>0</v>
      </c>
      <c r="N164" s="86">
        <f t="shared" si="673"/>
        <v>0</v>
      </c>
      <c r="O164" s="62">
        <f t="shared" ref="O164:Q164" si="674">IF(BH164=0,SUM(X164+AA164+AD164+AG164+AJ164+AM164+AP164+AS164+AV164+AY164+BB164+BE164),BH164)</f>
        <v>0</v>
      </c>
      <c r="P164" s="62">
        <f t="shared" si="674"/>
        <v>0</v>
      </c>
      <c r="Q164" s="62">
        <f t="shared" si="674"/>
        <v>0</v>
      </c>
      <c r="R164" s="86">
        <f t="shared" ref="R164:T164" si="675">I164-L164</f>
        <v>345</v>
      </c>
      <c r="S164" s="86">
        <f t="shared" si="675"/>
        <v>0</v>
      </c>
      <c r="T164" s="86">
        <f t="shared" si="675"/>
        <v>0</v>
      </c>
      <c r="U164" s="87">
        <f t="shared" si="106"/>
        <v>0</v>
      </c>
      <c r="V164" s="87" t="e">
        <f t="shared" ref="V164:W164" si="676">M164/J164</f>
        <v>#DIV/0!</v>
      </c>
      <c r="W164" s="87" t="e">
        <f t="shared" si="676"/>
        <v>#DIV/0!</v>
      </c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8"/>
      <c r="BL164" s="88"/>
      <c r="BM164" s="88"/>
      <c r="BN164" s="88"/>
      <c r="BO164" s="88"/>
    </row>
    <row r="165" spans="1:67" ht="16.5" customHeight="1">
      <c r="A165" s="89"/>
      <c r="B165" s="95"/>
      <c r="C165" s="80" t="s">
        <v>357</v>
      </c>
      <c r="D165" s="117" t="s">
        <v>577</v>
      </c>
      <c r="E165" s="82"/>
      <c r="F165" s="97"/>
      <c r="G165" s="83" t="e">
        <f t="shared" si="1"/>
        <v>#DIV/0!</v>
      </c>
      <c r="H165" s="83" t="e">
        <f t="shared" si="2"/>
        <v>#DIV/0!</v>
      </c>
      <c r="I165" s="84"/>
      <c r="J165" s="84"/>
      <c r="K165" s="84"/>
      <c r="L165" s="86">
        <f t="shared" ref="L165:N165" si="677">X165+AA165+AD165+AG165+AJ165+AM165+AP165+AS165+AV165+AY165+BB165+BE165</f>
        <v>0</v>
      </c>
      <c r="M165" s="86">
        <f t="shared" si="677"/>
        <v>0</v>
      </c>
      <c r="N165" s="86">
        <f t="shared" si="677"/>
        <v>0</v>
      </c>
      <c r="O165" s="62">
        <f t="shared" ref="O165:Q165" si="678">IF(BH165=0,SUM(X165+AA165+AD165+AG165+AJ165+AM165+AP165+AS165+AV165+AY165+BB165+BE165),BH165)</f>
        <v>0</v>
      </c>
      <c r="P165" s="62">
        <f t="shared" si="678"/>
        <v>0</v>
      </c>
      <c r="Q165" s="62">
        <f t="shared" si="678"/>
        <v>0</v>
      </c>
      <c r="R165" s="86">
        <f t="shared" ref="R165:T165" si="679">I165-L165</f>
        <v>0</v>
      </c>
      <c r="S165" s="86">
        <f t="shared" si="679"/>
        <v>0</v>
      </c>
      <c r="T165" s="86">
        <f t="shared" si="679"/>
        <v>0</v>
      </c>
      <c r="U165" s="87" t="e">
        <f t="shared" si="106"/>
        <v>#DIV/0!</v>
      </c>
      <c r="V165" s="87" t="e">
        <f t="shared" ref="V165:W165" si="680">M165/J165</f>
        <v>#DIV/0!</v>
      </c>
      <c r="W165" s="87" t="e">
        <f t="shared" si="680"/>
        <v>#DIV/0!</v>
      </c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4"/>
      <c r="BJ165" s="84"/>
      <c r="BK165" s="88"/>
      <c r="BL165" s="88"/>
      <c r="BM165" s="88"/>
      <c r="BN165" s="88"/>
      <c r="BO165" s="88"/>
    </row>
    <row r="166" spans="1:67" ht="45" customHeight="1">
      <c r="A166" s="89" t="s">
        <v>358</v>
      </c>
      <c r="B166" s="95"/>
      <c r="C166" s="80" t="s">
        <v>359</v>
      </c>
      <c r="D166" s="92" t="s">
        <v>360</v>
      </c>
      <c r="E166" s="82"/>
      <c r="F166" s="199"/>
      <c r="G166" s="83" t="e">
        <f t="shared" si="1"/>
        <v>#DIV/0!</v>
      </c>
      <c r="H166" s="83" t="e">
        <f t="shared" si="2"/>
        <v>#DIV/0!</v>
      </c>
      <c r="I166" s="84"/>
      <c r="J166" s="84"/>
      <c r="K166" s="84">
        <v>46990</v>
      </c>
      <c r="L166" s="86">
        <f t="shared" ref="L166:N166" si="681">X166+AA166+AD166+AG166+AJ166+AM166+AP166+AS166+AV166+AY166+BB166+BE166</f>
        <v>0</v>
      </c>
      <c r="M166" s="86">
        <f t="shared" si="681"/>
        <v>0</v>
      </c>
      <c r="N166" s="86">
        <f t="shared" si="681"/>
        <v>0</v>
      </c>
      <c r="O166" s="62">
        <f t="shared" ref="O166:Q166" si="682">IF(BH166=0,SUM(X166+AA166+AD166+AG166+AJ166+AM166+AP166+AS166+AV166+AY166+BB166+BE166),BH166)</f>
        <v>0</v>
      </c>
      <c r="P166" s="62">
        <f t="shared" si="682"/>
        <v>0</v>
      </c>
      <c r="Q166" s="62">
        <f t="shared" si="682"/>
        <v>0</v>
      </c>
      <c r="R166" s="86">
        <f t="shared" ref="R166:T166" si="683">I166-L166</f>
        <v>0</v>
      </c>
      <c r="S166" s="86">
        <f t="shared" si="683"/>
        <v>0</v>
      </c>
      <c r="T166" s="86">
        <f t="shared" si="683"/>
        <v>46990</v>
      </c>
      <c r="U166" s="87" t="e">
        <f t="shared" si="106"/>
        <v>#DIV/0!</v>
      </c>
      <c r="V166" s="87" t="e">
        <f t="shared" ref="V166:W166" si="684">M166/J166</f>
        <v>#DIV/0!</v>
      </c>
      <c r="W166" s="87">
        <f t="shared" si="684"/>
        <v>0</v>
      </c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84"/>
      <c r="BC166" s="84"/>
      <c r="BD166" s="84"/>
      <c r="BE166" s="84"/>
      <c r="BF166" s="84"/>
      <c r="BG166" s="84"/>
      <c r="BH166" s="84"/>
      <c r="BI166" s="84"/>
      <c r="BJ166" s="84"/>
      <c r="BK166" s="88"/>
      <c r="BL166" s="88"/>
      <c r="BM166" s="88"/>
      <c r="BN166" s="88"/>
      <c r="BO166" s="88"/>
    </row>
    <row r="167" spans="1:67" ht="15.75" customHeight="1">
      <c r="A167" s="89"/>
      <c r="B167" s="95"/>
      <c r="C167" s="80" t="s">
        <v>361</v>
      </c>
      <c r="D167" s="81" t="s">
        <v>362</v>
      </c>
      <c r="E167" s="82"/>
      <c r="F167" s="82"/>
      <c r="G167" s="83" t="e">
        <f t="shared" si="1"/>
        <v>#DIV/0!</v>
      </c>
      <c r="H167" s="83" t="e">
        <f t="shared" si="2"/>
        <v>#DIV/0!</v>
      </c>
      <c r="I167" s="84"/>
      <c r="J167" s="84"/>
      <c r="K167" s="200"/>
      <c r="L167" s="86">
        <f t="shared" ref="L167:N167" si="685">X167+AA167+AD167+AG167+AJ167+AM167+AP167+AS167+AV167+AY167+BB167+BE167</f>
        <v>0</v>
      </c>
      <c r="M167" s="86">
        <f t="shared" si="685"/>
        <v>0</v>
      </c>
      <c r="N167" s="86">
        <f t="shared" si="685"/>
        <v>0</v>
      </c>
      <c r="O167" s="62">
        <f t="shared" ref="O167:Q167" si="686">IF(BH167=0,SUM(X167+AA167+AD167+AG167+AJ167+AM167+AP167+AS167+AV167+AY167+BB167+BE167),BH167)</f>
        <v>0</v>
      </c>
      <c r="P167" s="62">
        <f t="shared" si="686"/>
        <v>0</v>
      </c>
      <c r="Q167" s="62">
        <f t="shared" si="686"/>
        <v>0</v>
      </c>
      <c r="R167" s="86">
        <f t="shared" ref="R167:T167" si="687">I167-L167</f>
        <v>0</v>
      </c>
      <c r="S167" s="86">
        <f t="shared" si="687"/>
        <v>0</v>
      </c>
      <c r="T167" s="86">
        <f t="shared" si="687"/>
        <v>0</v>
      </c>
      <c r="U167" s="87" t="e">
        <f t="shared" si="106"/>
        <v>#DIV/0!</v>
      </c>
      <c r="V167" s="87" t="e">
        <f t="shared" ref="V167:W167" si="688">M167/J167</f>
        <v>#DIV/0!</v>
      </c>
      <c r="W167" s="87" t="e">
        <f t="shared" si="688"/>
        <v>#DIV/0!</v>
      </c>
      <c r="X167" s="84"/>
      <c r="Y167" s="84"/>
      <c r="Z167" s="84"/>
      <c r="AA167" s="84"/>
      <c r="AB167" s="84"/>
      <c r="AC167" s="84"/>
      <c r="AD167" s="201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84"/>
      <c r="BC167" s="84"/>
      <c r="BD167" s="84"/>
      <c r="BE167" s="84"/>
      <c r="BF167" s="84"/>
      <c r="BG167" s="84"/>
      <c r="BH167" s="84"/>
      <c r="BI167" s="84"/>
      <c r="BJ167" s="84"/>
      <c r="BK167" s="88"/>
      <c r="BL167" s="88"/>
      <c r="BM167" s="88"/>
      <c r="BN167" s="88"/>
      <c r="BO167" s="88"/>
    </row>
    <row r="168" spans="1:67" ht="15.75" customHeight="1">
      <c r="A168" s="138"/>
      <c r="B168" s="139" t="s">
        <v>363</v>
      </c>
      <c r="C168" s="144" t="s">
        <v>277</v>
      </c>
      <c r="D168" s="170" t="s">
        <v>364</v>
      </c>
      <c r="E168" s="171"/>
      <c r="F168" s="171"/>
      <c r="G168" s="153" t="e">
        <f t="shared" si="1"/>
        <v>#DIV/0!</v>
      </c>
      <c r="H168" s="153" t="e">
        <f t="shared" si="2"/>
        <v>#DIV/0!</v>
      </c>
      <c r="I168" s="171"/>
      <c r="J168" s="202">
        <v>12806.04</v>
      </c>
      <c r="K168" s="202"/>
      <c r="L168" s="203">
        <f t="shared" ref="L168:N168" si="689">X168+AA168+AD168+AG168+AJ168+AM168+AP168+AS168+AV168+AY168+BB168+BE168</f>
        <v>0</v>
      </c>
      <c r="M168" s="203">
        <f t="shared" si="689"/>
        <v>0</v>
      </c>
      <c r="N168" s="203">
        <f t="shared" si="689"/>
        <v>0</v>
      </c>
      <c r="O168" s="62">
        <f t="shared" ref="O168:Q168" si="690">IF(BH168=0,SUM(X168+AA168+AD168+AG168+AJ168+AM168+AP168+AS168+AV168+AY168+BB168+BE168),BH168)</f>
        <v>0</v>
      </c>
      <c r="P168" s="62">
        <f t="shared" si="690"/>
        <v>0</v>
      </c>
      <c r="Q168" s="62">
        <f t="shared" si="690"/>
        <v>0</v>
      </c>
      <c r="R168" s="203">
        <f t="shared" ref="R168:T168" si="691">I168-L168</f>
        <v>0</v>
      </c>
      <c r="S168" s="203">
        <f t="shared" si="691"/>
        <v>12806.04</v>
      </c>
      <c r="T168" s="203">
        <f t="shared" si="691"/>
        <v>0</v>
      </c>
      <c r="U168" s="70" t="e">
        <f t="shared" si="106"/>
        <v>#DIV/0!</v>
      </c>
      <c r="V168" s="70">
        <f t="shared" ref="V168:W168" si="692">M168/J168</f>
        <v>0</v>
      </c>
      <c r="W168" s="70" t="e">
        <f t="shared" si="692"/>
        <v>#DIV/0!</v>
      </c>
      <c r="X168" s="202"/>
      <c r="Y168" s="202">
        <v>0</v>
      </c>
      <c r="Z168" s="202"/>
      <c r="AA168" s="202"/>
      <c r="AB168" s="202"/>
      <c r="AC168" s="202"/>
      <c r="AD168" s="202"/>
      <c r="AE168" s="202"/>
      <c r="AF168" s="202"/>
      <c r="AG168" s="202"/>
      <c r="AH168" s="202"/>
      <c r="AI168" s="202"/>
      <c r="AJ168" s="202"/>
      <c r="AK168" s="202"/>
      <c r="AL168" s="202"/>
      <c r="AM168" s="202"/>
      <c r="AN168" s="202"/>
      <c r="AO168" s="202"/>
      <c r="AP168" s="202"/>
      <c r="AQ168" s="202"/>
      <c r="AR168" s="202"/>
      <c r="AS168" s="202"/>
      <c r="AT168" s="202"/>
      <c r="AU168" s="202"/>
      <c r="AV168" s="202"/>
      <c r="AW168" s="202"/>
      <c r="AX168" s="202"/>
      <c r="AY168" s="202"/>
      <c r="AZ168" s="202"/>
      <c r="BA168" s="202"/>
      <c r="BB168" s="202"/>
      <c r="BC168" s="202"/>
      <c r="BD168" s="202"/>
      <c r="BE168" s="202"/>
      <c r="BF168" s="202"/>
      <c r="BG168" s="202"/>
      <c r="BH168" s="202"/>
      <c r="BI168" s="202"/>
      <c r="BJ168" s="202"/>
      <c r="BK168" s="204"/>
      <c r="BL168" s="204"/>
      <c r="BM168" s="204"/>
      <c r="BN168" s="204"/>
      <c r="BO168" s="204"/>
    </row>
    <row r="169" spans="1:67" ht="15.75" customHeight="1">
      <c r="A169" s="175"/>
      <c r="B169" s="175"/>
      <c r="C169" s="205"/>
      <c r="D169" s="177" t="s">
        <v>365</v>
      </c>
      <c r="E169" s="178">
        <f t="shared" ref="E169:F169" si="693">SUM(E170:E186)</f>
        <v>0</v>
      </c>
      <c r="F169" s="178">
        <f t="shared" si="693"/>
        <v>0</v>
      </c>
      <c r="G169" s="206" t="e">
        <f t="shared" si="1"/>
        <v>#DIV/0!</v>
      </c>
      <c r="H169" s="206" t="e">
        <f t="shared" si="2"/>
        <v>#DIV/0!</v>
      </c>
      <c r="I169" s="178">
        <f t="shared" ref="I169:N169" si="694">SUM(I170:I186)</f>
        <v>73052.87999999999</v>
      </c>
      <c r="J169" s="178">
        <f t="shared" si="694"/>
        <v>1229521.9400000002</v>
      </c>
      <c r="K169" s="178">
        <f t="shared" si="694"/>
        <v>0</v>
      </c>
      <c r="L169" s="178">
        <f t="shared" si="694"/>
        <v>22088.7</v>
      </c>
      <c r="M169" s="178">
        <f t="shared" si="694"/>
        <v>93241.71</v>
      </c>
      <c r="N169" s="178">
        <f t="shared" si="694"/>
        <v>0</v>
      </c>
      <c r="O169" s="65">
        <f t="shared" ref="O169:Q169" si="695">IF(BH169=0,SUM(X169+AA169+AD169+AG169+AJ169+AM169+AP169+AS169+AV169+AY169+BB169+BE169),BH169)</f>
        <v>22088.699999999997</v>
      </c>
      <c r="P169" s="65">
        <f t="shared" si="695"/>
        <v>93241.71</v>
      </c>
      <c r="Q169" s="65">
        <f t="shared" si="695"/>
        <v>0</v>
      </c>
      <c r="R169" s="178">
        <f t="shared" ref="R169:T169" si="696">SUM(R170:R186)</f>
        <v>50964.179999999993</v>
      </c>
      <c r="S169" s="178">
        <f t="shared" si="696"/>
        <v>1136280.2300000002</v>
      </c>
      <c r="T169" s="178">
        <f t="shared" si="696"/>
        <v>0</v>
      </c>
      <c r="U169" s="181">
        <f t="shared" si="106"/>
        <v>0.30236590261739171</v>
      </c>
      <c r="V169" s="181">
        <f t="shared" ref="V169:W169" si="697">M169/J169</f>
        <v>7.5835743118174856E-2</v>
      </c>
      <c r="W169" s="181" t="e">
        <f t="shared" si="697"/>
        <v>#DIV/0!</v>
      </c>
      <c r="X169" s="178">
        <f t="shared" ref="X169:BJ169" si="698">SUM(X170:X186)</f>
        <v>0</v>
      </c>
      <c r="Y169" s="178">
        <f t="shared" si="698"/>
        <v>14788.33</v>
      </c>
      <c r="Z169" s="178">
        <f t="shared" si="698"/>
        <v>0</v>
      </c>
      <c r="AA169" s="178">
        <f t="shared" si="698"/>
        <v>7875.48</v>
      </c>
      <c r="AB169" s="178">
        <f t="shared" si="698"/>
        <v>24483.97</v>
      </c>
      <c r="AC169" s="178">
        <f t="shared" si="698"/>
        <v>0</v>
      </c>
      <c r="AD169" s="178">
        <f t="shared" si="698"/>
        <v>6337.74</v>
      </c>
      <c r="AE169" s="178">
        <f t="shared" si="698"/>
        <v>24037.33</v>
      </c>
      <c r="AF169" s="178">
        <f t="shared" si="698"/>
        <v>0</v>
      </c>
      <c r="AG169" s="178">
        <f t="shared" si="698"/>
        <v>7875.48</v>
      </c>
      <c r="AH169" s="178">
        <f t="shared" si="698"/>
        <v>29932.080000000002</v>
      </c>
      <c r="AI169" s="178">
        <f t="shared" si="698"/>
        <v>0</v>
      </c>
      <c r="AJ169" s="178">
        <f t="shared" si="698"/>
        <v>0</v>
      </c>
      <c r="AK169" s="178">
        <f t="shared" si="698"/>
        <v>0</v>
      </c>
      <c r="AL169" s="178">
        <f t="shared" si="698"/>
        <v>0</v>
      </c>
      <c r="AM169" s="178">
        <f t="shared" si="698"/>
        <v>0</v>
      </c>
      <c r="AN169" s="178">
        <f t="shared" si="698"/>
        <v>0</v>
      </c>
      <c r="AO169" s="178">
        <f t="shared" si="698"/>
        <v>0</v>
      </c>
      <c r="AP169" s="178">
        <f t="shared" si="698"/>
        <v>0</v>
      </c>
      <c r="AQ169" s="178">
        <f t="shared" si="698"/>
        <v>0</v>
      </c>
      <c r="AR169" s="178">
        <f t="shared" si="698"/>
        <v>0</v>
      </c>
      <c r="AS169" s="178">
        <f t="shared" si="698"/>
        <v>0</v>
      </c>
      <c r="AT169" s="178">
        <f t="shared" si="698"/>
        <v>0</v>
      </c>
      <c r="AU169" s="178">
        <f t="shared" si="698"/>
        <v>0</v>
      </c>
      <c r="AV169" s="178">
        <f t="shared" si="698"/>
        <v>0</v>
      </c>
      <c r="AW169" s="178">
        <f t="shared" si="698"/>
        <v>0</v>
      </c>
      <c r="AX169" s="178">
        <f t="shared" si="698"/>
        <v>0</v>
      </c>
      <c r="AY169" s="178">
        <f t="shared" si="698"/>
        <v>0</v>
      </c>
      <c r="AZ169" s="178">
        <f t="shared" si="698"/>
        <v>0</v>
      </c>
      <c r="BA169" s="178">
        <f t="shared" si="698"/>
        <v>0</v>
      </c>
      <c r="BB169" s="178">
        <f t="shared" si="698"/>
        <v>0</v>
      </c>
      <c r="BC169" s="178">
        <f t="shared" si="698"/>
        <v>0</v>
      </c>
      <c r="BD169" s="178">
        <f t="shared" si="698"/>
        <v>0</v>
      </c>
      <c r="BE169" s="178">
        <f t="shared" si="698"/>
        <v>0</v>
      </c>
      <c r="BF169" s="178">
        <f t="shared" si="698"/>
        <v>0</v>
      </c>
      <c r="BG169" s="178">
        <f t="shared" si="698"/>
        <v>0</v>
      </c>
      <c r="BH169" s="178">
        <f t="shared" si="698"/>
        <v>0</v>
      </c>
      <c r="BI169" s="178">
        <f t="shared" si="698"/>
        <v>0</v>
      </c>
      <c r="BJ169" s="178">
        <f t="shared" si="698"/>
        <v>0</v>
      </c>
      <c r="BK169" s="155"/>
      <c r="BL169" s="155"/>
      <c r="BM169" s="155"/>
      <c r="BN169" s="155"/>
      <c r="BO169" s="155"/>
    </row>
    <row r="170" spans="1:67" ht="15.75" customHeight="1">
      <c r="A170" s="89"/>
      <c r="B170" s="95"/>
      <c r="C170" s="80" t="s">
        <v>301</v>
      </c>
      <c r="D170" s="81" t="s">
        <v>366</v>
      </c>
      <c r="E170" s="82"/>
      <c r="F170" s="82"/>
      <c r="G170" s="83" t="e">
        <f t="shared" si="1"/>
        <v>#DIV/0!</v>
      </c>
      <c r="H170" s="83" t="e">
        <f t="shared" si="2"/>
        <v>#DIV/0!</v>
      </c>
      <c r="I170" s="82"/>
      <c r="J170" s="84"/>
      <c r="K170" s="85"/>
      <c r="L170" s="86">
        <f t="shared" ref="L170:N170" si="699">X170+AA170+AD170+AG170+AJ170+AM170+AP170+AS170+AV170+AY170+BB170+BE170</f>
        <v>0</v>
      </c>
      <c r="M170" s="86">
        <f t="shared" si="699"/>
        <v>0</v>
      </c>
      <c r="N170" s="86">
        <f t="shared" si="699"/>
        <v>0</v>
      </c>
      <c r="O170" s="62">
        <f t="shared" ref="O170:Q170" si="700">IF(BH170=0,SUM(X170+AA170+AD170+AG170+AJ170+AM170+AP170+AS170+AV170+AY170+BB170+BE170),BH170)</f>
        <v>0</v>
      </c>
      <c r="P170" s="62">
        <f t="shared" si="700"/>
        <v>0</v>
      </c>
      <c r="Q170" s="62">
        <f t="shared" si="700"/>
        <v>0</v>
      </c>
      <c r="R170" s="86">
        <f t="shared" ref="R170:T170" si="701">I170-L170</f>
        <v>0</v>
      </c>
      <c r="S170" s="86">
        <f t="shared" si="701"/>
        <v>0</v>
      </c>
      <c r="T170" s="86">
        <f t="shared" si="701"/>
        <v>0</v>
      </c>
      <c r="U170" s="87" t="e">
        <f t="shared" si="106"/>
        <v>#DIV/0!</v>
      </c>
      <c r="V170" s="87" t="e">
        <f t="shared" ref="V170:W170" si="702">M170/J170</f>
        <v>#DIV/0!</v>
      </c>
      <c r="W170" s="87" t="e">
        <f t="shared" si="702"/>
        <v>#DIV/0!</v>
      </c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8"/>
      <c r="BL170" s="88"/>
      <c r="BM170" s="88"/>
      <c r="BN170" s="88"/>
      <c r="BO170" s="88"/>
    </row>
    <row r="171" spans="1:67" ht="15.75" customHeight="1">
      <c r="A171" s="207"/>
      <c r="B171" s="208" t="s">
        <v>367</v>
      </c>
      <c r="C171" s="79" t="s">
        <v>301</v>
      </c>
      <c r="D171" s="112" t="s">
        <v>368</v>
      </c>
      <c r="E171" s="82"/>
      <c r="F171" s="82"/>
      <c r="G171" s="83" t="e">
        <f t="shared" si="1"/>
        <v>#DIV/0!</v>
      </c>
      <c r="H171" s="83" t="e">
        <f t="shared" si="2"/>
        <v>#DIV/0!</v>
      </c>
      <c r="I171" s="71"/>
      <c r="J171" s="84">
        <v>600</v>
      </c>
      <c r="K171" s="85"/>
      <c r="L171" s="86">
        <f t="shared" ref="L171:N171" si="703">X171+AA171+AD171+AG171+AJ171+AM171+AP171+AS171+AV171+AY171+BB171+BE171</f>
        <v>0</v>
      </c>
      <c r="M171" s="86">
        <f t="shared" si="703"/>
        <v>0</v>
      </c>
      <c r="N171" s="86">
        <f t="shared" si="703"/>
        <v>0</v>
      </c>
      <c r="O171" s="62">
        <f t="shared" ref="O171:Q171" si="704">IF(BH171=0,SUM(X171+AA171+AD171+AG171+AJ171+AM171+AP171+AS171+AV171+AY171+BB171+BE171),BH171)</f>
        <v>0</v>
      </c>
      <c r="P171" s="62">
        <f t="shared" si="704"/>
        <v>0</v>
      </c>
      <c r="Q171" s="62">
        <f t="shared" si="704"/>
        <v>0</v>
      </c>
      <c r="R171" s="86">
        <f t="shared" ref="R171:T171" si="705">I171-L171</f>
        <v>0</v>
      </c>
      <c r="S171" s="86">
        <f t="shared" si="705"/>
        <v>600</v>
      </c>
      <c r="T171" s="86">
        <f t="shared" si="705"/>
        <v>0</v>
      </c>
      <c r="U171" s="87" t="e">
        <f t="shared" si="106"/>
        <v>#DIV/0!</v>
      </c>
      <c r="V171" s="87">
        <f t="shared" ref="V171:W171" si="706">M171/J171</f>
        <v>0</v>
      </c>
      <c r="W171" s="87" t="e">
        <f t="shared" si="706"/>
        <v>#DIV/0!</v>
      </c>
      <c r="X171" s="84"/>
      <c r="Y171" s="84">
        <v>0</v>
      </c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8"/>
      <c r="BL171" s="88"/>
      <c r="BM171" s="88"/>
      <c r="BN171" s="88"/>
      <c r="BO171" s="88"/>
    </row>
    <row r="172" spans="1:67" ht="15.75" customHeight="1">
      <c r="A172" s="207"/>
      <c r="B172" s="208" t="s">
        <v>369</v>
      </c>
      <c r="C172" s="79" t="s">
        <v>301</v>
      </c>
      <c r="D172" s="112" t="s">
        <v>368</v>
      </c>
      <c r="E172" s="82"/>
      <c r="F172" s="82"/>
      <c r="G172" s="83" t="e">
        <f t="shared" si="1"/>
        <v>#DIV/0!</v>
      </c>
      <c r="H172" s="83" t="e">
        <f t="shared" si="2"/>
        <v>#DIV/0!</v>
      </c>
      <c r="I172" s="71"/>
      <c r="J172" s="84">
        <v>600</v>
      </c>
      <c r="K172" s="85"/>
      <c r="L172" s="86">
        <f t="shared" ref="L172:N172" si="707">X172+AA172+AD172+AG172+AJ172+AM172+AP172+AS172+AV172+AY172+BB172+BE172</f>
        <v>0</v>
      </c>
      <c r="M172" s="86">
        <f t="shared" si="707"/>
        <v>0</v>
      </c>
      <c r="N172" s="86">
        <f t="shared" si="707"/>
        <v>0</v>
      </c>
      <c r="O172" s="62">
        <f t="shared" ref="O172:Q172" si="708">IF(BH172=0,SUM(X172+AA172+AD172+AG172+AJ172+AM172+AP172+AS172+AV172+AY172+BB172+BE172),BH172)</f>
        <v>0</v>
      </c>
      <c r="P172" s="62">
        <f t="shared" si="708"/>
        <v>0</v>
      </c>
      <c r="Q172" s="62">
        <f t="shared" si="708"/>
        <v>0</v>
      </c>
      <c r="R172" s="86">
        <f t="shared" ref="R172:T172" si="709">I172-L172</f>
        <v>0</v>
      </c>
      <c r="S172" s="86">
        <f t="shared" si="709"/>
        <v>600</v>
      </c>
      <c r="T172" s="86">
        <f t="shared" si="709"/>
        <v>0</v>
      </c>
      <c r="U172" s="87" t="e">
        <f t="shared" si="106"/>
        <v>#DIV/0!</v>
      </c>
      <c r="V172" s="87">
        <f t="shared" ref="V172:W172" si="710">M172/J172</f>
        <v>0</v>
      </c>
      <c r="W172" s="87" t="e">
        <f t="shared" si="710"/>
        <v>#DIV/0!</v>
      </c>
      <c r="X172" s="84"/>
      <c r="Y172" s="84">
        <v>0</v>
      </c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8"/>
      <c r="BL172" s="88"/>
      <c r="BM172" s="88"/>
      <c r="BN172" s="88"/>
      <c r="BO172" s="88"/>
    </row>
    <row r="173" spans="1:67" ht="15.75" customHeight="1">
      <c r="A173" s="207"/>
      <c r="B173" s="208" t="s">
        <v>370</v>
      </c>
      <c r="C173" s="79" t="s">
        <v>301</v>
      </c>
      <c r="D173" s="112" t="s">
        <v>368</v>
      </c>
      <c r="E173" s="82"/>
      <c r="F173" s="82"/>
      <c r="G173" s="83" t="e">
        <f t="shared" si="1"/>
        <v>#DIV/0!</v>
      </c>
      <c r="H173" s="83" t="e">
        <f t="shared" si="2"/>
        <v>#DIV/0!</v>
      </c>
      <c r="I173" s="71"/>
      <c r="J173" s="84">
        <v>600</v>
      </c>
      <c r="K173" s="85"/>
      <c r="L173" s="86">
        <f t="shared" ref="L173:N173" si="711">X173+AA173+AD173+AG173+AJ173+AM173+AP173+AS173+AV173+AY173+BB173+BE173</f>
        <v>0</v>
      </c>
      <c r="M173" s="86">
        <f t="shared" si="711"/>
        <v>0</v>
      </c>
      <c r="N173" s="86">
        <f t="shared" si="711"/>
        <v>0</v>
      </c>
      <c r="O173" s="62">
        <f t="shared" ref="O173:Q173" si="712">IF(BH173=0,SUM(X173+AA173+AD173+AG173+AJ173+AM173+AP173+AS173+AV173+AY173+BB173+BE173),BH173)</f>
        <v>0</v>
      </c>
      <c r="P173" s="62">
        <f t="shared" si="712"/>
        <v>0</v>
      </c>
      <c r="Q173" s="62">
        <f t="shared" si="712"/>
        <v>0</v>
      </c>
      <c r="R173" s="86">
        <f t="shared" ref="R173:T173" si="713">I173-L173</f>
        <v>0</v>
      </c>
      <c r="S173" s="86">
        <f t="shared" si="713"/>
        <v>600</v>
      </c>
      <c r="T173" s="86">
        <f t="shared" si="713"/>
        <v>0</v>
      </c>
      <c r="U173" s="87" t="e">
        <f t="shared" si="106"/>
        <v>#DIV/0!</v>
      </c>
      <c r="V173" s="87">
        <f t="shared" ref="V173:W173" si="714">M173/J173</f>
        <v>0</v>
      </c>
      <c r="W173" s="87" t="e">
        <f t="shared" si="714"/>
        <v>#DIV/0!</v>
      </c>
      <c r="X173" s="84"/>
      <c r="Y173" s="84">
        <v>0</v>
      </c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8"/>
      <c r="BL173" s="88"/>
      <c r="BM173" s="88"/>
      <c r="BN173" s="88"/>
      <c r="BO173" s="88"/>
    </row>
    <row r="174" spans="1:67" ht="36" customHeight="1">
      <c r="A174" s="89" t="s">
        <v>371</v>
      </c>
      <c r="B174" s="95"/>
      <c r="C174" s="80" t="s">
        <v>372</v>
      </c>
      <c r="D174" s="167" t="s">
        <v>373</v>
      </c>
      <c r="E174" s="82"/>
      <c r="F174" s="82"/>
      <c r="G174" s="83" t="e">
        <f t="shared" si="1"/>
        <v>#DIV/0!</v>
      </c>
      <c r="H174" s="83" t="e">
        <f t="shared" si="2"/>
        <v>#DIV/0!</v>
      </c>
      <c r="I174" s="84">
        <v>7875.48</v>
      </c>
      <c r="J174" s="85"/>
      <c r="K174" s="85"/>
      <c r="L174" s="86">
        <f t="shared" ref="L174:N174" si="715">X174+AA174+AD174+AG174+AJ174+AM174+AP174+AS174+AV174+AY174+BB174+BE174</f>
        <v>3281.45</v>
      </c>
      <c r="M174" s="86">
        <f t="shared" si="715"/>
        <v>0</v>
      </c>
      <c r="N174" s="86">
        <f t="shared" si="715"/>
        <v>0</v>
      </c>
      <c r="O174" s="62">
        <f t="shared" ref="O174:Q174" si="716">IF(BH174=0,SUM(X174+AA174+AD174+AG174+AJ174+AM174+AP174+AS174+AV174+AY174+BB174+BE174),BH174)</f>
        <v>3281.45</v>
      </c>
      <c r="P174" s="62">
        <f t="shared" si="716"/>
        <v>0</v>
      </c>
      <c r="Q174" s="62">
        <f t="shared" si="716"/>
        <v>0</v>
      </c>
      <c r="R174" s="86">
        <f t="shared" ref="R174:T174" si="717">I174-L174</f>
        <v>4594.03</v>
      </c>
      <c r="S174" s="86">
        <f t="shared" si="717"/>
        <v>0</v>
      </c>
      <c r="T174" s="86">
        <f t="shared" si="717"/>
        <v>0</v>
      </c>
      <c r="U174" s="87">
        <f t="shared" si="106"/>
        <v>0.41666666666666669</v>
      </c>
      <c r="V174" s="87" t="e">
        <f t="shared" ref="V174:W174" si="718">M174/J174</f>
        <v>#DIV/0!</v>
      </c>
      <c r="W174" s="87" t="e">
        <f t="shared" si="718"/>
        <v>#DIV/0!</v>
      </c>
      <c r="X174" s="84">
        <v>0</v>
      </c>
      <c r="Y174" s="84"/>
      <c r="Z174" s="84"/>
      <c r="AA174" s="84">
        <v>1312.58</v>
      </c>
      <c r="AB174" s="84"/>
      <c r="AC174" s="84"/>
      <c r="AD174" s="84">
        <f t="shared" ref="AD174:AD179" si="719">656.29</f>
        <v>656.29</v>
      </c>
      <c r="AE174" s="84"/>
      <c r="AF174" s="84"/>
      <c r="AG174" s="84">
        <f t="shared" ref="AG174:AG179" si="720">656.29+656.29</f>
        <v>1312.58</v>
      </c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8"/>
      <c r="BL174" s="88"/>
      <c r="BM174" s="88"/>
      <c r="BN174" s="88"/>
      <c r="BO174" s="88"/>
    </row>
    <row r="175" spans="1:67" ht="33.75" customHeight="1">
      <c r="A175" s="89" t="s">
        <v>374</v>
      </c>
      <c r="B175" s="95"/>
      <c r="C175" s="80" t="s">
        <v>372</v>
      </c>
      <c r="D175" s="81" t="s">
        <v>375</v>
      </c>
      <c r="E175" s="82"/>
      <c r="F175" s="82"/>
      <c r="G175" s="83" t="e">
        <f t="shared" si="1"/>
        <v>#DIV/0!</v>
      </c>
      <c r="H175" s="83" t="e">
        <f t="shared" si="2"/>
        <v>#DIV/0!</v>
      </c>
      <c r="I175" s="84">
        <v>7875.48</v>
      </c>
      <c r="J175" s="85"/>
      <c r="K175" s="85"/>
      <c r="L175" s="86">
        <f t="shared" ref="L175:N175" si="721">X175+AA175+AD175+AG175+AJ175+AM175+AP175+AS175+AV175+AY175+BB175+BE175</f>
        <v>3281.45</v>
      </c>
      <c r="M175" s="86">
        <f t="shared" si="721"/>
        <v>0</v>
      </c>
      <c r="N175" s="86">
        <f t="shared" si="721"/>
        <v>0</v>
      </c>
      <c r="O175" s="62">
        <f t="shared" ref="O175:Q175" si="722">IF(BH175=0,SUM(X175+AA175+AD175+AG175+AJ175+AM175+AP175+AS175+AV175+AY175+BB175+BE175),BH175)</f>
        <v>3281.45</v>
      </c>
      <c r="P175" s="62">
        <f t="shared" si="722"/>
        <v>0</v>
      </c>
      <c r="Q175" s="62">
        <f t="shared" si="722"/>
        <v>0</v>
      </c>
      <c r="R175" s="86">
        <f t="shared" ref="R175:T175" si="723">I175-L175</f>
        <v>4594.03</v>
      </c>
      <c r="S175" s="86">
        <f t="shared" si="723"/>
        <v>0</v>
      </c>
      <c r="T175" s="86">
        <f t="shared" si="723"/>
        <v>0</v>
      </c>
      <c r="U175" s="87">
        <f t="shared" si="106"/>
        <v>0.41666666666666669</v>
      </c>
      <c r="V175" s="87" t="e">
        <f t="shared" ref="V175:W175" si="724">M175/J175</f>
        <v>#DIV/0!</v>
      </c>
      <c r="W175" s="87" t="e">
        <f t="shared" si="724"/>
        <v>#DIV/0!</v>
      </c>
      <c r="X175" s="84"/>
      <c r="Y175" s="84"/>
      <c r="Z175" s="84"/>
      <c r="AA175" s="84">
        <v>1312.58</v>
      </c>
      <c r="AB175" s="84"/>
      <c r="AC175" s="84"/>
      <c r="AD175" s="84">
        <f t="shared" si="719"/>
        <v>656.29</v>
      </c>
      <c r="AE175" s="84"/>
      <c r="AF175" s="84"/>
      <c r="AG175" s="84">
        <f t="shared" si="720"/>
        <v>1312.58</v>
      </c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  <c r="BH175" s="84"/>
      <c r="BI175" s="84"/>
      <c r="BJ175" s="84"/>
      <c r="BK175" s="88"/>
      <c r="BL175" s="88"/>
      <c r="BM175" s="88"/>
      <c r="BN175" s="88"/>
      <c r="BO175" s="88"/>
    </row>
    <row r="176" spans="1:67" ht="38.25" customHeight="1">
      <c r="A176" s="89" t="s">
        <v>376</v>
      </c>
      <c r="B176" s="95"/>
      <c r="C176" s="80" t="s">
        <v>372</v>
      </c>
      <c r="D176" s="81" t="s">
        <v>377</v>
      </c>
      <c r="E176" s="82"/>
      <c r="F176" s="82"/>
      <c r="G176" s="83" t="e">
        <f t="shared" si="1"/>
        <v>#DIV/0!</v>
      </c>
      <c r="H176" s="83" t="e">
        <f t="shared" si="2"/>
        <v>#DIV/0!</v>
      </c>
      <c r="I176" s="84">
        <v>7875.48</v>
      </c>
      <c r="J176" s="85"/>
      <c r="K176" s="85"/>
      <c r="L176" s="86">
        <f t="shared" ref="L176:N176" si="725">X176+AA176+AD176+AG176+AJ176+AM176+AP176+AS176+AV176+AY176+BB176+BE176</f>
        <v>3281.45</v>
      </c>
      <c r="M176" s="86">
        <f t="shared" si="725"/>
        <v>0</v>
      </c>
      <c r="N176" s="86">
        <f t="shared" si="725"/>
        <v>0</v>
      </c>
      <c r="O176" s="62">
        <f t="shared" ref="O176:Q176" si="726">IF(BH176=0,SUM(X176+AA176+AD176+AG176+AJ176+AM176+AP176+AS176+AV176+AY176+BB176+BE176),BH176)</f>
        <v>3281.45</v>
      </c>
      <c r="P176" s="62">
        <f t="shared" si="726"/>
        <v>0</v>
      </c>
      <c r="Q176" s="62">
        <f t="shared" si="726"/>
        <v>0</v>
      </c>
      <c r="R176" s="86">
        <f t="shared" ref="R176:T176" si="727">I176-L176</f>
        <v>4594.03</v>
      </c>
      <c r="S176" s="86">
        <f t="shared" si="727"/>
        <v>0</v>
      </c>
      <c r="T176" s="86">
        <f t="shared" si="727"/>
        <v>0</v>
      </c>
      <c r="U176" s="87">
        <f t="shared" si="106"/>
        <v>0.41666666666666669</v>
      </c>
      <c r="V176" s="87" t="e">
        <f t="shared" ref="V176:W176" si="728">M176/J176</f>
        <v>#DIV/0!</v>
      </c>
      <c r="W176" s="87" t="e">
        <f t="shared" si="728"/>
        <v>#DIV/0!</v>
      </c>
      <c r="X176" s="84"/>
      <c r="Y176" s="84"/>
      <c r="Z176" s="84"/>
      <c r="AA176" s="84">
        <v>1312.58</v>
      </c>
      <c r="AB176" s="84"/>
      <c r="AC176" s="84"/>
      <c r="AD176" s="84">
        <f t="shared" si="719"/>
        <v>656.29</v>
      </c>
      <c r="AE176" s="84"/>
      <c r="AF176" s="84"/>
      <c r="AG176" s="84">
        <f t="shared" si="720"/>
        <v>1312.58</v>
      </c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8"/>
      <c r="BL176" s="88"/>
      <c r="BM176" s="88"/>
      <c r="BN176" s="88"/>
      <c r="BO176" s="88"/>
    </row>
    <row r="177" spans="1:67" ht="38.25" customHeight="1">
      <c r="A177" s="89" t="s">
        <v>378</v>
      </c>
      <c r="B177" s="95"/>
      <c r="C177" s="80" t="s">
        <v>372</v>
      </c>
      <c r="D177" s="81" t="s">
        <v>379</v>
      </c>
      <c r="E177" s="82"/>
      <c r="F177" s="82"/>
      <c r="G177" s="83" t="e">
        <f t="shared" si="1"/>
        <v>#DIV/0!</v>
      </c>
      <c r="H177" s="83" t="e">
        <f t="shared" si="2"/>
        <v>#DIV/0!</v>
      </c>
      <c r="I177" s="84">
        <v>7875.48</v>
      </c>
      <c r="J177" s="85"/>
      <c r="K177" s="85"/>
      <c r="L177" s="86">
        <f t="shared" ref="L177:N177" si="729">X177+AA177+AD177+AG177+AJ177+AM177+AP177+AS177+AV177+AY177+BB177+BE177</f>
        <v>3281.45</v>
      </c>
      <c r="M177" s="86">
        <f t="shared" si="729"/>
        <v>0</v>
      </c>
      <c r="N177" s="86">
        <f t="shared" si="729"/>
        <v>0</v>
      </c>
      <c r="O177" s="62">
        <f t="shared" ref="O177:Q177" si="730">IF(BH177=0,SUM(X177+AA177+AD177+AG177+AJ177+AM177+AP177+AS177+AV177+AY177+BB177+BE177),BH177)</f>
        <v>3281.45</v>
      </c>
      <c r="P177" s="62">
        <f t="shared" si="730"/>
        <v>0</v>
      </c>
      <c r="Q177" s="62">
        <f t="shared" si="730"/>
        <v>0</v>
      </c>
      <c r="R177" s="86">
        <f t="shared" ref="R177:T177" si="731">I177-L177</f>
        <v>4594.03</v>
      </c>
      <c r="S177" s="86">
        <f t="shared" si="731"/>
        <v>0</v>
      </c>
      <c r="T177" s="86">
        <f t="shared" si="731"/>
        <v>0</v>
      </c>
      <c r="U177" s="87">
        <f t="shared" si="106"/>
        <v>0.41666666666666669</v>
      </c>
      <c r="V177" s="87" t="e">
        <f t="shared" ref="V177:W177" si="732">M177/J177</f>
        <v>#DIV/0!</v>
      </c>
      <c r="W177" s="87" t="e">
        <f t="shared" si="732"/>
        <v>#DIV/0!</v>
      </c>
      <c r="X177" s="84"/>
      <c r="Y177" s="84"/>
      <c r="Z177" s="84"/>
      <c r="AA177" s="84">
        <v>1312.58</v>
      </c>
      <c r="AB177" s="84"/>
      <c r="AC177" s="84"/>
      <c r="AD177" s="84">
        <f t="shared" si="719"/>
        <v>656.29</v>
      </c>
      <c r="AE177" s="84"/>
      <c r="AF177" s="84"/>
      <c r="AG177" s="84">
        <f t="shared" si="720"/>
        <v>1312.58</v>
      </c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  <c r="BH177" s="84"/>
      <c r="BI177" s="84"/>
      <c r="BJ177" s="84"/>
      <c r="BK177" s="88"/>
      <c r="BL177" s="88"/>
      <c r="BM177" s="88"/>
      <c r="BN177" s="88"/>
      <c r="BO177" s="88"/>
    </row>
    <row r="178" spans="1:67" ht="38.25" customHeight="1">
      <c r="A178" s="89" t="s">
        <v>380</v>
      </c>
      <c r="B178" s="95"/>
      <c r="C178" s="80" t="s">
        <v>372</v>
      </c>
      <c r="D178" s="81" t="s">
        <v>381</v>
      </c>
      <c r="E178" s="82"/>
      <c r="F178" s="82"/>
      <c r="G178" s="83" t="e">
        <f t="shared" si="1"/>
        <v>#DIV/0!</v>
      </c>
      <c r="H178" s="83" t="e">
        <f t="shared" si="2"/>
        <v>#DIV/0!</v>
      </c>
      <c r="I178" s="84">
        <v>7875.48</v>
      </c>
      <c r="J178" s="85"/>
      <c r="K178" s="85"/>
      <c r="L178" s="86">
        <f t="shared" ref="L178:N178" si="733">X178+AA178+AD178+AG178+AJ178+AM178+AP178+AS178+AV178+AY178+BB178+BE178</f>
        <v>3281.45</v>
      </c>
      <c r="M178" s="86">
        <f t="shared" si="733"/>
        <v>0</v>
      </c>
      <c r="N178" s="86">
        <f t="shared" si="733"/>
        <v>0</v>
      </c>
      <c r="O178" s="62">
        <f t="shared" ref="O178:Q178" si="734">IF(BH178=0,SUM(X178+AA178+AD178+AG178+AJ178+AM178+AP178+AS178+AV178+AY178+BB178+BE178),BH178)</f>
        <v>3281.45</v>
      </c>
      <c r="P178" s="62">
        <f t="shared" si="734"/>
        <v>0</v>
      </c>
      <c r="Q178" s="62">
        <f t="shared" si="734"/>
        <v>0</v>
      </c>
      <c r="R178" s="86">
        <f t="shared" ref="R178:T178" si="735">I178-L178</f>
        <v>4594.03</v>
      </c>
      <c r="S178" s="86">
        <f t="shared" si="735"/>
        <v>0</v>
      </c>
      <c r="T178" s="86">
        <f t="shared" si="735"/>
        <v>0</v>
      </c>
      <c r="U178" s="87">
        <f t="shared" si="106"/>
        <v>0.41666666666666669</v>
      </c>
      <c r="V178" s="87" t="e">
        <f t="shared" ref="V178:W178" si="736">M178/J178</f>
        <v>#DIV/0!</v>
      </c>
      <c r="W178" s="87" t="e">
        <f t="shared" si="736"/>
        <v>#DIV/0!</v>
      </c>
      <c r="X178" s="84"/>
      <c r="Y178" s="84"/>
      <c r="Z178" s="84"/>
      <c r="AA178" s="84">
        <v>1312.58</v>
      </c>
      <c r="AB178" s="84"/>
      <c r="AC178" s="84"/>
      <c r="AD178" s="84">
        <f t="shared" si="719"/>
        <v>656.29</v>
      </c>
      <c r="AE178" s="84"/>
      <c r="AF178" s="84"/>
      <c r="AG178" s="84">
        <f t="shared" si="720"/>
        <v>1312.58</v>
      </c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8"/>
      <c r="BL178" s="88"/>
      <c r="BM178" s="88"/>
      <c r="BN178" s="88"/>
      <c r="BO178" s="88"/>
    </row>
    <row r="179" spans="1:67" ht="38.25" customHeight="1">
      <c r="A179" s="89" t="s">
        <v>382</v>
      </c>
      <c r="B179" s="95"/>
      <c r="C179" s="80" t="s">
        <v>372</v>
      </c>
      <c r="D179" s="81" t="s">
        <v>383</v>
      </c>
      <c r="E179" s="82"/>
      <c r="F179" s="82"/>
      <c r="G179" s="83" t="e">
        <f t="shared" si="1"/>
        <v>#DIV/0!</v>
      </c>
      <c r="H179" s="83" t="e">
        <f t="shared" si="2"/>
        <v>#DIV/0!</v>
      </c>
      <c r="I179" s="84">
        <v>7875.48</v>
      </c>
      <c r="J179" s="85"/>
      <c r="K179" s="85"/>
      <c r="L179" s="86">
        <f t="shared" ref="L179:N179" si="737">X179+AA179+AD179+AG179+AJ179+AM179+AP179+AS179+AV179+AY179+BB179+BE179</f>
        <v>3281.45</v>
      </c>
      <c r="M179" s="86">
        <f t="shared" si="737"/>
        <v>0</v>
      </c>
      <c r="N179" s="86">
        <f t="shared" si="737"/>
        <v>0</v>
      </c>
      <c r="O179" s="62">
        <f t="shared" ref="O179:Q179" si="738">IF(BH179=0,SUM(X179+AA179+AD179+AG179+AJ179+AM179+AP179+AS179+AV179+AY179+BB179+BE179),BH179)</f>
        <v>3281.45</v>
      </c>
      <c r="P179" s="62">
        <f t="shared" si="738"/>
        <v>0</v>
      </c>
      <c r="Q179" s="62">
        <f t="shared" si="738"/>
        <v>0</v>
      </c>
      <c r="R179" s="86">
        <f t="shared" ref="R179:T179" si="739">I179-L179</f>
        <v>4594.03</v>
      </c>
      <c r="S179" s="86">
        <f t="shared" si="739"/>
        <v>0</v>
      </c>
      <c r="T179" s="86">
        <f t="shared" si="739"/>
        <v>0</v>
      </c>
      <c r="U179" s="87">
        <f t="shared" si="106"/>
        <v>0.41666666666666669</v>
      </c>
      <c r="V179" s="87" t="e">
        <f t="shared" ref="V179:W179" si="740">M179/J179</f>
        <v>#DIV/0!</v>
      </c>
      <c r="W179" s="87" t="e">
        <f t="shared" si="740"/>
        <v>#DIV/0!</v>
      </c>
      <c r="X179" s="84"/>
      <c r="Y179" s="84"/>
      <c r="Z179" s="84"/>
      <c r="AA179" s="84">
        <v>1312.58</v>
      </c>
      <c r="AB179" s="84"/>
      <c r="AC179" s="84"/>
      <c r="AD179" s="84">
        <f t="shared" si="719"/>
        <v>656.29</v>
      </c>
      <c r="AE179" s="84"/>
      <c r="AF179" s="84"/>
      <c r="AG179" s="84">
        <f t="shared" si="720"/>
        <v>1312.58</v>
      </c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  <c r="BH179" s="84"/>
      <c r="BI179" s="84"/>
      <c r="BJ179" s="84"/>
      <c r="BK179" s="88"/>
      <c r="BL179" s="88"/>
      <c r="BM179" s="88"/>
      <c r="BN179" s="88"/>
      <c r="BO179" s="88"/>
    </row>
    <row r="180" spans="1:67" ht="33.75" customHeight="1">
      <c r="A180" s="89" t="s">
        <v>384</v>
      </c>
      <c r="B180" s="95"/>
      <c r="C180" s="80" t="s">
        <v>385</v>
      </c>
      <c r="D180" s="81" t="s">
        <v>386</v>
      </c>
      <c r="E180" s="82"/>
      <c r="F180" s="82"/>
      <c r="G180" s="83" t="e">
        <f t="shared" si="1"/>
        <v>#DIV/0!</v>
      </c>
      <c r="H180" s="83" t="e">
        <f t="shared" si="2"/>
        <v>#DIV/0!</v>
      </c>
      <c r="I180" s="84">
        <v>9000</v>
      </c>
      <c r="J180" s="85"/>
      <c r="K180" s="85"/>
      <c r="L180" s="86">
        <f t="shared" ref="L180:N180" si="741">X180+AA180+AD180+AG180+AJ180+AM180+AP180+AS180+AV180+AY180+BB180+BE180</f>
        <v>0</v>
      </c>
      <c r="M180" s="86">
        <f t="shared" si="741"/>
        <v>0</v>
      </c>
      <c r="N180" s="86">
        <f t="shared" si="741"/>
        <v>0</v>
      </c>
      <c r="O180" s="62">
        <f t="shared" ref="O180:Q180" si="742">IF(BH180=0,SUM(X180+AA180+AD180+AG180+AJ180+AM180+AP180+AS180+AV180+AY180+BB180+BE180),BH180)</f>
        <v>0</v>
      </c>
      <c r="P180" s="62">
        <f t="shared" si="742"/>
        <v>0</v>
      </c>
      <c r="Q180" s="62">
        <f t="shared" si="742"/>
        <v>0</v>
      </c>
      <c r="R180" s="86">
        <f t="shared" ref="R180:T180" si="743">I180-L180</f>
        <v>9000</v>
      </c>
      <c r="S180" s="86">
        <f t="shared" si="743"/>
        <v>0</v>
      </c>
      <c r="T180" s="86">
        <f t="shared" si="743"/>
        <v>0</v>
      </c>
      <c r="U180" s="87">
        <f t="shared" si="106"/>
        <v>0</v>
      </c>
      <c r="V180" s="87" t="e">
        <f t="shared" ref="V180:W180" si="744">M180/J180</f>
        <v>#DIV/0!</v>
      </c>
      <c r="W180" s="87" t="e">
        <f t="shared" si="744"/>
        <v>#DIV/0!</v>
      </c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  <c r="BH180" s="84"/>
      <c r="BI180" s="84"/>
      <c r="BJ180" s="84"/>
      <c r="BK180" s="88"/>
      <c r="BL180" s="88"/>
      <c r="BM180" s="88"/>
      <c r="BN180" s="88"/>
      <c r="BO180" s="88"/>
    </row>
    <row r="181" spans="1:67" ht="33.75" customHeight="1">
      <c r="A181" s="89" t="s">
        <v>387</v>
      </c>
      <c r="B181" s="95"/>
      <c r="C181" s="80" t="s">
        <v>385</v>
      </c>
      <c r="D181" s="81" t="s">
        <v>388</v>
      </c>
      <c r="E181" s="82"/>
      <c r="F181" s="82"/>
      <c r="G181" s="83" t="e">
        <f t="shared" si="1"/>
        <v>#DIV/0!</v>
      </c>
      <c r="H181" s="83" t="e">
        <f t="shared" si="2"/>
        <v>#DIV/0!</v>
      </c>
      <c r="I181" s="84">
        <v>5400</v>
      </c>
      <c r="J181" s="85"/>
      <c r="K181" s="85"/>
      <c r="L181" s="86">
        <f t="shared" ref="L181:N181" si="745">X181+AA181+AD181+AG181+AJ181+AM181+AP181+AS181+AV181+AY181+BB181+BE181</f>
        <v>0</v>
      </c>
      <c r="M181" s="86">
        <f t="shared" si="745"/>
        <v>0</v>
      </c>
      <c r="N181" s="86">
        <f t="shared" si="745"/>
        <v>0</v>
      </c>
      <c r="O181" s="62">
        <f t="shared" ref="O181:Q181" si="746">IF(BH181=0,SUM(X181+AA181+AD181+AG181+AJ181+AM181+AP181+AS181+AV181+AY181+BB181+BE181),BH181)</f>
        <v>0</v>
      </c>
      <c r="P181" s="62">
        <f t="shared" si="746"/>
        <v>0</v>
      </c>
      <c r="Q181" s="62">
        <f t="shared" si="746"/>
        <v>0</v>
      </c>
      <c r="R181" s="86">
        <f t="shared" ref="R181:T181" si="747">I181-L181</f>
        <v>5400</v>
      </c>
      <c r="S181" s="86">
        <f t="shared" si="747"/>
        <v>0</v>
      </c>
      <c r="T181" s="86">
        <f t="shared" si="747"/>
        <v>0</v>
      </c>
      <c r="U181" s="87">
        <f t="shared" si="106"/>
        <v>0</v>
      </c>
      <c r="V181" s="87" t="e">
        <f t="shared" ref="V181:W181" si="748">M181/J181</f>
        <v>#DIV/0!</v>
      </c>
      <c r="W181" s="87" t="e">
        <f t="shared" si="748"/>
        <v>#DIV/0!</v>
      </c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  <c r="BH181" s="84"/>
      <c r="BI181" s="84"/>
      <c r="BJ181" s="84"/>
      <c r="BK181" s="88"/>
      <c r="BL181" s="88"/>
      <c r="BM181" s="88"/>
      <c r="BN181" s="88"/>
      <c r="BO181" s="88"/>
    </row>
    <row r="182" spans="1:67" ht="33.75" customHeight="1">
      <c r="A182" s="89" t="s">
        <v>389</v>
      </c>
      <c r="B182" s="95"/>
      <c r="C182" s="80" t="s">
        <v>385</v>
      </c>
      <c r="D182" s="81" t="s">
        <v>390</v>
      </c>
      <c r="E182" s="82"/>
      <c r="F182" s="82"/>
      <c r="G182" s="83" t="e">
        <f t="shared" si="1"/>
        <v>#DIV/0!</v>
      </c>
      <c r="H182" s="83" t="e">
        <f t="shared" si="2"/>
        <v>#DIV/0!</v>
      </c>
      <c r="I182" s="84">
        <v>9000</v>
      </c>
      <c r="J182" s="85"/>
      <c r="K182" s="85"/>
      <c r="L182" s="86">
        <f t="shared" ref="L182:N182" si="749">X182+AA182+AD182+AG182+AJ182+AM182+AP182+AS182+AV182+AY182+BB182+BE182</f>
        <v>0</v>
      </c>
      <c r="M182" s="86">
        <f t="shared" si="749"/>
        <v>0</v>
      </c>
      <c r="N182" s="86">
        <f t="shared" si="749"/>
        <v>0</v>
      </c>
      <c r="O182" s="62">
        <f t="shared" ref="O182:Q182" si="750">IF(BH182=0,SUM(X182+AA182+AD182+AG182+AJ182+AM182+AP182+AS182+AV182+AY182+BB182+BE182),BH182)</f>
        <v>0</v>
      </c>
      <c r="P182" s="62">
        <f t="shared" si="750"/>
        <v>0</v>
      </c>
      <c r="Q182" s="62">
        <f t="shared" si="750"/>
        <v>0</v>
      </c>
      <c r="R182" s="86">
        <f t="shared" ref="R182:T182" si="751">I182-L182</f>
        <v>9000</v>
      </c>
      <c r="S182" s="86">
        <f t="shared" si="751"/>
        <v>0</v>
      </c>
      <c r="T182" s="86">
        <f t="shared" si="751"/>
        <v>0</v>
      </c>
      <c r="U182" s="87">
        <f t="shared" si="106"/>
        <v>0</v>
      </c>
      <c r="V182" s="87" t="e">
        <f t="shared" ref="V182:W182" si="752">M182/J182</f>
        <v>#DIV/0!</v>
      </c>
      <c r="W182" s="87" t="e">
        <f t="shared" si="752"/>
        <v>#DIV/0!</v>
      </c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8"/>
      <c r="BL182" s="88"/>
      <c r="BM182" s="88"/>
      <c r="BN182" s="88"/>
      <c r="BO182" s="88"/>
    </row>
    <row r="183" spans="1:67" ht="33.75" customHeight="1">
      <c r="A183" s="89"/>
      <c r="B183" s="95" t="s">
        <v>391</v>
      </c>
      <c r="C183" s="80" t="s">
        <v>175</v>
      </c>
      <c r="D183" s="81" t="s">
        <v>392</v>
      </c>
      <c r="E183" s="82"/>
      <c r="F183" s="82"/>
      <c r="G183" s="83" t="e">
        <f t="shared" si="1"/>
        <v>#DIV/0!</v>
      </c>
      <c r="H183" s="83" t="e">
        <f t="shared" si="2"/>
        <v>#DIV/0!</v>
      </c>
      <c r="I183" s="84"/>
      <c r="J183" s="85">
        <v>1226409.3600000001</v>
      </c>
      <c r="K183" s="85"/>
      <c r="L183" s="86">
        <f t="shared" ref="L183:N183" si="753">X183+AA183+AD183+AG183+AJ183+AM183+AP183+AS183+AV183+AY183+BB183+BE183</f>
        <v>0</v>
      </c>
      <c r="M183" s="86">
        <f t="shared" si="753"/>
        <v>93241.71</v>
      </c>
      <c r="N183" s="86">
        <f t="shared" si="753"/>
        <v>0</v>
      </c>
      <c r="O183" s="62">
        <f t="shared" ref="O183:Q183" si="754">IF(BH183=0,SUM(X183+AA183+AD183+AG183+AJ183+AM183+AP183+AS183+AV183+AY183+BB183+BE183),BH183)</f>
        <v>0</v>
      </c>
      <c r="P183" s="62">
        <f t="shared" si="754"/>
        <v>93241.71</v>
      </c>
      <c r="Q183" s="62">
        <f t="shared" si="754"/>
        <v>0</v>
      </c>
      <c r="R183" s="86">
        <f t="shared" ref="R183:T183" si="755">I183-L183</f>
        <v>0</v>
      </c>
      <c r="S183" s="86">
        <f t="shared" si="755"/>
        <v>1133167.6500000001</v>
      </c>
      <c r="T183" s="86">
        <f t="shared" si="755"/>
        <v>0</v>
      </c>
      <c r="U183" s="87" t="e">
        <f t="shared" si="106"/>
        <v>#DIV/0!</v>
      </c>
      <c r="V183" s="87">
        <f t="shared" ref="V183:W183" si="756">M183/J183</f>
        <v>7.6028211330676734E-2</v>
      </c>
      <c r="W183" s="87" t="e">
        <f t="shared" si="756"/>
        <v>#DIV/0!</v>
      </c>
      <c r="X183" s="84"/>
      <c r="Y183" s="84">
        <f>14308.33+480</f>
        <v>14788.33</v>
      </c>
      <c r="Z183" s="84"/>
      <c r="AA183" s="84"/>
      <c r="AB183" s="84">
        <f>6600+15433.33+1032+1418.64</f>
        <v>24483.97</v>
      </c>
      <c r="AC183" s="84"/>
      <c r="AD183" s="84"/>
      <c r="AE183" s="84">
        <f>539+600+6600+15433.33+385+480</f>
        <v>24037.33</v>
      </c>
      <c r="AF183" s="84"/>
      <c r="AG183" s="84"/>
      <c r="AH183" s="84">
        <f>6936.25+15433.33+6600+962.5</f>
        <v>29932.080000000002</v>
      </c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8"/>
      <c r="BL183" s="88"/>
      <c r="BM183" s="88"/>
      <c r="BN183" s="88"/>
      <c r="BO183" s="88"/>
    </row>
    <row r="184" spans="1:67" ht="29.25" customHeight="1">
      <c r="A184" s="89"/>
      <c r="B184" s="95" t="s">
        <v>393</v>
      </c>
      <c r="C184" s="80" t="s">
        <v>372</v>
      </c>
      <c r="D184" s="81" t="s">
        <v>394</v>
      </c>
      <c r="E184" s="82"/>
      <c r="F184" s="82"/>
      <c r="G184" s="83" t="e">
        <f t="shared" si="1"/>
        <v>#DIV/0!</v>
      </c>
      <c r="H184" s="83" t="e">
        <f t="shared" si="2"/>
        <v>#DIV/0!</v>
      </c>
      <c r="I184" s="84"/>
      <c r="J184" s="84">
        <v>1312.58</v>
      </c>
      <c r="K184" s="85"/>
      <c r="L184" s="86">
        <f t="shared" ref="L184:N184" si="757">X184+AA184+AD184+AG184+AJ184+AM184+AP184+AS184+AV184+AY184+BB184+BE184</f>
        <v>0</v>
      </c>
      <c r="M184" s="86">
        <f t="shared" si="757"/>
        <v>0</v>
      </c>
      <c r="N184" s="86">
        <f t="shared" si="757"/>
        <v>0</v>
      </c>
      <c r="O184" s="62">
        <f t="shared" ref="O184:Q184" si="758">IF(BH184=0,SUM(X184+AA184+AD184+AG184+AJ184+AM184+AP184+AS184+AV184+AY184+BB184+BE184),BH184)</f>
        <v>0</v>
      </c>
      <c r="P184" s="62">
        <f t="shared" si="758"/>
        <v>0</v>
      </c>
      <c r="Q184" s="62">
        <f t="shared" si="758"/>
        <v>0</v>
      </c>
      <c r="R184" s="86">
        <f t="shared" ref="R184:T184" si="759">I184-L184</f>
        <v>0</v>
      </c>
      <c r="S184" s="86">
        <f t="shared" si="759"/>
        <v>1312.58</v>
      </c>
      <c r="T184" s="86">
        <f t="shared" si="759"/>
        <v>0</v>
      </c>
      <c r="U184" s="87" t="e">
        <f t="shared" si="106"/>
        <v>#DIV/0!</v>
      </c>
      <c r="V184" s="87">
        <f t="shared" ref="V184:W184" si="760">M184/J184</f>
        <v>0</v>
      </c>
      <c r="W184" s="87" t="e">
        <f t="shared" si="760"/>
        <v>#DIV/0!</v>
      </c>
      <c r="X184" s="84"/>
      <c r="Y184" s="84">
        <v>0</v>
      </c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8"/>
      <c r="BL184" s="88"/>
      <c r="BM184" s="88"/>
      <c r="BN184" s="88"/>
      <c r="BO184" s="88"/>
    </row>
    <row r="185" spans="1:67" ht="35.25" customHeight="1">
      <c r="A185" s="89" t="s">
        <v>395</v>
      </c>
      <c r="B185" s="90"/>
      <c r="C185" s="80" t="s">
        <v>158</v>
      </c>
      <c r="D185" s="81" t="s">
        <v>396</v>
      </c>
      <c r="E185" s="82"/>
      <c r="F185" s="82"/>
      <c r="G185" s="83" t="e">
        <f t="shared" si="1"/>
        <v>#DIV/0!</v>
      </c>
      <c r="H185" s="83" t="e">
        <f t="shared" si="2"/>
        <v>#DIV/0!</v>
      </c>
      <c r="I185" s="84">
        <v>2400</v>
      </c>
      <c r="J185" s="84"/>
      <c r="K185" s="85"/>
      <c r="L185" s="86">
        <f t="shared" ref="L185:N185" si="761">X185+AA185+AD185+AG185+AJ185+AM185+AP185+AS185+AV185+AY185+BB185+BE185</f>
        <v>2400</v>
      </c>
      <c r="M185" s="86">
        <f t="shared" si="761"/>
        <v>0</v>
      </c>
      <c r="N185" s="86">
        <f t="shared" si="761"/>
        <v>0</v>
      </c>
      <c r="O185" s="62">
        <f t="shared" ref="O185:Q185" si="762">IF(BH185=0,SUM(X185+AA185+AD185+AG185+AJ185+AM185+AP185+AS185+AV185+AY185+BB185+BE185),BH185)</f>
        <v>2400</v>
      </c>
      <c r="P185" s="62">
        <f t="shared" si="762"/>
        <v>0</v>
      </c>
      <c r="Q185" s="62">
        <f t="shared" si="762"/>
        <v>0</v>
      </c>
      <c r="R185" s="86">
        <f t="shared" ref="R185:T185" si="763">I185-L185</f>
        <v>0</v>
      </c>
      <c r="S185" s="86">
        <f t="shared" si="763"/>
        <v>0</v>
      </c>
      <c r="T185" s="86">
        <f t="shared" si="763"/>
        <v>0</v>
      </c>
      <c r="U185" s="87">
        <f t="shared" si="106"/>
        <v>1</v>
      </c>
      <c r="V185" s="87" t="e">
        <f t="shared" ref="V185:W185" si="764">M185/J185</f>
        <v>#DIV/0!</v>
      </c>
      <c r="W185" s="87" t="e">
        <f t="shared" si="764"/>
        <v>#DIV/0!</v>
      </c>
      <c r="X185" s="84">
        <v>0</v>
      </c>
      <c r="Y185" s="84"/>
      <c r="Z185" s="84"/>
      <c r="AA185" s="84">
        <v>0</v>
      </c>
      <c r="AB185" s="84"/>
      <c r="AC185" s="84"/>
      <c r="AD185" s="84">
        <v>2400</v>
      </c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  <c r="BH185" s="84"/>
      <c r="BI185" s="84"/>
      <c r="BJ185" s="84"/>
      <c r="BK185" s="88"/>
      <c r="BL185" s="88"/>
      <c r="BM185" s="88"/>
      <c r="BN185" s="88"/>
      <c r="BO185" s="88"/>
    </row>
    <row r="186" spans="1:67" ht="15.75" customHeight="1">
      <c r="A186" s="89"/>
      <c r="B186" s="90"/>
      <c r="C186" s="80" t="s">
        <v>372</v>
      </c>
      <c r="D186" s="81"/>
      <c r="E186" s="82"/>
      <c r="F186" s="82"/>
      <c r="G186" s="83" t="e">
        <f t="shared" si="1"/>
        <v>#DIV/0!</v>
      </c>
      <c r="H186" s="83" t="e">
        <f t="shared" si="2"/>
        <v>#DIV/0!</v>
      </c>
      <c r="I186" s="84"/>
      <c r="J186" s="84"/>
      <c r="K186" s="85"/>
      <c r="L186" s="86">
        <f t="shared" ref="L186:N186" si="765">X186+AA186+AD186+AG186+AJ186+AM186+AP186+AS186+AV186+AY186+BB186+BE186</f>
        <v>0</v>
      </c>
      <c r="M186" s="86">
        <f t="shared" si="765"/>
        <v>0</v>
      </c>
      <c r="N186" s="86">
        <f t="shared" si="765"/>
        <v>0</v>
      </c>
      <c r="O186" s="62">
        <f t="shared" ref="O186:Q186" si="766">IF(BH186=0,SUM(X186+AA186+AD186+AG186+AJ186+AM186+AP186+AS186+AV186+AY186+BB186+BE186),BH186)</f>
        <v>0</v>
      </c>
      <c r="P186" s="62">
        <f t="shared" si="766"/>
        <v>0</v>
      </c>
      <c r="Q186" s="62">
        <f t="shared" si="766"/>
        <v>0</v>
      </c>
      <c r="R186" s="86">
        <f t="shared" ref="R186:T186" si="767">I186-L186</f>
        <v>0</v>
      </c>
      <c r="S186" s="86">
        <f t="shared" si="767"/>
        <v>0</v>
      </c>
      <c r="T186" s="86">
        <f t="shared" si="767"/>
        <v>0</v>
      </c>
      <c r="U186" s="87" t="e">
        <f t="shared" si="106"/>
        <v>#DIV/0!</v>
      </c>
      <c r="V186" s="87" t="e">
        <f t="shared" ref="V186:W186" si="768">M186/J186</f>
        <v>#DIV/0!</v>
      </c>
      <c r="W186" s="87" t="e">
        <f t="shared" si="768"/>
        <v>#DIV/0!</v>
      </c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8"/>
      <c r="BL186" s="88"/>
      <c r="BM186" s="88"/>
      <c r="BN186" s="88"/>
      <c r="BO186" s="88"/>
    </row>
    <row r="187" spans="1:67" ht="18.75">
      <c r="A187" s="175"/>
      <c r="B187" s="175"/>
      <c r="C187" s="205"/>
      <c r="D187" s="177" t="s">
        <v>397</v>
      </c>
      <c r="E187" s="178">
        <f t="shared" ref="E187:G187" si="769">E188+E194+E201+E205</f>
        <v>0</v>
      </c>
      <c r="F187" s="178">
        <f t="shared" si="769"/>
        <v>0</v>
      </c>
      <c r="G187" s="209" t="e">
        <f t="shared" si="769"/>
        <v>#DIV/0!</v>
      </c>
      <c r="H187" s="206" t="e">
        <f t="shared" si="2"/>
        <v>#DIV/0!</v>
      </c>
      <c r="I187" s="178">
        <f t="shared" ref="I187:T187" si="770">I188+I194+I201+I205</f>
        <v>0</v>
      </c>
      <c r="J187" s="178">
        <f t="shared" si="770"/>
        <v>0</v>
      </c>
      <c r="K187" s="178">
        <f t="shared" si="770"/>
        <v>0</v>
      </c>
      <c r="L187" s="178">
        <f t="shared" si="770"/>
        <v>0</v>
      </c>
      <c r="M187" s="178">
        <f t="shared" si="770"/>
        <v>0</v>
      </c>
      <c r="N187" s="178">
        <f t="shared" si="770"/>
        <v>0</v>
      </c>
      <c r="O187" s="178">
        <f t="shared" si="770"/>
        <v>0</v>
      </c>
      <c r="P187" s="178">
        <f t="shared" si="770"/>
        <v>0</v>
      </c>
      <c r="Q187" s="178">
        <f t="shared" si="770"/>
        <v>0</v>
      </c>
      <c r="R187" s="178">
        <f t="shared" si="770"/>
        <v>0</v>
      </c>
      <c r="S187" s="178">
        <f t="shared" si="770"/>
        <v>0</v>
      </c>
      <c r="T187" s="178">
        <f t="shared" si="770"/>
        <v>0</v>
      </c>
      <c r="U187" s="181" t="e">
        <f t="shared" si="106"/>
        <v>#DIV/0!</v>
      </c>
      <c r="V187" s="181" t="e">
        <f t="shared" ref="V187:W187" si="771">M187/J187</f>
        <v>#DIV/0!</v>
      </c>
      <c r="W187" s="181" t="e">
        <f t="shared" si="771"/>
        <v>#DIV/0!</v>
      </c>
      <c r="X187" s="178">
        <f t="shared" ref="X187:BJ187" si="772">X188+X194+X201+X205</f>
        <v>0</v>
      </c>
      <c r="Y187" s="178">
        <f t="shared" si="772"/>
        <v>0</v>
      </c>
      <c r="Z187" s="178">
        <f t="shared" si="772"/>
        <v>0</v>
      </c>
      <c r="AA187" s="178">
        <f t="shared" si="772"/>
        <v>0</v>
      </c>
      <c r="AB187" s="178">
        <f t="shared" si="772"/>
        <v>0</v>
      </c>
      <c r="AC187" s="178">
        <f t="shared" si="772"/>
        <v>0</v>
      </c>
      <c r="AD187" s="178">
        <f t="shared" si="772"/>
        <v>0</v>
      </c>
      <c r="AE187" s="178">
        <f t="shared" si="772"/>
        <v>0</v>
      </c>
      <c r="AF187" s="178">
        <f t="shared" si="772"/>
        <v>0</v>
      </c>
      <c r="AG187" s="178">
        <f t="shared" si="772"/>
        <v>0</v>
      </c>
      <c r="AH187" s="178">
        <f t="shared" si="772"/>
        <v>0</v>
      </c>
      <c r="AI187" s="178">
        <f t="shared" si="772"/>
        <v>0</v>
      </c>
      <c r="AJ187" s="178">
        <f t="shared" si="772"/>
        <v>0</v>
      </c>
      <c r="AK187" s="178">
        <f t="shared" si="772"/>
        <v>0</v>
      </c>
      <c r="AL187" s="178">
        <f t="shared" si="772"/>
        <v>0</v>
      </c>
      <c r="AM187" s="178">
        <f t="shared" si="772"/>
        <v>0</v>
      </c>
      <c r="AN187" s="178">
        <f t="shared" si="772"/>
        <v>0</v>
      </c>
      <c r="AO187" s="178">
        <f t="shared" si="772"/>
        <v>0</v>
      </c>
      <c r="AP187" s="178">
        <f t="shared" si="772"/>
        <v>0</v>
      </c>
      <c r="AQ187" s="178">
        <f t="shared" si="772"/>
        <v>0</v>
      </c>
      <c r="AR187" s="178">
        <f t="shared" si="772"/>
        <v>0</v>
      </c>
      <c r="AS187" s="178">
        <f t="shared" si="772"/>
        <v>0</v>
      </c>
      <c r="AT187" s="178">
        <f t="shared" si="772"/>
        <v>0</v>
      </c>
      <c r="AU187" s="178">
        <f t="shared" si="772"/>
        <v>0</v>
      </c>
      <c r="AV187" s="178">
        <f t="shared" si="772"/>
        <v>0</v>
      </c>
      <c r="AW187" s="178">
        <f t="shared" si="772"/>
        <v>0</v>
      </c>
      <c r="AX187" s="178">
        <f t="shared" si="772"/>
        <v>0</v>
      </c>
      <c r="AY187" s="178">
        <f t="shared" si="772"/>
        <v>0</v>
      </c>
      <c r="AZ187" s="178">
        <f t="shared" si="772"/>
        <v>0</v>
      </c>
      <c r="BA187" s="178">
        <f t="shared" si="772"/>
        <v>0</v>
      </c>
      <c r="BB187" s="178">
        <f t="shared" si="772"/>
        <v>0</v>
      </c>
      <c r="BC187" s="178">
        <f t="shared" si="772"/>
        <v>0</v>
      </c>
      <c r="BD187" s="178">
        <f t="shared" si="772"/>
        <v>0</v>
      </c>
      <c r="BE187" s="178">
        <f t="shared" si="772"/>
        <v>0</v>
      </c>
      <c r="BF187" s="178">
        <f t="shared" si="772"/>
        <v>0</v>
      </c>
      <c r="BG187" s="178">
        <f t="shared" si="772"/>
        <v>0</v>
      </c>
      <c r="BH187" s="178">
        <f t="shared" si="772"/>
        <v>0</v>
      </c>
      <c r="BI187" s="178">
        <f t="shared" si="772"/>
        <v>0</v>
      </c>
      <c r="BJ187" s="178">
        <f t="shared" si="772"/>
        <v>0</v>
      </c>
      <c r="BK187" s="210"/>
      <c r="BL187" s="210"/>
      <c r="BM187" s="210"/>
      <c r="BN187" s="210"/>
      <c r="BO187" s="210"/>
    </row>
    <row r="188" spans="1:67" ht="18.75">
      <c r="A188" s="211"/>
      <c r="B188" s="211"/>
      <c r="C188" s="211"/>
      <c r="D188" s="212" t="s">
        <v>398</v>
      </c>
      <c r="E188" s="213">
        <f t="shared" ref="E188:F188" si="773">SUM(E189:E193)</f>
        <v>0</v>
      </c>
      <c r="F188" s="213">
        <f t="shared" si="773"/>
        <v>0</v>
      </c>
      <c r="G188" s="179" t="e">
        <f t="shared" ref="G188:G247" si="774">I188/E188</f>
        <v>#DIV/0!</v>
      </c>
      <c r="H188" s="179" t="e">
        <f t="shared" si="2"/>
        <v>#DIV/0!</v>
      </c>
      <c r="I188" s="213">
        <f t="shared" ref="I188:N188" si="775">SUM(I189:I193)</f>
        <v>0</v>
      </c>
      <c r="J188" s="213">
        <f t="shared" si="775"/>
        <v>0</v>
      </c>
      <c r="K188" s="213">
        <f t="shared" si="775"/>
        <v>0</v>
      </c>
      <c r="L188" s="213">
        <f t="shared" si="775"/>
        <v>0</v>
      </c>
      <c r="M188" s="213">
        <f t="shared" si="775"/>
        <v>0</v>
      </c>
      <c r="N188" s="213">
        <f t="shared" si="775"/>
        <v>0</v>
      </c>
      <c r="O188" s="214">
        <f t="shared" ref="O188:Q188" si="776">IF(BH188=0,SUM(X188+AA188+AD188+AG188+AJ188+AM188+AP188+AS188+AV188+AY188+BB188+BE188),BH188)</f>
        <v>0</v>
      </c>
      <c r="P188" s="214">
        <f t="shared" si="776"/>
        <v>0</v>
      </c>
      <c r="Q188" s="214">
        <f t="shared" si="776"/>
        <v>0</v>
      </c>
      <c r="R188" s="213">
        <f t="shared" ref="R188:T188" si="777">SUM(R189:R193)</f>
        <v>0</v>
      </c>
      <c r="S188" s="213">
        <f t="shared" si="777"/>
        <v>0</v>
      </c>
      <c r="T188" s="213">
        <f t="shared" si="777"/>
        <v>0</v>
      </c>
      <c r="U188" s="180" t="e">
        <f t="shared" si="106"/>
        <v>#DIV/0!</v>
      </c>
      <c r="V188" s="180" t="e">
        <f t="shared" ref="V188:W188" si="778">M188/J188</f>
        <v>#DIV/0!</v>
      </c>
      <c r="W188" s="180" t="e">
        <f t="shared" si="778"/>
        <v>#DIV/0!</v>
      </c>
      <c r="X188" s="213">
        <f t="shared" ref="X188:BJ188" si="779">SUM(X189:X193)</f>
        <v>0</v>
      </c>
      <c r="Y188" s="213">
        <f t="shared" si="779"/>
        <v>0</v>
      </c>
      <c r="Z188" s="213">
        <f t="shared" si="779"/>
        <v>0</v>
      </c>
      <c r="AA188" s="213">
        <f t="shared" si="779"/>
        <v>0</v>
      </c>
      <c r="AB188" s="213">
        <f t="shared" si="779"/>
        <v>0</v>
      </c>
      <c r="AC188" s="213">
        <f t="shared" si="779"/>
        <v>0</v>
      </c>
      <c r="AD188" s="213">
        <f t="shared" si="779"/>
        <v>0</v>
      </c>
      <c r="AE188" s="213">
        <f t="shared" si="779"/>
        <v>0</v>
      </c>
      <c r="AF188" s="213">
        <f t="shared" si="779"/>
        <v>0</v>
      </c>
      <c r="AG188" s="213">
        <f t="shared" si="779"/>
        <v>0</v>
      </c>
      <c r="AH188" s="213">
        <f t="shared" si="779"/>
        <v>0</v>
      </c>
      <c r="AI188" s="213">
        <f t="shared" si="779"/>
        <v>0</v>
      </c>
      <c r="AJ188" s="213">
        <f t="shared" si="779"/>
        <v>0</v>
      </c>
      <c r="AK188" s="213">
        <f t="shared" si="779"/>
        <v>0</v>
      </c>
      <c r="AL188" s="213">
        <f t="shared" si="779"/>
        <v>0</v>
      </c>
      <c r="AM188" s="213">
        <f t="shared" si="779"/>
        <v>0</v>
      </c>
      <c r="AN188" s="213">
        <f t="shared" si="779"/>
        <v>0</v>
      </c>
      <c r="AO188" s="213">
        <f t="shared" si="779"/>
        <v>0</v>
      </c>
      <c r="AP188" s="213">
        <f t="shared" si="779"/>
        <v>0</v>
      </c>
      <c r="AQ188" s="213">
        <f t="shared" si="779"/>
        <v>0</v>
      </c>
      <c r="AR188" s="213">
        <f t="shared" si="779"/>
        <v>0</v>
      </c>
      <c r="AS188" s="213">
        <f t="shared" si="779"/>
        <v>0</v>
      </c>
      <c r="AT188" s="213">
        <f t="shared" si="779"/>
        <v>0</v>
      </c>
      <c r="AU188" s="213">
        <f t="shared" si="779"/>
        <v>0</v>
      </c>
      <c r="AV188" s="213">
        <f t="shared" si="779"/>
        <v>0</v>
      </c>
      <c r="AW188" s="213">
        <f t="shared" si="779"/>
        <v>0</v>
      </c>
      <c r="AX188" s="213">
        <f t="shared" si="779"/>
        <v>0</v>
      </c>
      <c r="AY188" s="213">
        <f t="shared" si="779"/>
        <v>0</v>
      </c>
      <c r="AZ188" s="213">
        <f t="shared" si="779"/>
        <v>0</v>
      </c>
      <c r="BA188" s="213">
        <f t="shared" si="779"/>
        <v>0</v>
      </c>
      <c r="BB188" s="213">
        <f t="shared" si="779"/>
        <v>0</v>
      </c>
      <c r="BC188" s="213">
        <f t="shared" si="779"/>
        <v>0</v>
      </c>
      <c r="BD188" s="213">
        <f t="shared" si="779"/>
        <v>0</v>
      </c>
      <c r="BE188" s="213">
        <f t="shared" si="779"/>
        <v>0</v>
      </c>
      <c r="BF188" s="213">
        <f t="shared" si="779"/>
        <v>0</v>
      </c>
      <c r="BG188" s="213">
        <f t="shared" si="779"/>
        <v>0</v>
      </c>
      <c r="BH188" s="213">
        <f t="shared" si="779"/>
        <v>0</v>
      </c>
      <c r="BI188" s="213">
        <f t="shared" si="779"/>
        <v>0</v>
      </c>
      <c r="BJ188" s="213">
        <f t="shared" si="779"/>
        <v>0</v>
      </c>
      <c r="BK188" s="215"/>
      <c r="BL188" s="215"/>
      <c r="BM188" s="215"/>
      <c r="BN188" s="215"/>
      <c r="BO188" s="215"/>
    </row>
    <row r="189" spans="1:67" ht="37.5">
      <c r="A189" s="79"/>
      <c r="B189" s="80"/>
      <c r="C189" s="80" t="s">
        <v>97</v>
      </c>
      <c r="D189" s="129" t="s">
        <v>399</v>
      </c>
      <c r="E189" s="82"/>
      <c r="F189" s="82"/>
      <c r="G189" s="83" t="e">
        <f t="shared" si="774"/>
        <v>#DIV/0!</v>
      </c>
      <c r="H189" s="83" t="e">
        <f t="shared" si="2"/>
        <v>#DIV/0!</v>
      </c>
      <c r="I189" s="84"/>
      <c r="J189" s="84"/>
      <c r="K189" s="84"/>
      <c r="L189" s="86">
        <f t="shared" ref="L189:N189" si="780">X189+AA189+AD189+AG189+AJ189+AM189+AP189+AS189+AV189+AY189+BB189+BE189</f>
        <v>0</v>
      </c>
      <c r="M189" s="86">
        <f t="shared" si="780"/>
        <v>0</v>
      </c>
      <c r="N189" s="86">
        <f t="shared" si="780"/>
        <v>0</v>
      </c>
      <c r="O189" s="62">
        <f t="shared" ref="O189:Q189" si="781">IF(BH189=0,SUM(X189+AA189+AD189+AG189+AJ189+AM189+AP189+AS189+AV189+AY189+BB189+BE189),BH189)</f>
        <v>0</v>
      </c>
      <c r="P189" s="62">
        <f t="shared" si="781"/>
        <v>0</v>
      </c>
      <c r="Q189" s="62">
        <f t="shared" si="781"/>
        <v>0</v>
      </c>
      <c r="R189" s="86">
        <f t="shared" ref="R189:T189" si="782">I189-L189</f>
        <v>0</v>
      </c>
      <c r="S189" s="86">
        <f t="shared" si="782"/>
        <v>0</v>
      </c>
      <c r="T189" s="86">
        <f t="shared" si="782"/>
        <v>0</v>
      </c>
      <c r="U189" s="83" t="e">
        <f t="shared" si="106"/>
        <v>#DIV/0!</v>
      </c>
      <c r="V189" s="83" t="e">
        <f t="shared" ref="V189:W189" si="783">M189/J189</f>
        <v>#DIV/0!</v>
      </c>
      <c r="W189" s="83" t="e">
        <f t="shared" si="783"/>
        <v>#DIV/0!</v>
      </c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135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8"/>
      <c r="BL189" s="88"/>
      <c r="BM189" s="88"/>
      <c r="BN189" s="88"/>
      <c r="BO189" s="88"/>
    </row>
    <row r="190" spans="1:67" ht="37.5">
      <c r="A190" s="79"/>
      <c r="B190" s="80"/>
      <c r="C190" s="80" t="s">
        <v>263</v>
      </c>
      <c r="D190" s="81" t="s">
        <v>400</v>
      </c>
      <c r="E190" s="82"/>
      <c r="F190" s="82"/>
      <c r="G190" s="83" t="e">
        <f t="shared" si="774"/>
        <v>#DIV/0!</v>
      </c>
      <c r="H190" s="83" t="e">
        <f t="shared" si="2"/>
        <v>#DIV/0!</v>
      </c>
      <c r="I190" s="84"/>
      <c r="J190" s="84"/>
      <c r="K190" s="84"/>
      <c r="L190" s="86">
        <f t="shared" ref="L190:N190" si="784">X190+AA190+AD190+AG190+AJ190+AM190+AP190+AS190+AV190+AY190+BB190+BE190</f>
        <v>0</v>
      </c>
      <c r="M190" s="86">
        <f t="shared" si="784"/>
        <v>0</v>
      </c>
      <c r="N190" s="86">
        <f t="shared" si="784"/>
        <v>0</v>
      </c>
      <c r="O190" s="62">
        <f t="shared" ref="O190:Q190" si="785">IF(BH190=0,SUM(X190+AA190+AD190+AG190+AJ190+AM190+AP190+AS190+AV190+AY190+BB190+BE190),BH190)</f>
        <v>0</v>
      </c>
      <c r="P190" s="62">
        <f t="shared" si="785"/>
        <v>0</v>
      </c>
      <c r="Q190" s="62">
        <f t="shared" si="785"/>
        <v>0</v>
      </c>
      <c r="R190" s="86">
        <f t="shared" ref="R190:T190" si="786">I190-L190</f>
        <v>0</v>
      </c>
      <c r="S190" s="86">
        <f t="shared" si="786"/>
        <v>0</v>
      </c>
      <c r="T190" s="86">
        <f t="shared" si="786"/>
        <v>0</v>
      </c>
      <c r="U190" s="83" t="e">
        <f t="shared" si="106"/>
        <v>#DIV/0!</v>
      </c>
      <c r="V190" s="83" t="e">
        <f t="shared" ref="V190:W190" si="787">M190/J190</f>
        <v>#DIV/0!</v>
      </c>
      <c r="W190" s="83" t="e">
        <f t="shared" si="787"/>
        <v>#DIV/0!</v>
      </c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135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8"/>
      <c r="BL190" s="88"/>
      <c r="BM190" s="88"/>
      <c r="BN190" s="88"/>
      <c r="BO190" s="88"/>
    </row>
    <row r="191" spans="1:67" ht="37.5">
      <c r="A191" s="79"/>
      <c r="B191" s="80"/>
      <c r="C191" s="80" t="s">
        <v>401</v>
      </c>
      <c r="D191" s="81" t="s">
        <v>402</v>
      </c>
      <c r="E191" s="82"/>
      <c r="F191" s="82"/>
      <c r="G191" s="83" t="e">
        <f t="shared" si="774"/>
        <v>#DIV/0!</v>
      </c>
      <c r="H191" s="83" t="e">
        <f t="shared" si="2"/>
        <v>#DIV/0!</v>
      </c>
      <c r="I191" s="84"/>
      <c r="J191" s="84"/>
      <c r="K191" s="84"/>
      <c r="L191" s="86">
        <f t="shared" ref="L191:N191" si="788">X191+AA191+AD191+AG191+AJ191+AM191+AP191+AS191+AV191+AY191+BB191+BE191</f>
        <v>0</v>
      </c>
      <c r="M191" s="86">
        <f t="shared" si="788"/>
        <v>0</v>
      </c>
      <c r="N191" s="86">
        <f t="shared" si="788"/>
        <v>0</v>
      </c>
      <c r="O191" s="62">
        <f t="shared" ref="O191:Q191" si="789">IF(BH191=0,SUM(X191+AA191+AD191+AG191+AJ191+AM191+AP191+AS191+AV191+AY191+BB191+BE191),BH191)</f>
        <v>0</v>
      </c>
      <c r="P191" s="62">
        <f t="shared" si="789"/>
        <v>0</v>
      </c>
      <c r="Q191" s="62">
        <f t="shared" si="789"/>
        <v>0</v>
      </c>
      <c r="R191" s="86">
        <f t="shared" ref="R191:T191" si="790">I191-L191</f>
        <v>0</v>
      </c>
      <c r="S191" s="86">
        <f t="shared" si="790"/>
        <v>0</v>
      </c>
      <c r="T191" s="86">
        <f t="shared" si="790"/>
        <v>0</v>
      </c>
      <c r="U191" s="83" t="e">
        <f t="shared" si="106"/>
        <v>#DIV/0!</v>
      </c>
      <c r="V191" s="83" t="e">
        <f t="shared" ref="V191:W191" si="791">M191/J191</f>
        <v>#DIV/0!</v>
      </c>
      <c r="W191" s="83" t="e">
        <f t="shared" si="791"/>
        <v>#DIV/0!</v>
      </c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135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8"/>
      <c r="BL191" s="88"/>
      <c r="BM191" s="88"/>
      <c r="BN191" s="88"/>
      <c r="BO191" s="88"/>
    </row>
    <row r="192" spans="1:67" ht="18.75">
      <c r="A192" s="79"/>
      <c r="B192" s="80"/>
      <c r="C192" s="80" t="s">
        <v>332</v>
      </c>
      <c r="D192" s="81" t="s">
        <v>578</v>
      </c>
      <c r="E192" s="82"/>
      <c r="F192" s="82"/>
      <c r="G192" s="83" t="e">
        <f t="shared" si="774"/>
        <v>#DIV/0!</v>
      </c>
      <c r="H192" s="83" t="e">
        <f t="shared" si="2"/>
        <v>#DIV/0!</v>
      </c>
      <c r="I192" s="84"/>
      <c r="J192" s="84"/>
      <c r="K192" s="84"/>
      <c r="L192" s="86">
        <f t="shared" ref="L192:N192" si="792">X192+AA192+AD192+AG192+AJ192+AM192+AP192+AS192+AV192+AY192+BB192+BE192</f>
        <v>0</v>
      </c>
      <c r="M192" s="86">
        <f t="shared" si="792"/>
        <v>0</v>
      </c>
      <c r="N192" s="86">
        <f t="shared" si="792"/>
        <v>0</v>
      </c>
      <c r="O192" s="62">
        <f t="shared" ref="O192:Q192" si="793">IF(BH192=0,SUM(X192+AA192+AD192+AG192+AJ192+AM192+AP192+AS192+AV192+AY192+BB192+BE192),BH192)</f>
        <v>0</v>
      </c>
      <c r="P192" s="62">
        <f t="shared" si="793"/>
        <v>0</v>
      </c>
      <c r="Q192" s="62">
        <f t="shared" si="793"/>
        <v>0</v>
      </c>
      <c r="R192" s="86">
        <f t="shared" ref="R192:T192" si="794">I192-L192</f>
        <v>0</v>
      </c>
      <c r="S192" s="86">
        <f t="shared" si="794"/>
        <v>0</v>
      </c>
      <c r="T192" s="86">
        <f t="shared" si="794"/>
        <v>0</v>
      </c>
      <c r="U192" s="83" t="e">
        <f t="shared" si="106"/>
        <v>#DIV/0!</v>
      </c>
      <c r="V192" s="83" t="e">
        <f t="shared" ref="V192:W192" si="795">M192/J192</f>
        <v>#DIV/0!</v>
      </c>
      <c r="W192" s="83" t="e">
        <f t="shared" si="795"/>
        <v>#DIV/0!</v>
      </c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135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8"/>
      <c r="BL192" s="88"/>
      <c r="BM192" s="88"/>
      <c r="BN192" s="88"/>
      <c r="BO192" s="88"/>
    </row>
    <row r="193" spans="1:67" ht="18.75">
      <c r="A193" s="79"/>
      <c r="B193" s="80"/>
      <c r="C193" s="80"/>
      <c r="D193" s="81" t="s">
        <v>403</v>
      </c>
      <c r="E193" s="82"/>
      <c r="F193" s="82"/>
      <c r="G193" s="83" t="e">
        <f t="shared" si="774"/>
        <v>#DIV/0!</v>
      </c>
      <c r="H193" s="83" t="e">
        <f t="shared" si="2"/>
        <v>#DIV/0!</v>
      </c>
      <c r="I193" s="84"/>
      <c r="J193" s="84"/>
      <c r="K193" s="84"/>
      <c r="L193" s="86">
        <f t="shared" ref="L193:N193" si="796">X193+AA193+AD193+AG193+AJ193+AM193+AP193+AS193+AV193+AY193+BB193+BE193</f>
        <v>0</v>
      </c>
      <c r="M193" s="86">
        <f t="shared" si="796"/>
        <v>0</v>
      </c>
      <c r="N193" s="86">
        <f t="shared" si="796"/>
        <v>0</v>
      </c>
      <c r="O193" s="62">
        <f t="shared" ref="O193:Q193" si="797">IF(BH193=0,SUM(X193+AA193+AD193+AG193+AJ193+AM193+AP193+AS193+AV193+AY193+BB193+BE193),BH193)</f>
        <v>0</v>
      </c>
      <c r="P193" s="62">
        <f t="shared" si="797"/>
        <v>0</v>
      </c>
      <c r="Q193" s="62">
        <f t="shared" si="797"/>
        <v>0</v>
      </c>
      <c r="R193" s="86">
        <f t="shared" ref="R193:T193" si="798">I193-L193</f>
        <v>0</v>
      </c>
      <c r="S193" s="86">
        <f t="shared" si="798"/>
        <v>0</v>
      </c>
      <c r="T193" s="86">
        <f t="shared" si="798"/>
        <v>0</v>
      </c>
      <c r="U193" s="83" t="e">
        <f t="shared" si="106"/>
        <v>#DIV/0!</v>
      </c>
      <c r="V193" s="83" t="e">
        <f t="shared" ref="V193:W193" si="799">M193/J193</f>
        <v>#DIV/0!</v>
      </c>
      <c r="W193" s="83" t="e">
        <f t="shared" si="799"/>
        <v>#DIV/0!</v>
      </c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135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8"/>
      <c r="BL193" s="88"/>
      <c r="BM193" s="88"/>
      <c r="BN193" s="88"/>
      <c r="BO193" s="88"/>
    </row>
    <row r="194" spans="1:67" ht="18.75">
      <c r="A194" s="211"/>
      <c r="B194" s="211"/>
      <c r="C194" s="211"/>
      <c r="D194" s="212" t="s">
        <v>404</v>
      </c>
      <c r="E194" s="213">
        <f t="shared" ref="E194:F194" si="800">SUM(E195:E200)</f>
        <v>0</v>
      </c>
      <c r="F194" s="213">
        <f t="shared" si="800"/>
        <v>0</v>
      </c>
      <c r="G194" s="179" t="e">
        <f t="shared" si="774"/>
        <v>#DIV/0!</v>
      </c>
      <c r="H194" s="179" t="e">
        <f t="shared" si="2"/>
        <v>#DIV/0!</v>
      </c>
      <c r="I194" s="213">
        <f t="shared" ref="I194:N194" si="801">SUM(I195:I200)</f>
        <v>0</v>
      </c>
      <c r="J194" s="213">
        <f t="shared" si="801"/>
        <v>0</v>
      </c>
      <c r="K194" s="213">
        <f t="shared" si="801"/>
        <v>0</v>
      </c>
      <c r="L194" s="213">
        <f t="shared" si="801"/>
        <v>0</v>
      </c>
      <c r="M194" s="213">
        <f t="shared" si="801"/>
        <v>0</v>
      </c>
      <c r="N194" s="213">
        <f t="shared" si="801"/>
        <v>0</v>
      </c>
      <c r="O194" s="216">
        <f t="shared" ref="O194:Q194" si="802">IF(BH194=0,SUM(X194+AA194+AD194+AG194+AJ194+AM194+AP194+AS194+AV194+AY194+BB194+BE194),BH194)</f>
        <v>0</v>
      </c>
      <c r="P194" s="216">
        <f t="shared" si="802"/>
        <v>0</v>
      </c>
      <c r="Q194" s="216">
        <f t="shared" si="802"/>
        <v>0</v>
      </c>
      <c r="R194" s="213">
        <f t="shared" ref="R194:BJ194" si="803">SUM(R195:R200)</f>
        <v>0</v>
      </c>
      <c r="S194" s="213">
        <f t="shared" si="803"/>
        <v>0</v>
      </c>
      <c r="T194" s="213">
        <f t="shared" si="803"/>
        <v>0</v>
      </c>
      <c r="U194" s="213" t="e">
        <f t="shared" si="803"/>
        <v>#DIV/0!</v>
      </c>
      <c r="V194" s="213" t="e">
        <f t="shared" si="803"/>
        <v>#DIV/0!</v>
      </c>
      <c r="W194" s="213" t="e">
        <f t="shared" si="803"/>
        <v>#DIV/0!</v>
      </c>
      <c r="X194" s="213">
        <f t="shared" si="803"/>
        <v>0</v>
      </c>
      <c r="Y194" s="213">
        <f t="shared" si="803"/>
        <v>0</v>
      </c>
      <c r="Z194" s="213">
        <f t="shared" si="803"/>
        <v>0</v>
      </c>
      <c r="AA194" s="213">
        <f t="shared" si="803"/>
        <v>0</v>
      </c>
      <c r="AB194" s="213">
        <f t="shared" si="803"/>
        <v>0</v>
      </c>
      <c r="AC194" s="213">
        <f t="shared" si="803"/>
        <v>0</v>
      </c>
      <c r="AD194" s="213">
        <f t="shared" si="803"/>
        <v>0</v>
      </c>
      <c r="AE194" s="213">
        <f t="shared" si="803"/>
        <v>0</v>
      </c>
      <c r="AF194" s="213">
        <f t="shared" si="803"/>
        <v>0</v>
      </c>
      <c r="AG194" s="213">
        <f t="shared" si="803"/>
        <v>0</v>
      </c>
      <c r="AH194" s="213">
        <f t="shared" si="803"/>
        <v>0</v>
      </c>
      <c r="AI194" s="213">
        <f t="shared" si="803"/>
        <v>0</v>
      </c>
      <c r="AJ194" s="213">
        <f t="shared" si="803"/>
        <v>0</v>
      </c>
      <c r="AK194" s="213">
        <f t="shared" si="803"/>
        <v>0</v>
      </c>
      <c r="AL194" s="213">
        <f t="shared" si="803"/>
        <v>0</v>
      </c>
      <c r="AM194" s="213">
        <f t="shared" si="803"/>
        <v>0</v>
      </c>
      <c r="AN194" s="213">
        <f t="shared" si="803"/>
        <v>0</v>
      </c>
      <c r="AO194" s="213">
        <f t="shared" si="803"/>
        <v>0</v>
      </c>
      <c r="AP194" s="213">
        <f t="shared" si="803"/>
        <v>0</v>
      </c>
      <c r="AQ194" s="213">
        <f t="shared" si="803"/>
        <v>0</v>
      </c>
      <c r="AR194" s="213">
        <f t="shared" si="803"/>
        <v>0</v>
      </c>
      <c r="AS194" s="213">
        <f t="shared" si="803"/>
        <v>0</v>
      </c>
      <c r="AT194" s="213">
        <f t="shared" si="803"/>
        <v>0</v>
      </c>
      <c r="AU194" s="213">
        <f t="shared" si="803"/>
        <v>0</v>
      </c>
      <c r="AV194" s="213">
        <f t="shared" si="803"/>
        <v>0</v>
      </c>
      <c r="AW194" s="213">
        <f t="shared" si="803"/>
        <v>0</v>
      </c>
      <c r="AX194" s="213">
        <f t="shared" si="803"/>
        <v>0</v>
      </c>
      <c r="AY194" s="213">
        <f t="shared" si="803"/>
        <v>0</v>
      </c>
      <c r="AZ194" s="213">
        <f t="shared" si="803"/>
        <v>0</v>
      </c>
      <c r="BA194" s="213">
        <f t="shared" si="803"/>
        <v>0</v>
      </c>
      <c r="BB194" s="213">
        <f t="shared" si="803"/>
        <v>0</v>
      </c>
      <c r="BC194" s="213">
        <f t="shared" si="803"/>
        <v>0</v>
      </c>
      <c r="BD194" s="213">
        <f t="shared" si="803"/>
        <v>0</v>
      </c>
      <c r="BE194" s="213">
        <f t="shared" si="803"/>
        <v>0</v>
      </c>
      <c r="BF194" s="213">
        <f t="shared" si="803"/>
        <v>0</v>
      </c>
      <c r="BG194" s="213">
        <f t="shared" si="803"/>
        <v>0</v>
      </c>
      <c r="BH194" s="213">
        <f t="shared" si="803"/>
        <v>0</v>
      </c>
      <c r="BI194" s="213">
        <f t="shared" si="803"/>
        <v>0</v>
      </c>
      <c r="BJ194" s="213">
        <f t="shared" si="803"/>
        <v>0</v>
      </c>
      <c r="BK194" s="215"/>
      <c r="BL194" s="215"/>
      <c r="BM194" s="215"/>
      <c r="BN194" s="215"/>
      <c r="BO194" s="215"/>
    </row>
    <row r="195" spans="1:67" ht="37.5">
      <c r="A195" s="79"/>
      <c r="B195" s="80"/>
      <c r="C195" s="80" t="s">
        <v>405</v>
      </c>
      <c r="D195" s="129" t="s">
        <v>406</v>
      </c>
      <c r="E195" s="82"/>
      <c r="F195" s="82"/>
      <c r="G195" s="83" t="e">
        <f t="shared" si="774"/>
        <v>#DIV/0!</v>
      </c>
      <c r="H195" s="83" t="e">
        <f t="shared" si="2"/>
        <v>#DIV/0!</v>
      </c>
      <c r="I195" s="84"/>
      <c r="J195" s="84"/>
      <c r="K195" s="84"/>
      <c r="L195" s="86">
        <f t="shared" ref="L195:N195" si="804">X195+AA195+AD195+AG195+AJ195+AM195+AP195+AS195+AV195+AY195+BB195+BE195</f>
        <v>0</v>
      </c>
      <c r="M195" s="86">
        <f t="shared" si="804"/>
        <v>0</v>
      </c>
      <c r="N195" s="86">
        <f t="shared" si="804"/>
        <v>0</v>
      </c>
      <c r="O195" s="62">
        <f t="shared" ref="O195:Q195" si="805">IF(BH195=0,SUM(X195+AA195+AD195+AG195+AJ195+AM195+AP195+AS195+AV195+AY195+BB195+BE195),BH195)</f>
        <v>0</v>
      </c>
      <c r="P195" s="62">
        <f t="shared" si="805"/>
        <v>0</v>
      </c>
      <c r="Q195" s="62">
        <f t="shared" si="805"/>
        <v>0</v>
      </c>
      <c r="R195" s="86">
        <f t="shared" ref="R195:T195" si="806">I195-L195</f>
        <v>0</v>
      </c>
      <c r="S195" s="86">
        <f t="shared" si="806"/>
        <v>0</v>
      </c>
      <c r="T195" s="86">
        <f t="shared" si="806"/>
        <v>0</v>
      </c>
      <c r="U195" s="87" t="e">
        <f t="shared" ref="U195:W195" si="807">L195/I195</f>
        <v>#DIV/0!</v>
      </c>
      <c r="V195" s="87" t="e">
        <f t="shared" si="807"/>
        <v>#DIV/0!</v>
      </c>
      <c r="W195" s="87" t="e">
        <f t="shared" si="807"/>
        <v>#DIV/0!</v>
      </c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135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8"/>
      <c r="BL195" s="88"/>
      <c r="BM195" s="88"/>
      <c r="BN195" s="88"/>
      <c r="BO195" s="88"/>
    </row>
    <row r="196" spans="1:67" ht="15.75" customHeight="1">
      <c r="A196" s="89"/>
      <c r="B196" s="90"/>
      <c r="C196" s="80" t="s">
        <v>405</v>
      </c>
      <c r="D196" s="81" t="s">
        <v>407</v>
      </c>
      <c r="E196" s="82"/>
      <c r="F196" s="82"/>
      <c r="G196" s="83" t="e">
        <f t="shared" si="774"/>
        <v>#DIV/0!</v>
      </c>
      <c r="H196" s="83" t="e">
        <f t="shared" si="2"/>
        <v>#DIV/0!</v>
      </c>
      <c r="I196" s="84"/>
      <c r="J196" s="84"/>
      <c r="K196" s="71"/>
      <c r="L196" s="86">
        <f t="shared" ref="L196:N196" si="808">X196+AA196+AD196+AG196+AJ196+AM196+AP196+AS196+AV196+AY196+BB196+BE196</f>
        <v>0</v>
      </c>
      <c r="M196" s="86">
        <f t="shared" si="808"/>
        <v>0</v>
      </c>
      <c r="N196" s="86">
        <f t="shared" si="808"/>
        <v>0</v>
      </c>
      <c r="O196" s="62">
        <f t="shared" ref="O196:Q196" si="809">IF(BH196=0,SUM(X196+AA196+AD196+AG196+AJ196+AM196+AP196+AS196+AV196+AY196+BB196+BE196),BH196)</f>
        <v>0</v>
      </c>
      <c r="P196" s="62">
        <f t="shared" si="809"/>
        <v>0</v>
      </c>
      <c r="Q196" s="62">
        <f t="shared" si="809"/>
        <v>0</v>
      </c>
      <c r="R196" s="86">
        <f t="shared" ref="R196:T196" si="810">I196-L196</f>
        <v>0</v>
      </c>
      <c r="S196" s="86">
        <f t="shared" si="810"/>
        <v>0</v>
      </c>
      <c r="T196" s="86">
        <f t="shared" si="810"/>
        <v>0</v>
      </c>
      <c r="U196" s="87" t="e">
        <f t="shared" ref="U196:W196" si="811">L196/I196</f>
        <v>#DIV/0!</v>
      </c>
      <c r="V196" s="87" t="e">
        <f t="shared" si="811"/>
        <v>#DIV/0!</v>
      </c>
      <c r="W196" s="87" t="e">
        <f t="shared" si="811"/>
        <v>#DIV/0!</v>
      </c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5"/>
      <c r="AI196" s="84"/>
      <c r="AJ196" s="84"/>
      <c r="AK196" s="85"/>
      <c r="AL196" s="84"/>
      <c r="AM196" s="84"/>
      <c r="AN196" s="85"/>
      <c r="AO196" s="85"/>
      <c r="AP196" s="84"/>
      <c r="AQ196" s="84"/>
      <c r="AR196" s="85"/>
      <c r="AS196" s="84"/>
      <c r="AT196" s="85"/>
      <c r="AU196" s="85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8"/>
      <c r="BL196" s="88"/>
      <c r="BM196" s="88"/>
      <c r="BN196" s="88"/>
      <c r="BO196" s="88"/>
    </row>
    <row r="197" spans="1:67" ht="15.75" customHeight="1">
      <c r="A197" s="89"/>
      <c r="B197" s="90"/>
      <c r="C197" s="80" t="s">
        <v>405</v>
      </c>
      <c r="D197" s="81" t="s">
        <v>408</v>
      </c>
      <c r="E197" s="82"/>
      <c r="F197" s="82"/>
      <c r="G197" s="83" t="e">
        <f t="shared" si="774"/>
        <v>#DIV/0!</v>
      </c>
      <c r="H197" s="83" t="e">
        <f t="shared" si="2"/>
        <v>#DIV/0!</v>
      </c>
      <c r="I197" s="84"/>
      <c r="J197" s="84"/>
      <c r="K197" s="84"/>
      <c r="L197" s="86">
        <f t="shared" ref="L197:N197" si="812">X197+AA197+AD197+AG197+AJ197+AM197+AP197+AS197+AV197+AY197+BB197+BE197</f>
        <v>0</v>
      </c>
      <c r="M197" s="86">
        <f t="shared" si="812"/>
        <v>0</v>
      </c>
      <c r="N197" s="86">
        <f t="shared" si="812"/>
        <v>0</v>
      </c>
      <c r="O197" s="62">
        <f t="shared" ref="O197:Q197" si="813">IF(BH197=0,SUM(X197+AA197+AD197+AG197+AJ197+AM197+AP197+AS197+AV197+AY197+BB197+BE197),BH197)</f>
        <v>0</v>
      </c>
      <c r="P197" s="62">
        <f t="shared" si="813"/>
        <v>0</v>
      </c>
      <c r="Q197" s="62">
        <f t="shared" si="813"/>
        <v>0</v>
      </c>
      <c r="R197" s="86">
        <f t="shared" ref="R197:T197" si="814">I197-L197</f>
        <v>0</v>
      </c>
      <c r="S197" s="86">
        <f t="shared" si="814"/>
        <v>0</v>
      </c>
      <c r="T197" s="86">
        <f t="shared" si="814"/>
        <v>0</v>
      </c>
      <c r="U197" s="87" t="e">
        <f t="shared" ref="U197:W197" si="815">L197/I197</f>
        <v>#DIV/0!</v>
      </c>
      <c r="V197" s="87" t="e">
        <f t="shared" si="815"/>
        <v>#DIV/0!</v>
      </c>
      <c r="W197" s="87" t="e">
        <f t="shared" si="815"/>
        <v>#DIV/0!</v>
      </c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5"/>
      <c r="AI197" s="84"/>
      <c r="AJ197" s="84"/>
      <c r="AK197" s="85"/>
      <c r="AL197" s="84"/>
      <c r="AM197" s="84"/>
      <c r="AN197" s="85"/>
      <c r="AO197" s="85"/>
      <c r="AP197" s="84"/>
      <c r="AQ197" s="84"/>
      <c r="AR197" s="85"/>
      <c r="AS197" s="84"/>
      <c r="AT197" s="85"/>
      <c r="AU197" s="85"/>
      <c r="AV197" s="84"/>
      <c r="AW197" s="84"/>
      <c r="AX197" s="84"/>
      <c r="AY197" s="84"/>
      <c r="AZ197" s="84"/>
      <c r="BA197" s="84"/>
      <c r="BB197" s="84"/>
      <c r="BC197" s="84"/>
      <c r="BD197" s="84"/>
      <c r="BE197" s="84"/>
      <c r="BF197" s="84"/>
      <c r="BG197" s="84"/>
      <c r="BH197" s="84"/>
      <c r="BI197" s="84"/>
      <c r="BJ197" s="84"/>
      <c r="BK197" s="88"/>
      <c r="BL197" s="88"/>
      <c r="BM197" s="88"/>
      <c r="BN197" s="88"/>
      <c r="BO197" s="88"/>
    </row>
    <row r="198" spans="1:67" ht="15.75" customHeight="1">
      <c r="A198" s="89"/>
      <c r="B198" s="90"/>
      <c r="C198" s="80" t="s">
        <v>405</v>
      </c>
      <c r="D198" s="81" t="s">
        <v>409</v>
      </c>
      <c r="E198" s="82"/>
      <c r="F198" s="82"/>
      <c r="G198" s="83" t="e">
        <f t="shared" si="774"/>
        <v>#DIV/0!</v>
      </c>
      <c r="H198" s="83" t="e">
        <f t="shared" si="2"/>
        <v>#DIV/0!</v>
      </c>
      <c r="I198" s="84"/>
      <c r="J198" s="84"/>
      <c r="K198" s="84"/>
      <c r="L198" s="86">
        <f t="shared" ref="L198:N198" si="816">X198+AA198+AD198+AG198+AJ198+AM198+AP198+AS198+AV198+AY198+BB198+BE198</f>
        <v>0</v>
      </c>
      <c r="M198" s="86">
        <f t="shared" si="816"/>
        <v>0</v>
      </c>
      <c r="N198" s="86">
        <f t="shared" si="816"/>
        <v>0</v>
      </c>
      <c r="O198" s="62">
        <f t="shared" ref="O198:Q198" si="817">IF(BH198=0,SUM(X198+AA198+AD198+AG198+AJ198+AM198+AP198+AS198+AV198+AY198+BB198+BE198),BH198)</f>
        <v>0</v>
      </c>
      <c r="P198" s="62">
        <f t="shared" si="817"/>
        <v>0</v>
      </c>
      <c r="Q198" s="62">
        <f t="shared" si="817"/>
        <v>0</v>
      </c>
      <c r="R198" s="86">
        <f t="shared" ref="R198:T198" si="818">I198-L198</f>
        <v>0</v>
      </c>
      <c r="S198" s="86">
        <f t="shared" si="818"/>
        <v>0</v>
      </c>
      <c r="T198" s="86">
        <f t="shared" si="818"/>
        <v>0</v>
      </c>
      <c r="U198" s="87" t="e">
        <f t="shared" ref="U198:W198" si="819">L198/I198</f>
        <v>#DIV/0!</v>
      </c>
      <c r="V198" s="87" t="e">
        <f t="shared" si="819"/>
        <v>#DIV/0!</v>
      </c>
      <c r="W198" s="87" t="e">
        <f t="shared" si="819"/>
        <v>#DIV/0!</v>
      </c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5"/>
      <c r="AI198" s="84"/>
      <c r="AJ198" s="84"/>
      <c r="AK198" s="85"/>
      <c r="AL198" s="84"/>
      <c r="AM198" s="84"/>
      <c r="AN198" s="85"/>
      <c r="AO198" s="85"/>
      <c r="AP198" s="84"/>
      <c r="AQ198" s="84"/>
      <c r="AR198" s="85"/>
      <c r="AS198" s="84"/>
      <c r="AT198" s="85"/>
      <c r="AU198" s="85"/>
      <c r="AV198" s="84"/>
      <c r="AW198" s="84"/>
      <c r="AX198" s="84"/>
      <c r="AY198" s="84"/>
      <c r="AZ198" s="84"/>
      <c r="BA198" s="84"/>
      <c r="BB198" s="84"/>
      <c r="BC198" s="84"/>
      <c r="BD198" s="84"/>
      <c r="BE198" s="84"/>
      <c r="BF198" s="84"/>
      <c r="BG198" s="84"/>
      <c r="BH198" s="84"/>
      <c r="BI198" s="84"/>
      <c r="BJ198" s="84"/>
      <c r="BK198" s="88"/>
      <c r="BL198" s="88"/>
      <c r="BM198" s="88"/>
      <c r="BN198" s="88"/>
      <c r="BO198" s="88"/>
    </row>
    <row r="199" spans="1:67" ht="15.75" customHeight="1">
      <c r="A199" s="89"/>
      <c r="B199" s="90"/>
      <c r="C199" s="80" t="s">
        <v>173</v>
      </c>
      <c r="D199" s="117" t="s">
        <v>579</v>
      </c>
      <c r="E199" s="97"/>
      <c r="F199" s="97"/>
      <c r="G199" s="83" t="e">
        <f t="shared" si="774"/>
        <v>#DIV/0!</v>
      </c>
      <c r="H199" s="83" t="e">
        <f t="shared" si="2"/>
        <v>#DIV/0!</v>
      </c>
      <c r="I199" s="84"/>
      <c r="J199" s="84"/>
      <c r="K199" s="84"/>
      <c r="L199" s="86">
        <f t="shared" ref="L199:N199" si="820">X199+AA199+AD199+AG199+AJ199+AM199+AP199+AS199+AV199+AY199+BB199+BE199</f>
        <v>0</v>
      </c>
      <c r="M199" s="86">
        <f t="shared" si="820"/>
        <v>0</v>
      </c>
      <c r="N199" s="86">
        <f t="shared" si="820"/>
        <v>0</v>
      </c>
      <c r="O199" s="62">
        <f t="shared" ref="O199:Q199" si="821">IF(BH199=0,SUM(X199+AA199+AD199+AG199+AJ199+AM199+AP199+AS199+AV199+AY199+BB199+BE199),BH199)</f>
        <v>0</v>
      </c>
      <c r="P199" s="62">
        <f t="shared" si="821"/>
        <v>0</v>
      </c>
      <c r="Q199" s="62">
        <f t="shared" si="821"/>
        <v>0</v>
      </c>
      <c r="R199" s="86">
        <f t="shared" ref="R199:T199" si="822">I199-L199</f>
        <v>0</v>
      </c>
      <c r="S199" s="86">
        <f t="shared" si="822"/>
        <v>0</v>
      </c>
      <c r="T199" s="86">
        <f t="shared" si="822"/>
        <v>0</v>
      </c>
      <c r="U199" s="87" t="e">
        <f t="shared" ref="U199:W199" si="823">L199/I199</f>
        <v>#DIV/0!</v>
      </c>
      <c r="V199" s="87" t="e">
        <f t="shared" si="823"/>
        <v>#DIV/0!</v>
      </c>
      <c r="W199" s="87" t="e">
        <f t="shared" si="823"/>
        <v>#DIV/0!</v>
      </c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5"/>
      <c r="AI199" s="84"/>
      <c r="AJ199" s="84"/>
      <c r="AK199" s="85"/>
      <c r="AL199" s="84"/>
      <c r="AM199" s="84"/>
      <c r="AN199" s="85"/>
      <c r="AO199" s="85"/>
      <c r="AP199" s="84"/>
      <c r="AQ199" s="84"/>
      <c r="AR199" s="85"/>
      <c r="AS199" s="84"/>
      <c r="AT199" s="85"/>
      <c r="AU199" s="85"/>
      <c r="AV199" s="84"/>
      <c r="AW199" s="84"/>
      <c r="AX199" s="84"/>
      <c r="AY199" s="84"/>
      <c r="AZ199" s="84"/>
      <c r="BA199" s="84"/>
      <c r="BB199" s="84"/>
      <c r="BC199" s="84"/>
      <c r="BD199" s="84"/>
      <c r="BE199" s="84"/>
      <c r="BF199" s="84"/>
      <c r="BG199" s="84"/>
      <c r="BH199" s="84"/>
      <c r="BI199" s="84"/>
      <c r="BJ199" s="84"/>
      <c r="BK199" s="88"/>
      <c r="BL199" s="88"/>
      <c r="BM199" s="88"/>
      <c r="BN199" s="88"/>
      <c r="BO199" s="88"/>
    </row>
    <row r="200" spans="1:67" ht="15.75" customHeight="1">
      <c r="A200" s="89"/>
      <c r="B200" s="90"/>
      <c r="C200" s="80" t="s">
        <v>410</v>
      </c>
      <c r="D200" s="81" t="s">
        <v>411</v>
      </c>
      <c r="E200" s="82"/>
      <c r="F200" s="82"/>
      <c r="G200" s="83" t="e">
        <f t="shared" si="774"/>
        <v>#DIV/0!</v>
      </c>
      <c r="H200" s="83" t="e">
        <f t="shared" si="2"/>
        <v>#DIV/0!</v>
      </c>
      <c r="I200" s="84"/>
      <c r="J200" s="84"/>
      <c r="K200" s="217"/>
      <c r="L200" s="86">
        <f t="shared" ref="L200:N200" si="824">X200+AA200+AD200+AG200+AJ200+AM200+AP200+AS200+AV200+AY200+BB200+BE200</f>
        <v>0</v>
      </c>
      <c r="M200" s="86">
        <f t="shared" si="824"/>
        <v>0</v>
      </c>
      <c r="N200" s="86">
        <f t="shared" si="824"/>
        <v>0</v>
      </c>
      <c r="O200" s="62">
        <f t="shared" ref="O200:Q200" si="825">IF(BH200=0,SUM(X200+AA200+AD200+AG200+AJ200+AM200+AP200+AS200+AV200+AY200+BB200+BE200),BH200)</f>
        <v>0</v>
      </c>
      <c r="P200" s="62">
        <f t="shared" si="825"/>
        <v>0</v>
      </c>
      <c r="Q200" s="62">
        <f t="shared" si="825"/>
        <v>0</v>
      </c>
      <c r="R200" s="86">
        <f t="shared" ref="R200:T200" si="826">I200-L200</f>
        <v>0</v>
      </c>
      <c r="S200" s="86">
        <f t="shared" si="826"/>
        <v>0</v>
      </c>
      <c r="T200" s="86">
        <f t="shared" si="826"/>
        <v>0</v>
      </c>
      <c r="U200" s="87" t="e">
        <f t="shared" ref="U200:W200" si="827">L200/I200</f>
        <v>#DIV/0!</v>
      </c>
      <c r="V200" s="87" t="e">
        <f t="shared" si="827"/>
        <v>#DIV/0!</v>
      </c>
      <c r="W200" s="87" t="e">
        <f t="shared" si="827"/>
        <v>#DIV/0!</v>
      </c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84"/>
      <c r="AZ200" s="84"/>
      <c r="BA200" s="84"/>
      <c r="BB200" s="84"/>
      <c r="BC200" s="84"/>
      <c r="BD200" s="84"/>
      <c r="BE200" s="84"/>
      <c r="BF200" s="84"/>
      <c r="BG200" s="84"/>
      <c r="BH200" s="84"/>
      <c r="BI200" s="84"/>
      <c r="BJ200" s="84"/>
      <c r="BK200" s="88"/>
      <c r="BL200" s="88"/>
      <c r="BM200" s="88"/>
      <c r="BN200" s="88"/>
      <c r="BO200" s="88"/>
    </row>
    <row r="201" spans="1:67" ht="15.75" customHeight="1">
      <c r="A201" s="218"/>
      <c r="B201" s="218"/>
      <c r="C201" s="211"/>
      <c r="D201" s="219" t="s">
        <v>412</v>
      </c>
      <c r="E201" s="220">
        <f t="shared" ref="E201:F201" si="828">SUM(E202:E204)</f>
        <v>0</v>
      </c>
      <c r="F201" s="220">
        <f t="shared" si="828"/>
        <v>0</v>
      </c>
      <c r="G201" s="179" t="e">
        <f t="shared" si="774"/>
        <v>#DIV/0!</v>
      </c>
      <c r="H201" s="179" t="e">
        <f t="shared" si="2"/>
        <v>#DIV/0!</v>
      </c>
      <c r="I201" s="220">
        <f t="shared" ref="I201:N201" si="829">SUM(I202:I204)</f>
        <v>0</v>
      </c>
      <c r="J201" s="220">
        <f t="shared" si="829"/>
        <v>0</v>
      </c>
      <c r="K201" s="220">
        <f t="shared" si="829"/>
        <v>0</v>
      </c>
      <c r="L201" s="220">
        <f t="shared" si="829"/>
        <v>0</v>
      </c>
      <c r="M201" s="220">
        <f t="shared" si="829"/>
        <v>0</v>
      </c>
      <c r="N201" s="220">
        <f t="shared" si="829"/>
        <v>0</v>
      </c>
      <c r="O201" s="216">
        <f t="shared" ref="O201:Q201" si="830">IF(BH201=0,SUM(X201+AA201+AD201+AG201+AJ201+AM201+AP201+AS201+AV201+AY201+BB201+BE201),BH201)</f>
        <v>0</v>
      </c>
      <c r="P201" s="216">
        <f t="shared" si="830"/>
        <v>0</v>
      </c>
      <c r="Q201" s="216">
        <f t="shared" si="830"/>
        <v>0</v>
      </c>
      <c r="R201" s="220">
        <f t="shared" ref="R201:BJ201" si="831">SUM(R202:R204)</f>
        <v>0</v>
      </c>
      <c r="S201" s="220">
        <f t="shared" si="831"/>
        <v>0</v>
      </c>
      <c r="T201" s="220">
        <f t="shared" si="831"/>
        <v>0</v>
      </c>
      <c r="U201" s="220" t="e">
        <f t="shared" si="831"/>
        <v>#DIV/0!</v>
      </c>
      <c r="V201" s="220" t="e">
        <f t="shared" si="831"/>
        <v>#DIV/0!</v>
      </c>
      <c r="W201" s="220" t="e">
        <f t="shared" si="831"/>
        <v>#DIV/0!</v>
      </c>
      <c r="X201" s="220">
        <f t="shared" si="831"/>
        <v>0</v>
      </c>
      <c r="Y201" s="220">
        <f t="shared" si="831"/>
        <v>0</v>
      </c>
      <c r="Z201" s="220">
        <f t="shared" si="831"/>
        <v>0</v>
      </c>
      <c r="AA201" s="220">
        <f t="shared" si="831"/>
        <v>0</v>
      </c>
      <c r="AB201" s="220">
        <f t="shared" si="831"/>
        <v>0</v>
      </c>
      <c r="AC201" s="220">
        <f t="shared" si="831"/>
        <v>0</v>
      </c>
      <c r="AD201" s="220">
        <f t="shared" si="831"/>
        <v>0</v>
      </c>
      <c r="AE201" s="220">
        <f t="shared" si="831"/>
        <v>0</v>
      </c>
      <c r="AF201" s="220">
        <f t="shared" si="831"/>
        <v>0</v>
      </c>
      <c r="AG201" s="220">
        <f t="shared" si="831"/>
        <v>0</v>
      </c>
      <c r="AH201" s="220">
        <f t="shared" si="831"/>
        <v>0</v>
      </c>
      <c r="AI201" s="220">
        <f t="shared" si="831"/>
        <v>0</v>
      </c>
      <c r="AJ201" s="220">
        <f t="shared" si="831"/>
        <v>0</v>
      </c>
      <c r="AK201" s="220">
        <f t="shared" si="831"/>
        <v>0</v>
      </c>
      <c r="AL201" s="220">
        <f t="shared" si="831"/>
        <v>0</v>
      </c>
      <c r="AM201" s="220">
        <f t="shared" si="831"/>
        <v>0</v>
      </c>
      <c r="AN201" s="220">
        <f t="shared" si="831"/>
        <v>0</v>
      </c>
      <c r="AO201" s="220">
        <f t="shared" si="831"/>
        <v>0</v>
      </c>
      <c r="AP201" s="220">
        <f t="shared" si="831"/>
        <v>0</v>
      </c>
      <c r="AQ201" s="220">
        <f t="shared" si="831"/>
        <v>0</v>
      </c>
      <c r="AR201" s="220">
        <f t="shared" si="831"/>
        <v>0</v>
      </c>
      <c r="AS201" s="220">
        <f t="shared" si="831"/>
        <v>0</v>
      </c>
      <c r="AT201" s="220">
        <f t="shared" si="831"/>
        <v>0</v>
      </c>
      <c r="AU201" s="220">
        <f t="shared" si="831"/>
        <v>0</v>
      </c>
      <c r="AV201" s="220">
        <f t="shared" si="831"/>
        <v>0</v>
      </c>
      <c r="AW201" s="220">
        <f t="shared" si="831"/>
        <v>0</v>
      </c>
      <c r="AX201" s="220">
        <f t="shared" si="831"/>
        <v>0</v>
      </c>
      <c r="AY201" s="220">
        <f t="shared" si="831"/>
        <v>0</v>
      </c>
      <c r="AZ201" s="220">
        <f t="shared" si="831"/>
        <v>0</v>
      </c>
      <c r="BA201" s="220">
        <f t="shared" si="831"/>
        <v>0</v>
      </c>
      <c r="BB201" s="220">
        <f t="shared" si="831"/>
        <v>0</v>
      </c>
      <c r="BC201" s="220">
        <f t="shared" si="831"/>
        <v>0</v>
      </c>
      <c r="BD201" s="220">
        <f t="shared" si="831"/>
        <v>0</v>
      </c>
      <c r="BE201" s="220">
        <f t="shared" si="831"/>
        <v>0</v>
      </c>
      <c r="BF201" s="220">
        <f t="shared" si="831"/>
        <v>0</v>
      </c>
      <c r="BG201" s="220">
        <f t="shared" si="831"/>
        <v>0</v>
      </c>
      <c r="BH201" s="220">
        <f t="shared" si="831"/>
        <v>0</v>
      </c>
      <c r="BI201" s="220">
        <f t="shared" si="831"/>
        <v>0</v>
      </c>
      <c r="BJ201" s="220">
        <f t="shared" si="831"/>
        <v>0</v>
      </c>
      <c r="BK201" s="215"/>
      <c r="BL201" s="215"/>
      <c r="BM201" s="215"/>
      <c r="BN201" s="215"/>
      <c r="BO201" s="215"/>
    </row>
    <row r="202" spans="1:67" ht="15.75" customHeight="1">
      <c r="A202" s="89"/>
      <c r="B202" s="90"/>
      <c r="C202" s="80"/>
      <c r="D202" s="117"/>
      <c r="E202" s="82"/>
      <c r="F202" s="82"/>
      <c r="G202" s="83" t="e">
        <f t="shared" si="774"/>
        <v>#DIV/0!</v>
      </c>
      <c r="H202" s="83" t="e">
        <f t="shared" si="2"/>
        <v>#DIV/0!</v>
      </c>
      <c r="I202" s="84"/>
      <c r="J202" s="84"/>
      <c r="K202" s="84"/>
      <c r="L202" s="86">
        <f t="shared" ref="L202:N202" si="832">X202+AA202+AD202+AG202+AJ202+AM202+AP202+AS202+AV202+AY202+BB202+BE202</f>
        <v>0</v>
      </c>
      <c r="M202" s="86">
        <f t="shared" si="832"/>
        <v>0</v>
      </c>
      <c r="N202" s="86">
        <f t="shared" si="832"/>
        <v>0</v>
      </c>
      <c r="O202" s="62">
        <f t="shared" ref="O202:Q202" si="833">IF(BH202=0,SUM(X202+AA202+AD202+AG202+AJ202+AM202+AP202+AS202+AV202+AY202+BB202+BE202),BH202)</f>
        <v>0</v>
      </c>
      <c r="P202" s="62">
        <f t="shared" si="833"/>
        <v>0</v>
      </c>
      <c r="Q202" s="62">
        <f t="shared" si="833"/>
        <v>0</v>
      </c>
      <c r="R202" s="86">
        <f t="shared" ref="R202:T202" si="834">I202-L202</f>
        <v>0</v>
      </c>
      <c r="S202" s="86">
        <f t="shared" si="834"/>
        <v>0</v>
      </c>
      <c r="T202" s="86">
        <f t="shared" si="834"/>
        <v>0</v>
      </c>
      <c r="U202" s="87" t="e">
        <f t="shared" ref="U202:W202" si="835">L202/I202</f>
        <v>#DIV/0!</v>
      </c>
      <c r="V202" s="87" t="e">
        <f t="shared" si="835"/>
        <v>#DIV/0!</v>
      </c>
      <c r="W202" s="87" t="e">
        <f t="shared" si="835"/>
        <v>#DIV/0!</v>
      </c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84"/>
      <c r="AZ202" s="84"/>
      <c r="BA202" s="84"/>
      <c r="BB202" s="84"/>
      <c r="BC202" s="84"/>
      <c r="BD202" s="84"/>
      <c r="BE202" s="84"/>
      <c r="BF202" s="84"/>
      <c r="BG202" s="84"/>
      <c r="BH202" s="84"/>
      <c r="BI202" s="84"/>
      <c r="BJ202" s="84"/>
      <c r="BK202" s="88"/>
      <c r="BL202" s="88"/>
      <c r="BM202" s="88"/>
      <c r="BN202" s="88"/>
      <c r="BO202" s="88"/>
    </row>
    <row r="203" spans="1:67" ht="15.75" customHeight="1">
      <c r="A203" s="89"/>
      <c r="B203" s="90"/>
      <c r="C203" s="80"/>
      <c r="D203" s="81"/>
      <c r="E203" s="82"/>
      <c r="F203" s="82"/>
      <c r="G203" s="83" t="e">
        <f t="shared" si="774"/>
        <v>#DIV/0!</v>
      </c>
      <c r="H203" s="83" t="e">
        <f t="shared" si="2"/>
        <v>#DIV/0!</v>
      </c>
      <c r="I203" s="127"/>
      <c r="J203" s="84"/>
      <c r="K203" s="127"/>
      <c r="L203" s="86">
        <f t="shared" ref="L203:N203" si="836">X203+AA203+AD203+AG203+AJ203+AM203+AP203+AS203+AV203+AY203+BB203+BE203</f>
        <v>0</v>
      </c>
      <c r="M203" s="86">
        <f t="shared" si="836"/>
        <v>0</v>
      </c>
      <c r="N203" s="86">
        <f t="shared" si="836"/>
        <v>0</v>
      </c>
      <c r="O203" s="62">
        <f t="shared" ref="O203:Q203" si="837">IF(BH203=0,SUM(X203+AA203+AD203+AG203+AJ203+AM203+AP203+AS203+AV203+AY203+BB203+BE203),BH203)</f>
        <v>0</v>
      </c>
      <c r="P203" s="62">
        <f t="shared" si="837"/>
        <v>0</v>
      </c>
      <c r="Q203" s="62">
        <f t="shared" si="837"/>
        <v>0</v>
      </c>
      <c r="R203" s="86">
        <f t="shared" ref="R203:T203" si="838">I203-L203</f>
        <v>0</v>
      </c>
      <c r="S203" s="86">
        <f t="shared" si="838"/>
        <v>0</v>
      </c>
      <c r="T203" s="86">
        <f t="shared" si="838"/>
        <v>0</v>
      </c>
      <c r="U203" s="87" t="e">
        <f t="shared" ref="U203:W203" si="839">L203/I203</f>
        <v>#DIV/0!</v>
      </c>
      <c r="V203" s="87" t="e">
        <f t="shared" si="839"/>
        <v>#DIV/0!</v>
      </c>
      <c r="W203" s="87" t="e">
        <f t="shared" si="839"/>
        <v>#DIV/0!</v>
      </c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84"/>
      <c r="AZ203" s="84"/>
      <c r="BA203" s="84"/>
      <c r="BB203" s="84"/>
      <c r="BC203" s="84"/>
      <c r="BD203" s="84"/>
      <c r="BE203" s="84"/>
      <c r="BF203" s="84"/>
      <c r="BG203" s="84"/>
      <c r="BH203" s="84"/>
      <c r="BI203" s="84"/>
      <c r="BJ203" s="84"/>
      <c r="BK203" s="88"/>
      <c r="BL203" s="88"/>
      <c r="BM203" s="88"/>
      <c r="BN203" s="88"/>
      <c r="BO203" s="88"/>
    </row>
    <row r="204" spans="1:67" ht="15.75" customHeight="1">
      <c r="A204" s="89"/>
      <c r="B204" s="90"/>
      <c r="C204" s="80"/>
      <c r="D204" s="81"/>
      <c r="E204" s="82"/>
      <c r="F204" s="82"/>
      <c r="G204" s="83" t="e">
        <f t="shared" si="774"/>
        <v>#DIV/0!</v>
      </c>
      <c r="H204" s="83" t="e">
        <f t="shared" si="2"/>
        <v>#DIV/0!</v>
      </c>
      <c r="I204" s="84"/>
      <c r="J204" s="84"/>
      <c r="K204" s="221"/>
      <c r="L204" s="86">
        <f t="shared" ref="L204:N204" si="840">X204+AA204+AD204+AG204+AJ204+AM204+AP204+AS204+AV204+AY204+BB204+BE204</f>
        <v>0</v>
      </c>
      <c r="M204" s="86">
        <f t="shared" si="840"/>
        <v>0</v>
      </c>
      <c r="N204" s="86">
        <f t="shared" si="840"/>
        <v>0</v>
      </c>
      <c r="O204" s="62">
        <f t="shared" ref="O204:Q204" si="841">IF(BH204=0,SUM(X204+AA204+AD204+AG204+AJ204+AM204+AP204+AS204+AV204+AY204+BB204+BE204),BH204)</f>
        <v>0</v>
      </c>
      <c r="P204" s="62">
        <f t="shared" si="841"/>
        <v>0</v>
      </c>
      <c r="Q204" s="62">
        <f t="shared" si="841"/>
        <v>0</v>
      </c>
      <c r="R204" s="86">
        <f t="shared" ref="R204:T204" si="842">I204-L204</f>
        <v>0</v>
      </c>
      <c r="S204" s="86">
        <f t="shared" si="842"/>
        <v>0</v>
      </c>
      <c r="T204" s="86">
        <f t="shared" si="842"/>
        <v>0</v>
      </c>
      <c r="U204" s="87" t="e">
        <f t="shared" ref="U204:W204" si="843">L204/I204</f>
        <v>#DIV/0!</v>
      </c>
      <c r="V204" s="87" t="e">
        <f t="shared" si="843"/>
        <v>#DIV/0!</v>
      </c>
      <c r="W204" s="87" t="e">
        <f t="shared" si="843"/>
        <v>#DIV/0!</v>
      </c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84"/>
      <c r="AZ204" s="84"/>
      <c r="BA204" s="84"/>
      <c r="BB204" s="84"/>
      <c r="BC204" s="84"/>
      <c r="BD204" s="84"/>
      <c r="BE204" s="84"/>
      <c r="BF204" s="84"/>
      <c r="BG204" s="84"/>
      <c r="BH204" s="84"/>
      <c r="BI204" s="84"/>
      <c r="BJ204" s="84"/>
      <c r="BK204" s="88"/>
      <c r="BL204" s="88"/>
      <c r="BM204" s="88"/>
      <c r="BN204" s="88"/>
      <c r="BO204" s="88"/>
    </row>
    <row r="205" spans="1:67" ht="15.75" customHeight="1">
      <c r="A205" s="218"/>
      <c r="B205" s="218"/>
      <c r="C205" s="211"/>
      <c r="D205" s="219" t="s">
        <v>413</v>
      </c>
      <c r="E205" s="220">
        <f t="shared" ref="E205:F205" si="844">SUM(E206:E208)</f>
        <v>0</v>
      </c>
      <c r="F205" s="220">
        <f t="shared" si="844"/>
        <v>0</v>
      </c>
      <c r="G205" s="179" t="e">
        <f t="shared" si="774"/>
        <v>#DIV/0!</v>
      </c>
      <c r="H205" s="179" t="e">
        <f t="shared" si="2"/>
        <v>#DIV/0!</v>
      </c>
      <c r="I205" s="220">
        <f t="shared" ref="I205:N205" si="845">SUM(I206:I208)</f>
        <v>0</v>
      </c>
      <c r="J205" s="220">
        <f t="shared" si="845"/>
        <v>0</v>
      </c>
      <c r="K205" s="220">
        <f t="shared" si="845"/>
        <v>0</v>
      </c>
      <c r="L205" s="220">
        <f t="shared" si="845"/>
        <v>0</v>
      </c>
      <c r="M205" s="220">
        <f t="shared" si="845"/>
        <v>0</v>
      </c>
      <c r="N205" s="220">
        <f t="shared" si="845"/>
        <v>0</v>
      </c>
      <c r="O205" s="216">
        <f t="shared" ref="O205:Q205" si="846">IF(BH205=0,SUM(X205+AA205+AD205+AG205+AJ205+AM205+AP205+AS205+AV205+AY205+BB205+BE205),BH205)</f>
        <v>0</v>
      </c>
      <c r="P205" s="216">
        <f t="shared" si="846"/>
        <v>0</v>
      </c>
      <c r="Q205" s="216">
        <f t="shared" si="846"/>
        <v>0</v>
      </c>
      <c r="R205" s="220">
        <f t="shared" ref="R205:BJ205" si="847">SUM(R206:R208)</f>
        <v>0</v>
      </c>
      <c r="S205" s="220">
        <f t="shared" si="847"/>
        <v>0</v>
      </c>
      <c r="T205" s="220">
        <f t="shared" si="847"/>
        <v>0</v>
      </c>
      <c r="U205" s="220" t="e">
        <f t="shared" si="847"/>
        <v>#DIV/0!</v>
      </c>
      <c r="V205" s="220" t="e">
        <f t="shared" si="847"/>
        <v>#DIV/0!</v>
      </c>
      <c r="W205" s="220" t="e">
        <f t="shared" si="847"/>
        <v>#DIV/0!</v>
      </c>
      <c r="X205" s="220">
        <f t="shared" si="847"/>
        <v>0</v>
      </c>
      <c r="Y205" s="220">
        <f t="shared" si="847"/>
        <v>0</v>
      </c>
      <c r="Z205" s="220">
        <f t="shared" si="847"/>
        <v>0</v>
      </c>
      <c r="AA205" s="220">
        <f t="shared" si="847"/>
        <v>0</v>
      </c>
      <c r="AB205" s="220">
        <f t="shared" si="847"/>
        <v>0</v>
      </c>
      <c r="AC205" s="220">
        <f t="shared" si="847"/>
        <v>0</v>
      </c>
      <c r="AD205" s="220">
        <f t="shared" si="847"/>
        <v>0</v>
      </c>
      <c r="AE205" s="220">
        <f t="shared" si="847"/>
        <v>0</v>
      </c>
      <c r="AF205" s="220">
        <f t="shared" si="847"/>
        <v>0</v>
      </c>
      <c r="AG205" s="220">
        <f t="shared" si="847"/>
        <v>0</v>
      </c>
      <c r="AH205" s="220">
        <f t="shared" si="847"/>
        <v>0</v>
      </c>
      <c r="AI205" s="220">
        <f t="shared" si="847"/>
        <v>0</v>
      </c>
      <c r="AJ205" s="220">
        <f t="shared" si="847"/>
        <v>0</v>
      </c>
      <c r="AK205" s="220">
        <f t="shared" si="847"/>
        <v>0</v>
      </c>
      <c r="AL205" s="220">
        <f t="shared" si="847"/>
        <v>0</v>
      </c>
      <c r="AM205" s="220">
        <f t="shared" si="847"/>
        <v>0</v>
      </c>
      <c r="AN205" s="220">
        <f t="shared" si="847"/>
        <v>0</v>
      </c>
      <c r="AO205" s="220">
        <f t="shared" si="847"/>
        <v>0</v>
      </c>
      <c r="AP205" s="220">
        <f t="shared" si="847"/>
        <v>0</v>
      </c>
      <c r="AQ205" s="220">
        <f t="shared" si="847"/>
        <v>0</v>
      </c>
      <c r="AR205" s="220">
        <f t="shared" si="847"/>
        <v>0</v>
      </c>
      <c r="AS205" s="220">
        <f t="shared" si="847"/>
        <v>0</v>
      </c>
      <c r="AT205" s="220">
        <f t="shared" si="847"/>
        <v>0</v>
      </c>
      <c r="AU205" s="220">
        <f t="shared" si="847"/>
        <v>0</v>
      </c>
      <c r="AV205" s="220">
        <f t="shared" si="847"/>
        <v>0</v>
      </c>
      <c r="AW205" s="220">
        <f t="shared" si="847"/>
        <v>0</v>
      </c>
      <c r="AX205" s="220">
        <f t="shared" si="847"/>
        <v>0</v>
      </c>
      <c r="AY205" s="220">
        <f t="shared" si="847"/>
        <v>0</v>
      </c>
      <c r="AZ205" s="220">
        <f t="shared" si="847"/>
        <v>0</v>
      </c>
      <c r="BA205" s="220">
        <f t="shared" si="847"/>
        <v>0</v>
      </c>
      <c r="BB205" s="220">
        <f t="shared" si="847"/>
        <v>0</v>
      </c>
      <c r="BC205" s="220">
        <f t="shared" si="847"/>
        <v>0</v>
      </c>
      <c r="BD205" s="220">
        <f t="shared" si="847"/>
        <v>0</v>
      </c>
      <c r="BE205" s="220">
        <f t="shared" si="847"/>
        <v>0</v>
      </c>
      <c r="BF205" s="220">
        <f t="shared" si="847"/>
        <v>0</v>
      </c>
      <c r="BG205" s="220">
        <f t="shared" si="847"/>
        <v>0</v>
      </c>
      <c r="BH205" s="220">
        <f t="shared" si="847"/>
        <v>0</v>
      </c>
      <c r="BI205" s="220">
        <f t="shared" si="847"/>
        <v>0</v>
      </c>
      <c r="BJ205" s="220">
        <f t="shared" si="847"/>
        <v>0</v>
      </c>
      <c r="BK205" s="215"/>
      <c r="BL205" s="215"/>
      <c r="BM205" s="215"/>
      <c r="BN205" s="215"/>
      <c r="BO205" s="215"/>
    </row>
    <row r="206" spans="1:67" ht="15.75" customHeight="1">
      <c r="A206" s="89"/>
      <c r="B206" s="90"/>
      <c r="C206" s="80" t="s">
        <v>173</v>
      </c>
      <c r="D206" s="117" t="s">
        <v>414</v>
      </c>
      <c r="E206" s="82"/>
      <c r="F206" s="82"/>
      <c r="G206" s="83" t="e">
        <f t="shared" si="774"/>
        <v>#DIV/0!</v>
      </c>
      <c r="H206" s="83" t="e">
        <f t="shared" si="2"/>
        <v>#DIV/0!</v>
      </c>
      <c r="I206" s="84"/>
      <c r="J206" s="84"/>
      <c r="K206" s="84"/>
      <c r="L206" s="86">
        <f t="shared" ref="L206:N206" si="848">X206+AA206+AD206+AG206+AJ206+AM206+AP206+AS206+AV206+AY206+BB206+BE206</f>
        <v>0</v>
      </c>
      <c r="M206" s="86">
        <f t="shared" si="848"/>
        <v>0</v>
      </c>
      <c r="N206" s="86">
        <f t="shared" si="848"/>
        <v>0</v>
      </c>
      <c r="O206" s="62">
        <f t="shared" ref="O206:Q206" si="849">IF(BH206=0,SUM(X206+AA206+AD206+AG206+AJ206+AM206+AP206+AS206+AV206+AY206+BB206+BE206),BH206)</f>
        <v>0</v>
      </c>
      <c r="P206" s="62">
        <f t="shared" si="849"/>
        <v>0</v>
      </c>
      <c r="Q206" s="62">
        <f t="shared" si="849"/>
        <v>0</v>
      </c>
      <c r="R206" s="86">
        <f t="shared" ref="R206:T206" si="850">I206-L206</f>
        <v>0</v>
      </c>
      <c r="S206" s="86">
        <f t="shared" si="850"/>
        <v>0</v>
      </c>
      <c r="T206" s="86">
        <f t="shared" si="850"/>
        <v>0</v>
      </c>
      <c r="U206" s="87" t="e">
        <f t="shared" ref="U206:W206" si="851">L206/I206</f>
        <v>#DIV/0!</v>
      </c>
      <c r="V206" s="87" t="e">
        <f t="shared" si="851"/>
        <v>#DIV/0!</v>
      </c>
      <c r="W206" s="87" t="e">
        <f t="shared" si="851"/>
        <v>#DIV/0!</v>
      </c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84"/>
      <c r="AZ206" s="84"/>
      <c r="BA206" s="84"/>
      <c r="BB206" s="84"/>
      <c r="BC206" s="84"/>
      <c r="BD206" s="84"/>
      <c r="BE206" s="84"/>
      <c r="BF206" s="84"/>
      <c r="BG206" s="84"/>
      <c r="BH206" s="84"/>
      <c r="BI206" s="84"/>
      <c r="BJ206" s="84"/>
      <c r="BK206" s="88"/>
      <c r="BL206" s="88"/>
      <c r="BM206" s="88"/>
      <c r="BN206" s="88"/>
      <c r="BO206" s="88"/>
    </row>
    <row r="207" spans="1:67" ht="15.75" customHeight="1">
      <c r="A207" s="89"/>
      <c r="B207" s="90"/>
      <c r="C207" s="80" t="s">
        <v>410</v>
      </c>
      <c r="D207" s="81" t="s">
        <v>411</v>
      </c>
      <c r="E207" s="82"/>
      <c r="F207" s="82"/>
      <c r="G207" s="83" t="e">
        <f t="shared" si="774"/>
        <v>#DIV/0!</v>
      </c>
      <c r="H207" s="83" t="e">
        <f t="shared" si="2"/>
        <v>#DIV/0!</v>
      </c>
      <c r="I207" s="127"/>
      <c r="J207" s="84"/>
      <c r="K207" s="127"/>
      <c r="L207" s="86">
        <f t="shared" ref="L207:N207" si="852">X207+AA207+AD207+AG207+AJ207+AM207+AP207+AS207+AV207+AY207+BB207+BE207</f>
        <v>0</v>
      </c>
      <c r="M207" s="86">
        <f t="shared" si="852"/>
        <v>0</v>
      </c>
      <c r="N207" s="86">
        <f t="shared" si="852"/>
        <v>0</v>
      </c>
      <c r="O207" s="62">
        <f t="shared" ref="O207:Q207" si="853">IF(BH207=0,SUM(X207+AA207+AD207+AG207+AJ207+AM207+AP207+AS207+AV207+AY207+BB207+BE207),BH207)</f>
        <v>0</v>
      </c>
      <c r="P207" s="62">
        <f t="shared" si="853"/>
        <v>0</v>
      </c>
      <c r="Q207" s="62">
        <f t="shared" si="853"/>
        <v>0</v>
      </c>
      <c r="R207" s="86">
        <f t="shared" ref="R207:T207" si="854">I207-L207</f>
        <v>0</v>
      </c>
      <c r="S207" s="86">
        <f t="shared" si="854"/>
        <v>0</v>
      </c>
      <c r="T207" s="86">
        <f t="shared" si="854"/>
        <v>0</v>
      </c>
      <c r="U207" s="87" t="e">
        <f t="shared" ref="U207:W207" si="855">L207/I207</f>
        <v>#DIV/0!</v>
      </c>
      <c r="V207" s="87" t="e">
        <f t="shared" si="855"/>
        <v>#DIV/0!</v>
      </c>
      <c r="W207" s="87" t="e">
        <f t="shared" si="855"/>
        <v>#DIV/0!</v>
      </c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84"/>
      <c r="AZ207" s="84"/>
      <c r="BA207" s="84"/>
      <c r="BB207" s="84"/>
      <c r="BC207" s="84"/>
      <c r="BD207" s="84"/>
      <c r="BE207" s="84"/>
      <c r="BF207" s="84"/>
      <c r="BG207" s="84"/>
      <c r="BH207" s="84"/>
      <c r="BI207" s="84"/>
      <c r="BJ207" s="84"/>
      <c r="BK207" s="88"/>
      <c r="BL207" s="88"/>
      <c r="BM207" s="88"/>
      <c r="BN207" s="88"/>
      <c r="BO207" s="88"/>
    </row>
    <row r="208" spans="1:67" ht="15.75" customHeight="1">
      <c r="A208" s="89"/>
      <c r="B208" s="90"/>
      <c r="C208" s="80" t="s">
        <v>415</v>
      </c>
      <c r="D208" s="81" t="s">
        <v>416</v>
      </c>
      <c r="E208" s="82"/>
      <c r="F208" s="82"/>
      <c r="G208" s="83" t="e">
        <f t="shared" si="774"/>
        <v>#DIV/0!</v>
      </c>
      <c r="H208" s="83" t="e">
        <f t="shared" si="2"/>
        <v>#DIV/0!</v>
      </c>
      <c r="I208" s="84"/>
      <c r="J208" s="84"/>
      <c r="K208" s="221"/>
      <c r="L208" s="86">
        <f t="shared" ref="L208:N208" si="856">X208+AA208+AD208+AG208+AJ208+AM208+AP208+AS208+AV208+AY208+BB208+BE208</f>
        <v>0</v>
      </c>
      <c r="M208" s="86">
        <f t="shared" si="856"/>
        <v>0</v>
      </c>
      <c r="N208" s="86">
        <f t="shared" si="856"/>
        <v>0</v>
      </c>
      <c r="O208" s="62">
        <f t="shared" ref="O208:Q208" si="857">IF(BH208=0,SUM(X208+AA208+AD208+AG208+AJ208+AM208+AP208+AS208+AV208+AY208+BB208+BE208),BH208)</f>
        <v>0</v>
      </c>
      <c r="P208" s="62">
        <f t="shared" si="857"/>
        <v>0</v>
      </c>
      <c r="Q208" s="62">
        <f t="shared" si="857"/>
        <v>0</v>
      </c>
      <c r="R208" s="86">
        <f t="shared" ref="R208:T208" si="858">I208-L208</f>
        <v>0</v>
      </c>
      <c r="S208" s="86">
        <f t="shared" si="858"/>
        <v>0</v>
      </c>
      <c r="T208" s="86">
        <f t="shared" si="858"/>
        <v>0</v>
      </c>
      <c r="U208" s="87" t="e">
        <f t="shared" ref="U208:W208" si="859">L208/I208</f>
        <v>#DIV/0!</v>
      </c>
      <c r="V208" s="87" t="e">
        <f t="shared" si="859"/>
        <v>#DIV/0!</v>
      </c>
      <c r="W208" s="87" t="e">
        <f t="shared" si="859"/>
        <v>#DIV/0!</v>
      </c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84"/>
      <c r="AZ208" s="84"/>
      <c r="BA208" s="84"/>
      <c r="BB208" s="84"/>
      <c r="BC208" s="84"/>
      <c r="BD208" s="84"/>
      <c r="BE208" s="84"/>
      <c r="BF208" s="84"/>
      <c r="BG208" s="84"/>
      <c r="BH208" s="84"/>
      <c r="BI208" s="84"/>
      <c r="BJ208" s="84"/>
      <c r="BK208" s="88"/>
      <c r="BL208" s="88"/>
      <c r="BM208" s="88"/>
      <c r="BN208" s="88"/>
      <c r="BO208" s="88"/>
    </row>
    <row r="209" spans="1:67" ht="18.75">
      <c r="A209" s="175"/>
      <c r="B209" s="175"/>
      <c r="C209" s="205"/>
      <c r="D209" s="177" t="s">
        <v>417</v>
      </c>
      <c r="E209" s="178">
        <f t="shared" ref="E209:F209" si="860">SUM(E210:E212)</f>
        <v>0</v>
      </c>
      <c r="F209" s="178">
        <f t="shared" si="860"/>
        <v>0</v>
      </c>
      <c r="G209" s="206" t="e">
        <f t="shared" si="774"/>
        <v>#DIV/0!</v>
      </c>
      <c r="H209" s="179" t="e">
        <f t="shared" si="2"/>
        <v>#DIV/0!</v>
      </c>
      <c r="I209" s="178">
        <f t="shared" ref="I209:N209" si="861">SUM(I210:I212)</f>
        <v>0</v>
      </c>
      <c r="J209" s="178">
        <f t="shared" si="861"/>
        <v>0</v>
      </c>
      <c r="K209" s="178">
        <f t="shared" si="861"/>
        <v>0</v>
      </c>
      <c r="L209" s="178">
        <f t="shared" si="861"/>
        <v>0</v>
      </c>
      <c r="M209" s="178">
        <f t="shared" si="861"/>
        <v>0</v>
      </c>
      <c r="N209" s="178">
        <f t="shared" si="861"/>
        <v>0</v>
      </c>
      <c r="O209" s="65">
        <f t="shared" ref="O209:Q209" si="862">IF(BH209=0,SUM(X209+AA209+AD209+AG209+AJ209+AM209+AP209+AS209+AV209+AY209+BB209+BE209),BH209)</f>
        <v>0</v>
      </c>
      <c r="P209" s="65">
        <f t="shared" si="862"/>
        <v>0</v>
      </c>
      <c r="Q209" s="65">
        <f t="shared" si="862"/>
        <v>0</v>
      </c>
      <c r="R209" s="178">
        <f t="shared" ref="R209:T209" si="863">SUM(R210:R212)</f>
        <v>0</v>
      </c>
      <c r="S209" s="178">
        <f t="shared" si="863"/>
        <v>0</v>
      </c>
      <c r="T209" s="178">
        <f t="shared" si="863"/>
        <v>0</v>
      </c>
      <c r="U209" s="181" t="e">
        <f t="shared" ref="U209:W209" si="864">L209/I209</f>
        <v>#DIV/0!</v>
      </c>
      <c r="V209" s="181" t="e">
        <f t="shared" si="864"/>
        <v>#DIV/0!</v>
      </c>
      <c r="W209" s="181" t="e">
        <f t="shared" si="864"/>
        <v>#DIV/0!</v>
      </c>
      <c r="X209" s="178">
        <f t="shared" ref="X209:BJ209" si="865">SUM(X210:X212)</f>
        <v>0</v>
      </c>
      <c r="Y209" s="178">
        <f t="shared" si="865"/>
        <v>0</v>
      </c>
      <c r="Z209" s="178">
        <f t="shared" si="865"/>
        <v>0</v>
      </c>
      <c r="AA209" s="178">
        <f t="shared" si="865"/>
        <v>0</v>
      </c>
      <c r="AB209" s="178">
        <f t="shared" si="865"/>
        <v>0</v>
      </c>
      <c r="AC209" s="178">
        <f t="shared" si="865"/>
        <v>0</v>
      </c>
      <c r="AD209" s="178">
        <f t="shared" si="865"/>
        <v>0</v>
      </c>
      <c r="AE209" s="178">
        <f t="shared" si="865"/>
        <v>0</v>
      </c>
      <c r="AF209" s="178">
        <f t="shared" si="865"/>
        <v>0</v>
      </c>
      <c r="AG209" s="178">
        <f t="shared" si="865"/>
        <v>0</v>
      </c>
      <c r="AH209" s="178">
        <f t="shared" si="865"/>
        <v>0</v>
      </c>
      <c r="AI209" s="178">
        <f t="shared" si="865"/>
        <v>0</v>
      </c>
      <c r="AJ209" s="178">
        <f t="shared" si="865"/>
        <v>0</v>
      </c>
      <c r="AK209" s="178">
        <f t="shared" si="865"/>
        <v>0</v>
      </c>
      <c r="AL209" s="178">
        <f t="shared" si="865"/>
        <v>0</v>
      </c>
      <c r="AM209" s="178">
        <f t="shared" si="865"/>
        <v>0</v>
      </c>
      <c r="AN209" s="178">
        <f t="shared" si="865"/>
        <v>0</v>
      </c>
      <c r="AO209" s="178">
        <f t="shared" si="865"/>
        <v>0</v>
      </c>
      <c r="AP209" s="178">
        <f t="shared" si="865"/>
        <v>0</v>
      </c>
      <c r="AQ209" s="178">
        <f t="shared" si="865"/>
        <v>0</v>
      </c>
      <c r="AR209" s="178">
        <f t="shared" si="865"/>
        <v>0</v>
      </c>
      <c r="AS209" s="178">
        <f t="shared" si="865"/>
        <v>0</v>
      </c>
      <c r="AT209" s="178">
        <f t="shared" si="865"/>
        <v>0</v>
      </c>
      <c r="AU209" s="178">
        <f t="shared" si="865"/>
        <v>0</v>
      </c>
      <c r="AV209" s="178">
        <f t="shared" si="865"/>
        <v>0</v>
      </c>
      <c r="AW209" s="178">
        <f t="shared" si="865"/>
        <v>0</v>
      </c>
      <c r="AX209" s="178">
        <f t="shared" si="865"/>
        <v>0</v>
      </c>
      <c r="AY209" s="178">
        <f t="shared" si="865"/>
        <v>0</v>
      </c>
      <c r="AZ209" s="178">
        <f t="shared" si="865"/>
        <v>0</v>
      </c>
      <c r="BA209" s="178">
        <f t="shared" si="865"/>
        <v>0</v>
      </c>
      <c r="BB209" s="178">
        <f t="shared" si="865"/>
        <v>0</v>
      </c>
      <c r="BC209" s="178">
        <f t="shared" si="865"/>
        <v>0</v>
      </c>
      <c r="BD209" s="178">
        <f t="shared" si="865"/>
        <v>0</v>
      </c>
      <c r="BE209" s="178">
        <f t="shared" si="865"/>
        <v>0</v>
      </c>
      <c r="BF209" s="178">
        <f t="shared" si="865"/>
        <v>0</v>
      </c>
      <c r="BG209" s="178">
        <f t="shared" si="865"/>
        <v>0</v>
      </c>
      <c r="BH209" s="178">
        <f t="shared" si="865"/>
        <v>0</v>
      </c>
      <c r="BI209" s="178">
        <f t="shared" si="865"/>
        <v>0</v>
      </c>
      <c r="BJ209" s="178">
        <f t="shared" si="865"/>
        <v>0</v>
      </c>
      <c r="BK209" s="155"/>
      <c r="BL209" s="155"/>
      <c r="BM209" s="155"/>
      <c r="BN209" s="155"/>
      <c r="BO209" s="155"/>
    </row>
    <row r="210" spans="1:67" ht="15.75" customHeight="1">
      <c r="A210" s="89"/>
      <c r="B210" s="90"/>
      <c r="C210" s="80" t="s">
        <v>263</v>
      </c>
      <c r="D210" s="81" t="s">
        <v>400</v>
      </c>
      <c r="E210" s="82"/>
      <c r="F210" s="82"/>
      <c r="G210" s="83" t="e">
        <f t="shared" si="774"/>
        <v>#DIV/0!</v>
      </c>
      <c r="H210" s="83" t="e">
        <f t="shared" si="2"/>
        <v>#DIV/0!</v>
      </c>
      <c r="I210" s="82"/>
      <c r="J210" s="84"/>
      <c r="K210" s="127"/>
      <c r="L210" s="86">
        <f t="shared" ref="L210:N210" si="866">X210+AA210+AD210+AG210+AJ210+AM210+AP210+AS210+AV210+AY210+BB210+BE210</f>
        <v>0</v>
      </c>
      <c r="M210" s="86">
        <f t="shared" si="866"/>
        <v>0</v>
      </c>
      <c r="N210" s="86">
        <f t="shared" si="866"/>
        <v>0</v>
      </c>
      <c r="O210" s="62">
        <f t="shared" ref="O210:Q210" si="867">IF(BH210=0,SUM(X210+AA210+AD210+AG210+AJ210+AM210+AP210+AS210+AV210+AY210+BB210+BE210),BH210)</f>
        <v>0</v>
      </c>
      <c r="P210" s="62">
        <f t="shared" si="867"/>
        <v>0</v>
      </c>
      <c r="Q210" s="62">
        <f t="shared" si="867"/>
        <v>0</v>
      </c>
      <c r="R210" s="86">
        <f t="shared" ref="R210:T210" si="868">I210-L210</f>
        <v>0</v>
      </c>
      <c r="S210" s="86">
        <f t="shared" si="868"/>
        <v>0</v>
      </c>
      <c r="T210" s="86">
        <f t="shared" si="868"/>
        <v>0</v>
      </c>
      <c r="U210" s="87" t="e">
        <f t="shared" ref="U210:W210" si="869">L210/I210</f>
        <v>#DIV/0!</v>
      </c>
      <c r="V210" s="87" t="e">
        <f t="shared" si="869"/>
        <v>#DIV/0!</v>
      </c>
      <c r="W210" s="87" t="e">
        <f t="shared" si="869"/>
        <v>#DIV/0!</v>
      </c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84"/>
      <c r="AZ210" s="84"/>
      <c r="BA210" s="84"/>
      <c r="BB210" s="84"/>
      <c r="BC210" s="84"/>
      <c r="BD210" s="84"/>
      <c r="BE210" s="84"/>
      <c r="BF210" s="84"/>
      <c r="BG210" s="84"/>
      <c r="BH210" s="84"/>
      <c r="BI210" s="84"/>
      <c r="BJ210" s="84"/>
      <c r="BK210" s="88"/>
      <c r="BL210" s="88"/>
      <c r="BM210" s="88"/>
      <c r="BN210" s="88"/>
      <c r="BO210" s="88"/>
    </row>
    <row r="211" spans="1:67" ht="15.75" customHeight="1">
      <c r="A211" s="89"/>
      <c r="B211" s="90"/>
      <c r="C211" s="80" t="s">
        <v>401</v>
      </c>
      <c r="D211" s="81" t="s">
        <v>418</v>
      </c>
      <c r="E211" s="82"/>
      <c r="F211" s="82"/>
      <c r="G211" s="83" t="e">
        <f t="shared" si="774"/>
        <v>#DIV/0!</v>
      </c>
      <c r="H211" s="83" t="e">
        <f t="shared" si="2"/>
        <v>#DIV/0!</v>
      </c>
      <c r="I211" s="135"/>
      <c r="J211" s="84"/>
      <c r="K211" s="127"/>
      <c r="L211" s="86">
        <f t="shared" ref="L211:N211" si="870">X211+AA211+AD211+AG211+AJ211+AM211+AP211+AS211+AV211+AY211+BB211+BE211</f>
        <v>0</v>
      </c>
      <c r="M211" s="86">
        <f t="shared" si="870"/>
        <v>0</v>
      </c>
      <c r="N211" s="86">
        <f t="shared" si="870"/>
        <v>0</v>
      </c>
      <c r="O211" s="62">
        <f t="shared" ref="O211:Q211" si="871">IF(BH211=0,SUM(X211+AA211+AD211+AG211+AJ211+AM211+AP211+AS211+AV211+AY211+BB211+BE211),BH211)</f>
        <v>0</v>
      </c>
      <c r="P211" s="62">
        <f t="shared" si="871"/>
        <v>0</v>
      </c>
      <c r="Q211" s="62">
        <f t="shared" si="871"/>
        <v>0</v>
      </c>
      <c r="R211" s="86">
        <f t="shared" ref="R211:T211" si="872">I211-L211</f>
        <v>0</v>
      </c>
      <c r="S211" s="86">
        <f t="shared" si="872"/>
        <v>0</v>
      </c>
      <c r="T211" s="86">
        <f t="shared" si="872"/>
        <v>0</v>
      </c>
      <c r="U211" s="87" t="e">
        <f t="shared" ref="U211:W211" si="873">L211/I211</f>
        <v>#DIV/0!</v>
      </c>
      <c r="V211" s="87" t="e">
        <f t="shared" si="873"/>
        <v>#DIV/0!</v>
      </c>
      <c r="W211" s="87" t="e">
        <f t="shared" si="873"/>
        <v>#DIV/0!</v>
      </c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84"/>
      <c r="AZ211" s="84"/>
      <c r="BA211" s="84"/>
      <c r="BB211" s="84"/>
      <c r="BC211" s="84"/>
      <c r="BD211" s="84"/>
      <c r="BE211" s="84"/>
      <c r="BF211" s="84"/>
      <c r="BG211" s="84"/>
      <c r="BH211" s="84"/>
      <c r="BI211" s="84"/>
      <c r="BJ211" s="84"/>
      <c r="BK211" s="88"/>
      <c r="BL211" s="88"/>
      <c r="BM211" s="88"/>
      <c r="BN211" s="88"/>
      <c r="BO211" s="88"/>
    </row>
    <row r="212" spans="1:67" ht="15.75" customHeight="1">
      <c r="A212" s="89"/>
      <c r="B212" s="90"/>
      <c r="C212" s="80" t="s">
        <v>263</v>
      </c>
      <c r="D212" s="81" t="s">
        <v>419</v>
      </c>
      <c r="E212" s="82"/>
      <c r="F212" s="82"/>
      <c r="G212" s="83" t="e">
        <f t="shared" si="774"/>
        <v>#DIV/0!</v>
      </c>
      <c r="H212" s="83" t="e">
        <f t="shared" si="2"/>
        <v>#DIV/0!</v>
      </c>
      <c r="I212" s="84"/>
      <c r="J212" s="84"/>
      <c r="K212" s="84"/>
      <c r="L212" s="86">
        <f t="shared" ref="L212:N212" si="874">X212+AA212+AD212+AG212+AJ212+AM212+AP212+AS212+AV212+AY212+BB212+BE212</f>
        <v>0</v>
      </c>
      <c r="M212" s="86">
        <f t="shared" si="874"/>
        <v>0</v>
      </c>
      <c r="N212" s="86">
        <f t="shared" si="874"/>
        <v>0</v>
      </c>
      <c r="O212" s="62">
        <f t="shared" ref="O212:Q212" si="875">IF(BH212=0,SUM(X212+AA212+AD212+AG212+AJ212+AM212+AP212+AS212+AV212+AY212+BB212+BE212),BH212)</f>
        <v>0</v>
      </c>
      <c r="P212" s="62">
        <f t="shared" si="875"/>
        <v>0</v>
      </c>
      <c r="Q212" s="62">
        <f t="shared" si="875"/>
        <v>0</v>
      </c>
      <c r="R212" s="86">
        <f t="shared" ref="R212:T212" si="876">I212-L212</f>
        <v>0</v>
      </c>
      <c r="S212" s="86">
        <f t="shared" si="876"/>
        <v>0</v>
      </c>
      <c r="T212" s="86">
        <f t="shared" si="876"/>
        <v>0</v>
      </c>
      <c r="U212" s="87" t="e">
        <f t="shared" ref="U212:W212" si="877">L212/I212</f>
        <v>#DIV/0!</v>
      </c>
      <c r="V212" s="87" t="e">
        <f t="shared" si="877"/>
        <v>#DIV/0!</v>
      </c>
      <c r="W212" s="87" t="e">
        <f t="shared" si="877"/>
        <v>#DIV/0!</v>
      </c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84"/>
      <c r="AZ212" s="84"/>
      <c r="BA212" s="84"/>
      <c r="BB212" s="84"/>
      <c r="BC212" s="84"/>
      <c r="BD212" s="84"/>
      <c r="BE212" s="84"/>
      <c r="BF212" s="84"/>
      <c r="BG212" s="84"/>
      <c r="BH212" s="84"/>
      <c r="BI212" s="84"/>
      <c r="BJ212" s="84"/>
      <c r="BK212" s="88"/>
      <c r="BL212" s="88"/>
      <c r="BM212" s="88"/>
      <c r="BN212" s="88"/>
      <c r="BO212" s="88"/>
    </row>
    <row r="213" spans="1:67" ht="15.75" customHeight="1">
      <c r="A213" s="222"/>
      <c r="B213" s="222"/>
      <c r="C213" s="223"/>
      <c r="D213" s="224" t="s">
        <v>420</v>
      </c>
      <c r="E213" s="225">
        <f t="shared" ref="E213:F213" si="878">SUM(E214:E215)</f>
        <v>0</v>
      </c>
      <c r="F213" s="225">
        <f t="shared" si="878"/>
        <v>0</v>
      </c>
      <c r="G213" s="206" t="e">
        <f t="shared" si="774"/>
        <v>#DIV/0!</v>
      </c>
      <c r="H213" s="179" t="e">
        <f t="shared" si="2"/>
        <v>#DIV/0!</v>
      </c>
      <c r="I213" s="225">
        <f t="shared" ref="I213:N213" si="879">SUM(I214:I215)</f>
        <v>0</v>
      </c>
      <c r="J213" s="225">
        <f t="shared" si="879"/>
        <v>0</v>
      </c>
      <c r="K213" s="225">
        <f t="shared" si="879"/>
        <v>0</v>
      </c>
      <c r="L213" s="225">
        <f t="shared" si="879"/>
        <v>0</v>
      </c>
      <c r="M213" s="225">
        <f t="shared" si="879"/>
        <v>0</v>
      </c>
      <c r="N213" s="225">
        <f t="shared" si="879"/>
        <v>0</v>
      </c>
      <c r="O213" s="216">
        <f t="shared" ref="O213:Q213" si="880">IF(BH213=0,SUM(X213+AA213+AD213+AG213+AJ213+AM213+AP213+AS213+AV213+AY213+BB213+BE213),BH213)</f>
        <v>0</v>
      </c>
      <c r="P213" s="216">
        <f t="shared" si="880"/>
        <v>0</v>
      </c>
      <c r="Q213" s="216">
        <f t="shared" si="880"/>
        <v>0</v>
      </c>
      <c r="R213" s="225">
        <f t="shared" ref="R213:T213" si="881">SUM(R214:R215)</f>
        <v>0</v>
      </c>
      <c r="S213" s="225">
        <f t="shared" si="881"/>
        <v>0</v>
      </c>
      <c r="T213" s="225">
        <f t="shared" si="881"/>
        <v>0</v>
      </c>
      <c r="U213" s="226" t="e">
        <f t="shared" ref="U213:W213" si="882">L213/I213</f>
        <v>#DIV/0!</v>
      </c>
      <c r="V213" s="226" t="e">
        <f t="shared" si="882"/>
        <v>#DIV/0!</v>
      </c>
      <c r="W213" s="226" t="e">
        <f t="shared" si="882"/>
        <v>#DIV/0!</v>
      </c>
      <c r="X213" s="225">
        <f t="shared" ref="X213:BJ213" si="883">SUM(X214:X215)</f>
        <v>0</v>
      </c>
      <c r="Y213" s="225">
        <f t="shared" si="883"/>
        <v>0</v>
      </c>
      <c r="Z213" s="225">
        <f t="shared" si="883"/>
        <v>0</v>
      </c>
      <c r="AA213" s="225">
        <f t="shared" si="883"/>
        <v>0</v>
      </c>
      <c r="AB213" s="225">
        <f t="shared" si="883"/>
        <v>0</v>
      </c>
      <c r="AC213" s="225">
        <f t="shared" si="883"/>
        <v>0</v>
      </c>
      <c r="AD213" s="225">
        <f t="shared" si="883"/>
        <v>0</v>
      </c>
      <c r="AE213" s="225">
        <f t="shared" si="883"/>
        <v>0</v>
      </c>
      <c r="AF213" s="225">
        <f t="shared" si="883"/>
        <v>0</v>
      </c>
      <c r="AG213" s="225">
        <f t="shared" si="883"/>
        <v>0</v>
      </c>
      <c r="AH213" s="225">
        <f t="shared" si="883"/>
        <v>0</v>
      </c>
      <c r="AI213" s="225">
        <f t="shared" si="883"/>
        <v>0</v>
      </c>
      <c r="AJ213" s="225">
        <f t="shared" si="883"/>
        <v>0</v>
      </c>
      <c r="AK213" s="225">
        <f t="shared" si="883"/>
        <v>0</v>
      </c>
      <c r="AL213" s="225">
        <f t="shared" si="883"/>
        <v>0</v>
      </c>
      <c r="AM213" s="225">
        <f t="shared" si="883"/>
        <v>0</v>
      </c>
      <c r="AN213" s="225">
        <f t="shared" si="883"/>
        <v>0</v>
      </c>
      <c r="AO213" s="225">
        <f t="shared" si="883"/>
        <v>0</v>
      </c>
      <c r="AP213" s="225">
        <f t="shared" si="883"/>
        <v>0</v>
      </c>
      <c r="AQ213" s="225">
        <f t="shared" si="883"/>
        <v>0</v>
      </c>
      <c r="AR213" s="225">
        <f t="shared" si="883"/>
        <v>0</v>
      </c>
      <c r="AS213" s="225">
        <f t="shared" si="883"/>
        <v>0</v>
      </c>
      <c r="AT213" s="225">
        <f t="shared" si="883"/>
        <v>0</v>
      </c>
      <c r="AU213" s="225">
        <f t="shared" si="883"/>
        <v>0</v>
      </c>
      <c r="AV213" s="225">
        <f t="shared" si="883"/>
        <v>0</v>
      </c>
      <c r="AW213" s="225">
        <f t="shared" si="883"/>
        <v>0</v>
      </c>
      <c r="AX213" s="225">
        <f t="shared" si="883"/>
        <v>0</v>
      </c>
      <c r="AY213" s="225">
        <f t="shared" si="883"/>
        <v>0</v>
      </c>
      <c r="AZ213" s="225">
        <f t="shared" si="883"/>
        <v>0</v>
      </c>
      <c r="BA213" s="225">
        <f t="shared" si="883"/>
        <v>0</v>
      </c>
      <c r="BB213" s="225">
        <f t="shared" si="883"/>
        <v>0</v>
      </c>
      <c r="BC213" s="225">
        <f t="shared" si="883"/>
        <v>0</v>
      </c>
      <c r="BD213" s="225">
        <f t="shared" si="883"/>
        <v>0</v>
      </c>
      <c r="BE213" s="225">
        <f t="shared" si="883"/>
        <v>0</v>
      </c>
      <c r="BF213" s="225">
        <f t="shared" si="883"/>
        <v>0</v>
      </c>
      <c r="BG213" s="225">
        <f t="shared" si="883"/>
        <v>0</v>
      </c>
      <c r="BH213" s="225">
        <f t="shared" si="883"/>
        <v>0</v>
      </c>
      <c r="BI213" s="225">
        <f t="shared" si="883"/>
        <v>0</v>
      </c>
      <c r="BJ213" s="225">
        <f t="shared" si="883"/>
        <v>0</v>
      </c>
      <c r="BK213" s="215"/>
      <c r="BL213" s="215"/>
      <c r="BM213" s="215"/>
      <c r="BN213" s="215"/>
      <c r="BO213" s="215"/>
    </row>
    <row r="214" spans="1:67" ht="15.75" customHeight="1">
      <c r="A214" s="89"/>
      <c r="B214" s="90"/>
      <c r="C214" s="80" t="s">
        <v>421</v>
      </c>
      <c r="D214" s="81" t="s">
        <v>422</v>
      </c>
      <c r="E214" s="82"/>
      <c r="F214" s="82"/>
      <c r="G214" s="83" t="e">
        <f t="shared" si="774"/>
        <v>#DIV/0!</v>
      </c>
      <c r="H214" s="83" t="e">
        <f t="shared" si="2"/>
        <v>#DIV/0!</v>
      </c>
      <c r="I214" s="82"/>
      <c r="J214" s="194"/>
      <c r="K214" s="127"/>
      <c r="L214" s="86">
        <f t="shared" ref="L214:N214" si="884">X214+AA214+AD214+AG214+AJ214+AM214+AP214+AS214+AV214+AY214+BB214+BE214</f>
        <v>0</v>
      </c>
      <c r="M214" s="86">
        <f t="shared" si="884"/>
        <v>0</v>
      </c>
      <c r="N214" s="86">
        <f t="shared" si="884"/>
        <v>0</v>
      </c>
      <c r="O214" s="62">
        <f t="shared" ref="O214:Q214" si="885">IF(BH214=0,SUM(X214+AA214+AD214+AG214+AJ214+AM214+AP214+AS214+AV214+AY214+BB214+BE214),BH214)</f>
        <v>0</v>
      </c>
      <c r="P214" s="62">
        <f t="shared" si="885"/>
        <v>0</v>
      </c>
      <c r="Q214" s="62">
        <f t="shared" si="885"/>
        <v>0</v>
      </c>
      <c r="R214" s="86">
        <f t="shared" ref="R214:T214" si="886">I214-L214</f>
        <v>0</v>
      </c>
      <c r="S214" s="86">
        <f t="shared" si="886"/>
        <v>0</v>
      </c>
      <c r="T214" s="86">
        <f t="shared" si="886"/>
        <v>0</v>
      </c>
      <c r="U214" s="87" t="e">
        <f t="shared" ref="U214:W214" si="887">L214/I214</f>
        <v>#DIV/0!</v>
      </c>
      <c r="V214" s="87" t="e">
        <f t="shared" si="887"/>
        <v>#DIV/0!</v>
      </c>
      <c r="W214" s="87" t="e">
        <f t="shared" si="887"/>
        <v>#DIV/0!</v>
      </c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84"/>
      <c r="AZ214" s="84"/>
      <c r="BA214" s="84"/>
      <c r="BB214" s="84"/>
      <c r="BC214" s="84"/>
      <c r="BD214" s="84"/>
      <c r="BE214" s="84"/>
      <c r="BF214" s="84"/>
      <c r="BG214" s="84"/>
      <c r="BH214" s="84"/>
      <c r="BI214" s="84"/>
      <c r="BJ214" s="84"/>
      <c r="BK214" s="88"/>
      <c r="BL214" s="88"/>
      <c r="BM214" s="88"/>
      <c r="BN214" s="88"/>
      <c r="BO214" s="88"/>
    </row>
    <row r="215" spans="1:67" ht="15.75" customHeight="1">
      <c r="A215" s="89"/>
      <c r="B215" s="95"/>
      <c r="C215" s="80" t="s">
        <v>423</v>
      </c>
      <c r="D215" s="81" t="s">
        <v>424</v>
      </c>
      <c r="E215" s="82"/>
      <c r="F215" s="82"/>
      <c r="G215" s="83" t="e">
        <f t="shared" si="774"/>
        <v>#DIV/0!</v>
      </c>
      <c r="H215" s="83" t="e">
        <f t="shared" si="2"/>
        <v>#DIV/0!</v>
      </c>
      <c r="I215" s="71"/>
      <c r="J215" s="84"/>
      <c r="K215" s="84"/>
      <c r="L215" s="86">
        <f t="shared" ref="L215:N215" si="888">X215+AA215+AD215+AG215+AJ215+AM215+AP215+AS215+AV215+AY215+BB215+BE215</f>
        <v>0</v>
      </c>
      <c r="M215" s="86">
        <f t="shared" si="888"/>
        <v>0</v>
      </c>
      <c r="N215" s="86">
        <f t="shared" si="888"/>
        <v>0</v>
      </c>
      <c r="O215" s="62">
        <f t="shared" ref="O215:Q215" si="889">IF(BH215=0,SUM(X215+AA215+AD215+AG215+AJ215+AM215+AP215+AS215+AV215+AY215+BB215+BE215),BH215)</f>
        <v>0</v>
      </c>
      <c r="P215" s="62">
        <f t="shared" si="889"/>
        <v>0</v>
      </c>
      <c r="Q215" s="62">
        <f t="shared" si="889"/>
        <v>0</v>
      </c>
      <c r="R215" s="86">
        <f t="shared" ref="R215:T215" si="890">I215-L215</f>
        <v>0</v>
      </c>
      <c r="S215" s="86">
        <f t="shared" si="890"/>
        <v>0</v>
      </c>
      <c r="T215" s="86">
        <f t="shared" si="890"/>
        <v>0</v>
      </c>
      <c r="U215" s="87" t="e">
        <f t="shared" ref="U215:W215" si="891">L215/I215</f>
        <v>#DIV/0!</v>
      </c>
      <c r="V215" s="87" t="e">
        <f t="shared" si="891"/>
        <v>#DIV/0!</v>
      </c>
      <c r="W215" s="87" t="e">
        <f t="shared" si="891"/>
        <v>#DIV/0!</v>
      </c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84"/>
      <c r="AZ215" s="84"/>
      <c r="BA215" s="84"/>
      <c r="BB215" s="84"/>
      <c r="BC215" s="84"/>
      <c r="BD215" s="84"/>
      <c r="BE215" s="84"/>
      <c r="BF215" s="84"/>
      <c r="BG215" s="84"/>
      <c r="BH215" s="84"/>
      <c r="BI215" s="84"/>
      <c r="BJ215" s="84"/>
      <c r="BK215" s="88"/>
      <c r="BL215" s="88"/>
      <c r="BM215" s="88"/>
      <c r="BN215" s="88"/>
      <c r="BO215" s="88"/>
    </row>
    <row r="216" spans="1:67" ht="15.75" customHeight="1">
      <c r="A216" s="222"/>
      <c r="B216" s="222"/>
      <c r="C216" s="223"/>
      <c r="D216" s="224" t="s">
        <v>425</v>
      </c>
      <c r="E216" s="225">
        <f t="shared" ref="E216:F216" si="892">SUM(E217:E219)</f>
        <v>0</v>
      </c>
      <c r="F216" s="225">
        <f t="shared" si="892"/>
        <v>0</v>
      </c>
      <c r="G216" s="206" t="e">
        <f t="shared" si="774"/>
        <v>#DIV/0!</v>
      </c>
      <c r="H216" s="179" t="e">
        <f t="shared" si="2"/>
        <v>#DIV/0!</v>
      </c>
      <c r="I216" s="225">
        <f t="shared" ref="I216:N216" si="893">SUM(I217:I219)</f>
        <v>0</v>
      </c>
      <c r="J216" s="225">
        <f t="shared" si="893"/>
        <v>0</v>
      </c>
      <c r="K216" s="225">
        <f t="shared" si="893"/>
        <v>0</v>
      </c>
      <c r="L216" s="225">
        <f t="shared" si="893"/>
        <v>0</v>
      </c>
      <c r="M216" s="225">
        <f t="shared" si="893"/>
        <v>0</v>
      </c>
      <c r="N216" s="225">
        <f t="shared" si="893"/>
        <v>0</v>
      </c>
      <c r="O216" s="216">
        <f t="shared" ref="O216:Q216" si="894">IF(BH216=0,SUM(X216+AA216+AD216+AG216+AJ216+AM216+AP216+AS216+AV216+AY216+BB216+BE216),BH216)</f>
        <v>0</v>
      </c>
      <c r="P216" s="216">
        <f t="shared" si="894"/>
        <v>0</v>
      </c>
      <c r="Q216" s="216">
        <f t="shared" si="894"/>
        <v>0</v>
      </c>
      <c r="R216" s="225">
        <f t="shared" ref="R216:T216" si="895">SUM(R217:R219)</f>
        <v>0</v>
      </c>
      <c r="S216" s="225">
        <f t="shared" si="895"/>
        <v>0</v>
      </c>
      <c r="T216" s="225">
        <f t="shared" si="895"/>
        <v>0</v>
      </c>
      <c r="U216" s="226" t="e">
        <f t="shared" ref="U216:W216" si="896">L216/I216</f>
        <v>#DIV/0!</v>
      </c>
      <c r="V216" s="226" t="e">
        <f t="shared" si="896"/>
        <v>#DIV/0!</v>
      </c>
      <c r="W216" s="226" t="e">
        <f t="shared" si="896"/>
        <v>#DIV/0!</v>
      </c>
      <c r="X216" s="225">
        <f t="shared" ref="X216:BJ216" si="897">SUM(X217:X219)</f>
        <v>0</v>
      </c>
      <c r="Y216" s="225">
        <f t="shared" si="897"/>
        <v>0</v>
      </c>
      <c r="Z216" s="225">
        <f t="shared" si="897"/>
        <v>0</v>
      </c>
      <c r="AA216" s="225">
        <f t="shared" si="897"/>
        <v>0</v>
      </c>
      <c r="AB216" s="225">
        <f t="shared" si="897"/>
        <v>0</v>
      </c>
      <c r="AC216" s="225">
        <f t="shared" si="897"/>
        <v>0</v>
      </c>
      <c r="AD216" s="225">
        <f t="shared" si="897"/>
        <v>0</v>
      </c>
      <c r="AE216" s="225">
        <f t="shared" si="897"/>
        <v>0</v>
      </c>
      <c r="AF216" s="225">
        <f t="shared" si="897"/>
        <v>0</v>
      </c>
      <c r="AG216" s="225">
        <f t="shared" si="897"/>
        <v>0</v>
      </c>
      <c r="AH216" s="225">
        <f t="shared" si="897"/>
        <v>0</v>
      </c>
      <c r="AI216" s="225">
        <f t="shared" si="897"/>
        <v>0</v>
      </c>
      <c r="AJ216" s="225">
        <f t="shared" si="897"/>
        <v>0</v>
      </c>
      <c r="AK216" s="225">
        <f t="shared" si="897"/>
        <v>0</v>
      </c>
      <c r="AL216" s="225">
        <f t="shared" si="897"/>
        <v>0</v>
      </c>
      <c r="AM216" s="225">
        <f t="shared" si="897"/>
        <v>0</v>
      </c>
      <c r="AN216" s="225">
        <f t="shared" si="897"/>
        <v>0</v>
      </c>
      <c r="AO216" s="225">
        <f t="shared" si="897"/>
        <v>0</v>
      </c>
      <c r="AP216" s="225">
        <f t="shared" si="897"/>
        <v>0</v>
      </c>
      <c r="AQ216" s="225">
        <f t="shared" si="897"/>
        <v>0</v>
      </c>
      <c r="AR216" s="225">
        <f t="shared" si="897"/>
        <v>0</v>
      </c>
      <c r="AS216" s="225">
        <f t="shared" si="897"/>
        <v>0</v>
      </c>
      <c r="AT216" s="225">
        <f t="shared" si="897"/>
        <v>0</v>
      </c>
      <c r="AU216" s="225">
        <f t="shared" si="897"/>
        <v>0</v>
      </c>
      <c r="AV216" s="225">
        <f t="shared" si="897"/>
        <v>0</v>
      </c>
      <c r="AW216" s="225">
        <f t="shared" si="897"/>
        <v>0</v>
      </c>
      <c r="AX216" s="225">
        <f t="shared" si="897"/>
        <v>0</v>
      </c>
      <c r="AY216" s="225">
        <f t="shared" si="897"/>
        <v>0</v>
      </c>
      <c r="AZ216" s="225">
        <f t="shared" si="897"/>
        <v>0</v>
      </c>
      <c r="BA216" s="225">
        <f t="shared" si="897"/>
        <v>0</v>
      </c>
      <c r="BB216" s="225">
        <f t="shared" si="897"/>
        <v>0</v>
      </c>
      <c r="BC216" s="225">
        <f t="shared" si="897"/>
        <v>0</v>
      </c>
      <c r="BD216" s="225">
        <f t="shared" si="897"/>
        <v>0</v>
      </c>
      <c r="BE216" s="225">
        <f t="shared" si="897"/>
        <v>0</v>
      </c>
      <c r="BF216" s="225">
        <f t="shared" si="897"/>
        <v>0</v>
      </c>
      <c r="BG216" s="225">
        <f t="shared" si="897"/>
        <v>0</v>
      </c>
      <c r="BH216" s="225">
        <f t="shared" si="897"/>
        <v>0</v>
      </c>
      <c r="BI216" s="225">
        <f t="shared" si="897"/>
        <v>0</v>
      </c>
      <c r="BJ216" s="225">
        <f t="shared" si="897"/>
        <v>0</v>
      </c>
      <c r="BK216" s="215"/>
      <c r="BL216" s="215"/>
      <c r="BM216" s="215"/>
      <c r="BN216" s="215"/>
      <c r="BO216" s="215"/>
    </row>
    <row r="217" spans="1:67" ht="15.75" customHeight="1">
      <c r="A217" s="89"/>
      <c r="B217" s="90"/>
      <c r="C217" s="80" t="s">
        <v>332</v>
      </c>
      <c r="D217" s="81" t="s">
        <v>426</v>
      </c>
      <c r="E217" s="82"/>
      <c r="F217" s="82"/>
      <c r="G217" s="83" t="e">
        <f t="shared" si="774"/>
        <v>#DIV/0!</v>
      </c>
      <c r="H217" s="83" t="e">
        <f t="shared" si="2"/>
        <v>#DIV/0!</v>
      </c>
      <c r="I217" s="84"/>
      <c r="J217" s="84"/>
      <c r="K217" s="85"/>
      <c r="L217" s="86">
        <f t="shared" ref="L217:N217" si="898">X217+AA217+AD217+AG217+AJ217+AM217+AP217+AS217+AV217+AY217+BB217+BE217</f>
        <v>0</v>
      </c>
      <c r="M217" s="86">
        <f t="shared" si="898"/>
        <v>0</v>
      </c>
      <c r="N217" s="86">
        <f t="shared" si="898"/>
        <v>0</v>
      </c>
      <c r="O217" s="62">
        <f t="shared" ref="O217:Q217" si="899">IF(BH217=0,SUM(X217+AA217+AD217+AG217+AJ217+AM217+AP217+AS217+AV217+AY217+BB217+BE217),BH217)</f>
        <v>0</v>
      </c>
      <c r="P217" s="62">
        <f t="shared" si="899"/>
        <v>0</v>
      </c>
      <c r="Q217" s="62">
        <f t="shared" si="899"/>
        <v>0</v>
      </c>
      <c r="R217" s="86">
        <f t="shared" ref="R217:T217" si="900">I217-L217</f>
        <v>0</v>
      </c>
      <c r="S217" s="86">
        <f t="shared" si="900"/>
        <v>0</v>
      </c>
      <c r="T217" s="86">
        <f t="shared" si="900"/>
        <v>0</v>
      </c>
      <c r="U217" s="87" t="e">
        <f t="shared" ref="U217:W217" si="901">L217/I217</f>
        <v>#DIV/0!</v>
      </c>
      <c r="V217" s="87" t="e">
        <f t="shared" si="901"/>
        <v>#DIV/0!</v>
      </c>
      <c r="W217" s="87" t="e">
        <f t="shared" si="901"/>
        <v>#DIV/0!</v>
      </c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84"/>
      <c r="AZ217" s="84"/>
      <c r="BA217" s="84"/>
      <c r="BB217" s="84"/>
      <c r="BC217" s="84"/>
      <c r="BD217" s="84"/>
      <c r="BE217" s="85"/>
      <c r="BF217" s="84"/>
      <c r="BG217" s="84"/>
      <c r="BH217" s="85"/>
      <c r="BI217" s="84"/>
      <c r="BJ217" s="84"/>
      <c r="BK217" s="88"/>
      <c r="BL217" s="88"/>
      <c r="BM217" s="88"/>
      <c r="BN217" s="88"/>
      <c r="BO217" s="88"/>
    </row>
    <row r="218" spans="1:67" ht="37.5">
      <c r="A218" s="89"/>
      <c r="B218" s="90"/>
      <c r="C218" s="80"/>
      <c r="D218" s="81" t="s">
        <v>427</v>
      </c>
      <c r="E218" s="82"/>
      <c r="F218" s="82"/>
      <c r="G218" s="83" t="e">
        <f t="shared" si="774"/>
        <v>#DIV/0!</v>
      </c>
      <c r="H218" s="83" t="e">
        <f t="shared" si="2"/>
        <v>#DIV/0!</v>
      </c>
      <c r="I218" s="84"/>
      <c r="J218" s="84"/>
      <c r="K218" s="85"/>
      <c r="L218" s="86">
        <f t="shared" ref="L218:N218" si="902">X218+AA218+AD218+AG218+AJ218+AM218+AP218+AS218+AV218+AY218+BB218+BE218</f>
        <v>0</v>
      </c>
      <c r="M218" s="86">
        <f t="shared" si="902"/>
        <v>0</v>
      </c>
      <c r="N218" s="86">
        <f t="shared" si="902"/>
        <v>0</v>
      </c>
      <c r="O218" s="62">
        <f t="shared" ref="O218:Q218" si="903">IF(BH218=0,SUM(X218+AA218+AD218+AG218+AJ218+AM218+AP218+AS218+AV218+AY218+BB218+BE218),BH218)</f>
        <v>0</v>
      </c>
      <c r="P218" s="62">
        <f t="shared" si="903"/>
        <v>0</v>
      </c>
      <c r="Q218" s="62">
        <f t="shared" si="903"/>
        <v>0</v>
      </c>
      <c r="R218" s="86">
        <f t="shared" ref="R218:T218" si="904">I218-L218</f>
        <v>0</v>
      </c>
      <c r="S218" s="86">
        <f t="shared" si="904"/>
        <v>0</v>
      </c>
      <c r="T218" s="86">
        <f t="shared" si="904"/>
        <v>0</v>
      </c>
      <c r="U218" s="87" t="e">
        <f t="shared" ref="U218:W218" si="905">L218/I218</f>
        <v>#DIV/0!</v>
      </c>
      <c r="V218" s="87" t="e">
        <f t="shared" si="905"/>
        <v>#DIV/0!</v>
      </c>
      <c r="W218" s="87" t="e">
        <f t="shared" si="905"/>
        <v>#DIV/0!</v>
      </c>
      <c r="X218" s="227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127"/>
      <c r="AS218" s="84"/>
      <c r="AT218" s="84"/>
      <c r="AU218" s="84"/>
      <c r="AV218" s="84"/>
      <c r="AW218" s="84"/>
      <c r="AX218" s="84"/>
      <c r="AY218" s="84"/>
      <c r="AZ218" s="84"/>
      <c r="BA218" s="84"/>
      <c r="BB218" s="84"/>
      <c r="BC218" s="84"/>
      <c r="BD218" s="84"/>
      <c r="BE218" s="84"/>
      <c r="BF218" s="84"/>
      <c r="BG218" s="84"/>
      <c r="BH218" s="84"/>
      <c r="BI218" s="84"/>
      <c r="BJ218" s="84"/>
      <c r="BK218" s="88"/>
      <c r="BL218" s="88"/>
      <c r="BM218" s="88"/>
      <c r="BN218" s="88"/>
      <c r="BO218" s="88"/>
    </row>
    <row r="219" spans="1:67" ht="15.75" customHeight="1">
      <c r="A219" s="89"/>
      <c r="B219" s="90"/>
      <c r="C219" s="80" t="s">
        <v>428</v>
      </c>
      <c r="D219" s="228" t="s">
        <v>429</v>
      </c>
      <c r="E219" s="98"/>
      <c r="F219" s="98"/>
      <c r="G219" s="83" t="e">
        <f t="shared" si="774"/>
        <v>#DIV/0!</v>
      </c>
      <c r="H219" s="83" t="e">
        <f t="shared" si="2"/>
        <v>#DIV/0!</v>
      </c>
      <c r="I219" s="127"/>
      <c r="J219" s="194"/>
      <c r="K219" s="127"/>
      <c r="L219" s="86">
        <f t="shared" ref="L219:N219" si="906">X219+AA219+AD219+AG219+AJ219+AM219+AP219+AS219+AV219+AY219+BB219+BE219</f>
        <v>0</v>
      </c>
      <c r="M219" s="86">
        <f t="shared" si="906"/>
        <v>0</v>
      </c>
      <c r="N219" s="86">
        <f t="shared" si="906"/>
        <v>0</v>
      </c>
      <c r="O219" s="62">
        <f t="shared" ref="O219:Q219" si="907">IF(BH219=0,SUM(X219+AA219+AD219+AG219+AJ219+AM219+AP219+AS219+AV219+AY219+BB219+BE219),BH219)</f>
        <v>0</v>
      </c>
      <c r="P219" s="62">
        <f t="shared" si="907"/>
        <v>0</v>
      </c>
      <c r="Q219" s="62">
        <f t="shared" si="907"/>
        <v>0</v>
      </c>
      <c r="R219" s="86">
        <f t="shared" ref="R219:T219" si="908">I219-L219</f>
        <v>0</v>
      </c>
      <c r="S219" s="86">
        <f t="shared" si="908"/>
        <v>0</v>
      </c>
      <c r="T219" s="86">
        <f t="shared" si="908"/>
        <v>0</v>
      </c>
      <c r="U219" s="87" t="e">
        <f t="shared" ref="U219:W219" si="909">L219/I219</f>
        <v>#DIV/0!</v>
      </c>
      <c r="V219" s="87" t="e">
        <f t="shared" si="909"/>
        <v>#DIV/0!</v>
      </c>
      <c r="W219" s="87" t="e">
        <f t="shared" si="909"/>
        <v>#DIV/0!</v>
      </c>
      <c r="X219" s="194"/>
      <c r="Y219" s="194"/>
      <c r="Z219" s="194"/>
      <c r="AA219" s="194"/>
      <c r="AB219" s="194"/>
      <c r="AC219" s="194"/>
      <c r="AD219" s="194"/>
      <c r="AE219" s="194"/>
      <c r="AF219" s="194"/>
      <c r="AG219" s="194"/>
      <c r="AH219" s="194"/>
      <c r="AI219" s="194"/>
      <c r="AJ219" s="194"/>
      <c r="AK219" s="194"/>
      <c r="AL219" s="194"/>
      <c r="AM219" s="194"/>
      <c r="AN219" s="194"/>
      <c r="AO219" s="194"/>
      <c r="AP219" s="194"/>
      <c r="AQ219" s="194"/>
      <c r="AR219" s="194"/>
      <c r="AS219" s="194"/>
      <c r="AT219" s="194"/>
      <c r="AU219" s="194"/>
      <c r="AV219" s="194"/>
      <c r="AW219" s="194"/>
      <c r="AX219" s="194"/>
      <c r="AY219" s="194"/>
      <c r="AZ219" s="194"/>
      <c r="BA219" s="194"/>
      <c r="BB219" s="194"/>
      <c r="BC219" s="194"/>
      <c r="BD219" s="194"/>
      <c r="BE219" s="194"/>
      <c r="BF219" s="194"/>
      <c r="BG219" s="194"/>
      <c r="BH219" s="194"/>
      <c r="BI219" s="194"/>
      <c r="BJ219" s="194"/>
      <c r="BK219" s="88"/>
      <c r="BL219" s="88"/>
      <c r="BM219" s="88"/>
      <c r="BN219" s="88"/>
      <c r="BO219" s="88"/>
    </row>
    <row r="220" spans="1:67" ht="18.75">
      <c r="A220" s="73"/>
      <c r="B220" s="74" t="s">
        <v>430</v>
      </c>
      <c r="C220" s="75"/>
      <c r="D220" s="75"/>
      <c r="E220" s="76">
        <f t="shared" ref="E220:F220" si="910">E221+E265+E287</f>
        <v>0</v>
      </c>
      <c r="F220" s="76">
        <f t="shared" si="910"/>
        <v>0</v>
      </c>
      <c r="G220" s="103" t="e">
        <f t="shared" si="774"/>
        <v>#DIV/0!</v>
      </c>
      <c r="H220" s="103" t="e">
        <f t="shared" si="2"/>
        <v>#DIV/0!</v>
      </c>
      <c r="I220" s="76">
        <f t="shared" ref="I220:N220" si="911">I221+I265+I287</f>
        <v>106391.14</v>
      </c>
      <c r="J220" s="76">
        <f t="shared" si="911"/>
        <v>299531.93</v>
      </c>
      <c r="K220" s="76">
        <f t="shared" si="911"/>
        <v>0</v>
      </c>
      <c r="L220" s="76">
        <f t="shared" si="911"/>
        <v>25923.66</v>
      </c>
      <c r="M220" s="76">
        <f t="shared" si="911"/>
        <v>143179.79999999999</v>
      </c>
      <c r="N220" s="76">
        <f t="shared" si="911"/>
        <v>0</v>
      </c>
      <c r="O220" s="78">
        <f t="shared" ref="O220:Q220" si="912">IF(BH220=0,SUM(X220+AA220+AD220+AG220+AJ220+AM220+AP220+AS220+AV220+AY220+BB220+BE220),BH220)</f>
        <v>25923.66</v>
      </c>
      <c r="P220" s="78">
        <f t="shared" si="912"/>
        <v>143179.79999999999</v>
      </c>
      <c r="Q220" s="78">
        <f t="shared" si="912"/>
        <v>0</v>
      </c>
      <c r="R220" s="76">
        <f t="shared" ref="R220:T220" si="913">R221+R265+R287</f>
        <v>80467.48</v>
      </c>
      <c r="S220" s="76">
        <f t="shared" si="913"/>
        <v>156352.13</v>
      </c>
      <c r="T220" s="76">
        <f t="shared" si="913"/>
        <v>0</v>
      </c>
      <c r="U220" s="77">
        <f t="shared" ref="U220:W220" si="914">L220/I220</f>
        <v>0.24366371109473967</v>
      </c>
      <c r="V220" s="77">
        <f t="shared" si="914"/>
        <v>0.478011809959626</v>
      </c>
      <c r="W220" s="77" t="e">
        <f t="shared" si="914"/>
        <v>#DIV/0!</v>
      </c>
      <c r="X220" s="76">
        <f t="shared" ref="X220:BJ220" si="915">X221+X265+X287</f>
        <v>0</v>
      </c>
      <c r="Y220" s="76">
        <f t="shared" si="915"/>
        <v>15500</v>
      </c>
      <c r="Z220" s="76">
        <f t="shared" si="915"/>
        <v>0</v>
      </c>
      <c r="AA220" s="76">
        <f t="shared" si="915"/>
        <v>3375.87</v>
      </c>
      <c r="AB220" s="76">
        <f t="shared" si="915"/>
        <v>19807.699999999997</v>
      </c>
      <c r="AC220" s="76">
        <f t="shared" si="915"/>
        <v>0</v>
      </c>
      <c r="AD220" s="76">
        <f t="shared" si="915"/>
        <v>6180.7</v>
      </c>
      <c r="AE220" s="76">
        <f t="shared" si="915"/>
        <v>24298.1</v>
      </c>
      <c r="AF220" s="76">
        <f t="shared" si="915"/>
        <v>0</v>
      </c>
      <c r="AG220" s="76">
        <f t="shared" si="915"/>
        <v>16367.09</v>
      </c>
      <c r="AH220" s="76">
        <f t="shared" si="915"/>
        <v>46430</v>
      </c>
      <c r="AI220" s="76">
        <f t="shared" si="915"/>
        <v>0</v>
      </c>
      <c r="AJ220" s="76">
        <f t="shared" si="915"/>
        <v>0</v>
      </c>
      <c r="AK220" s="76">
        <f t="shared" si="915"/>
        <v>37144</v>
      </c>
      <c r="AL220" s="76">
        <f t="shared" si="915"/>
        <v>0</v>
      </c>
      <c r="AM220" s="76">
        <f t="shared" si="915"/>
        <v>0</v>
      </c>
      <c r="AN220" s="76">
        <f t="shared" si="915"/>
        <v>0</v>
      </c>
      <c r="AO220" s="76">
        <f t="shared" si="915"/>
        <v>0</v>
      </c>
      <c r="AP220" s="76">
        <f t="shared" si="915"/>
        <v>0</v>
      </c>
      <c r="AQ220" s="76">
        <f t="shared" si="915"/>
        <v>0</v>
      </c>
      <c r="AR220" s="76">
        <f t="shared" si="915"/>
        <v>0</v>
      </c>
      <c r="AS220" s="76">
        <f t="shared" si="915"/>
        <v>0</v>
      </c>
      <c r="AT220" s="76">
        <f t="shared" si="915"/>
        <v>0</v>
      </c>
      <c r="AU220" s="76">
        <f t="shared" si="915"/>
        <v>0</v>
      </c>
      <c r="AV220" s="76">
        <f t="shared" si="915"/>
        <v>0</v>
      </c>
      <c r="AW220" s="76">
        <f t="shared" si="915"/>
        <v>0</v>
      </c>
      <c r="AX220" s="76">
        <f t="shared" si="915"/>
        <v>0</v>
      </c>
      <c r="AY220" s="76">
        <f t="shared" si="915"/>
        <v>0</v>
      </c>
      <c r="AZ220" s="76">
        <f t="shared" si="915"/>
        <v>0</v>
      </c>
      <c r="BA220" s="76">
        <f t="shared" si="915"/>
        <v>0</v>
      </c>
      <c r="BB220" s="76">
        <f t="shared" si="915"/>
        <v>0</v>
      </c>
      <c r="BC220" s="76">
        <f t="shared" si="915"/>
        <v>0</v>
      </c>
      <c r="BD220" s="76">
        <f t="shared" si="915"/>
        <v>0</v>
      </c>
      <c r="BE220" s="76">
        <f t="shared" si="915"/>
        <v>0</v>
      </c>
      <c r="BF220" s="76">
        <f t="shared" si="915"/>
        <v>0</v>
      </c>
      <c r="BG220" s="76">
        <f t="shared" si="915"/>
        <v>0</v>
      </c>
      <c r="BH220" s="76">
        <f t="shared" si="915"/>
        <v>0</v>
      </c>
      <c r="BI220" s="76">
        <f t="shared" si="915"/>
        <v>0</v>
      </c>
      <c r="BJ220" s="76">
        <f t="shared" si="915"/>
        <v>0</v>
      </c>
      <c r="BK220" s="148"/>
      <c r="BL220" s="148"/>
      <c r="BM220" s="148"/>
      <c r="BN220" s="148"/>
      <c r="BO220" s="148"/>
    </row>
    <row r="221" spans="1:67" ht="15.75" customHeight="1">
      <c r="A221" s="229"/>
      <c r="B221" s="229"/>
      <c r="C221" s="176"/>
      <c r="D221" s="230" t="s">
        <v>431</v>
      </c>
      <c r="E221" s="209">
        <f t="shared" ref="E221:F221" si="916">E222+E233</f>
        <v>0</v>
      </c>
      <c r="F221" s="209">
        <f t="shared" si="916"/>
        <v>0</v>
      </c>
      <c r="G221" s="206" t="e">
        <f t="shared" si="774"/>
        <v>#DIV/0!</v>
      </c>
      <c r="H221" s="206" t="e">
        <f t="shared" si="2"/>
        <v>#DIV/0!</v>
      </c>
      <c r="I221" s="209">
        <f t="shared" ref="I221:N221" si="917">I222+I233</f>
        <v>90799.86</v>
      </c>
      <c r="J221" s="209">
        <f t="shared" si="917"/>
        <v>259037.4</v>
      </c>
      <c r="K221" s="209">
        <f t="shared" si="917"/>
        <v>0</v>
      </c>
      <c r="L221" s="209">
        <f t="shared" si="917"/>
        <v>22521.05</v>
      </c>
      <c r="M221" s="209">
        <f t="shared" si="917"/>
        <v>114839.44</v>
      </c>
      <c r="N221" s="209">
        <f t="shared" si="917"/>
        <v>0</v>
      </c>
      <c r="O221" s="65">
        <f t="shared" ref="O221:Q221" si="918">IF(BH221=0,SUM(X221+AA221+AD221+AG221+AJ221+AM221+AP221+AS221+AV221+AY221+BB221+BE221),BH221)</f>
        <v>22521.050000000003</v>
      </c>
      <c r="P221" s="65">
        <f t="shared" si="918"/>
        <v>114839.43999999999</v>
      </c>
      <c r="Q221" s="65">
        <f t="shared" si="918"/>
        <v>0</v>
      </c>
      <c r="R221" s="209">
        <f t="shared" ref="R221:T221" si="919">R222+R233</f>
        <v>68278.81</v>
      </c>
      <c r="S221" s="209">
        <f t="shared" si="919"/>
        <v>144197.96</v>
      </c>
      <c r="T221" s="209">
        <f t="shared" si="919"/>
        <v>0</v>
      </c>
      <c r="U221" s="231">
        <f t="shared" ref="U221:W221" si="920">L221/I221</f>
        <v>0.24802956744646962</v>
      </c>
      <c r="V221" s="231">
        <f t="shared" si="920"/>
        <v>0.44333150348173661</v>
      </c>
      <c r="W221" s="231" t="e">
        <f t="shared" si="920"/>
        <v>#DIV/0!</v>
      </c>
      <c r="X221" s="209">
        <f t="shared" ref="X221:BJ221" si="921">X222+X233</f>
        <v>0</v>
      </c>
      <c r="Y221" s="209">
        <f t="shared" si="921"/>
        <v>12400</v>
      </c>
      <c r="Z221" s="209">
        <f t="shared" si="921"/>
        <v>0</v>
      </c>
      <c r="AA221" s="209">
        <f t="shared" si="921"/>
        <v>3155.58</v>
      </c>
      <c r="AB221" s="209">
        <f t="shared" si="921"/>
        <v>16141.759999999998</v>
      </c>
      <c r="AC221" s="209">
        <f t="shared" si="921"/>
        <v>0</v>
      </c>
      <c r="AD221" s="209">
        <f t="shared" si="921"/>
        <v>6010.84</v>
      </c>
      <c r="AE221" s="209">
        <f t="shared" si="921"/>
        <v>19438.48</v>
      </c>
      <c r="AF221" s="209">
        <f t="shared" si="921"/>
        <v>0</v>
      </c>
      <c r="AG221" s="209">
        <f t="shared" si="921"/>
        <v>13354.630000000001</v>
      </c>
      <c r="AH221" s="209">
        <f t="shared" si="921"/>
        <v>37144</v>
      </c>
      <c r="AI221" s="209">
        <f t="shared" si="921"/>
        <v>0</v>
      </c>
      <c r="AJ221" s="209">
        <f t="shared" si="921"/>
        <v>0</v>
      </c>
      <c r="AK221" s="209">
        <f t="shared" si="921"/>
        <v>29715.200000000001</v>
      </c>
      <c r="AL221" s="209">
        <f t="shared" si="921"/>
        <v>0</v>
      </c>
      <c r="AM221" s="209">
        <f t="shared" si="921"/>
        <v>0</v>
      </c>
      <c r="AN221" s="209">
        <f t="shared" si="921"/>
        <v>0</v>
      </c>
      <c r="AO221" s="209">
        <f t="shared" si="921"/>
        <v>0</v>
      </c>
      <c r="AP221" s="209">
        <f t="shared" si="921"/>
        <v>0</v>
      </c>
      <c r="AQ221" s="209">
        <f t="shared" si="921"/>
        <v>0</v>
      </c>
      <c r="AR221" s="209">
        <f t="shared" si="921"/>
        <v>0</v>
      </c>
      <c r="AS221" s="209">
        <f t="shared" si="921"/>
        <v>0</v>
      </c>
      <c r="AT221" s="209">
        <f t="shared" si="921"/>
        <v>0</v>
      </c>
      <c r="AU221" s="209">
        <f t="shared" si="921"/>
        <v>0</v>
      </c>
      <c r="AV221" s="209">
        <f t="shared" si="921"/>
        <v>0</v>
      </c>
      <c r="AW221" s="209">
        <f t="shared" si="921"/>
        <v>0</v>
      </c>
      <c r="AX221" s="209">
        <f t="shared" si="921"/>
        <v>0</v>
      </c>
      <c r="AY221" s="209">
        <f t="shared" si="921"/>
        <v>0</v>
      </c>
      <c r="AZ221" s="209">
        <f t="shared" si="921"/>
        <v>0</v>
      </c>
      <c r="BA221" s="209">
        <f t="shared" si="921"/>
        <v>0</v>
      </c>
      <c r="BB221" s="209">
        <f t="shared" si="921"/>
        <v>0</v>
      </c>
      <c r="BC221" s="209">
        <f t="shared" si="921"/>
        <v>0</v>
      </c>
      <c r="BD221" s="209">
        <f t="shared" si="921"/>
        <v>0</v>
      </c>
      <c r="BE221" s="209">
        <f t="shared" si="921"/>
        <v>0</v>
      </c>
      <c r="BF221" s="209">
        <f t="shared" si="921"/>
        <v>0</v>
      </c>
      <c r="BG221" s="209">
        <f t="shared" si="921"/>
        <v>0</v>
      </c>
      <c r="BH221" s="209">
        <f t="shared" si="921"/>
        <v>0</v>
      </c>
      <c r="BI221" s="209">
        <f t="shared" si="921"/>
        <v>0</v>
      </c>
      <c r="BJ221" s="209">
        <f t="shared" si="921"/>
        <v>0</v>
      </c>
      <c r="BK221" s="155"/>
      <c r="BL221" s="155"/>
      <c r="BM221" s="155"/>
      <c r="BN221" s="155"/>
      <c r="BO221" s="155"/>
    </row>
    <row r="222" spans="1:67" ht="18.75">
      <c r="A222" s="218"/>
      <c r="B222" s="218"/>
      <c r="C222" s="211"/>
      <c r="D222" s="212" t="s">
        <v>432</v>
      </c>
      <c r="E222" s="213">
        <f t="shared" ref="E222:F222" si="922">SUM(E223:E232)</f>
        <v>0</v>
      </c>
      <c r="F222" s="213">
        <f t="shared" si="922"/>
        <v>0</v>
      </c>
      <c r="G222" s="179" t="e">
        <f t="shared" si="774"/>
        <v>#DIV/0!</v>
      </c>
      <c r="H222" s="179" t="e">
        <f t="shared" si="2"/>
        <v>#DIV/0!</v>
      </c>
      <c r="I222" s="213">
        <f t="shared" ref="I222:N222" si="923">SUM(I223:I232)</f>
        <v>11345.45</v>
      </c>
      <c r="J222" s="213">
        <f t="shared" si="923"/>
        <v>7497</v>
      </c>
      <c r="K222" s="213">
        <f t="shared" si="923"/>
        <v>0</v>
      </c>
      <c r="L222" s="213">
        <f t="shared" si="923"/>
        <v>8505.32</v>
      </c>
      <c r="M222" s="213">
        <f t="shared" si="923"/>
        <v>0</v>
      </c>
      <c r="N222" s="213">
        <f t="shared" si="923"/>
        <v>0</v>
      </c>
      <c r="O222" s="214">
        <f t="shared" ref="O222:Q222" si="924">IF(BH222=0,SUM(X222+AA222+AD222+AG222+AJ222+AM222+AP222+AS222+AV222+AY222+BB222+BE222),BH222)</f>
        <v>8505.32</v>
      </c>
      <c r="P222" s="214">
        <f t="shared" si="924"/>
        <v>0</v>
      </c>
      <c r="Q222" s="214">
        <f t="shared" si="924"/>
        <v>0</v>
      </c>
      <c r="R222" s="213">
        <f t="shared" ref="R222:T222" si="925">SUM(R223:R232)</f>
        <v>2840.1299999999997</v>
      </c>
      <c r="S222" s="213">
        <f t="shared" si="925"/>
        <v>7497</v>
      </c>
      <c r="T222" s="213">
        <f t="shared" si="925"/>
        <v>0</v>
      </c>
      <c r="U222" s="232">
        <f t="shared" ref="U222:W222" si="926">L222/I222</f>
        <v>0.74966792855285591</v>
      </c>
      <c r="V222" s="232">
        <f t="shared" si="926"/>
        <v>0</v>
      </c>
      <c r="W222" s="232" t="e">
        <f t="shared" si="926"/>
        <v>#DIV/0!</v>
      </c>
      <c r="X222" s="213">
        <f t="shared" ref="X222:BJ222" si="927">SUM(X223:X232)</f>
        <v>0</v>
      </c>
      <c r="Y222" s="213">
        <f t="shared" si="927"/>
        <v>0</v>
      </c>
      <c r="Z222" s="213">
        <f t="shared" si="927"/>
        <v>0</v>
      </c>
      <c r="AA222" s="213">
        <f t="shared" si="927"/>
        <v>0</v>
      </c>
      <c r="AB222" s="213">
        <f t="shared" si="927"/>
        <v>0</v>
      </c>
      <c r="AC222" s="213">
        <f t="shared" si="927"/>
        <v>0</v>
      </c>
      <c r="AD222" s="213">
        <f t="shared" si="927"/>
        <v>1175.6100000000001</v>
      </c>
      <c r="AE222" s="213">
        <f t="shared" si="927"/>
        <v>0</v>
      </c>
      <c r="AF222" s="213">
        <f t="shared" si="927"/>
        <v>0</v>
      </c>
      <c r="AG222" s="213">
        <f t="shared" si="927"/>
        <v>7329.71</v>
      </c>
      <c r="AH222" s="213">
        <f t="shared" si="927"/>
        <v>0</v>
      </c>
      <c r="AI222" s="213">
        <f t="shared" si="927"/>
        <v>0</v>
      </c>
      <c r="AJ222" s="213">
        <f t="shared" si="927"/>
        <v>0</v>
      </c>
      <c r="AK222" s="213">
        <f t="shared" si="927"/>
        <v>0</v>
      </c>
      <c r="AL222" s="213">
        <f t="shared" si="927"/>
        <v>0</v>
      </c>
      <c r="AM222" s="213">
        <f t="shared" si="927"/>
        <v>0</v>
      </c>
      <c r="AN222" s="213">
        <f t="shared" si="927"/>
        <v>0</v>
      </c>
      <c r="AO222" s="213">
        <f t="shared" si="927"/>
        <v>0</v>
      </c>
      <c r="AP222" s="213">
        <f t="shared" si="927"/>
        <v>0</v>
      </c>
      <c r="AQ222" s="213">
        <f t="shared" si="927"/>
        <v>0</v>
      </c>
      <c r="AR222" s="213">
        <f t="shared" si="927"/>
        <v>0</v>
      </c>
      <c r="AS222" s="213">
        <f t="shared" si="927"/>
        <v>0</v>
      </c>
      <c r="AT222" s="213">
        <f t="shared" si="927"/>
        <v>0</v>
      </c>
      <c r="AU222" s="213">
        <f t="shared" si="927"/>
        <v>0</v>
      </c>
      <c r="AV222" s="213">
        <f t="shared" si="927"/>
        <v>0</v>
      </c>
      <c r="AW222" s="213">
        <f t="shared" si="927"/>
        <v>0</v>
      </c>
      <c r="AX222" s="213">
        <f t="shared" si="927"/>
        <v>0</v>
      </c>
      <c r="AY222" s="213">
        <f t="shared" si="927"/>
        <v>0</v>
      </c>
      <c r="AZ222" s="213">
        <f t="shared" si="927"/>
        <v>0</v>
      </c>
      <c r="BA222" s="213">
        <f t="shared" si="927"/>
        <v>0</v>
      </c>
      <c r="BB222" s="213">
        <f t="shared" si="927"/>
        <v>0</v>
      </c>
      <c r="BC222" s="213">
        <f t="shared" si="927"/>
        <v>0</v>
      </c>
      <c r="BD222" s="213">
        <f t="shared" si="927"/>
        <v>0</v>
      </c>
      <c r="BE222" s="213">
        <f t="shared" si="927"/>
        <v>0</v>
      </c>
      <c r="BF222" s="213">
        <f t="shared" si="927"/>
        <v>0</v>
      </c>
      <c r="BG222" s="213">
        <f t="shared" si="927"/>
        <v>0</v>
      </c>
      <c r="BH222" s="213">
        <f t="shared" si="927"/>
        <v>0</v>
      </c>
      <c r="BI222" s="213">
        <f t="shared" si="927"/>
        <v>0</v>
      </c>
      <c r="BJ222" s="213">
        <f t="shared" si="927"/>
        <v>0</v>
      </c>
      <c r="BK222" s="215"/>
      <c r="BL222" s="215"/>
      <c r="BM222" s="215"/>
      <c r="BN222" s="215"/>
      <c r="BO222" s="215"/>
    </row>
    <row r="223" spans="1:67" ht="31.5" customHeight="1">
      <c r="A223" s="89" t="s">
        <v>433</v>
      </c>
      <c r="B223" s="90"/>
      <c r="C223" s="80" t="s">
        <v>260</v>
      </c>
      <c r="D223" s="81" t="s">
        <v>434</v>
      </c>
      <c r="E223" s="82"/>
      <c r="F223" s="82"/>
      <c r="G223" s="83" t="e">
        <f t="shared" si="774"/>
        <v>#DIV/0!</v>
      </c>
      <c r="H223" s="83" t="e">
        <f t="shared" si="2"/>
        <v>#DIV/0!</v>
      </c>
      <c r="I223" s="82">
        <v>4545.45</v>
      </c>
      <c r="J223" s="137"/>
      <c r="K223" s="137"/>
      <c r="L223" s="86">
        <f t="shared" ref="L223:N223" si="928">X223+AA223+AD223+AG223+AJ223+AM223+AP223+AS223+AV223+AY223+BB223+BE223</f>
        <v>4545.45</v>
      </c>
      <c r="M223" s="86">
        <f t="shared" si="928"/>
        <v>0</v>
      </c>
      <c r="N223" s="86">
        <f t="shared" si="928"/>
        <v>0</v>
      </c>
      <c r="O223" s="62">
        <f t="shared" ref="O223:Q223" si="929">IF(BH223=0,SUM(X223+AA223+AD223+AG223+AJ223+AM223+AP223+AS223+AV223+AY223+BB223+BE223),BH223)</f>
        <v>4545.45</v>
      </c>
      <c r="P223" s="62">
        <f t="shared" si="929"/>
        <v>0</v>
      </c>
      <c r="Q223" s="62">
        <f t="shared" si="929"/>
        <v>0</v>
      </c>
      <c r="R223" s="86">
        <f t="shared" ref="R223:T223" si="930">I223-L223</f>
        <v>0</v>
      </c>
      <c r="S223" s="86">
        <f t="shared" si="930"/>
        <v>0</v>
      </c>
      <c r="T223" s="86">
        <f t="shared" si="930"/>
        <v>0</v>
      </c>
      <c r="U223" s="87">
        <f t="shared" ref="U223:W223" si="931">L223/I223</f>
        <v>1</v>
      </c>
      <c r="V223" s="87" t="e">
        <f t="shared" si="931"/>
        <v>#DIV/0!</v>
      </c>
      <c r="W223" s="87" t="e">
        <f t="shared" si="931"/>
        <v>#DIV/0!</v>
      </c>
      <c r="X223" s="137">
        <v>0</v>
      </c>
      <c r="Y223" s="137"/>
      <c r="Z223" s="137"/>
      <c r="AA223" s="137">
        <v>0</v>
      </c>
      <c r="AB223" s="137"/>
      <c r="AC223" s="137"/>
      <c r="AD223" s="137">
        <v>0</v>
      </c>
      <c r="AE223" s="137"/>
      <c r="AF223" s="137"/>
      <c r="AG223" s="137">
        <f>4545.45</f>
        <v>4545.45</v>
      </c>
      <c r="AH223" s="137"/>
      <c r="AI223" s="137"/>
      <c r="AJ223" s="137"/>
      <c r="AK223" s="137"/>
      <c r="AL223" s="137"/>
      <c r="AM223" s="137"/>
      <c r="AN223" s="137"/>
      <c r="AO223" s="137"/>
      <c r="AP223" s="137"/>
      <c r="AQ223" s="137"/>
      <c r="AR223" s="137"/>
      <c r="AS223" s="137"/>
      <c r="AT223" s="137"/>
      <c r="AU223" s="137"/>
      <c r="AV223" s="137"/>
      <c r="AW223" s="137"/>
      <c r="AX223" s="137"/>
      <c r="AY223" s="137"/>
      <c r="AZ223" s="137"/>
      <c r="BA223" s="137"/>
      <c r="BB223" s="137"/>
      <c r="BC223" s="137"/>
      <c r="BD223" s="137"/>
      <c r="BE223" s="137"/>
      <c r="BF223" s="137"/>
      <c r="BG223" s="137"/>
      <c r="BH223" s="137"/>
      <c r="BI223" s="137"/>
      <c r="BJ223" s="137"/>
      <c r="BK223" s="88"/>
      <c r="BL223" s="88"/>
      <c r="BM223" s="88"/>
      <c r="BN223" s="88"/>
      <c r="BO223" s="88"/>
    </row>
    <row r="224" spans="1:67" ht="36" customHeight="1">
      <c r="A224" s="79" t="s">
        <v>435</v>
      </c>
      <c r="B224" s="80"/>
      <c r="C224" s="79" t="s">
        <v>436</v>
      </c>
      <c r="D224" s="233" t="s">
        <v>437</v>
      </c>
      <c r="E224" s="82"/>
      <c r="F224" s="82"/>
      <c r="G224" s="83" t="e">
        <f t="shared" si="774"/>
        <v>#DIV/0!</v>
      </c>
      <c r="H224" s="83" t="e">
        <f t="shared" si="2"/>
        <v>#DIV/0!</v>
      </c>
      <c r="I224" s="93">
        <v>1000</v>
      </c>
      <c r="J224" s="137"/>
      <c r="K224" s="234"/>
      <c r="L224" s="86">
        <f t="shared" ref="L224:N224" si="932">X224+AA224+AD224+AG224+AJ224+AM224+AP224+AS224+AV224+AY224+BB224+BE224</f>
        <v>500</v>
      </c>
      <c r="M224" s="86">
        <f t="shared" si="932"/>
        <v>0</v>
      </c>
      <c r="N224" s="86">
        <f t="shared" si="932"/>
        <v>0</v>
      </c>
      <c r="O224" s="62">
        <f t="shared" ref="O224:Q224" si="933">IF(BH224=0,SUM(X224+AA224+AD224+AG224+AJ224+AM224+AP224+AS224+AV224+AY224+BB224+BE224),BH224)</f>
        <v>500</v>
      </c>
      <c r="P224" s="62">
        <f t="shared" si="933"/>
        <v>0</v>
      </c>
      <c r="Q224" s="62">
        <f t="shared" si="933"/>
        <v>0</v>
      </c>
      <c r="R224" s="86">
        <f t="shared" ref="R224:T224" si="934">I224-L224</f>
        <v>500</v>
      </c>
      <c r="S224" s="86">
        <f t="shared" si="934"/>
        <v>0</v>
      </c>
      <c r="T224" s="86">
        <f t="shared" si="934"/>
        <v>0</v>
      </c>
      <c r="U224" s="87">
        <f t="shared" ref="U224:W224" si="935">L224/I224</f>
        <v>0.5</v>
      </c>
      <c r="V224" s="87" t="e">
        <f t="shared" si="935"/>
        <v>#DIV/0!</v>
      </c>
      <c r="W224" s="87" t="e">
        <f t="shared" si="935"/>
        <v>#DIV/0!</v>
      </c>
      <c r="X224" s="137">
        <v>0</v>
      </c>
      <c r="Y224" s="137"/>
      <c r="Z224" s="137"/>
      <c r="AA224" s="137">
        <v>0</v>
      </c>
      <c r="AB224" s="137"/>
      <c r="AC224" s="137"/>
      <c r="AD224" s="137">
        <v>500</v>
      </c>
      <c r="AE224" s="137"/>
      <c r="AF224" s="137"/>
      <c r="AG224" s="137"/>
      <c r="AH224" s="137"/>
      <c r="AI224" s="137"/>
      <c r="AJ224" s="137"/>
      <c r="AK224" s="137"/>
      <c r="AL224" s="137"/>
      <c r="AM224" s="137"/>
      <c r="AN224" s="137"/>
      <c r="AO224" s="137"/>
      <c r="AP224" s="137"/>
      <c r="AQ224" s="137"/>
      <c r="AR224" s="137"/>
      <c r="AS224" s="137"/>
      <c r="AT224" s="137"/>
      <c r="AU224" s="137"/>
      <c r="AV224" s="137"/>
      <c r="AW224" s="137"/>
      <c r="AX224" s="137"/>
      <c r="AY224" s="137"/>
      <c r="AZ224" s="137"/>
      <c r="BA224" s="137"/>
      <c r="BB224" s="137"/>
      <c r="BC224" s="137"/>
      <c r="BD224" s="137"/>
      <c r="BE224" s="137"/>
      <c r="BF224" s="137"/>
      <c r="BG224" s="137"/>
      <c r="BH224" s="137"/>
      <c r="BI224" s="137"/>
      <c r="BJ224" s="137"/>
      <c r="BK224" s="88"/>
      <c r="BL224" s="88"/>
      <c r="BM224" s="88"/>
      <c r="BN224" s="88"/>
      <c r="BO224" s="88"/>
    </row>
    <row r="225" spans="1:67" ht="15.75" customHeight="1">
      <c r="A225" s="79" t="s">
        <v>438</v>
      </c>
      <c r="B225" s="80"/>
      <c r="C225" s="79" t="s">
        <v>301</v>
      </c>
      <c r="D225" s="119" t="s">
        <v>439</v>
      </c>
      <c r="E225" s="82"/>
      <c r="F225" s="82"/>
      <c r="G225" s="83" t="e">
        <f t="shared" si="774"/>
        <v>#DIV/0!</v>
      </c>
      <c r="H225" s="83" t="e">
        <f t="shared" si="2"/>
        <v>#DIV/0!</v>
      </c>
      <c r="I225" s="93">
        <v>800</v>
      </c>
      <c r="J225" s="137"/>
      <c r="K225" s="234"/>
      <c r="L225" s="86">
        <f t="shared" ref="L225:N225" si="936">X225+AA225+AD225+AG225+AJ225+AM225+AP225+AS225+AV225+AY225+BB225+BE225</f>
        <v>400</v>
      </c>
      <c r="M225" s="86">
        <f t="shared" si="936"/>
        <v>0</v>
      </c>
      <c r="N225" s="86">
        <f t="shared" si="936"/>
        <v>0</v>
      </c>
      <c r="O225" s="62">
        <f t="shared" ref="O225:Q225" si="937">IF(BH225=0,SUM(X225+AA225+AD225+AG225+AJ225+AM225+AP225+AS225+AV225+AY225+BB225+BE225),BH225)</f>
        <v>400</v>
      </c>
      <c r="P225" s="62">
        <f t="shared" si="937"/>
        <v>0</v>
      </c>
      <c r="Q225" s="62">
        <f t="shared" si="937"/>
        <v>0</v>
      </c>
      <c r="R225" s="86">
        <f t="shared" ref="R225:T225" si="938">I225-L225</f>
        <v>400</v>
      </c>
      <c r="S225" s="86">
        <f t="shared" si="938"/>
        <v>0</v>
      </c>
      <c r="T225" s="86">
        <f t="shared" si="938"/>
        <v>0</v>
      </c>
      <c r="U225" s="87">
        <f t="shared" ref="U225:W225" si="939">L225/I225</f>
        <v>0.5</v>
      </c>
      <c r="V225" s="87" t="e">
        <f t="shared" si="939"/>
        <v>#DIV/0!</v>
      </c>
      <c r="W225" s="87" t="e">
        <f t="shared" si="939"/>
        <v>#DIV/0!</v>
      </c>
      <c r="X225" s="137">
        <v>0</v>
      </c>
      <c r="Y225" s="137"/>
      <c r="Z225" s="137"/>
      <c r="AA225" s="137">
        <v>0</v>
      </c>
      <c r="AB225" s="137"/>
      <c r="AC225" s="137"/>
      <c r="AD225" s="137">
        <v>400</v>
      </c>
      <c r="AE225" s="137"/>
      <c r="AF225" s="137"/>
      <c r="AG225" s="137"/>
      <c r="AH225" s="137"/>
      <c r="AI225" s="137"/>
      <c r="AJ225" s="137"/>
      <c r="AK225" s="137"/>
      <c r="AL225" s="137"/>
      <c r="AM225" s="137"/>
      <c r="AN225" s="137"/>
      <c r="AO225" s="137"/>
      <c r="AP225" s="137"/>
      <c r="AQ225" s="137"/>
      <c r="AR225" s="137"/>
      <c r="AS225" s="137"/>
      <c r="AT225" s="137"/>
      <c r="AU225" s="137"/>
      <c r="AV225" s="137"/>
      <c r="AW225" s="137"/>
      <c r="AX225" s="137"/>
      <c r="AY225" s="137"/>
      <c r="AZ225" s="137"/>
      <c r="BA225" s="137"/>
      <c r="BB225" s="137"/>
      <c r="BC225" s="137"/>
      <c r="BD225" s="137"/>
      <c r="BE225" s="137"/>
      <c r="BF225" s="137"/>
      <c r="BG225" s="137"/>
      <c r="BH225" s="137"/>
      <c r="BI225" s="137"/>
      <c r="BJ225" s="137"/>
      <c r="BK225" s="88"/>
      <c r="BL225" s="88"/>
      <c r="BM225" s="88"/>
      <c r="BN225" s="88"/>
      <c r="BO225" s="88"/>
    </row>
    <row r="226" spans="1:67" ht="15.75" customHeight="1">
      <c r="A226" s="79"/>
      <c r="B226" s="80"/>
      <c r="C226" s="79" t="s">
        <v>301</v>
      </c>
      <c r="D226" s="119" t="s">
        <v>440</v>
      </c>
      <c r="E226" s="82"/>
      <c r="F226" s="82"/>
      <c r="G226" s="83" t="e">
        <f t="shared" si="774"/>
        <v>#DIV/0!</v>
      </c>
      <c r="H226" s="83" t="e">
        <f t="shared" si="2"/>
        <v>#DIV/0!</v>
      </c>
      <c r="I226" s="93"/>
      <c r="J226" s="137"/>
      <c r="K226" s="234"/>
      <c r="L226" s="86">
        <f t="shared" ref="L226:N226" si="940">X226+AA226+AD226+AG226+AJ226+AM226+AP226+AS226+AV226+AY226+BB226+BE226</f>
        <v>0</v>
      </c>
      <c r="M226" s="86">
        <f t="shared" si="940"/>
        <v>0</v>
      </c>
      <c r="N226" s="86">
        <f t="shared" si="940"/>
        <v>0</v>
      </c>
      <c r="O226" s="62">
        <f t="shared" ref="O226:Q226" si="941">IF(BH226=0,SUM(X226+AA226+AD226+AG226+AJ226+AM226+AP226+AS226+AV226+AY226+BB226+BE226),BH226)</f>
        <v>0</v>
      </c>
      <c r="P226" s="62">
        <f t="shared" si="941"/>
        <v>0</v>
      </c>
      <c r="Q226" s="62">
        <f t="shared" si="941"/>
        <v>0</v>
      </c>
      <c r="R226" s="86">
        <f t="shared" ref="R226:T226" si="942">I226-L226</f>
        <v>0</v>
      </c>
      <c r="S226" s="86">
        <f t="shared" si="942"/>
        <v>0</v>
      </c>
      <c r="T226" s="86">
        <f t="shared" si="942"/>
        <v>0</v>
      </c>
      <c r="U226" s="87" t="e">
        <f t="shared" ref="U226:W226" si="943">L226/I226</f>
        <v>#DIV/0!</v>
      </c>
      <c r="V226" s="87" t="e">
        <f t="shared" si="943"/>
        <v>#DIV/0!</v>
      </c>
      <c r="W226" s="87" t="e">
        <f t="shared" si="943"/>
        <v>#DIV/0!</v>
      </c>
      <c r="X226" s="137"/>
      <c r="Y226" s="137"/>
      <c r="Z226" s="137"/>
      <c r="AA226" s="137"/>
      <c r="AB226" s="137"/>
      <c r="AC226" s="137"/>
      <c r="AD226" s="137"/>
      <c r="AE226" s="137"/>
      <c r="AF226" s="137"/>
      <c r="AG226" s="137"/>
      <c r="AH226" s="137"/>
      <c r="AI226" s="137"/>
      <c r="AJ226" s="137"/>
      <c r="AK226" s="137"/>
      <c r="AL226" s="137"/>
      <c r="AM226" s="137"/>
      <c r="AN226" s="137"/>
      <c r="AO226" s="137"/>
      <c r="AP226" s="137"/>
      <c r="AQ226" s="137"/>
      <c r="AR226" s="137"/>
      <c r="AS226" s="137"/>
      <c r="AT226" s="137"/>
      <c r="AU226" s="137"/>
      <c r="AV226" s="137"/>
      <c r="AW226" s="137"/>
      <c r="AX226" s="137"/>
      <c r="AY226" s="137"/>
      <c r="AZ226" s="137"/>
      <c r="BA226" s="137"/>
      <c r="BB226" s="137"/>
      <c r="BC226" s="137"/>
      <c r="BD226" s="137"/>
      <c r="BE226" s="137"/>
      <c r="BF226" s="137"/>
      <c r="BG226" s="137"/>
      <c r="BH226" s="137"/>
      <c r="BI226" s="137"/>
      <c r="BJ226" s="137"/>
      <c r="BK226" s="88"/>
      <c r="BL226" s="88"/>
      <c r="BM226" s="88"/>
      <c r="BN226" s="88"/>
      <c r="BO226" s="88"/>
    </row>
    <row r="227" spans="1:67" ht="15.75" customHeight="1">
      <c r="A227" s="79"/>
      <c r="B227" s="91" t="s">
        <v>441</v>
      </c>
      <c r="C227" s="80" t="s">
        <v>338</v>
      </c>
      <c r="D227" s="81" t="s">
        <v>580</v>
      </c>
      <c r="E227" s="82"/>
      <c r="F227" s="82"/>
      <c r="G227" s="83" t="e">
        <f t="shared" si="774"/>
        <v>#DIV/0!</v>
      </c>
      <c r="H227" s="83" t="e">
        <f t="shared" si="2"/>
        <v>#DIV/0!</v>
      </c>
      <c r="I227" s="182"/>
      <c r="J227" s="137">
        <v>7497</v>
      </c>
      <c r="K227" s="234"/>
      <c r="L227" s="86">
        <f t="shared" ref="L227:N227" si="944">X227+AA227+AD227+AG227+AJ227+AM227+AP227+AS227+AV227+AY227+BB227+BE227</f>
        <v>0</v>
      </c>
      <c r="M227" s="86">
        <f t="shared" si="944"/>
        <v>0</v>
      </c>
      <c r="N227" s="86">
        <f t="shared" si="944"/>
        <v>0</v>
      </c>
      <c r="O227" s="62">
        <f t="shared" ref="O227:Q227" si="945">IF(BH227=0,SUM(X227+AA227+AD227+AG227+AJ227+AM227+AP227+AS227+AV227+AY227+BB227+BE227),BH227)</f>
        <v>0</v>
      </c>
      <c r="P227" s="62">
        <f t="shared" si="945"/>
        <v>0</v>
      </c>
      <c r="Q227" s="62">
        <f t="shared" si="945"/>
        <v>0</v>
      </c>
      <c r="R227" s="86">
        <f t="shared" ref="R227:T227" si="946">I227-L227</f>
        <v>0</v>
      </c>
      <c r="S227" s="86">
        <f t="shared" si="946"/>
        <v>7497</v>
      </c>
      <c r="T227" s="86">
        <f t="shared" si="946"/>
        <v>0</v>
      </c>
      <c r="U227" s="87" t="e">
        <f t="shared" ref="U227:W227" si="947">L227/I227</f>
        <v>#DIV/0!</v>
      </c>
      <c r="V227" s="87">
        <f t="shared" si="947"/>
        <v>0</v>
      </c>
      <c r="W227" s="87" t="e">
        <f t="shared" si="947"/>
        <v>#DIV/0!</v>
      </c>
      <c r="X227" s="137"/>
      <c r="Y227" s="137">
        <v>0</v>
      </c>
      <c r="Z227" s="137"/>
      <c r="AA227" s="137"/>
      <c r="AB227" s="137"/>
      <c r="AC227" s="137"/>
      <c r="AD227" s="137"/>
      <c r="AE227" s="137"/>
      <c r="AF227" s="137"/>
      <c r="AG227" s="137"/>
      <c r="AH227" s="137"/>
      <c r="AI227" s="137"/>
      <c r="AJ227" s="137"/>
      <c r="AK227" s="137"/>
      <c r="AL227" s="137"/>
      <c r="AM227" s="137"/>
      <c r="AN227" s="137"/>
      <c r="AO227" s="137"/>
      <c r="AP227" s="137"/>
      <c r="AQ227" s="137"/>
      <c r="AR227" s="137"/>
      <c r="AS227" s="137"/>
      <c r="AT227" s="137"/>
      <c r="AU227" s="137"/>
      <c r="AV227" s="137"/>
      <c r="AW227" s="137"/>
      <c r="AX227" s="137"/>
      <c r="AY227" s="137"/>
      <c r="AZ227" s="137"/>
      <c r="BA227" s="137"/>
      <c r="BB227" s="137"/>
      <c r="BC227" s="137"/>
      <c r="BD227" s="137"/>
      <c r="BE227" s="137"/>
      <c r="BF227" s="137"/>
      <c r="BG227" s="137"/>
      <c r="BH227" s="137"/>
      <c r="BI227" s="137"/>
      <c r="BJ227" s="137"/>
      <c r="BK227" s="88"/>
      <c r="BL227" s="88"/>
      <c r="BM227" s="88"/>
      <c r="BN227" s="88"/>
      <c r="BO227" s="88"/>
    </row>
    <row r="228" spans="1:67" ht="15.75" customHeight="1">
      <c r="A228" s="79"/>
      <c r="B228" s="91"/>
      <c r="C228" s="80" t="s">
        <v>338</v>
      </c>
      <c r="D228" s="81" t="s">
        <v>580</v>
      </c>
      <c r="E228" s="82"/>
      <c r="F228" s="82"/>
      <c r="G228" s="83" t="e">
        <f t="shared" si="774"/>
        <v>#DIV/0!</v>
      </c>
      <c r="H228" s="83" t="e">
        <f t="shared" si="2"/>
        <v>#DIV/0!</v>
      </c>
      <c r="I228" s="182"/>
      <c r="J228" s="137"/>
      <c r="K228" s="234"/>
      <c r="L228" s="86">
        <f t="shared" ref="L228:N228" si="948">X228+AA228+AD228+AG228+AJ228+AM228+AP228+AS228+AV228+AY228+BB228+BE228</f>
        <v>0</v>
      </c>
      <c r="M228" s="86">
        <f t="shared" si="948"/>
        <v>0</v>
      </c>
      <c r="N228" s="86">
        <f t="shared" si="948"/>
        <v>0</v>
      </c>
      <c r="O228" s="62">
        <f t="shared" ref="O228:Q228" si="949">IF(BH228=0,SUM(X228+AA228+AD228+AG228+AJ228+AM228+AP228+AS228+AV228+AY228+BB228+BE228),BH228)</f>
        <v>0</v>
      </c>
      <c r="P228" s="62">
        <f t="shared" si="949"/>
        <v>0</v>
      </c>
      <c r="Q228" s="62">
        <f t="shared" si="949"/>
        <v>0</v>
      </c>
      <c r="R228" s="86">
        <f t="shared" ref="R228:T228" si="950">I228-L228</f>
        <v>0</v>
      </c>
      <c r="S228" s="86">
        <f t="shared" si="950"/>
        <v>0</v>
      </c>
      <c r="T228" s="86">
        <f t="shared" si="950"/>
        <v>0</v>
      </c>
      <c r="U228" s="87" t="e">
        <f t="shared" ref="U228:W228" si="951">L228/I228</f>
        <v>#DIV/0!</v>
      </c>
      <c r="V228" s="87" t="e">
        <f t="shared" si="951"/>
        <v>#DIV/0!</v>
      </c>
      <c r="W228" s="87" t="e">
        <f t="shared" si="951"/>
        <v>#DIV/0!</v>
      </c>
      <c r="X228" s="137"/>
      <c r="Y228" s="137"/>
      <c r="Z228" s="137"/>
      <c r="AA228" s="137"/>
      <c r="AB228" s="137"/>
      <c r="AC228" s="137"/>
      <c r="AD228" s="137"/>
      <c r="AE228" s="137"/>
      <c r="AF228" s="137"/>
      <c r="AG228" s="137"/>
      <c r="AH228" s="137"/>
      <c r="AI228" s="137"/>
      <c r="AJ228" s="137"/>
      <c r="AK228" s="137"/>
      <c r="AL228" s="137"/>
      <c r="AM228" s="137"/>
      <c r="AN228" s="137"/>
      <c r="AO228" s="137"/>
      <c r="AP228" s="137"/>
      <c r="AQ228" s="137"/>
      <c r="AR228" s="137"/>
      <c r="AS228" s="137"/>
      <c r="AT228" s="137"/>
      <c r="AU228" s="137"/>
      <c r="AV228" s="137"/>
      <c r="AW228" s="137"/>
      <c r="AX228" s="137"/>
      <c r="AY228" s="137"/>
      <c r="AZ228" s="137"/>
      <c r="BA228" s="137"/>
      <c r="BB228" s="137"/>
      <c r="BC228" s="137"/>
      <c r="BD228" s="137"/>
      <c r="BE228" s="137"/>
      <c r="BF228" s="137"/>
      <c r="BG228" s="137"/>
      <c r="BH228" s="137"/>
      <c r="BI228" s="137"/>
      <c r="BJ228" s="137"/>
      <c r="BK228" s="88"/>
      <c r="BL228" s="88"/>
      <c r="BM228" s="88"/>
      <c r="BN228" s="88"/>
      <c r="BO228" s="88"/>
    </row>
    <row r="229" spans="1:67" ht="15.75" customHeight="1">
      <c r="A229" s="79"/>
      <c r="B229" s="91"/>
      <c r="C229" s="80" t="s">
        <v>338</v>
      </c>
      <c r="D229" s="81" t="s">
        <v>580</v>
      </c>
      <c r="E229" s="82"/>
      <c r="F229" s="82"/>
      <c r="G229" s="83" t="e">
        <f t="shared" si="774"/>
        <v>#DIV/0!</v>
      </c>
      <c r="H229" s="83" t="e">
        <f t="shared" si="2"/>
        <v>#DIV/0!</v>
      </c>
      <c r="I229" s="182"/>
      <c r="J229" s="137"/>
      <c r="K229" s="234"/>
      <c r="L229" s="86">
        <f t="shared" ref="L229:N229" si="952">X229+AA229+AD229+AG229+AJ229+AM229+AP229+AS229+AV229+AY229+BB229+BE229</f>
        <v>0</v>
      </c>
      <c r="M229" s="86">
        <f t="shared" si="952"/>
        <v>0</v>
      </c>
      <c r="N229" s="86">
        <f t="shared" si="952"/>
        <v>0</v>
      </c>
      <c r="O229" s="62">
        <f t="shared" ref="O229:Q229" si="953">IF(BH229=0,SUM(X229+AA229+AD229+AG229+AJ229+AM229+AP229+AS229+AV229+AY229+BB229+BE229),BH229)</f>
        <v>0</v>
      </c>
      <c r="P229" s="62">
        <f t="shared" si="953"/>
        <v>0</v>
      </c>
      <c r="Q229" s="62">
        <f t="shared" si="953"/>
        <v>0</v>
      </c>
      <c r="R229" s="86">
        <f t="shared" ref="R229:T229" si="954">I229-L229</f>
        <v>0</v>
      </c>
      <c r="S229" s="86">
        <f t="shared" si="954"/>
        <v>0</v>
      </c>
      <c r="T229" s="86">
        <f t="shared" si="954"/>
        <v>0</v>
      </c>
      <c r="U229" s="87" t="e">
        <f t="shared" ref="U229:W229" si="955">L229/I229</f>
        <v>#DIV/0!</v>
      </c>
      <c r="V229" s="87" t="e">
        <f t="shared" si="955"/>
        <v>#DIV/0!</v>
      </c>
      <c r="W229" s="87" t="e">
        <f t="shared" si="955"/>
        <v>#DIV/0!</v>
      </c>
      <c r="X229" s="137"/>
      <c r="Y229" s="137"/>
      <c r="Z229" s="137"/>
      <c r="AA229" s="137"/>
      <c r="AB229" s="137"/>
      <c r="AC229" s="137"/>
      <c r="AD229" s="137"/>
      <c r="AE229" s="137"/>
      <c r="AF229" s="137"/>
      <c r="AG229" s="137"/>
      <c r="AH229" s="137"/>
      <c r="AI229" s="137"/>
      <c r="AJ229" s="137"/>
      <c r="AK229" s="137"/>
      <c r="AL229" s="137"/>
      <c r="AM229" s="137"/>
      <c r="AN229" s="137"/>
      <c r="AO229" s="137"/>
      <c r="AP229" s="137"/>
      <c r="AQ229" s="137"/>
      <c r="AR229" s="137"/>
      <c r="AS229" s="137"/>
      <c r="AT229" s="137"/>
      <c r="AU229" s="137"/>
      <c r="AV229" s="137"/>
      <c r="AW229" s="137"/>
      <c r="AX229" s="137"/>
      <c r="AY229" s="137"/>
      <c r="AZ229" s="137"/>
      <c r="BA229" s="137"/>
      <c r="BB229" s="137"/>
      <c r="BC229" s="137"/>
      <c r="BD229" s="137"/>
      <c r="BE229" s="137"/>
      <c r="BF229" s="137"/>
      <c r="BG229" s="137"/>
      <c r="BH229" s="137"/>
      <c r="BI229" s="137"/>
      <c r="BJ229" s="137"/>
      <c r="BK229" s="88"/>
      <c r="BL229" s="88"/>
      <c r="BM229" s="88"/>
      <c r="BN229" s="88"/>
      <c r="BO229" s="88"/>
    </row>
    <row r="230" spans="1:67" ht="15.75" customHeight="1">
      <c r="A230" s="79"/>
      <c r="B230" s="91"/>
      <c r="C230" s="80" t="s">
        <v>442</v>
      </c>
      <c r="D230" s="81" t="s">
        <v>581</v>
      </c>
      <c r="E230" s="82"/>
      <c r="F230" s="82"/>
      <c r="G230" s="83" t="e">
        <f t="shared" si="774"/>
        <v>#DIV/0!</v>
      </c>
      <c r="H230" s="83" t="e">
        <f t="shared" si="2"/>
        <v>#DIV/0!</v>
      </c>
      <c r="I230" s="182"/>
      <c r="J230" s="137"/>
      <c r="K230" s="234"/>
      <c r="L230" s="86">
        <f t="shared" ref="L230:N230" si="956">X230+AA230+AD230+AG230+AJ230+AM230+AP230+AS230+AV230+AY230+BB230+BE230</f>
        <v>0</v>
      </c>
      <c r="M230" s="86">
        <f t="shared" si="956"/>
        <v>0</v>
      </c>
      <c r="N230" s="86">
        <f t="shared" si="956"/>
        <v>0</v>
      </c>
      <c r="O230" s="62">
        <f t="shared" ref="O230:Q230" si="957">IF(BH230=0,SUM(X230+AA230+AD230+AG230+AJ230+AM230+AP230+AS230+AV230+AY230+BB230+BE230),BH230)</f>
        <v>0</v>
      </c>
      <c r="P230" s="62">
        <f t="shared" si="957"/>
        <v>0</v>
      </c>
      <c r="Q230" s="62">
        <f t="shared" si="957"/>
        <v>0</v>
      </c>
      <c r="R230" s="86">
        <f t="shared" ref="R230:T230" si="958">I230-L230</f>
        <v>0</v>
      </c>
      <c r="S230" s="86">
        <f t="shared" si="958"/>
        <v>0</v>
      </c>
      <c r="T230" s="86">
        <f t="shared" si="958"/>
        <v>0</v>
      </c>
      <c r="U230" s="87" t="e">
        <f t="shared" ref="U230:W230" si="959">L230/I230</f>
        <v>#DIV/0!</v>
      </c>
      <c r="V230" s="87" t="e">
        <f t="shared" si="959"/>
        <v>#DIV/0!</v>
      </c>
      <c r="W230" s="87" t="e">
        <f t="shared" si="959"/>
        <v>#DIV/0!</v>
      </c>
      <c r="X230" s="137"/>
      <c r="Y230" s="137"/>
      <c r="Z230" s="137"/>
      <c r="AA230" s="137"/>
      <c r="AB230" s="137"/>
      <c r="AC230" s="137"/>
      <c r="AD230" s="137"/>
      <c r="AE230" s="137"/>
      <c r="AF230" s="137"/>
      <c r="AG230" s="137"/>
      <c r="AH230" s="137"/>
      <c r="AI230" s="137"/>
      <c r="AJ230" s="137"/>
      <c r="AK230" s="137"/>
      <c r="AL230" s="137"/>
      <c r="AM230" s="137"/>
      <c r="AN230" s="137"/>
      <c r="AO230" s="137"/>
      <c r="AP230" s="137"/>
      <c r="AQ230" s="137"/>
      <c r="AR230" s="137"/>
      <c r="AS230" s="137"/>
      <c r="AT230" s="137"/>
      <c r="AU230" s="137"/>
      <c r="AV230" s="137"/>
      <c r="AW230" s="137"/>
      <c r="AX230" s="137"/>
      <c r="AY230" s="137"/>
      <c r="AZ230" s="137"/>
      <c r="BA230" s="137"/>
      <c r="BB230" s="137"/>
      <c r="BC230" s="137"/>
      <c r="BD230" s="137"/>
      <c r="BE230" s="137"/>
      <c r="BF230" s="137"/>
      <c r="BG230" s="137"/>
      <c r="BH230" s="137"/>
      <c r="BI230" s="137"/>
      <c r="BJ230" s="137"/>
      <c r="BK230" s="88"/>
      <c r="BL230" s="88"/>
      <c r="BM230" s="88"/>
      <c r="BN230" s="88"/>
      <c r="BO230" s="88"/>
    </row>
    <row r="231" spans="1:67" ht="15.75" customHeight="1">
      <c r="A231" s="79" t="s">
        <v>443</v>
      </c>
      <c r="B231" s="80"/>
      <c r="C231" s="80" t="s">
        <v>89</v>
      </c>
      <c r="D231" s="81" t="s">
        <v>90</v>
      </c>
      <c r="E231" s="82"/>
      <c r="F231" s="82"/>
      <c r="G231" s="83" t="e">
        <f t="shared" si="774"/>
        <v>#DIV/0!</v>
      </c>
      <c r="H231" s="83" t="e">
        <f t="shared" si="2"/>
        <v>#DIV/0!</v>
      </c>
      <c r="I231" s="182">
        <v>5000</v>
      </c>
      <c r="J231" s="137"/>
      <c r="K231" s="234"/>
      <c r="L231" s="86">
        <f t="shared" ref="L231:N231" si="960">X231+AA231+AD231+AG231+AJ231+AM231+AP231+AS231+AV231+AY231+BB231+BE231</f>
        <v>3059.8700000000003</v>
      </c>
      <c r="M231" s="86">
        <f t="shared" si="960"/>
        <v>0</v>
      </c>
      <c r="N231" s="86">
        <f t="shared" si="960"/>
        <v>0</v>
      </c>
      <c r="O231" s="62">
        <f t="shared" ref="O231:Q231" si="961">IF(BH231=0,SUM(X231+AA231+AD231+AG231+AJ231+AM231+AP231+AS231+AV231+AY231+BB231+BE231),BH231)</f>
        <v>3059.8700000000003</v>
      </c>
      <c r="P231" s="62">
        <f t="shared" si="961"/>
        <v>0</v>
      </c>
      <c r="Q231" s="62">
        <f t="shared" si="961"/>
        <v>0</v>
      </c>
      <c r="R231" s="86">
        <f t="shared" ref="R231:T231" si="962">I231-L231</f>
        <v>1940.1299999999997</v>
      </c>
      <c r="S231" s="86">
        <f t="shared" si="962"/>
        <v>0</v>
      </c>
      <c r="T231" s="86">
        <f t="shared" si="962"/>
        <v>0</v>
      </c>
      <c r="U231" s="87">
        <f t="shared" ref="U231:W231" si="963">L231/I231</f>
        <v>0.61197400000000002</v>
      </c>
      <c r="V231" s="87" t="e">
        <f t="shared" si="963"/>
        <v>#DIV/0!</v>
      </c>
      <c r="W231" s="87" t="e">
        <f t="shared" si="963"/>
        <v>#DIV/0!</v>
      </c>
      <c r="X231" s="137">
        <v>0</v>
      </c>
      <c r="Y231" s="137"/>
      <c r="Z231" s="137"/>
      <c r="AA231" s="137">
        <v>0</v>
      </c>
      <c r="AB231" s="137"/>
      <c r="AC231" s="137"/>
      <c r="AD231" s="137">
        <f>275.61</f>
        <v>275.61</v>
      </c>
      <c r="AE231" s="137"/>
      <c r="AF231" s="137"/>
      <c r="AG231" s="137">
        <f>2784.26</f>
        <v>2784.26</v>
      </c>
      <c r="AH231" s="137"/>
      <c r="AI231" s="137"/>
      <c r="AJ231" s="137"/>
      <c r="AK231" s="137"/>
      <c r="AL231" s="137"/>
      <c r="AM231" s="137"/>
      <c r="AN231" s="137"/>
      <c r="AO231" s="137"/>
      <c r="AP231" s="137"/>
      <c r="AQ231" s="137"/>
      <c r="AR231" s="137"/>
      <c r="AS231" s="137"/>
      <c r="AT231" s="137"/>
      <c r="AU231" s="137"/>
      <c r="AV231" s="137"/>
      <c r="AW231" s="137"/>
      <c r="AX231" s="137"/>
      <c r="AY231" s="137"/>
      <c r="AZ231" s="137"/>
      <c r="BA231" s="137"/>
      <c r="BB231" s="137"/>
      <c r="BC231" s="137"/>
      <c r="BD231" s="137"/>
      <c r="BE231" s="137"/>
      <c r="BF231" s="137"/>
      <c r="BG231" s="137"/>
      <c r="BH231" s="137"/>
      <c r="BI231" s="137"/>
      <c r="BJ231" s="137"/>
      <c r="BK231" s="88"/>
      <c r="BL231" s="88"/>
      <c r="BM231" s="88"/>
      <c r="BN231" s="88"/>
      <c r="BO231" s="88"/>
    </row>
    <row r="232" spans="1:67" ht="15.75" customHeight="1">
      <c r="A232" s="89"/>
      <c r="B232" s="90"/>
      <c r="C232" s="80" t="s">
        <v>91</v>
      </c>
      <c r="D232" s="81" t="s">
        <v>92</v>
      </c>
      <c r="E232" s="82"/>
      <c r="F232" s="82"/>
      <c r="G232" s="83" t="e">
        <f t="shared" si="774"/>
        <v>#DIV/0!</v>
      </c>
      <c r="H232" s="83" t="e">
        <f t="shared" si="2"/>
        <v>#DIV/0!</v>
      </c>
      <c r="I232" s="182"/>
      <c r="J232" s="137"/>
      <c r="K232" s="182"/>
      <c r="L232" s="86">
        <f t="shared" ref="L232:N232" si="964">X232+AA232+AD232+AG232+AJ232+AM232+AP232+AS232+AV232+AY232+BB232+BE232</f>
        <v>0</v>
      </c>
      <c r="M232" s="86">
        <f t="shared" si="964"/>
        <v>0</v>
      </c>
      <c r="N232" s="86">
        <f t="shared" si="964"/>
        <v>0</v>
      </c>
      <c r="O232" s="62">
        <f t="shared" ref="O232:Q232" si="965">IF(BH232=0,SUM(X232+AA232+AD232+AG232+AJ232+AM232+AP232+AS232+AV232+AY232+BB232+BE232),BH232)</f>
        <v>0</v>
      </c>
      <c r="P232" s="62">
        <f t="shared" si="965"/>
        <v>0</v>
      </c>
      <c r="Q232" s="62">
        <f t="shared" si="965"/>
        <v>0</v>
      </c>
      <c r="R232" s="86">
        <f t="shared" ref="R232:T232" si="966">I232-L232</f>
        <v>0</v>
      </c>
      <c r="S232" s="86">
        <f t="shared" si="966"/>
        <v>0</v>
      </c>
      <c r="T232" s="86">
        <f t="shared" si="966"/>
        <v>0</v>
      </c>
      <c r="U232" s="87" t="e">
        <f t="shared" ref="U232:W232" si="967">L232/I232</f>
        <v>#DIV/0!</v>
      </c>
      <c r="V232" s="87" t="e">
        <f t="shared" si="967"/>
        <v>#DIV/0!</v>
      </c>
      <c r="W232" s="87" t="e">
        <f t="shared" si="967"/>
        <v>#DIV/0!</v>
      </c>
      <c r="X232" s="137"/>
      <c r="Y232" s="137"/>
      <c r="Z232" s="137"/>
      <c r="AA232" s="137"/>
      <c r="AB232" s="137"/>
      <c r="AC232" s="137"/>
      <c r="AD232" s="137"/>
      <c r="AE232" s="137"/>
      <c r="AF232" s="137"/>
      <c r="AG232" s="137"/>
      <c r="AH232" s="137"/>
      <c r="AI232" s="137"/>
      <c r="AJ232" s="137"/>
      <c r="AK232" s="137"/>
      <c r="AL232" s="137"/>
      <c r="AM232" s="137"/>
      <c r="AN232" s="137"/>
      <c r="AO232" s="137"/>
      <c r="AP232" s="137"/>
      <c r="AQ232" s="137"/>
      <c r="AR232" s="137"/>
      <c r="AS232" s="137"/>
      <c r="AT232" s="137"/>
      <c r="AU232" s="137"/>
      <c r="AV232" s="137"/>
      <c r="AW232" s="137"/>
      <c r="AX232" s="137"/>
      <c r="AY232" s="137"/>
      <c r="AZ232" s="137"/>
      <c r="BA232" s="137"/>
      <c r="BB232" s="137"/>
      <c r="BC232" s="137"/>
      <c r="BD232" s="137"/>
      <c r="BE232" s="137"/>
      <c r="BF232" s="137"/>
      <c r="BG232" s="137"/>
      <c r="BH232" s="137"/>
      <c r="BI232" s="137"/>
      <c r="BJ232" s="137"/>
      <c r="BK232" s="88"/>
      <c r="BL232" s="88"/>
      <c r="BM232" s="88"/>
      <c r="BN232" s="88"/>
      <c r="BO232" s="88"/>
    </row>
    <row r="233" spans="1:67" ht="18.75">
      <c r="A233" s="218"/>
      <c r="B233" s="218"/>
      <c r="C233" s="211"/>
      <c r="D233" s="212" t="s">
        <v>444</v>
      </c>
      <c r="E233" s="213">
        <f t="shared" ref="E233:F233" si="968">SUM(E234:E248)</f>
        <v>0</v>
      </c>
      <c r="F233" s="213">
        <f t="shared" si="968"/>
        <v>0</v>
      </c>
      <c r="G233" s="180" t="e">
        <f t="shared" si="774"/>
        <v>#DIV/0!</v>
      </c>
      <c r="H233" s="180" t="e">
        <f t="shared" si="2"/>
        <v>#DIV/0!</v>
      </c>
      <c r="I233" s="213">
        <f t="shared" ref="I233:N233" si="969">SUM(I234:I263)</f>
        <v>79454.41</v>
      </c>
      <c r="J233" s="213">
        <f t="shared" si="969"/>
        <v>251540.4</v>
      </c>
      <c r="K233" s="213">
        <f t="shared" si="969"/>
        <v>0</v>
      </c>
      <c r="L233" s="213">
        <f t="shared" si="969"/>
        <v>14015.73</v>
      </c>
      <c r="M233" s="213">
        <f t="shared" si="969"/>
        <v>114839.44</v>
      </c>
      <c r="N233" s="213">
        <f t="shared" si="969"/>
        <v>0</v>
      </c>
      <c r="O233" s="214">
        <f t="shared" ref="O233:Q233" si="970">IF(BH233=0,SUM(X233+AA233+AD233+AG233+AJ233+AM233+AP233+AS233+AV233+AY233+BB233+BE233),BH233)</f>
        <v>14015.73</v>
      </c>
      <c r="P233" s="214">
        <f t="shared" si="970"/>
        <v>114839.43999999999</v>
      </c>
      <c r="Q233" s="214">
        <f t="shared" si="970"/>
        <v>0</v>
      </c>
      <c r="R233" s="213">
        <f t="shared" ref="R233:T233" si="971">SUM(R234:R263)</f>
        <v>65438.68</v>
      </c>
      <c r="S233" s="213">
        <f t="shared" si="971"/>
        <v>136700.96</v>
      </c>
      <c r="T233" s="213">
        <f t="shared" si="971"/>
        <v>0</v>
      </c>
      <c r="U233" s="232">
        <f t="shared" ref="U233:W233" si="972">L233/I233</f>
        <v>0.17639964855317658</v>
      </c>
      <c r="V233" s="232">
        <f t="shared" si="972"/>
        <v>0.45654471408966513</v>
      </c>
      <c r="W233" s="232" t="e">
        <f t="shared" si="972"/>
        <v>#DIV/0!</v>
      </c>
      <c r="X233" s="213">
        <f t="shared" ref="X233:BJ233" si="973">SUM(X234:X263)</f>
        <v>0</v>
      </c>
      <c r="Y233" s="213">
        <f t="shared" si="973"/>
        <v>12400</v>
      </c>
      <c r="Z233" s="213">
        <f t="shared" si="973"/>
        <v>0</v>
      </c>
      <c r="AA233" s="213">
        <f t="shared" si="973"/>
        <v>3155.58</v>
      </c>
      <c r="AB233" s="213">
        <f t="shared" si="973"/>
        <v>16141.759999999998</v>
      </c>
      <c r="AC233" s="213">
        <f t="shared" si="973"/>
        <v>0</v>
      </c>
      <c r="AD233" s="213">
        <f t="shared" si="973"/>
        <v>4835.2300000000005</v>
      </c>
      <c r="AE233" s="213">
        <f t="shared" si="973"/>
        <v>19438.48</v>
      </c>
      <c r="AF233" s="213">
        <f t="shared" si="973"/>
        <v>0</v>
      </c>
      <c r="AG233" s="213">
        <f t="shared" si="973"/>
        <v>6024.92</v>
      </c>
      <c r="AH233" s="213">
        <f t="shared" si="973"/>
        <v>37144</v>
      </c>
      <c r="AI233" s="213">
        <f t="shared" si="973"/>
        <v>0</v>
      </c>
      <c r="AJ233" s="213">
        <f t="shared" si="973"/>
        <v>0</v>
      </c>
      <c r="AK233" s="213">
        <f t="shared" si="973"/>
        <v>29715.200000000001</v>
      </c>
      <c r="AL233" s="213">
        <f t="shared" si="973"/>
        <v>0</v>
      </c>
      <c r="AM233" s="213">
        <f t="shared" si="973"/>
        <v>0</v>
      </c>
      <c r="AN233" s="213">
        <f t="shared" si="973"/>
        <v>0</v>
      </c>
      <c r="AO233" s="213">
        <f t="shared" si="973"/>
        <v>0</v>
      </c>
      <c r="AP233" s="213">
        <f t="shared" si="973"/>
        <v>0</v>
      </c>
      <c r="AQ233" s="213">
        <f t="shared" si="973"/>
        <v>0</v>
      </c>
      <c r="AR233" s="213">
        <f t="shared" si="973"/>
        <v>0</v>
      </c>
      <c r="AS233" s="213">
        <f t="shared" si="973"/>
        <v>0</v>
      </c>
      <c r="AT233" s="213">
        <f t="shared" si="973"/>
        <v>0</v>
      </c>
      <c r="AU233" s="213">
        <f t="shared" si="973"/>
        <v>0</v>
      </c>
      <c r="AV233" s="213">
        <f t="shared" si="973"/>
        <v>0</v>
      </c>
      <c r="AW233" s="213">
        <f t="shared" si="973"/>
        <v>0</v>
      </c>
      <c r="AX233" s="213">
        <f t="shared" si="973"/>
        <v>0</v>
      </c>
      <c r="AY233" s="213">
        <f t="shared" si="973"/>
        <v>0</v>
      </c>
      <c r="AZ233" s="213">
        <f t="shared" si="973"/>
        <v>0</v>
      </c>
      <c r="BA233" s="213">
        <f t="shared" si="973"/>
        <v>0</v>
      </c>
      <c r="BB233" s="213">
        <f t="shared" si="973"/>
        <v>0</v>
      </c>
      <c r="BC233" s="213">
        <f t="shared" si="973"/>
        <v>0</v>
      </c>
      <c r="BD233" s="213">
        <f t="shared" si="973"/>
        <v>0</v>
      </c>
      <c r="BE233" s="213">
        <f t="shared" si="973"/>
        <v>0</v>
      </c>
      <c r="BF233" s="213">
        <f t="shared" si="973"/>
        <v>0</v>
      </c>
      <c r="BG233" s="213">
        <f t="shared" si="973"/>
        <v>0</v>
      </c>
      <c r="BH233" s="213">
        <f t="shared" si="973"/>
        <v>0</v>
      </c>
      <c r="BI233" s="213">
        <f t="shared" si="973"/>
        <v>0</v>
      </c>
      <c r="BJ233" s="213">
        <f t="shared" si="973"/>
        <v>0</v>
      </c>
      <c r="BK233" s="215"/>
      <c r="BL233" s="215"/>
      <c r="BM233" s="215"/>
      <c r="BN233" s="215"/>
      <c r="BO233" s="215"/>
    </row>
    <row r="234" spans="1:67" ht="15.75" customHeight="1">
      <c r="A234" s="89"/>
      <c r="B234" s="90"/>
      <c r="C234" s="80" t="s">
        <v>301</v>
      </c>
      <c r="D234" s="81" t="s">
        <v>445</v>
      </c>
      <c r="E234" s="82"/>
      <c r="F234" s="82"/>
      <c r="G234" s="83" t="e">
        <f t="shared" si="774"/>
        <v>#DIV/0!</v>
      </c>
      <c r="H234" s="83" t="e">
        <f t="shared" si="2"/>
        <v>#DIV/0!</v>
      </c>
      <c r="I234" s="182"/>
      <c r="J234" s="137"/>
      <c r="K234" s="182"/>
      <c r="L234" s="86">
        <f t="shared" ref="L234:N234" si="974">X234+AA234+AD234+AG234+AJ234+AM234+AP234+AS234+AV234+AY234+BB234+BE234</f>
        <v>0</v>
      </c>
      <c r="M234" s="86">
        <f t="shared" si="974"/>
        <v>0</v>
      </c>
      <c r="N234" s="86">
        <f t="shared" si="974"/>
        <v>0</v>
      </c>
      <c r="O234" s="62">
        <f t="shared" ref="O234:Q234" si="975">IF(BH234=0,SUM(X234+AA234+AD234+AG234+AJ234+AM234+AP234+AS234+AV234+AY234+BB234+BE234),BH234)</f>
        <v>0</v>
      </c>
      <c r="P234" s="62">
        <f t="shared" si="975"/>
        <v>0</v>
      </c>
      <c r="Q234" s="62">
        <f t="shared" si="975"/>
        <v>0</v>
      </c>
      <c r="R234" s="86">
        <f t="shared" ref="R234:T234" si="976">I234-L234</f>
        <v>0</v>
      </c>
      <c r="S234" s="86">
        <f t="shared" si="976"/>
        <v>0</v>
      </c>
      <c r="T234" s="86">
        <f t="shared" si="976"/>
        <v>0</v>
      </c>
      <c r="U234" s="87" t="e">
        <f t="shared" ref="U234:W234" si="977">L234/I234</f>
        <v>#DIV/0!</v>
      </c>
      <c r="V234" s="87" t="e">
        <f t="shared" si="977"/>
        <v>#DIV/0!</v>
      </c>
      <c r="W234" s="87" t="e">
        <f t="shared" si="977"/>
        <v>#DIV/0!</v>
      </c>
      <c r="X234" s="137"/>
      <c r="Y234" s="137"/>
      <c r="Z234" s="137"/>
      <c r="AA234" s="137"/>
      <c r="AB234" s="137"/>
      <c r="AC234" s="137"/>
      <c r="AD234" s="137"/>
      <c r="AE234" s="137"/>
      <c r="AF234" s="137"/>
      <c r="AG234" s="137"/>
      <c r="AH234" s="137"/>
      <c r="AI234" s="137"/>
      <c r="AJ234" s="137"/>
      <c r="AK234" s="137"/>
      <c r="AL234" s="137"/>
      <c r="AM234" s="137"/>
      <c r="AN234" s="137"/>
      <c r="AO234" s="137"/>
      <c r="AP234" s="137"/>
      <c r="AQ234" s="137"/>
      <c r="AR234" s="137"/>
      <c r="AS234" s="137"/>
      <c r="AT234" s="137"/>
      <c r="AU234" s="137"/>
      <c r="AV234" s="137"/>
      <c r="AW234" s="137"/>
      <c r="AX234" s="137"/>
      <c r="AY234" s="137"/>
      <c r="AZ234" s="137"/>
      <c r="BA234" s="137"/>
      <c r="BB234" s="137"/>
      <c r="BC234" s="137"/>
      <c r="BD234" s="137"/>
      <c r="BE234" s="137"/>
      <c r="BF234" s="137"/>
      <c r="BG234" s="137"/>
      <c r="BH234" s="137"/>
      <c r="BI234" s="137"/>
      <c r="BJ234" s="137"/>
      <c r="BK234" s="88"/>
      <c r="BL234" s="88"/>
      <c r="BM234" s="88"/>
      <c r="BN234" s="88"/>
      <c r="BO234" s="88"/>
    </row>
    <row r="235" spans="1:67" ht="15.75" customHeight="1">
      <c r="A235" s="89" t="s">
        <v>446</v>
      </c>
      <c r="B235" s="95"/>
      <c r="C235" s="92" t="s">
        <v>447</v>
      </c>
      <c r="D235" s="92" t="s">
        <v>448</v>
      </c>
      <c r="E235" s="82"/>
      <c r="F235" s="82"/>
      <c r="G235" s="83" t="e">
        <f t="shared" si="774"/>
        <v>#DIV/0!</v>
      </c>
      <c r="H235" s="83" t="e">
        <f t="shared" si="2"/>
        <v>#DIV/0!</v>
      </c>
      <c r="I235" s="182">
        <v>500</v>
      </c>
      <c r="J235" s="137"/>
      <c r="K235" s="182"/>
      <c r="L235" s="86">
        <f t="shared" ref="L235:N235" si="978">X235+AA235+AD235+AG235+AJ235+AM235+AP235+AS235+AV235+AY235+BB235+BE235</f>
        <v>500</v>
      </c>
      <c r="M235" s="86">
        <f t="shared" si="978"/>
        <v>0</v>
      </c>
      <c r="N235" s="86">
        <f t="shared" si="978"/>
        <v>0</v>
      </c>
      <c r="O235" s="62">
        <f t="shared" ref="O235:Q235" si="979">IF(BH235=0,SUM(X235+AA235+AD235+AG235+AJ235+AM235+AP235+AS235+AV235+AY235+BB235+BE235),BH235)</f>
        <v>500</v>
      </c>
      <c r="P235" s="62">
        <f t="shared" si="979"/>
        <v>0</v>
      </c>
      <c r="Q235" s="62">
        <f t="shared" si="979"/>
        <v>0</v>
      </c>
      <c r="R235" s="86">
        <f t="shared" ref="R235:T235" si="980">I235-L235</f>
        <v>0</v>
      </c>
      <c r="S235" s="86">
        <f t="shared" si="980"/>
        <v>0</v>
      </c>
      <c r="T235" s="86">
        <f t="shared" si="980"/>
        <v>0</v>
      </c>
      <c r="U235" s="87">
        <f t="shared" ref="U235:W235" si="981">L235/I235</f>
        <v>1</v>
      </c>
      <c r="V235" s="87" t="e">
        <f t="shared" si="981"/>
        <v>#DIV/0!</v>
      </c>
      <c r="W235" s="87" t="e">
        <f t="shared" si="981"/>
        <v>#DIV/0!</v>
      </c>
      <c r="X235" s="137">
        <v>0</v>
      </c>
      <c r="Y235" s="137"/>
      <c r="Z235" s="137"/>
      <c r="AA235" s="137">
        <v>0</v>
      </c>
      <c r="AB235" s="137"/>
      <c r="AC235" s="137"/>
      <c r="AD235" s="137">
        <v>500</v>
      </c>
      <c r="AE235" s="137"/>
      <c r="AF235" s="137"/>
      <c r="AG235" s="137"/>
      <c r="AH235" s="137"/>
      <c r="AI235" s="137"/>
      <c r="AJ235" s="137"/>
      <c r="AK235" s="137"/>
      <c r="AL235" s="137"/>
      <c r="AM235" s="137"/>
      <c r="AN235" s="137"/>
      <c r="AO235" s="137"/>
      <c r="AP235" s="137"/>
      <c r="AQ235" s="137"/>
      <c r="AR235" s="137"/>
      <c r="AS235" s="137"/>
      <c r="AT235" s="137"/>
      <c r="AU235" s="137"/>
      <c r="AV235" s="137"/>
      <c r="AW235" s="137"/>
      <c r="AX235" s="137"/>
      <c r="AY235" s="137"/>
      <c r="AZ235" s="137"/>
      <c r="BA235" s="137"/>
      <c r="BB235" s="137"/>
      <c r="BC235" s="137"/>
      <c r="BD235" s="137"/>
      <c r="BE235" s="137"/>
      <c r="BF235" s="137"/>
      <c r="BG235" s="137"/>
      <c r="BH235" s="137"/>
      <c r="BI235" s="137"/>
      <c r="BJ235" s="137"/>
      <c r="BK235" s="88"/>
      <c r="BL235" s="88"/>
      <c r="BM235" s="88"/>
      <c r="BN235" s="88"/>
      <c r="BO235" s="88"/>
    </row>
    <row r="236" spans="1:67" ht="39" customHeight="1">
      <c r="A236" s="89"/>
      <c r="B236" s="95"/>
      <c r="C236" s="80" t="s">
        <v>198</v>
      </c>
      <c r="D236" s="92" t="s">
        <v>449</v>
      </c>
      <c r="E236" s="82"/>
      <c r="F236" s="82"/>
      <c r="G236" s="83" t="e">
        <f t="shared" si="774"/>
        <v>#DIV/0!</v>
      </c>
      <c r="H236" s="83" t="e">
        <f t="shared" si="2"/>
        <v>#DIV/0!</v>
      </c>
      <c r="I236" s="182"/>
      <c r="J236" s="137"/>
      <c r="K236" s="182"/>
      <c r="L236" s="86">
        <f t="shared" ref="L236:N236" si="982">X236+AA236+AD236+AG236+AJ236+AM236+AP236+AS236+AV236+AY236+BB236+BE236</f>
        <v>0</v>
      </c>
      <c r="M236" s="86">
        <f t="shared" si="982"/>
        <v>0</v>
      </c>
      <c r="N236" s="86">
        <f t="shared" si="982"/>
        <v>0</v>
      </c>
      <c r="O236" s="62">
        <f t="shared" ref="O236:Q236" si="983">IF(BH236=0,SUM(X236+AA236+AD236+AG236+AJ236+AM236+AP236+AS236+AV236+AY236+BB236+BE236),BH236)</f>
        <v>0</v>
      </c>
      <c r="P236" s="62">
        <f t="shared" si="983"/>
        <v>0</v>
      </c>
      <c r="Q236" s="62">
        <f t="shared" si="983"/>
        <v>0</v>
      </c>
      <c r="R236" s="86">
        <f t="shared" ref="R236:T236" si="984">I236-L236</f>
        <v>0</v>
      </c>
      <c r="S236" s="86">
        <f t="shared" si="984"/>
        <v>0</v>
      </c>
      <c r="T236" s="86">
        <f t="shared" si="984"/>
        <v>0</v>
      </c>
      <c r="U236" s="87" t="e">
        <f t="shared" ref="U236:W236" si="985">L236/I236</f>
        <v>#DIV/0!</v>
      </c>
      <c r="V236" s="87" t="e">
        <f t="shared" si="985"/>
        <v>#DIV/0!</v>
      </c>
      <c r="W236" s="87" t="e">
        <f t="shared" si="985"/>
        <v>#DIV/0!</v>
      </c>
      <c r="X236" s="137"/>
      <c r="Y236" s="137"/>
      <c r="Z236" s="137"/>
      <c r="AA236" s="137"/>
      <c r="AB236" s="137"/>
      <c r="AC236" s="137"/>
      <c r="AD236" s="137"/>
      <c r="AE236" s="137"/>
      <c r="AF236" s="137"/>
      <c r="AG236" s="137"/>
      <c r="AH236" s="137"/>
      <c r="AI236" s="137"/>
      <c r="AJ236" s="137"/>
      <c r="AK236" s="137"/>
      <c r="AL236" s="137"/>
      <c r="AM236" s="137"/>
      <c r="AN236" s="137"/>
      <c r="AO236" s="137"/>
      <c r="AP236" s="137"/>
      <c r="AQ236" s="137"/>
      <c r="AR236" s="137"/>
      <c r="AS236" s="137"/>
      <c r="AT236" s="137"/>
      <c r="AU236" s="137"/>
      <c r="AV236" s="137"/>
      <c r="AW236" s="137"/>
      <c r="AX236" s="137"/>
      <c r="AY236" s="137"/>
      <c r="AZ236" s="137"/>
      <c r="BA236" s="137"/>
      <c r="BB236" s="137"/>
      <c r="BC236" s="137"/>
      <c r="BD236" s="137"/>
      <c r="BE236" s="137"/>
      <c r="BF236" s="137"/>
      <c r="BG236" s="137"/>
      <c r="BH236" s="137"/>
      <c r="BI236" s="137"/>
      <c r="BJ236" s="137"/>
      <c r="BK236" s="88"/>
      <c r="BL236" s="88"/>
      <c r="BM236" s="88"/>
      <c r="BN236" s="88"/>
      <c r="BO236" s="88"/>
    </row>
    <row r="237" spans="1:67" ht="39" customHeight="1">
      <c r="A237" s="89" t="s">
        <v>450</v>
      </c>
      <c r="B237" s="95" t="s">
        <v>451</v>
      </c>
      <c r="C237" s="80" t="s">
        <v>447</v>
      </c>
      <c r="D237" s="92" t="s">
        <v>452</v>
      </c>
      <c r="E237" s="82"/>
      <c r="F237" s="82"/>
      <c r="G237" s="83" t="e">
        <f t="shared" si="774"/>
        <v>#DIV/0!</v>
      </c>
      <c r="H237" s="83" t="e">
        <f t="shared" si="2"/>
        <v>#DIV/0!</v>
      </c>
      <c r="I237" s="182">
        <v>20</v>
      </c>
      <c r="J237" s="137">
        <v>909.1</v>
      </c>
      <c r="K237" s="182"/>
      <c r="L237" s="86">
        <f t="shared" ref="L237:N237" si="986">X237+AA237+AD237+AG237+AJ237+AM237+AP237+AS237+AV237+AY237+BB237+BE237</f>
        <v>17.82</v>
      </c>
      <c r="M237" s="86">
        <f t="shared" si="986"/>
        <v>0</v>
      </c>
      <c r="N237" s="86">
        <f t="shared" si="986"/>
        <v>0</v>
      </c>
      <c r="O237" s="62">
        <f t="shared" ref="O237:Q237" si="987">IF(BH237=0,SUM(X237+AA237+AD237+AG237+AJ237+AM237+AP237+AS237+AV237+AY237+BB237+BE237),BH237)</f>
        <v>17.82</v>
      </c>
      <c r="P237" s="62">
        <f t="shared" si="987"/>
        <v>0</v>
      </c>
      <c r="Q237" s="62">
        <f t="shared" si="987"/>
        <v>0</v>
      </c>
      <c r="R237" s="86">
        <f t="shared" ref="R237:T237" si="988">I237-L237</f>
        <v>2.1799999999999997</v>
      </c>
      <c r="S237" s="86">
        <f t="shared" si="988"/>
        <v>909.1</v>
      </c>
      <c r="T237" s="86">
        <f t="shared" si="988"/>
        <v>0</v>
      </c>
      <c r="U237" s="87">
        <f t="shared" ref="U237:W237" si="989">L237/I237</f>
        <v>0.89100000000000001</v>
      </c>
      <c r="V237" s="87">
        <f t="shared" si="989"/>
        <v>0</v>
      </c>
      <c r="W237" s="87" t="e">
        <f t="shared" si="989"/>
        <v>#DIV/0!</v>
      </c>
      <c r="X237" s="137">
        <v>0</v>
      </c>
      <c r="Y237" s="137">
        <v>0</v>
      </c>
      <c r="Z237" s="137"/>
      <c r="AA237" s="137">
        <v>0</v>
      </c>
      <c r="AB237" s="137"/>
      <c r="AC237" s="137"/>
      <c r="AD237" s="137">
        <f>17.82</f>
        <v>17.82</v>
      </c>
      <c r="AE237" s="137"/>
      <c r="AF237" s="137"/>
      <c r="AG237" s="137"/>
      <c r="AH237" s="137"/>
      <c r="AI237" s="137"/>
      <c r="AJ237" s="137"/>
      <c r="AK237" s="137"/>
      <c r="AL237" s="137"/>
      <c r="AM237" s="137"/>
      <c r="AN237" s="137"/>
      <c r="AO237" s="137"/>
      <c r="AP237" s="137"/>
      <c r="AQ237" s="137"/>
      <c r="AR237" s="137"/>
      <c r="AS237" s="137"/>
      <c r="AT237" s="137"/>
      <c r="AU237" s="137"/>
      <c r="AV237" s="137"/>
      <c r="AW237" s="137"/>
      <c r="AX237" s="137"/>
      <c r="AY237" s="137"/>
      <c r="AZ237" s="137"/>
      <c r="BA237" s="137"/>
      <c r="BB237" s="137"/>
      <c r="BC237" s="137"/>
      <c r="BD237" s="137"/>
      <c r="BE237" s="137"/>
      <c r="BF237" s="137"/>
      <c r="BG237" s="137"/>
      <c r="BH237" s="137"/>
      <c r="BI237" s="137"/>
      <c r="BJ237" s="137"/>
      <c r="BK237" s="88"/>
      <c r="BL237" s="88"/>
      <c r="BM237" s="88"/>
      <c r="BN237" s="88"/>
      <c r="BO237" s="88"/>
    </row>
    <row r="238" spans="1:67" ht="36.75" customHeight="1">
      <c r="A238" s="89" t="s">
        <v>453</v>
      </c>
      <c r="B238" s="95"/>
      <c r="C238" s="92" t="s">
        <v>454</v>
      </c>
      <c r="D238" s="235" t="s">
        <v>455</v>
      </c>
      <c r="E238" s="82"/>
      <c r="F238" s="82"/>
      <c r="G238" s="83" t="e">
        <f t="shared" si="774"/>
        <v>#DIV/0!</v>
      </c>
      <c r="H238" s="83" t="e">
        <f t="shared" si="2"/>
        <v>#DIV/0!</v>
      </c>
      <c r="I238" s="182">
        <f>1500+1300</f>
        <v>2800</v>
      </c>
      <c r="J238" s="137"/>
      <c r="K238" s="182"/>
      <c r="L238" s="86">
        <f t="shared" ref="L238:N238" si="990">X238+AA238+AD238+AG238+AJ238+AM238+AP238+AS238+AV238+AY238+BB238+BE238</f>
        <v>1944</v>
      </c>
      <c r="M238" s="86">
        <f t="shared" si="990"/>
        <v>0</v>
      </c>
      <c r="N238" s="86">
        <f t="shared" si="990"/>
        <v>0</v>
      </c>
      <c r="O238" s="62">
        <f t="shared" ref="O238:Q238" si="991">IF(BH238=0,SUM(X238+AA238+AD238+AG238+AJ238+AM238+AP238+AS238+AV238+AY238+BB238+BE238),BH238)</f>
        <v>1944</v>
      </c>
      <c r="P238" s="62">
        <f t="shared" si="991"/>
        <v>0</v>
      </c>
      <c r="Q238" s="62">
        <f t="shared" si="991"/>
        <v>0</v>
      </c>
      <c r="R238" s="86">
        <f t="shared" ref="R238:T238" si="992">I238-L238</f>
        <v>856</v>
      </c>
      <c r="S238" s="86">
        <f t="shared" si="992"/>
        <v>0</v>
      </c>
      <c r="T238" s="86">
        <f t="shared" si="992"/>
        <v>0</v>
      </c>
      <c r="U238" s="87">
        <f t="shared" ref="U238:W238" si="993">L238/I238</f>
        <v>0.69428571428571428</v>
      </c>
      <c r="V238" s="87" t="e">
        <f t="shared" si="993"/>
        <v>#DIV/0!</v>
      </c>
      <c r="W238" s="87" t="e">
        <f t="shared" si="993"/>
        <v>#DIV/0!</v>
      </c>
      <c r="X238" s="137">
        <v>0</v>
      </c>
      <c r="Y238" s="137"/>
      <c r="Z238" s="137"/>
      <c r="AA238" s="137">
        <v>0</v>
      </c>
      <c r="AB238" s="137"/>
      <c r="AC238" s="137"/>
      <c r="AD238" s="137">
        <f>626+1318</f>
        <v>1944</v>
      </c>
      <c r="AE238" s="137"/>
      <c r="AF238" s="137"/>
      <c r="AG238" s="137"/>
      <c r="AH238" s="137"/>
      <c r="AI238" s="137"/>
      <c r="AJ238" s="137"/>
      <c r="AK238" s="137"/>
      <c r="AL238" s="137"/>
      <c r="AM238" s="137"/>
      <c r="AN238" s="137"/>
      <c r="AO238" s="137"/>
      <c r="AP238" s="137"/>
      <c r="AQ238" s="137"/>
      <c r="AR238" s="137"/>
      <c r="AS238" s="137"/>
      <c r="AT238" s="137"/>
      <c r="AU238" s="137"/>
      <c r="AV238" s="137"/>
      <c r="AW238" s="137"/>
      <c r="AX238" s="137"/>
      <c r="AY238" s="137"/>
      <c r="AZ238" s="137"/>
      <c r="BA238" s="137"/>
      <c r="BB238" s="137"/>
      <c r="BC238" s="137"/>
      <c r="BD238" s="137"/>
      <c r="BE238" s="137"/>
      <c r="BF238" s="137"/>
      <c r="BG238" s="137"/>
      <c r="BH238" s="137"/>
      <c r="BI238" s="137"/>
      <c r="BJ238" s="137"/>
      <c r="BK238" s="88"/>
      <c r="BL238" s="88"/>
      <c r="BM238" s="88"/>
      <c r="BN238" s="88"/>
      <c r="BO238" s="88"/>
    </row>
    <row r="239" spans="1:67" ht="38.25" customHeight="1">
      <c r="A239" s="89" t="s">
        <v>456</v>
      </c>
      <c r="B239" s="95"/>
      <c r="C239" s="80" t="s">
        <v>158</v>
      </c>
      <c r="D239" s="81" t="s">
        <v>457</v>
      </c>
      <c r="E239" s="82"/>
      <c r="F239" s="82"/>
      <c r="G239" s="83" t="e">
        <f t="shared" si="774"/>
        <v>#DIV/0!</v>
      </c>
      <c r="H239" s="83" t="e">
        <f t="shared" si="2"/>
        <v>#DIV/0!</v>
      </c>
      <c r="I239" s="182">
        <v>20000</v>
      </c>
      <c r="J239" s="137"/>
      <c r="K239" s="182"/>
      <c r="L239" s="86">
        <f t="shared" ref="L239:N239" si="994">X239+AA239+AD239+AG239+AJ239+AM239+AP239+AS239+AV239+AY239+BB239+BE239</f>
        <v>0</v>
      </c>
      <c r="M239" s="86">
        <f t="shared" si="994"/>
        <v>0</v>
      </c>
      <c r="N239" s="86">
        <f t="shared" si="994"/>
        <v>0</v>
      </c>
      <c r="O239" s="62">
        <f t="shared" ref="O239:Q239" si="995">IF(BH239=0,SUM(X239+AA239+AD239+AG239+AJ239+AM239+AP239+AS239+AV239+AY239+BB239+BE239),BH239)</f>
        <v>0</v>
      </c>
      <c r="P239" s="62">
        <f t="shared" si="995"/>
        <v>0</v>
      </c>
      <c r="Q239" s="62">
        <f t="shared" si="995"/>
        <v>0</v>
      </c>
      <c r="R239" s="86">
        <f t="shared" ref="R239:T239" si="996">I239-L239</f>
        <v>20000</v>
      </c>
      <c r="S239" s="86">
        <f t="shared" si="996"/>
        <v>0</v>
      </c>
      <c r="T239" s="86">
        <f t="shared" si="996"/>
        <v>0</v>
      </c>
      <c r="U239" s="87">
        <f t="shared" ref="U239:W239" si="997">L239/I239</f>
        <v>0</v>
      </c>
      <c r="V239" s="87" t="e">
        <f t="shared" si="997"/>
        <v>#DIV/0!</v>
      </c>
      <c r="W239" s="87" t="e">
        <f t="shared" si="997"/>
        <v>#DIV/0!</v>
      </c>
      <c r="X239" s="137"/>
      <c r="Y239" s="137"/>
      <c r="Z239" s="137"/>
      <c r="AA239" s="137"/>
      <c r="AB239" s="137"/>
      <c r="AC239" s="137"/>
      <c r="AD239" s="137"/>
      <c r="AE239" s="137"/>
      <c r="AF239" s="137"/>
      <c r="AG239" s="137"/>
      <c r="AH239" s="137"/>
      <c r="AI239" s="137"/>
      <c r="AJ239" s="137"/>
      <c r="AK239" s="137"/>
      <c r="AL239" s="137"/>
      <c r="AM239" s="137"/>
      <c r="AN239" s="137"/>
      <c r="AO239" s="137"/>
      <c r="AP239" s="137"/>
      <c r="AQ239" s="137"/>
      <c r="AR239" s="137"/>
      <c r="AS239" s="137"/>
      <c r="AT239" s="137"/>
      <c r="AU239" s="137"/>
      <c r="AV239" s="137"/>
      <c r="AW239" s="137"/>
      <c r="AX239" s="137"/>
      <c r="AY239" s="137"/>
      <c r="AZ239" s="137"/>
      <c r="BA239" s="137"/>
      <c r="BB239" s="137"/>
      <c r="BC239" s="137"/>
      <c r="BD239" s="137"/>
      <c r="BE239" s="137"/>
      <c r="BF239" s="137"/>
      <c r="BG239" s="137"/>
      <c r="BH239" s="137"/>
      <c r="BI239" s="137"/>
      <c r="BJ239" s="137"/>
      <c r="BK239" s="88"/>
      <c r="BL239" s="88"/>
      <c r="BM239" s="88"/>
      <c r="BN239" s="88"/>
      <c r="BO239" s="88"/>
    </row>
    <row r="240" spans="1:67" ht="15.75" customHeight="1">
      <c r="A240" s="89"/>
      <c r="B240" s="95"/>
      <c r="C240" s="80" t="s">
        <v>97</v>
      </c>
      <c r="D240" s="81" t="s">
        <v>458</v>
      </c>
      <c r="E240" s="82"/>
      <c r="F240" s="82"/>
      <c r="G240" s="83" t="e">
        <f t="shared" si="774"/>
        <v>#DIV/0!</v>
      </c>
      <c r="H240" s="83" t="e">
        <f t="shared" si="2"/>
        <v>#DIV/0!</v>
      </c>
      <c r="I240" s="182"/>
      <c r="J240" s="137"/>
      <c r="K240" s="182"/>
      <c r="L240" s="86">
        <f t="shared" ref="L240:N240" si="998">X240+AA240+AD240+AG240+AJ240+AM240+AP240+AS240+AV240+AY240+BB240+BE240</f>
        <v>0</v>
      </c>
      <c r="M240" s="86">
        <f t="shared" si="998"/>
        <v>0</v>
      </c>
      <c r="N240" s="86">
        <f t="shared" si="998"/>
        <v>0</v>
      </c>
      <c r="O240" s="62">
        <f t="shared" ref="O240:Q240" si="999">IF(BH240=0,SUM(X240+AA240+AD240+AG240+AJ240+AM240+AP240+AS240+AV240+AY240+BB240+BE240),BH240)</f>
        <v>0</v>
      </c>
      <c r="P240" s="62">
        <f t="shared" si="999"/>
        <v>0</v>
      </c>
      <c r="Q240" s="62">
        <f t="shared" si="999"/>
        <v>0</v>
      </c>
      <c r="R240" s="86">
        <f t="shared" ref="R240:T240" si="1000">I240-L240</f>
        <v>0</v>
      </c>
      <c r="S240" s="86">
        <f t="shared" si="1000"/>
        <v>0</v>
      </c>
      <c r="T240" s="86">
        <f t="shared" si="1000"/>
        <v>0</v>
      </c>
      <c r="U240" s="87" t="e">
        <f t="shared" ref="U240:W240" si="1001">L240/I240</f>
        <v>#DIV/0!</v>
      </c>
      <c r="V240" s="87" t="e">
        <f t="shared" si="1001"/>
        <v>#DIV/0!</v>
      </c>
      <c r="W240" s="87" t="e">
        <f t="shared" si="1001"/>
        <v>#DIV/0!</v>
      </c>
      <c r="X240" s="137"/>
      <c r="Y240" s="137"/>
      <c r="Z240" s="137"/>
      <c r="AA240" s="137"/>
      <c r="AB240" s="137"/>
      <c r="AC240" s="137"/>
      <c r="AD240" s="137"/>
      <c r="AE240" s="137"/>
      <c r="AF240" s="137"/>
      <c r="AG240" s="137"/>
      <c r="AH240" s="137"/>
      <c r="AI240" s="137"/>
      <c r="AJ240" s="137"/>
      <c r="AK240" s="137"/>
      <c r="AL240" s="137"/>
      <c r="AM240" s="137"/>
      <c r="AN240" s="137"/>
      <c r="AO240" s="137"/>
      <c r="AP240" s="137"/>
      <c r="AQ240" s="137"/>
      <c r="AR240" s="137"/>
      <c r="AS240" s="137"/>
      <c r="AT240" s="137"/>
      <c r="AU240" s="137"/>
      <c r="AV240" s="137"/>
      <c r="AW240" s="137"/>
      <c r="AX240" s="137"/>
      <c r="AY240" s="137"/>
      <c r="AZ240" s="137"/>
      <c r="BA240" s="137"/>
      <c r="BB240" s="137"/>
      <c r="BC240" s="137"/>
      <c r="BD240" s="137"/>
      <c r="BE240" s="137"/>
      <c r="BF240" s="137"/>
      <c r="BG240" s="137"/>
      <c r="BH240" s="137"/>
      <c r="BI240" s="137"/>
      <c r="BJ240" s="137"/>
      <c r="BK240" s="88"/>
      <c r="BL240" s="88"/>
      <c r="BM240" s="88"/>
      <c r="BN240" s="88"/>
      <c r="BO240" s="88"/>
    </row>
    <row r="241" spans="1:67" ht="15.75" customHeight="1">
      <c r="A241" s="89" t="s">
        <v>459</v>
      </c>
      <c r="B241" s="95"/>
      <c r="C241" s="80" t="s">
        <v>447</v>
      </c>
      <c r="D241" s="92" t="s">
        <v>460</v>
      </c>
      <c r="E241" s="82"/>
      <c r="F241" s="82"/>
      <c r="G241" s="83" t="e">
        <f t="shared" si="774"/>
        <v>#DIV/0!</v>
      </c>
      <c r="H241" s="83" t="e">
        <f t="shared" si="2"/>
        <v>#DIV/0!</v>
      </c>
      <c r="I241" s="182">
        <v>2715</v>
      </c>
      <c r="J241" s="137"/>
      <c r="K241" s="182"/>
      <c r="L241" s="86">
        <f t="shared" ref="L241:N241" si="1002">X241+AA241+AD241+AG241+AJ241+AM241+AP241+AS241+AV241+AY241+BB241+BE241</f>
        <v>2715</v>
      </c>
      <c r="M241" s="86">
        <f t="shared" si="1002"/>
        <v>0</v>
      </c>
      <c r="N241" s="86">
        <f t="shared" si="1002"/>
        <v>0</v>
      </c>
      <c r="O241" s="62">
        <f t="shared" ref="O241:Q241" si="1003">IF(BH241=0,SUM(X241+AA241+AD241+AG241+AJ241+AM241+AP241+AS241+AV241+AY241+BB241+BE241),BH241)</f>
        <v>2715</v>
      </c>
      <c r="P241" s="62">
        <f t="shared" si="1003"/>
        <v>0</v>
      </c>
      <c r="Q241" s="62">
        <f t="shared" si="1003"/>
        <v>0</v>
      </c>
      <c r="R241" s="86">
        <f t="shared" ref="R241:T241" si="1004">I241-L241</f>
        <v>0</v>
      </c>
      <c r="S241" s="86">
        <f t="shared" si="1004"/>
        <v>0</v>
      </c>
      <c r="T241" s="86">
        <f t="shared" si="1004"/>
        <v>0</v>
      </c>
      <c r="U241" s="87">
        <f t="shared" ref="U241:W241" si="1005">L241/I241</f>
        <v>1</v>
      </c>
      <c r="V241" s="87" t="e">
        <f t="shared" si="1005"/>
        <v>#DIV/0!</v>
      </c>
      <c r="W241" s="87" t="e">
        <f t="shared" si="1005"/>
        <v>#DIV/0!</v>
      </c>
      <c r="X241" s="137">
        <v>0</v>
      </c>
      <c r="Y241" s="137"/>
      <c r="Z241" s="137"/>
      <c r="AA241" s="137">
        <v>2715</v>
      </c>
      <c r="AB241" s="137"/>
      <c r="AC241" s="137"/>
      <c r="AD241" s="137"/>
      <c r="AE241" s="137"/>
      <c r="AF241" s="137"/>
      <c r="AG241" s="137"/>
      <c r="AH241" s="137"/>
      <c r="AI241" s="137"/>
      <c r="AJ241" s="137"/>
      <c r="AK241" s="137"/>
      <c r="AL241" s="137"/>
      <c r="AM241" s="137"/>
      <c r="AN241" s="137"/>
      <c r="AO241" s="137"/>
      <c r="AP241" s="137"/>
      <c r="AQ241" s="137"/>
      <c r="AR241" s="137"/>
      <c r="AS241" s="137"/>
      <c r="AT241" s="137"/>
      <c r="AU241" s="137"/>
      <c r="AV241" s="137"/>
      <c r="AW241" s="137"/>
      <c r="AX241" s="137"/>
      <c r="AY241" s="137"/>
      <c r="AZ241" s="137"/>
      <c r="BA241" s="137"/>
      <c r="BB241" s="137"/>
      <c r="BC241" s="137"/>
      <c r="BD241" s="137"/>
      <c r="BE241" s="137"/>
      <c r="BF241" s="137"/>
      <c r="BG241" s="137"/>
      <c r="BH241" s="137"/>
      <c r="BI241" s="137"/>
      <c r="BJ241" s="137"/>
      <c r="BK241" s="88"/>
      <c r="BL241" s="88"/>
      <c r="BM241" s="88"/>
      <c r="BN241" s="88"/>
      <c r="BO241" s="88"/>
    </row>
    <row r="242" spans="1:67" ht="15.75" customHeight="1">
      <c r="A242" s="89"/>
      <c r="B242" s="95" t="s">
        <v>461</v>
      </c>
      <c r="C242" s="80" t="s">
        <v>97</v>
      </c>
      <c r="D242" s="92" t="s">
        <v>462</v>
      </c>
      <c r="E242" s="82"/>
      <c r="F242" s="82"/>
      <c r="G242" s="83" t="e">
        <f t="shared" si="774"/>
        <v>#DIV/0!</v>
      </c>
      <c r="H242" s="83" t="e">
        <f t="shared" si="2"/>
        <v>#DIV/0!</v>
      </c>
      <c r="I242" s="182"/>
      <c r="J242" s="137">
        <v>500</v>
      </c>
      <c r="K242" s="182"/>
      <c r="L242" s="86">
        <f t="shared" ref="L242:N242" si="1006">X242+AA242+AD242+AG242+AJ242+AM242+AP242+AS242+AV242+AY242+BB242+BE242</f>
        <v>0</v>
      </c>
      <c r="M242" s="86">
        <f t="shared" si="1006"/>
        <v>0</v>
      </c>
      <c r="N242" s="86">
        <f t="shared" si="1006"/>
        <v>0</v>
      </c>
      <c r="O242" s="62">
        <f t="shared" ref="O242:Q242" si="1007">IF(BH242=0,SUM(X242+AA242+AD242+AG242+AJ242+AM242+AP242+AS242+AV242+AY242+BB242+BE242),BH242)</f>
        <v>0</v>
      </c>
      <c r="P242" s="62">
        <f t="shared" si="1007"/>
        <v>0</v>
      </c>
      <c r="Q242" s="62">
        <f t="shared" si="1007"/>
        <v>0</v>
      </c>
      <c r="R242" s="86">
        <f t="shared" ref="R242:T242" si="1008">I242-L242</f>
        <v>0</v>
      </c>
      <c r="S242" s="86">
        <f t="shared" si="1008"/>
        <v>500</v>
      </c>
      <c r="T242" s="86">
        <f t="shared" si="1008"/>
        <v>0</v>
      </c>
      <c r="U242" s="87" t="e">
        <f t="shared" ref="U242:W242" si="1009">L242/I242</f>
        <v>#DIV/0!</v>
      </c>
      <c r="V242" s="87">
        <f t="shared" si="1009"/>
        <v>0</v>
      </c>
      <c r="W242" s="87" t="e">
        <f t="shared" si="1009"/>
        <v>#DIV/0!</v>
      </c>
      <c r="X242" s="137"/>
      <c r="Y242" s="137">
        <v>0</v>
      </c>
      <c r="Z242" s="137"/>
      <c r="AA242" s="137"/>
      <c r="AB242" s="137"/>
      <c r="AC242" s="137"/>
      <c r="AD242" s="137"/>
      <c r="AE242" s="137"/>
      <c r="AF242" s="137"/>
      <c r="AG242" s="137"/>
      <c r="AH242" s="137"/>
      <c r="AI242" s="137"/>
      <c r="AJ242" s="137"/>
      <c r="AK242" s="137"/>
      <c r="AL242" s="137"/>
      <c r="AM242" s="137"/>
      <c r="AN242" s="137"/>
      <c r="AO242" s="137"/>
      <c r="AP242" s="137"/>
      <c r="AQ242" s="137"/>
      <c r="AR242" s="137"/>
      <c r="AS242" s="137"/>
      <c r="AT242" s="137"/>
      <c r="AU242" s="137"/>
      <c r="AV242" s="137"/>
      <c r="AW242" s="137"/>
      <c r="AX242" s="137"/>
      <c r="AY242" s="137"/>
      <c r="AZ242" s="137"/>
      <c r="BA242" s="137"/>
      <c r="BB242" s="137"/>
      <c r="BC242" s="137"/>
      <c r="BD242" s="137"/>
      <c r="BE242" s="137"/>
      <c r="BF242" s="137"/>
      <c r="BG242" s="137"/>
      <c r="BH242" s="137"/>
      <c r="BI242" s="137"/>
      <c r="BJ242" s="137"/>
      <c r="BK242" s="88"/>
      <c r="BL242" s="88"/>
      <c r="BM242" s="88"/>
      <c r="BN242" s="88"/>
      <c r="BO242" s="88"/>
    </row>
    <row r="243" spans="1:67" ht="15.75" customHeight="1">
      <c r="A243" s="89"/>
      <c r="B243" s="95"/>
      <c r="C243" s="80" t="s">
        <v>97</v>
      </c>
      <c r="D243" s="92" t="s">
        <v>463</v>
      </c>
      <c r="E243" s="82"/>
      <c r="F243" s="82"/>
      <c r="G243" s="83" t="e">
        <f t="shared" si="774"/>
        <v>#DIV/0!</v>
      </c>
      <c r="H243" s="83" t="e">
        <f t="shared" si="2"/>
        <v>#DIV/0!</v>
      </c>
      <c r="I243" s="182"/>
      <c r="J243" s="137"/>
      <c r="K243" s="182"/>
      <c r="L243" s="86">
        <f t="shared" ref="L243:N243" si="1010">X243+AA243+AD243+AG243+AJ243+AM243+AP243+AS243+AV243+AY243+BB243+BE243</f>
        <v>0</v>
      </c>
      <c r="M243" s="86">
        <f t="shared" si="1010"/>
        <v>0</v>
      </c>
      <c r="N243" s="86">
        <f t="shared" si="1010"/>
        <v>0</v>
      </c>
      <c r="O243" s="62">
        <f t="shared" ref="O243:Q243" si="1011">IF(BH243=0,SUM(X243+AA243+AD243+AG243+AJ243+AM243+AP243+AS243+AV243+AY243+BB243+BE243),BH243)</f>
        <v>0</v>
      </c>
      <c r="P243" s="62">
        <f t="shared" si="1011"/>
        <v>0</v>
      </c>
      <c r="Q243" s="62">
        <f t="shared" si="1011"/>
        <v>0</v>
      </c>
      <c r="R243" s="86">
        <f t="shared" ref="R243:T243" si="1012">I243-L243</f>
        <v>0</v>
      </c>
      <c r="S243" s="86">
        <f t="shared" si="1012"/>
        <v>0</v>
      </c>
      <c r="T243" s="86">
        <f t="shared" si="1012"/>
        <v>0</v>
      </c>
      <c r="U243" s="87" t="e">
        <f t="shared" ref="U243:W243" si="1013">L243/I243</f>
        <v>#DIV/0!</v>
      </c>
      <c r="V243" s="87" t="e">
        <f t="shared" si="1013"/>
        <v>#DIV/0!</v>
      </c>
      <c r="W243" s="87" t="e">
        <f t="shared" si="1013"/>
        <v>#DIV/0!</v>
      </c>
      <c r="X243" s="137"/>
      <c r="Y243" s="137"/>
      <c r="Z243" s="137"/>
      <c r="AA243" s="137"/>
      <c r="AB243" s="137"/>
      <c r="AC243" s="137"/>
      <c r="AD243" s="137"/>
      <c r="AE243" s="137"/>
      <c r="AF243" s="137"/>
      <c r="AG243" s="137"/>
      <c r="AH243" s="137"/>
      <c r="AI243" s="137"/>
      <c r="AJ243" s="137"/>
      <c r="AK243" s="137"/>
      <c r="AL243" s="137"/>
      <c r="AM243" s="137"/>
      <c r="AN243" s="137"/>
      <c r="AO243" s="137"/>
      <c r="AP243" s="137"/>
      <c r="AQ243" s="137"/>
      <c r="AR243" s="137"/>
      <c r="AS243" s="137"/>
      <c r="AT243" s="137"/>
      <c r="AU243" s="137"/>
      <c r="AV243" s="137"/>
      <c r="AW243" s="137"/>
      <c r="AX243" s="137"/>
      <c r="AY243" s="137"/>
      <c r="AZ243" s="137"/>
      <c r="BA243" s="137"/>
      <c r="BB243" s="137"/>
      <c r="BC243" s="137"/>
      <c r="BD243" s="137"/>
      <c r="BE243" s="137"/>
      <c r="BF243" s="137"/>
      <c r="BG243" s="137"/>
      <c r="BH243" s="137"/>
      <c r="BI243" s="137"/>
      <c r="BJ243" s="137"/>
      <c r="BK243" s="88"/>
      <c r="BL243" s="88"/>
      <c r="BM243" s="88"/>
      <c r="BN243" s="88"/>
      <c r="BO243" s="88"/>
    </row>
    <row r="244" spans="1:67" ht="15.75" customHeight="1">
      <c r="A244" s="89"/>
      <c r="B244" s="91"/>
      <c r="C244" s="80" t="s">
        <v>436</v>
      </c>
      <c r="D244" s="92" t="s">
        <v>464</v>
      </c>
      <c r="E244" s="82"/>
      <c r="F244" s="82"/>
      <c r="G244" s="83" t="e">
        <f t="shared" si="774"/>
        <v>#DIV/0!</v>
      </c>
      <c r="H244" s="83" t="e">
        <f t="shared" si="2"/>
        <v>#DIV/0!</v>
      </c>
      <c r="I244" s="182"/>
      <c r="J244" s="137"/>
      <c r="K244" s="182"/>
      <c r="L244" s="86">
        <f t="shared" ref="L244:N244" si="1014">X244+AA244+AD244+AG244+AJ244+AM244+AP244+AS244+AV244+AY244+BB244+BE244</f>
        <v>0</v>
      </c>
      <c r="M244" s="86">
        <f t="shared" si="1014"/>
        <v>0</v>
      </c>
      <c r="N244" s="86">
        <f t="shared" si="1014"/>
        <v>0</v>
      </c>
      <c r="O244" s="62">
        <f t="shared" ref="O244:Q244" si="1015">IF(BH244=0,SUM(X244+AA244+AD244+AG244+AJ244+AM244+AP244+AS244+AV244+AY244+BB244+BE244),BH244)</f>
        <v>0</v>
      </c>
      <c r="P244" s="62">
        <f t="shared" si="1015"/>
        <v>0</v>
      </c>
      <c r="Q244" s="62">
        <f t="shared" si="1015"/>
        <v>0</v>
      </c>
      <c r="R244" s="86">
        <f t="shared" ref="R244:T244" si="1016">I244-L244</f>
        <v>0</v>
      </c>
      <c r="S244" s="86">
        <f t="shared" si="1016"/>
        <v>0</v>
      </c>
      <c r="T244" s="86">
        <f t="shared" si="1016"/>
        <v>0</v>
      </c>
      <c r="U244" s="87" t="e">
        <f t="shared" ref="U244:W244" si="1017">L244/I244</f>
        <v>#DIV/0!</v>
      </c>
      <c r="V244" s="87" t="e">
        <f t="shared" si="1017"/>
        <v>#DIV/0!</v>
      </c>
      <c r="W244" s="87" t="e">
        <f t="shared" si="1017"/>
        <v>#DIV/0!</v>
      </c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37"/>
      <c r="AK244" s="137"/>
      <c r="AL244" s="137"/>
      <c r="AM244" s="137"/>
      <c r="AN244" s="137"/>
      <c r="AO244" s="137"/>
      <c r="AP244" s="137"/>
      <c r="AQ244" s="137"/>
      <c r="AR244" s="137"/>
      <c r="AS244" s="137"/>
      <c r="AT244" s="137"/>
      <c r="AU244" s="137"/>
      <c r="AV244" s="137"/>
      <c r="AW244" s="137"/>
      <c r="AX244" s="137"/>
      <c r="AY244" s="137"/>
      <c r="AZ244" s="137"/>
      <c r="BA244" s="137"/>
      <c r="BB244" s="137"/>
      <c r="BC244" s="137"/>
      <c r="BD244" s="137"/>
      <c r="BE244" s="137"/>
      <c r="BF244" s="137"/>
      <c r="BG244" s="137"/>
      <c r="BH244" s="137"/>
      <c r="BI244" s="137"/>
      <c r="BJ244" s="137"/>
      <c r="BK244" s="88"/>
      <c r="BL244" s="88"/>
      <c r="BM244" s="88"/>
      <c r="BN244" s="88"/>
      <c r="BO244" s="88"/>
    </row>
    <row r="245" spans="1:67" ht="39.75" customHeight="1">
      <c r="A245" s="89"/>
      <c r="B245" s="90"/>
      <c r="C245" s="80" t="s">
        <v>158</v>
      </c>
      <c r="D245" s="92" t="s">
        <v>465</v>
      </c>
      <c r="E245" s="82"/>
      <c r="F245" s="82"/>
      <c r="G245" s="83" t="e">
        <f t="shared" si="774"/>
        <v>#DIV/0!</v>
      </c>
      <c r="H245" s="83" t="e">
        <f t="shared" si="2"/>
        <v>#DIV/0!</v>
      </c>
      <c r="I245" s="182"/>
      <c r="J245" s="137"/>
      <c r="K245" s="182"/>
      <c r="L245" s="86">
        <f t="shared" ref="L245:N245" si="1018">X245+AA245+AD245+AG245+AJ245+AM245+AP245+AS245+AV245+AY245+BB245+BE245</f>
        <v>0</v>
      </c>
      <c r="M245" s="86">
        <f t="shared" si="1018"/>
        <v>0</v>
      </c>
      <c r="N245" s="86">
        <f t="shared" si="1018"/>
        <v>0</v>
      </c>
      <c r="O245" s="62">
        <f t="shared" ref="O245:Q245" si="1019">IF(BH245=0,SUM(X245+AA245+AD245+AG245+AJ245+AM245+AP245+AS245+AV245+AY245+BB245+BE245),BH245)</f>
        <v>0</v>
      </c>
      <c r="P245" s="62">
        <f t="shared" si="1019"/>
        <v>0</v>
      </c>
      <c r="Q245" s="62">
        <f t="shared" si="1019"/>
        <v>0</v>
      </c>
      <c r="R245" s="86">
        <f t="shared" ref="R245:T245" si="1020">I245-L245</f>
        <v>0</v>
      </c>
      <c r="S245" s="86">
        <f t="shared" si="1020"/>
        <v>0</v>
      </c>
      <c r="T245" s="86">
        <f t="shared" si="1020"/>
        <v>0</v>
      </c>
      <c r="U245" s="87" t="e">
        <f t="shared" ref="U245:W245" si="1021">L245/I245</f>
        <v>#DIV/0!</v>
      </c>
      <c r="V245" s="87" t="e">
        <f t="shared" si="1021"/>
        <v>#DIV/0!</v>
      </c>
      <c r="W245" s="87" t="e">
        <f t="shared" si="1021"/>
        <v>#DIV/0!</v>
      </c>
      <c r="X245" s="137"/>
      <c r="Y245" s="137"/>
      <c r="Z245" s="137"/>
      <c r="AA245" s="137"/>
      <c r="AB245" s="137"/>
      <c r="AC245" s="137"/>
      <c r="AD245" s="137"/>
      <c r="AE245" s="137"/>
      <c r="AF245" s="137"/>
      <c r="AG245" s="137"/>
      <c r="AH245" s="137"/>
      <c r="AI245" s="137"/>
      <c r="AJ245" s="137"/>
      <c r="AK245" s="137"/>
      <c r="AL245" s="137"/>
      <c r="AM245" s="137"/>
      <c r="AN245" s="137"/>
      <c r="AO245" s="137"/>
      <c r="AP245" s="137"/>
      <c r="AQ245" s="137"/>
      <c r="AR245" s="137"/>
      <c r="AS245" s="137"/>
      <c r="AT245" s="137"/>
      <c r="AU245" s="137"/>
      <c r="AV245" s="137"/>
      <c r="AW245" s="137"/>
      <c r="AX245" s="137"/>
      <c r="AY245" s="137"/>
      <c r="AZ245" s="137"/>
      <c r="BA245" s="137"/>
      <c r="BB245" s="137"/>
      <c r="BC245" s="137"/>
      <c r="BD245" s="137"/>
      <c r="BE245" s="137"/>
      <c r="BF245" s="137"/>
      <c r="BG245" s="137"/>
      <c r="BH245" s="137"/>
      <c r="BI245" s="137"/>
      <c r="BJ245" s="137"/>
      <c r="BK245" s="88"/>
      <c r="BL245" s="88"/>
      <c r="BM245" s="88"/>
      <c r="BN245" s="88"/>
      <c r="BO245" s="88"/>
    </row>
    <row r="246" spans="1:67" ht="15.75" customHeight="1">
      <c r="A246" s="89" t="s">
        <v>466</v>
      </c>
      <c r="B246" s="90"/>
      <c r="C246" s="80" t="s">
        <v>258</v>
      </c>
      <c r="D246" s="81" t="s">
        <v>467</v>
      </c>
      <c r="E246" s="82"/>
      <c r="F246" s="82"/>
      <c r="G246" s="83" t="e">
        <f t="shared" si="774"/>
        <v>#DIV/0!</v>
      </c>
      <c r="H246" s="83" t="e">
        <f t="shared" si="2"/>
        <v>#DIV/0!</v>
      </c>
      <c r="I246" s="182">
        <v>2033.69</v>
      </c>
      <c r="J246" s="137"/>
      <c r="K246" s="182"/>
      <c r="L246" s="86">
        <f t="shared" ref="L246:N246" si="1022">X246+AA246+AD246+AG246+AJ246+AM246+AP246+AS246+AV246+AY246+BB246+BE246</f>
        <v>2033.69</v>
      </c>
      <c r="M246" s="86">
        <f t="shared" si="1022"/>
        <v>0</v>
      </c>
      <c r="N246" s="86">
        <f t="shared" si="1022"/>
        <v>0</v>
      </c>
      <c r="O246" s="62">
        <f t="shared" ref="O246:Q246" si="1023">IF(BH246=0,SUM(X246+AA246+AD246+AG246+AJ246+AM246+AP246+AS246+AV246+AY246+BB246+BE246),BH246)</f>
        <v>2033.69</v>
      </c>
      <c r="P246" s="62">
        <f t="shared" si="1023"/>
        <v>0</v>
      </c>
      <c r="Q246" s="62">
        <f t="shared" si="1023"/>
        <v>0</v>
      </c>
      <c r="R246" s="86">
        <f t="shared" ref="R246:T246" si="1024">I246-L246</f>
        <v>0</v>
      </c>
      <c r="S246" s="86">
        <f t="shared" si="1024"/>
        <v>0</v>
      </c>
      <c r="T246" s="86">
        <f t="shared" si="1024"/>
        <v>0</v>
      </c>
      <c r="U246" s="87">
        <f t="shared" ref="U246:W246" si="1025">L246/I246</f>
        <v>1</v>
      </c>
      <c r="V246" s="87" t="e">
        <f t="shared" si="1025"/>
        <v>#DIV/0!</v>
      </c>
      <c r="W246" s="87" t="e">
        <f t="shared" si="1025"/>
        <v>#DIV/0!</v>
      </c>
      <c r="X246" s="137">
        <v>0</v>
      </c>
      <c r="Y246" s="137"/>
      <c r="Z246" s="137"/>
      <c r="AA246" s="137">
        <v>0</v>
      </c>
      <c r="AB246" s="137"/>
      <c r="AC246" s="137"/>
      <c r="AD246" s="137">
        <f>2033.69</f>
        <v>2033.69</v>
      </c>
      <c r="AE246" s="137"/>
      <c r="AF246" s="137"/>
      <c r="AG246" s="137"/>
      <c r="AH246" s="137"/>
      <c r="AI246" s="137"/>
      <c r="AJ246" s="137"/>
      <c r="AK246" s="137"/>
      <c r="AL246" s="137"/>
      <c r="AM246" s="137"/>
      <c r="AN246" s="137"/>
      <c r="AO246" s="137"/>
      <c r="AP246" s="137"/>
      <c r="AQ246" s="137"/>
      <c r="AR246" s="137"/>
      <c r="AS246" s="137"/>
      <c r="AT246" s="137"/>
      <c r="AU246" s="137"/>
      <c r="AV246" s="137"/>
      <c r="AW246" s="137"/>
      <c r="AX246" s="137"/>
      <c r="AY246" s="137"/>
      <c r="AZ246" s="137"/>
      <c r="BA246" s="137"/>
      <c r="BB246" s="137"/>
      <c r="BC246" s="137"/>
      <c r="BD246" s="137"/>
      <c r="BE246" s="137"/>
      <c r="BF246" s="137"/>
      <c r="BG246" s="137"/>
      <c r="BH246" s="137"/>
      <c r="BI246" s="137"/>
      <c r="BJ246" s="137"/>
      <c r="BK246" s="88"/>
      <c r="BL246" s="88"/>
      <c r="BM246" s="88"/>
      <c r="BN246" s="88"/>
      <c r="BO246" s="88"/>
    </row>
    <row r="247" spans="1:67" ht="15.75" customHeight="1">
      <c r="A247" s="89"/>
      <c r="B247" s="90"/>
      <c r="C247" s="80" t="s">
        <v>436</v>
      </c>
      <c r="D247" s="81" t="s">
        <v>468</v>
      </c>
      <c r="E247" s="82"/>
      <c r="F247" s="82"/>
      <c r="G247" s="83" t="e">
        <f t="shared" si="774"/>
        <v>#DIV/0!</v>
      </c>
      <c r="H247" s="83" t="e">
        <f t="shared" si="2"/>
        <v>#DIV/0!</v>
      </c>
      <c r="I247" s="182"/>
      <c r="J247" s="137"/>
      <c r="K247" s="182"/>
      <c r="L247" s="86">
        <f t="shared" ref="L247:N247" si="1026">X247+AA247+AD247+AG247+AJ247+AM247+AP247+AS247+AV247+AY247+BB247+BE247</f>
        <v>0</v>
      </c>
      <c r="M247" s="86">
        <f t="shared" si="1026"/>
        <v>0</v>
      </c>
      <c r="N247" s="86">
        <f t="shared" si="1026"/>
        <v>0</v>
      </c>
      <c r="O247" s="62">
        <f t="shared" ref="O247:Q247" si="1027">IF(BH247=0,SUM(X247+AA247+AD247+AG247+AJ247+AM247+AP247+AS247+AV247+AY247+BB247+BE247),BH247)</f>
        <v>0</v>
      </c>
      <c r="P247" s="62">
        <f t="shared" si="1027"/>
        <v>0</v>
      </c>
      <c r="Q247" s="62">
        <f t="shared" si="1027"/>
        <v>0</v>
      </c>
      <c r="R247" s="86">
        <f t="shared" ref="R247:T247" si="1028">I247-L247</f>
        <v>0</v>
      </c>
      <c r="S247" s="86">
        <f t="shared" si="1028"/>
        <v>0</v>
      </c>
      <c r="T247" s="86">
        <f t="shared" si="1028"/>
        <v>0</v>
      </c>
      <c r="U247" s="87" t="e">
        <f t="shared" ref="U247:W247" si="1029">L247/I247</f>
        <v>#DIV/0!</v>
      </c>
      <c r="V247" s="87" t="e">
        <f t="shared" si="1029"/>
        <v>#DIV/0!</v>
      </c>
      <c r="W247" s="87" t="e">
        <f t="shared" si="1029"/>
        <v>#DIV/0!</v>
      </c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7"/>
      <c r="AP247" s="137"/>
      <c r="AQ247" s="137"/>
      <c r="AR247" s="137"/>
      <c r="AS247" s="137"/>
      <c r="AT247" s="137"/>
      <c r="AU247" s="137"/>
      <c r="AV247" s="137"/>
      <c r="AW247" s="137"/>
      <c r="AX247" s="137"/>
      <c r="AY247" s="137"/>
      <c r="AZ247" s="137"/>
      <c r="BA247" s="137"/>
      <c r="BB247" s="137"/>
      <c r="BC247" s="137"/>
      <c r="BD247" s="137"/>
      <c r="BE247" s="137"/>
      <c r="BF247" s="137"/>
      <c r="BG247" s="137"/>
      <c r="BH247" s="137"/>
      <c r="BI247" s="137"/>
      <c r="BJ247" s="137"/>
      <c r="BK247" s="88"/>
      <c r="BL247" s="88"/>
      <c r="BM247" s="88"/>
      <c r="BN247" s="88"/>
      <c r="BO247" s="88"/>
    </row>
    <row r="248" spans="1:67" ht="15.75" customHeight="1">
      <c r="A248" s="89"/>
      <c r="B248" s="90"/>
      <c r="C248" s="80"/>
      <c r="D248" s="81"/>
      <c r="E248" s="82"/>
      <c r="F248" s="82"/>
      <c r="G248" s="83"/>
      <c r="H248" s="83"/>
      <c r="I248" s="182"/>
      <c r="J248" s="137"/>
      <c r="K248" s="182"/>
      <c r="L248" s="86"/>
      <c r="M248" s="86"/>
      <c r="N248" s="86"/>
      <c r="O248" s="62"/>
      <c r="P248" s="62"/>
      <c r="Q248" s="62"/>
      <c r="R248" s="86"/>
      <c r="S248" s="86"/>
      <c r="T248" s="86"/>
      <c r="U248" s="87"/>
      <c r="V248" s="87"/>
      <c r="W248" s="87"/>
      <c r="X248" s="137"/>
      <c r="Y248" s="137"/>
      <c r="Z248" s="137"/>
      <c r="AA248" s="137"/>
      <c r="AB248" s="137"/>
      <c r="AC248" s="137"/>
      <c r="AD248" s="137"/>
      <c r="AE248" s="137"/>
      <c r="AF248" s="137"/>
      <c r="AG248" s="137"/>
      <c r="AH248" s="137"/>
      <c r="AI248" s="137"/>
      <c r="AJ248" s="137"/>
      <c r="AK248" s="137"/>
      <c r="AL248" s="137"/>
      <c r="AM248" s="137"/>
      <c r="AN248" s="137"/>
      <c r="AO248" s="137"/>
      <c r="AP248" s="137"/>
      <c r="AQ248" s="137"/>
      <c r="AR248" s="137"/>
      <c r="AS248" s="137"/>
      <c r="AT248" s="137"/>
      <c r="AU248" s="137"/>
      <c r="AV248" s="137"/>
      <c r="AW248" s="137"/>
      <c r="AX248" s="137"/>
      <c r="AY248" s="137"/>
      <c r="AZ248" s="137"/>
      <c r="BA248" s="137"/>
      <c r="BB248" s="137"/>
      <c r="BC248" s="137"/>
      <c r="BD248" s="137"/>
      <c r="BE248" s="137"/>
      <c r="BF248" s="137"/>
      <c r="BG248" s="137"/>
      <c r="BH248" s="137"/>
      <c r="BI248" s="137"/>
      <c r="BJ248" s="137"/>
      <c r="BK248" s="88"/>
      <c r="BL248" s="88"/>
      <c r="BM248" s="88"/>
      <c r="BN248" s="88"/>
      <c r="BO248" s="88"/>
    </row>
    <row r="249" spans="1:67" ht="15.75" customHeight="1">
      <c r="A249" s="218"/>
      <c r="B249" s="218"/>
      <c r="C249" s="211"/>
      <c r="D249" s="212" t="s">
        <v>469</v>
      </c>
      <c r="E249" s="213">
        <f t="shared" ref="E249:F249" si="1030">SUM(E250:E263)</f>
        <v>0</v>
      </c>
      <c r="F249" s="213">
        <f t="shared" si="1030"/>
        <v>0</v>
      </c>
      <c r="G249" s="180" t="e">
        <f t="shared" ref="G249:G290" si="1031">I249/E249</f>
        <v>#DIV/0!</v>
      </c>
      <c r="H249" s="180" t="e">
        <f t="shared" ref="H249:H290" si="1032">L249/E249</f>
        <v>#DIV/0!</v>
      </c>
      <c r="I249" s="213">
        <f t="shared" ref="I249:N249" si="1033">SUM(I264:I280)</f>
        <v>51385.72</v>
      </c>
      <c r="J249" s="213">
        <f t="shared" si="1033"/>
        <v>161978.12</v>
      </c>
      <c r="K249" s="213">
        <f t="shared" si="1033"/>
        <v>0</v>
      </c>
      <c r="L249" s="213">
        <f t="shared" si="1033"/>
        <v>6805.22</v>
      </c>
      <c r="M249" s="213">
        <f t="shared" si="1033"/>
        <v>113361.44</v>
      </c>
      <c r="N249" s="213">
        <f t="shared" si="1033"/>
        <v>0</v>
      </c>
      <c r="O249" s="214">
        <f t="shared" ref="O249:Q249" si="1034">IF(BH249=0,SUM(X249+AA249+AD249+AG249+AJ249+AM249+AP249+AS249+AV249+AY249+BB249+BE249),BH249)</f>
        <v>6805.22</v>
      </c>
      <c r="P249" s="214">
        <f t="shared" si="1034"/>
        <v>113361.43999999999</v>
      </c>
      <c r="Q249" s="214">
        <f t="shared" si="1034"/>
        <v>0</v>
      </c>
      <c r="R249" s="213">
        <f t="shared" ref="R249:T249" si="1035">SUM(R264:R280)</f>
        <v>44580.5</v>
      </c>
      <c r="S249" s="213">
        <f t="shared" si="1035"/>
        <v>48616.68</v>
      </c>
      <c r="T249" s="213">
        <f t="shared" si="1035"/>
        <v>0</v>
      </c>
      <c r="U249" s="232">
        <f t="shared" ref="U249:W249" si="1036">L249/I249</f>
        <v>0.13243406923168538</v>
      </c>
      <c r="V249" s="232">
        <f t="shared" si="1036"/>
        <v>0.69985649913704395</v>
      </c>
      <c r="W249" s="232" t="e">
        <f t="shared" si="1036"/>
        <v>#DIV/0!</v>
      </c>
      <c r="X249" s="213">
        <f t="shared" ref="X249:BJ249" si="1037">SUM(X264:X280)</f>
        <v>0</v>
      </c>
      <c r="Y249" s="213">
        <f t="shared" si="1037"/>
        <v>12400</v>
      </c>
      <c r="Z249" s="213">
        <f t="shared" si="1037"/>
        <v>0</v>
      </c>
      <c r="AA249" s="213">
        <f t="shared" si="1037"/>
        <v>440.58000000000004</v>
      </c>
      <c r="AB249" s="213">
        <f t="shared" si="1037"/>
        <v>14663.759999999998</v>
      </c>
      <c r="AC249" s="213">
        <f t="shared" si="1037"/>
        <v>0</v>
      </c>
      <c r="AD249" s="213">
        <f t="shared" si="1037"/>
        <v>339.72</v>
      </c>
      <c r="AE249" s="213">
        <f t="shared" si="1037"/>
        <v>19438.48</v>
      </c>
      <c r="AF249" s="213">
        <f t="shared" si="1037"/>
        <v>0</v>
      </c>
      <c r="AG249" s="213">
        <f t="shared" si="1037"/>
        <v>6024.92</v>
      </c>
      <c r="AH249" s="213">
        <f t="shared" si="1037"/>
        <v>37144</v>
      </c>
      <c r="AI249" s="213">
        <f t="shared" si="1037"/>
        <v>0</v>
      </c>
      <c r="AJ249" s="213">
        <f t="shared" si="1037"/>
        <v>0</v>
      </c>
      <c r="AK249" s="213">
        <f t="shared" si="1037"/>
        <v>29715.200000000001</v>
      </c>
      <c r="AL249" s="213">
        <f t="shared" si="1037"/>
        <v>0</v>
      </c>
      <c r="AM249" s="213">
        <f t="shared" si="1037"/>
        <v>0</v>
      </c>
      <c r="AN249" s="213">
        <f t="shared" si="1037"/>
        <v>0</v>
      </c>
      <c r="AO249" s="213">
        <f t="shared" si="1037"/>
        <v>0</v>
      </c>
      <c r="AP249" s="213">
        <f t="shared" si="1037"/>
        <v>0</v>
      </c>
      <c r="AQ249" s="213">
        <f t="shared" si="1037"/>
        <v>0</v>
      </c>
      <c r="AR249" s="213">
        <f t="shared" si="1037"/>
        <v>0</v>
      </c>
      <c r="AS249" s="213">
        <f t="shared" si="1037"/>
        <v>0</v>
      </c>
      <c r="AT249" s="213">
        <f t="shared" si="1037"/>
        <v>0</v>
      </c>
      <c r="AU249" s="213">
        <f t="shared" si="1037"/>
        <v>0</v>
      </c>
      <c r="AV249" s="213">
        <f t="shared" si="1037"/>
        <v>0</v>
      </c>
      <c r="AW249" s="213">
        <f t="shared" si="1037"/>
        <v>0</v>
      </c>
      <c r="AX249" s="213">
        <f t="shared" si="1037"/>
        <v>0</v>
      </c>
      <c r="AY249" s="213">
        <f t="shared" si="1037"/>
        <v>0</v>
      </c>
      <c r="AZ249" s="213">
        <f t="shared" si="1037"/>
        <v>0</v>
      </c>
      <c r="BA249" s="213">
        <f t="shared" si="1037"/>
        <v>0</v>
      </c>
      <c r="BB249" s="213">
        <f t="shared" si="1037"/>
        <v>0</v>
      </c>
      <c r="BC249" s="213">
        <f t="shared" si="1037"/>
        <v>0</v>
      </c>
      <c r="BD249" s="213">
        <f t="shared" si="1037"/>
        <v>0</v>
      </c>
      <c r="BE249" s="213">
        <f t="shared" si="1037"/>
        <v>0</v>
      </c>
      <c r="BF249" s="213">
        <f t="shared" si="1037"/>
        <v>0</v>
      </c>
      <c r="BG249" s="213">
        <f t="shared" si="1037"/>
        <v>0</v>
      </c>
      <c r="BH249" s="213">
        <f t="shared" si="1037"/>
        <v>0</v>
      </c>
      <c r="BI249" s="213">
        <f t="shared" si="1037"/>
        <v>0</v>
      </c>
      <c r="BJ249" s="213">
        <f t="shared" si="1037"/>
        <v>0</v>
      </c>
      <c r="BK249" s="88"/>
      <c r="BL249" s="88"/>
      <c r="BM249" s="88"/>
      <c r="BN249" s="88"/>
      <c r="BO249" s="88"/>
    </row>
    <row r="250" spans="1:67" ht="15.75" customHeight="1">
      <c r="A250" s="89"/>
      <c r="B250" s="95" t="s">
        <v>470</v>
      </c>
      <c r="C250" s="80" t="s">
        <v>471</v>
      </c>
      <c r="D250" s="81" t="s">
        <v>472</v>
      </c>
      <c r="E250" s="82"/>
      <c r="F250" s="82"/>
      <c r="G250" s="83" t="e">
        <f t="shared" si="1031"/>
        <v>#DIV/0!</v>
      </c>
      <c r="H250" s="83" t="e">
        <f t="shared" si="1032"/>
        <v>#DIV/0!</v>
      </c>
      <c r="I250" s="182"/>
      <c r="J250" s="182">
        <v>275</v>
      </c>
      <c r="K250" s="182"/>
      <c r="L250" s="86">
        <f t="shared" ref="L250:N250" si="1038">X250+AA250+AD250+AG250+AJ250+AM250+AP250+AS250+AV250+AY250+BB250+BE250</f>
        <v>0</v>
      </c>
      <c r="M250" s="86">
        <f t="shared" si="1038"/>
        <v>0</v>
      </c>
      <c r="N250" s="86">
        <f t="shared" si="1038"/>
        <v>0</v>
      </c>
      <c r="O250" s="62">
        <f t="shared" ref="O250:Q250" si="1039">IF(BH250=0,SUM(X250+AA250+AD250+AG250+AJ250+AM250+AP250+AS250+AV250+AY250+BB250+BE250),BH250)</f>
        <v>0</v>
      </c>
      <c r="P250" s="62">
        <f t="shared" si="1039"/>
        <v>0</v>
      </c>
      <c r="Q250" s="62">
        <f t="shared" si="1039"/>
        <v>0</v>
      </c>
      <c r="R250" s="86">
        <f t="shared" ref="R250:T250" si="1040">I250-L250</f>
        <v>0</v>
      </c>
      <c r="S250" s="86">
        <f t="shared" si="1040"/>
        <v>275</v>
      </c>
      <c r="T250" s="86">
        <f t="shared" si="1040"/>
        <v>0</v>
      </c>
      <c r="U250" s="87" t="e">
        <f t="shared" ref="U250:W250" si="1041">L250/I250</f>
        <v>#DIV/0!</v>
      </c>
      <c r="V250" s="87">
        <f t="shared" si="1041"/>
        <v>0</v>
      </c>
      <c r="W250" s="232" t="e">
        <f t="shared" si="1041"/>
        <v>#DIV/0!</v>
      </c>
      <c r="X250" s="137"/>
      <c r="Y250" s="137">
        <v>0</v>
      </c>
      <c r="Z250" s="137"/>
      <c r="AA250" s="137"/>
      <c r="AB250" s="137"/>
      <c r="AC250" s="137"/>
      <c r="AD250" s="137"/>
      <c r="AE250" s="137"/>
      <c r="AF250" s="137"/>
      <c r="AG250" s="137"/>
      <c r="AH250" s="137"/>
      <c r="AI250" s="137"/>
      <c r="AJ250" s="137"/>
      <c r="AK250" s="137"/>
      <c r="AL250" s="137"/>
      <c r="AM250" s="137"/>
      <c r="AN250" s="137"/>
      <c r="AO250" s="137"/>
      <c r="AP250" s="137"/>
      <c r="AQ250" s="137"/>
      <c r="AR250" s="137"/>
      <c r="AS250" s="137"/>
      <c r="AT250" s="137"/>
      <c r="AU250" s="137"/>
      <c r="AV250" s="137"/>
      <c r="AW250" s="137"/>
      <c r="AX250" s="137"/>
      <c r="AY250" s="137"/>
      <c r="AZ250" s="137"/>
      <c r="BA250" s="137"/>
      <c r="BB250" s="137"/>
      <c r="BC250" s="137"/>
      <c r="BD250" s="137"/>
      <c r="BE250" s="137"/>
      <c r="BF250" s="137"/>
      <c r="BG250" s="137"/>
      <c r="BH250" s="137"/>
      <c r="BI250" s="137"/>
      <c r="BJ250" s="137"/>
      <c r="BK250" s="88"/>
      <c r="BL250" s="88"/>
      <c r="BM250" s="88"/>
      <c r="BN250" s="88"/>
      <c r="BO250" s="88"/>
    </row>
    <row r="251" spans="1:67" ht="15.75" customHeight="1">
      <c r="A251" s="89"/>
      <c r="B251" s="95" t="s">
        <v>470</v>
      </c>
      <c r="C251" s="80" t="s">
        <v>473</v>
      </c>
      <c r="D251" s="81" t="s">
        <v>472</v>
      </c>
      <c r="E251" s="82"/>
      <c r="F251" s="82"/>
      <c r="G251" s="83" t="e">
        <f t="shared" si="1031"/>
        <v>#DIV/0!</v>
      </c>
      <c r="H251" s="83" t="e">
        <f t="shared" si="1032"/>
        <v>#DIV/0!</v>
      </c>
      <c r="I251" s="182"/>
      <c r="J251" s="182">
        <v>900.18</v>
      </c>
      <c r="K251" s="182"/>
      <c r="L251" s="86">
        <f t="shared" ref="L251:N251" si="1042">X251+AA251+AD251+AG251+AJ251+AM251+AP251+AS251+AV251+AY251+BB251+BE251</f>
        <v>0</v>
      </c>
      <c r="M251" s="86">
        <f t="shared" si="1042"/>
        <v>0</v>
      </c>
      <c r="N251" s="86">
        <f t="shared" si="1042"/>
        <v>0</v>
      </c>
      <c r="O251" s="62">
        <f t="shared" ref="O251:Q251" si="1043">IF(BH251=0,SUM(X251+AA251+AD251+AG251+AJ251+AM251+AP251+AS251+AV251+AY251+BB251+BE251),BH251)</f>
        <v>0</v>
      </c>
      <c r="P251" s="62">
        <f t="shared" si="1043"/>
        <v>0</v>
      </c>
      <c r="Q251" s="62">
        <f t="shared" si="1043"/>
        <v>0</v>
      </c>
      <c r="R251" s="86">
        <f t="shared" ref="R251:T251" si="1044">I251-L251</f>
        <v>0</v>
      </c>
      <c r="S251" s="86">
        <f t="shared" si="1044"/>
        <v>900.18</v>
      </c>
      <c r="T251" s="86">
        <f t="shared" si="1044"/>
        <v>0</v>
      </c>
      <c r="U251" s="87" t="e">
        <f t="shared" ref="U251:W251" si="1045">L251/I251</f>
        <v>#DIV/0!</v>
      </c>
      <c r="V251" s="87">
        <f t="shared" si="1045"/>
        <v>0</v>
      </c>
      <c r="W251" s="232" t="e">
        <f t="shared" si="1045"/>
        <v>#DIV/0!</v>
      </c>
      <c r="X251" s="137"/>
      <c r="Y251" s="137">
        <v>0</v>
      </c>
      <c r="Z251" s="137"/>
      <c r="AA251" s="137"/>
      <c r="AB251" s="137"/>
      <c r="AC251" s="137"/>
      <c r="AD251" s="137"/>
      <c r="AE251" s="137"/>
      <c r="AF251" s="137"/>
      <c r="AG251" s="137"/>
      <c r="AH251" s="137"/>
      <c r="AI251" s="137"/>
      <c r="AJ251" s="137"/>
      <c r="AK251" s="137"/>
      <c r="AL251" s="137"/>
      <c r="AM251" s="137"/>
      <c r="AN251" s="137"/>
      <c r="AO251" s="137"/>
      <c r="AP251" s="137"/>
      <c r="AQ251" s="137"/>
      <c r="AR251" s="137"/>
      <c r="AS251" s="137"/>
      <c r="AT251" s="137"/>
      <c r="AU251" s="137"/>
      <c r="AV251" s="137"/>
      <c r="AW251" s="137"/>
      <c r="AX251" s="137"/>
      <c r="AY251" s="137"/>
      <c r="AZ251" s="137"/>
      <c r="BA251" s="137"/>
      <c r="BB251" s="137"/>
      <c r="BC251" s="137"/>
      <c r="BD251" s="137"/>
      <c r="BE251" s="137"/>
      <c r="BF251" s="137"/>
      <c r="BG251" s="137"/>
      <c r="BH251" s="137"/>
      <c r="BI251" s="137"/>
      <c r="BJ251" s="137"/>
      <c r="BK251" s="88"/>
      <c r="BL251" s="88"/>
      <c r="BM251" s="88"/>
      <c r="BN251" s="88"/>
      <c r="BO251" s="88"/>
    </row>
    <row r="252" spans="1:67" ht="15.75" customHeight="1">
      <c r="A252" s="89"/>
      <c r="B252" s="95" t="s">
        <v>474</v>
      </c>
      <c r="C252" s="80" t="s">
        <v>341</v>
      </c>
      <c r="D252" s="81" t="s">
        <v>472</v>
      </c>
      <c r="E252" s="82"/>
      <c r="F252" s="82"/>
      <c r="G252" s="83" t="e">
        <f t="shared" si="1031"/>
        <v>#DIV/0!</v>
      </c>
      <c r="H252" s="83" t="e">
        <f t="shared" si="1032"/>
        <v>#DIV/0!</v>
      </c>
      <c r="I252" s="182"/>
      <c r="J252" s="182">
        <v>2799</v>
      </c>
      <c r="K252" s="182"/>
      <c r="L252" s="86">
        <f t="shared" ref="L252:N252" si="1046">X252+AA252+AD252+AG252+AJ252+AM252+AP252+AS252+AV252+AY252+BB252+BE252</f>
        <v>0</v>
      </c>
      <c r="M252" s="86">
        <f t="shared" si="1046"/>
        <v>0</v>
      </c>
      <c r="N252" s="86">
        <f t="shared" si="1046"/>
        <v>0</v>
      </c>
      <c r="O252" s="62">
        <f t="shared" ref="O252:Q252" si="1047">IF(BH252=0,SUM(X252+AA252+AD252+AG252+AJ252+AM252+AP252+AS252+AV252+AY252+BB252+BE252),BH252)</f>
        <v>0</v>
      </c>
      <c r="P252" s="62">
        <f t="shared" si="1047"/>
        <v>0</v>
      </c>
      <c r="Q252" s="62">
        <f t="shared" si="1047"/>
        <v>0</v>
      </c>
      <c r="R252" s="86">
        <f t="shared" ref="R252:T252" si="1048">I252-L252</f>
        <v>0</v>
      </c>
      <c r="S252" s="86">
        <f t="shared" si="1048"/>
        <v>2799</v>
      </c>
      <c r="T252" s="86">
        <f t="shared" si="1048"/>
        <v>0</v>
      </c>
      <c r="U252" s="87" t="e">
        <f t="shared" ref="U252:W252" si="1049">L252/I252</f>
        <v>#DIV/0!</v>
      </c>
      <c r="V252" s="87">
        <f t="shared" si="1049"/>
        <v>0</v>
      </c>
      <c r="W252" s="232" t="e">
        <f t="shared" si="1049"/>
        <v>#DIV/0!</v>
      </c>
      <c r="X252" s="137"/>
      <c r="Y252" s="137">
        <v>0</v>
      </c>
      <c r="Z252" s="137"/>
      <c r="AA252" s="137"/>
      <c r="AB252" s="137"/>
      <c r="AC252" s="137"/>
      <c r="AD252" s="137"/>
      <c r="AE252" s="137"/>
      <c r="AF252" s="137"/>
      <c r="AG252" s="137"/>
      <c r="AH252" s="137"/>
      <c r="AI252" s="137"/>
      <c r="AJ252" s="137"/>
      <c r="AK252" s="137"/>
      <c r="AL252" s="137"/>
      <c r="AM252" s="137"/>
      <c r="AN252" s="137"/>
      <c r="AO252" s="137"/>
      <c r="AP252" s="137"/>
      <c r="AQ252" s="137"/>
      <c r="AR252" s="137"/>
      <c r="AS252" s="137"/>
      <c r="AT252" s="137"/>
      <c r="AU252" s="137"/>
      <c r="AV252" s="137"/>
      <c r="AW252" s="137"/>
      <c r="AX252" s="137"/>
      <c r="AY252" s="137"/>
      <c r="AZ252" s="137"/>
      <c r="BA252" s="137"/>
      <c r="BB252" s="137"/>
      <c r="BC252" s="137"/>
      <c r="BD252" s="137"/>
      <c r="BE252" s="137"/>
      <c r="BF252" s="137"/>
      <c r="BG252" s="137"/>
      <c r="BH252" s="137"/>
      <c r="BI252" s="137"/>
      <c r="BJ252" s="137"/>
      <c r="BK252" s="88"/>
      <c r="BL252" s="88"/>
      <c r="BM252" s="88"/>
      <c r="BN252" s="88"/>
      <c r="BO252" s="88"/>
    </row>
    <row r="253" spans="1:67" ht="15.75" customHeight="1">
      <c r="A253" s="89"/>
      <c r="B253" s="95" t="s">
        <v>475</v>
      </c>
      <c r="C253" s="80" t="s">
        <v>442</v>
      </c>
      <c r="D253" s="81" t="s">
        <v>472</v>
      </c>
      <c r="E253" s="82"/>
      <c r="F253" s="82"/>
      <c r="G253" s="83" t="e">
        <f t="shared" si="1031"/>
        <v>#DIV/0!</v>
      </c>
      <c r="H253" s="83" t="e">
        <f t="shared" si="1032"/>
        <v>#DIV/0!</v>
      </c>
      <c r="I253" s="182"/>
      <c r="J253" s="182">
        <v>1478</v>
      </c>
      <c r="K253" s="182"/>
      <c r="L253" s="86">
        <f t="shared" ref="L253:N253" si="1050">X253+AA253+AD253+AG253+AJ253+AM253+AP253+AS253+AV253+AY253+BB253+BE253</f>
        <v>0</v>
      </c>
      <c r="M253" s="86">
        <f t="shared" si="1050"/>
        <v>1478</v>
      </c>
      <c r="N253" s="86">
        <f t="shared" si="1050"/>
        <v>0</v>
      </c>
      <c r="O253" s="62">
        <f t="shared" ref="O253:Q253" si="1051">IF(BH253=0,SUM(X253+AA253+AD253+AG253+AJ253+AM253+AP253+AS253+AV253+AY253+BB253+BE253),BH253)</f>
        <v>0</v>
      </c>
      <c r="P253" s="62">
        <f t="shared" si="1051"/>
        <v>1478</v>
      </c>
      <c r="Q253" s="62">
        <f t="shared" si="1051"/>
        <v>0</v>
      </c>
      <c r="R253" s="86">
        <f t="shared" ref="R253:T253" si="1052">I253-L253</f>
        <v>0</v>
      </c>
      <c r="S253" s="86">
        <f t="shared" si="1052"/>
        <v>0</v>
      </c>
      <c r="T253" s="86">
        <f t="shared" si="1052"/>
        <v>0</v>
      </c>
      <c r="U253" s="87" t="e">
        <f t="shared" ref="U253:W253" si="1053">L253/I253</f>
        <v>#DIV/0!</v>
      </c>
      <c r="V253" s="87">
        <f t="shared" si="1053"/>
        <v>1</v>
      </c>
      <c r="W253" s="232" t="e">
        <f t="shared" si="1053"/>
        <v>#DIV/0!</v>
      </c>
      <c r="X253" s="137"/>
      <c r="Y253" s="137">
        <v>0</v>
      </c>
      <c r="Z253" s="137"/>
      <c r="AA253" s="137"/>
      <c r="AB253" s="137">
        <f>1478</f>
        <v>1478</v>
      </c>
      <c r="AC253" s="137"/>
      <c r="AD253" s="137"/>
      <c r="AE253" s="137"/>
      <c r="AF253" s="137"/>
      <c r="AG253" s="137"/>
      <c r="AH253" s="137"/>
      <c r="AI253" s="137"/>
      <c r="AJ253" s="137"/>
      <c r="AK253" s="137"/>
      <c r="AL253" s="137"/>
      <c r="AM253" s="137"/>
      <c r="AN253" s="137"/>
      <c r="AO253" s="137"/>
      <c r="AP253" s="137"/>
      <c r="AQ253" s="137"/>
      <c r="AR253" s="137"/>
      <c r="AS253" s="137"/>
      <c r="AT253" s="137"/>
      <c r="AU253" s="137"/>
      <c r="AV253" s="137"/>
      <c r="AW253" s="137"/>
      <c r="AX253" s="137"/>
      <c r="AY253" s="137"/>
      <c r="AZ253" s="137"/>
      <c r="BA253" s="137"/>
      <c r="BB253" s="137"/>
      <c r="BC253" s="137"/>
      <c r="BD253" s="137"/>
      <c r="BE253" s="137"/>
      <c r="BF253" s="137"/>
      <c r="BG253" s="137"/>
      <c r="BH253" s="137"/>
      <c r="BI253" s="137"/>
      <c r="BJ253" s="137"/>
      <c r="BK253" s="88"/>
      <c r="BL253" s="88"/>
      <c r="BM253" s="88"/>
      <c r="BN253" s="88"/>
      <c r="BO253" s="88"/>
    </row>
    <row r="254" spans="1:67" ht="15.75" customHeight="1">
      <c r="A254" s="89"/>
      <c r="B254" s="95" t="s">
        <v>476</v>
      </c>
      <c r="C254" s="80" t="s">
        <v>341</v>
      </c>
      <c r="D254" s="81" t="s">
        <v>472</v>
      </c>
      <c r="E254" s="82"/>
      <c r="F254" s="82"/>
      <c r="G254" s="83" t="e">
        <f t="shared" si="1031"/>
        <v>#DIV/0!</v>
      </c>
      <c r="H254" s="83" t="e">
        <f t="shared" si="1032"/>
        <v>#DIV/0!</v>
      </c>
      <c r="I254" s="182"/>
      <c r="J254" s="182">
        <v>2799</v>
      </c>
      <c r="K254" s="182"/>
      <c r="L254" s="86">
        <f t="shared" ref="L254:N254" si="1054">X254+AA254+AD254+AG254+AJ254+AM254+AP254+AS254+AV254+AY254+BB254+BE254</f>
        <v>0</v>
      </c>
      <c r="M254" s="86">
        <f t="shared" si="1054"/>
        <v>0</v>
      </c>
      <c r="N254" s="86">
        <f t="shared" si="1054"/>
        <v>0</v>
      </c>
      <c r="O254" s="62">
        <f t="shared" ref="O254:Q254" si="1055">IF(BH254=0,SUM(X254+AA254+AD254+AG254+AJ254+AM254+AP254+AS254+AV254+AY254+BB254+BE254),BH254)</f>
        <v>0</v>
      </c>
      <c r="P254" s="62">
        <f t="shared" si="1055"/>
        <v>0</v>
      </c>
      <c r="Q254" s="62">
        <f t="shared" si="1055"/>
        <v>0</v>
      </c>
      <c r="R254" s="86">
        <f t="shared" ref="R254:T254" si="1056">I254-L254</f>
        <v>0</v>
      </c>
      <c r="S254" s="86">
        <f t="shared" si="1056"/>
        <v>2799</v>
      </c>
      <c r="T254" s="86">
        <f t="shared" si="1056"/>
        <v>0</v>
      </c>
      <c r="U254" s="87" t="e">
        <f t="shared" ref="U254:W254" si="1057">L254/I254</f>
        <v>#DIV/0!</v>
      </c>
      <c r="V254" s="87">
        <f t="shared" si="1057"/>
        <v>0</v>
      </c>
      <c r="W254" s="232" t="e">
        <f t="shared" si="1057"/>
        <v>#DIV/0!</v>
      </c>
      <c r="X254" s="137"/>
      <c r="Y254" s="137">
        <v>0</v>
      </c>
      <c r="Z254" s="137"/>
      <c r="AA254" s="137"/>
      <c r="AB254" s="137"/>
      <c r="AC254" s="137"/>
      <c r="AD254" s="137"/>
      <c r="AE254" s="137"/>
      <c r="AF254" s="137"/>
      <c r="AG254" s="137"/>
      <c r="AH254" s="137"/>
      <c r="AI254" s="137"/>
      <c r="AJ254" s="137"/>
      <c r="AK254" s="137"/>
      <c r="AL254" s="137"/>
      <c r="AM254" s="137"/>
      <c r="AN254" s="137"/>
      <c r="AO254" s="137"/>
      <c r="AP254" s="137"/>
      <c r="AQ254" s="137"/>
      <c r="AR254" s="137"/>
      <c r="AS254" s="137"/>
      <c r="AT254" s="137"/>
      <c r="AU254" s="137"/>
      <c r="AV254" s="137"/>
      <c r="AW254" s="137"/>
      <c r="AX254" s="137"/>
      <c r="AY254" s="137"/>
      <c r="AZ254" s="137"/>
      <c r="BA254" s="137"/>
      <c r="BB254" s="137"/>
      <c r="BC254" s="137"/>
      <c r="BD254" s="137"/>
      <c r="BE254" s="137"/>
      <c r="BF254" s="137"/>
      <c r="BG254" s="137"/>
      <c r="BH254" s="137"/>
      <c r="BI254" s="137"/>
      <c r="BJ254" s="137"/>
      <c r="BK254" s="88"/>
      <c r="BL254" s="88"/>
      <c r="BM254" s="88"/>
      <c r="BN254" s="88"/>
      <c r="BO254" s="88"/>
    </row>
    <row r="255" spans="1:67" ht="15.75" customHeight="1">
      <c r="A255" s="89"/>
      <c r="B255" s="95" t="s">
        <v>477</v>
      </c>
      <c r="C255" s="80" t="s">
        <v>442</v>
      </c>
      <c r="D255" s="81" t="s">
        <v>472</v>
      </c>
      <c r="E255" s="82"/>
      <c r="F255" s="82"/>
      <c r="G255" s="83" t="e">
        <f t="shared" si="1031"/>
        <v>#DIV/0!</v>
      </c>
      <c r="H255" s="83" t="e">
        <f t="shared" si="1032"/>
        <v>#DIV/0!</v>
      </c>
      <c r="I255" s="182"/>
      <c r="J255" s="182">
        <v>550</v>
      </c>
      <c r="K255" s="182"/>
      <c r="L255" s="86">
        <f t="shared" ref="L255:N255" si="1058">X255+AA255+AD255+AG255+AJ255+AM255+AP255+AS255+AV255+AY255+BB255+BE255</f>
        <v>0</v>
      </c>
      <c r="M255" s="86">
        <f t="shared" si="1058"/>
        <v>0</v>
      </c>
      <c r="N255" s="86">
        <f t="shared" si="1058"/>
        <v>0</v>
      </c>
      <c r="O255" s="62">
        <f t="shared" ref="O255:Q255" si="1059">IF(BH255=0,SUM(X255+AA255+AD255+AG255+AJ255+AM255+AP255+AS255+AV255+AY255+BB255+BE255),BH255)</f>
        <v>0</v>
      </c>
      <c r="P255" s="62">
        <f t="shared" si="1059"/>
        <v>0</v>
      </c>
      <c r="Q255" s="62">
        <f t="shared" si="1059"/>
        <v>0</v>
      </c>
      <c r="R255" s="86">
        <f t="shared" ref="R255:T255" si="1060">I255-L255</f>
        <v>0</v>
      </c>
      <c r="S255" s="86">
        <f t="shared" si="1060"/>
        <v>550</v>
      </c>
      <c r="T255" s="86">
        <f t="shared" si="1060"/>
        <v>0</v>
      </c>
      <c r="U255" s="87" t="e">
        <f t="shared" ref="U255:W255" si="1061">L255/I255</f>
        <v>#DIV/0!</v>
      </c>
      <c r="V255" s="87">
        <f t="shared" si="1061"/>
        <v>0</v>
      </c>
      <c r="W255" s="232" t="e">
        <f t="shared" si="1061"/>
        <v>#DIV/0!</v>
      </c>
      <c r="X255" s="137"/>
      <c r="Y255" s="137">
        <v>0</v>
      </c>
      <c r="Z255" s="137"/>
      <c r="AA255" s="137"/>
      <c r="AB255" s="137"/>
      <c r="AC255" s="137"/>
      <c r="AD255" s="137"/>
      <c r="AE255" s="137"/>
      <c r="AF255" s="137"/>
      <c r="AG255" s="137"/>
      <c r="AH255" s="137"/>
      <c r="AI255" s="137"/>
      <c r="AJ255" s="137"/>
      <c r="AK255" s="137"/>
      <c r="AL255" s="137"/>
      <c r="AM255" s="137"/>
      <c r="AN255" s="137"/>
      <c r="AO255" s="137"/>
      <c r="AP255" s="137"/>
      <c r="AQ255" s="137"/>
      <c r="AR255" s="137"/>
      <c r="AS255" s="137"/>
      <c r="AT255" s="137"/>
      <c r="AU255" s="137"/>
      <c r="AV255" s="137"/>
      <c r="AW255" s="137"/>
      <c r="AX255" s="137"/>
      <c r="AY255" s="137"/>
      <c r="AZ255" s="137"/>
      <c r="BA255" s="137"/>
      <c r="BB255" s="137"/>
      <c r="BC255" s="137"/>
      <c r="BD255" s="137"/>
      <c r="BE255" s="137"/>
      <c r="BF255" s="137"/>
      <c r="BG255" s="137"/>
      <c r="BH255" s="137"/>
      <c r="BI255" s="137"/>
      <c r="BJ255" s="137"/>
      <c r="BK255" s="88"/>
      <c r="BL255" s="88"/>
      <c r="BM255" s="88"/>
      <c r="BN255" s="88"/>
      <c r="BO255" s="88"/>
    </row>
    <row r="256" spans="1:67" ht="15.75" customHeight="1">
      <c r="A256" s="89"/>
      <c r="B256" s="95" t="s">
        <v>478</v>
      </c>
      <c r="C256" s="80" t="s">
        <v>341</v>
      </c>
      <c r="D256" s="81" t="s">
        <v>472</v>
      </c>
      <c r="E256" s="82"/>
      <c r="F256" s="82"/>
      <c r="G256" s="83" t="e">
        <f t="shared" si="1031"/>
        <v>#DIV/0!</v>
      </c>
      <c r="H256" s="83" t="e">
        <f t="shared" si="1032"/>
        <v>#DIV/0!</v>
      </c>
      <c r="I256" s="182"/>
      <c r="J256" s="182">
        <v>4713</v>
      </c>
      <c r="K256" s="182"/>
      <c r="L256" s="86">
        <f t="shared" ref="L256:N256" si="1062">X256+AA256+AD256+AG256+AJ256+AM256+AP256+AS256+AV256+AY256+BB256+BE256</f>
        <v>0</v>
      </c>
      <c r="M256" s="86">
        <f t="shared" si="1062"/>
        <v>0</v>
      </c>
      <c r="N256" s="86">
        <f t="shared" si="1062"/>
        <v>0</v>
      </c>
      <c r="O256" s="62">
        <f t="shared" ref="O256:Q256" si="1063">IF(BH256=0,SUM(X256+AA256+AD256+AG256+AJ256+AM256+AP256+AS256+AV256+AY256+BB256+BE256),BH256)</f>
        <v>0</v>
      </c>
      <c r="P256" s="62">
        <f t="shared" si="1063"/>
        <v>0</v>
      </c>
      <c r="Q256" s="62">
        <f t="shared" si="1063"/>
        <v>0</v>
      </c>
      <c r="R256" s="86">
        <f t="shared" ref="R256:T256" si="1064">I256-L256</f>
        <v>0</v>
      </c>
      <c r="S256" s="86">
        <f t="shared" si="1064"/>
        <v>4713</v>
      </c>
      <c r="T256" s="86">
        <f t="shared" si="1064"/>
        <v>0</v>
      </c>
      <c r="U256" s="87" t="e">
        <f t="shared" ref="U256:W256" si="1065">L256/I256</f>
        <v>#DIV/0!</v>
      </c>
      <c r="V256" s="87">
        <f t="shared" si="1065"/>
        <v>0</v>
      </c>
      <c r="W256" s="232" t="e">
        <f t="shared" si="1065"/>
        <v>#DIV/0!</v>
      </c>
      <c r="X256" s="137"/>
      <c r="Y256" s="137">
        <v>0</v>
      </c>
      <c r="Z256" s="137"/>
      <c r="AA256" s="137"/>
      <c r="AB256" s="137"/>
      <c r="AC256" s="137"/>
      <c r="AD256" s="137"/>
      <c r="AE256" s="137"/>
      <c r="AF256" s="137"/>
      <c r="AG256" s="137"/>
      <c r="AH256" s="137"/>
      <c r="AI256" s="137"/>
      <c r="AJ256" s="137"/>
      <c r="AK256" s="137"/>
      <c r="AL256" s="137"/>
      <c r="AM256" s="137"/>
      <c r="AN256" s="137"/>
      <c r="AO256" s="137"/>
      <c r="AP256" s="137"/>
      <c r="AQ256" s="137"/>
      <c r="AR256" s="137"/>
      <c r="AS256" s="137"/>
      <c r="AT256" s="137"/>
      <c r="AU256" s="137"/>
      <c r="AV256" s="137"/>
      <c r="AW256" s="137"/>
      <c r="AX256" s="137"/>
      <c r="AY256" s="137"/>
      <c r="AZ256" s="137"/>
      <c r="BA256" s="137"/>
      <c r="BB256" s="137"/>
      <c r="BC256" s="137"/>
      <c r="BD256" s="137"/>
      <c r="BE256" s="137"/>
      <c r="BF256" s="137"/>
      <c r="BG256" s="137"/>
      <c r="BH256" s="137"/>
      <c r="BI256" s="137"/>
      <c r="BJ256" s="137"/>
      <c r="BK256" s="88"/>
      <c r="BL256" s="88"/>
      <c r="BM256" s="88"/>
      <c r="BN256" s="88"/>
      <c r="BO256" s="88"/>
    </row>
    <row r="257" spans="1:67" ht="15.75" customHeight="1">
      <c r="A257" s="89"/>
      <c r="B257" s="95" t="s">
        <v>479</v>
      </c>
      <c r="C257" s="80" t="s">
        <v>473</v>
      </c>
      <c r="D257" s="81" t="s">
        <v>472</v>
      </c>
      <c r="E257" s="82"/>
      <c r="F257" s="82"/>
      <c r="G257" s="83" t="e">
        <f t="shared" si="1031"/>
        <v>#DIV/0!</v>
      </c>
      <c r="H257" s="83" t="e">
        <f t="shared" si="1032"/>
        <v>#DIV/0!</v>
      </c>
      <c r="I257" s="182"/>
      <c r="J257" s="182">
        <v>27000</v>
      </c>
      <c r="K257" s="182"/>
      <c r="L257" s="86">
        <f t="shared" ref="L257:N257" si="1066">X257+AA257+AD257+AG257+AJ257+AM257+AP257+AS257+AV257+AY257+BB257+BE257</f>
        <v>0</v>
      </c>
      <c r="M257" s="86">
        <f t="shared" si="1066"/>
        <v>0</v>
      </c>
      <c r="N257" s="86">
        <f t="shared" si="1066"/>
        <v>0</v>
      </c>
      <c r="O257" s="62">
        <f t="shared" ref="O257:Q257" si="1067">IF(BH257=0,SUM(X257+AA257+AD257+AG257+AJ257+AM257+AP257+AS257+AV257+AY257+BB257+BE257),BH257)</f>
        <v>0</v>
      </c>
      <c r="P257" s="62">
        <f t="shared" si="1067"/>
        <v>0</v>
      </c>
      <c r="Q257" s="62">
        <f t="shared" si="1067"/>
        <v>0</v>
      </c>
      <c r="R257" s="86">
        <f t="shared" ref="R257:T257" si="1068">I257-L257</f>
        <v>0</v>
      </c>
      <c r="S257" s="86">
        <f t="shared" si="1068"/>
        <v>27000</v>
      </c>
      <c r="T257" s="86">
        <f t="shared" si="1068"/>
        <v>0</v>
      </c>
      <c r="U257" s="87" t="e">
        <f t="shared" ref="U257:W257" si="1069">L257/I257</f>
        <v>#DIV/0!</v>
      </c>
      <c r="V257" s="87">
        <f t="shared" si="1069"/>
        <v>0</v>
      </c>
      <c r="W257" s="232" t="e">
        <f t="shared" si="1069"/>
        <v>#DIV/0!</v>
      </c>
      <c r="X257" s="137"/>
      <c r="Y257" s="137">
        <v>0</v>
      </c>
      <c r="Z257" s="137"/>
      <c r="AA257" s="137"/>
      <c r="AB257" s="137"/>
      <c r="AC257" s="137"/>
      <c r="AD257" s="137"/>
      <c r="AE257" s="137"/>
      <c r="AF257" s="137"/>
      <c r="AG257" s="137"/>
      <c r="AH257" s="137"/>
      <c r="AI257" s="137"/>
      <c r="AJ257" s="137"/>
      <c r="AK257" s="137"/>
      <c r="AL257" s="137"/>
      <c r="AM257" s="137"/>
      <c r="AN257" s="137"/>
      <c r="AO257" s="137"/>
      <c r="AP257" s="137"/>
      <c r="AQ257" s="137"/>
      <c r="AR257" s="137"/>
      <c r="AS257" s="137"/>
      <c r="AT257" s="137"/>
      <c r="AU257" s="137"/>
      <c r="AV257" s="137"/>
      <c r="AW257" s="137"/>
      <c r="AX257" s="137"/>
      <c r="AY257" s="137"/>
      <c r="AZ257" s="137"/>
      <c r="BA257" s="137"/>
      <c r="BB257" s="137"/>
      <c r="BC257" s="137"/>
      <c r="BD257" s="137"/>
      <c r="BE257" s="137"/>
      <c r="BF257" s="137"/>
      <c r="BG257" s="137"/>
      <c r="BH257" s="137"/>
      <c r="BI257" s="137"/>
      <c r="BJ257" s="137"/>
      <c r="BK257" s="88"/>
      <c r="BL257" s="88"/>
      <c r="BM257" s="88"/>
      <c r="BN257" s="88"/>
      <c r="BO257" s="88"/>
    </row>
    <row r="258" spans="1:67" ht="15.75" customHeight="1">
      <c r="A258" s="89"/>
      <c r="B258" s="95" t="s">
        <v>480</v>
      </c>
      <c r="C258" s="80" t="s">
        <v>442</v>
      </c>
      <c r="D258" s="81" t="s">
        <v>472</v>
      </c>
      <c r="E258" s="82"/>
      <c r="F258" s="82"/>
      <c r="G258" s="83" t="e">
        <f t="shared" si="1031"/>
        <v>#DIV/0!</v>
      </c>
      <c r="H258" s="83" t="e">
        <f t="shared" si="1032"/>
        <v>#DIV/0!</v>
      </c>
      <c r="I258" s="182"/>
      <c r="J258" s="182">
        <v>900.18</v>
      </c>
      <c r="K258" s="182"/>
      <c r="L258" s="86">
        <f t="shared" ref="L258:N258" si="1070">X258+AA258+AD258+AG258+AJ258+AM258+AP258+AS258+AV258+AY258+BB258+BE258</f>
        <v>0</v>
      </c>
      <c r="M258" s="86">
        <f t="shared" si="1070"/>
        <v>0</v>
      </c>
      <c r="N258" s="86">
        <f t="shared" si="1070"/>
        <v>0</v>
      </c>
      <c r="O258" s="62">
        <f t="shared" ref="O258:Q258" si="1071">IF(BH258=0,SUM(X258+AA258+AD258+AG258+AJ258+AM258+AP258+AS258+AV258+AY258+BB258+BE258),BH258)</f>
        <v>0</v>
      </c>
      <c r="P258" s="62">
        <f t="shared" si="1071"/>
        <v>0</v>
      </c>
      <c r="Q258" s="62">
        <f t="shared" si="1071"/>
        <v>0</v>
      </c>
      <c r="R258" s="86">
        <f t="shared" ref="R258:T258" si="1072">I258-L258</f>
        <v>0</v>
      </c>
      <c r="S258" s="86">
        <f t="shared" si="1072"/>
        <v>900.18</v>
      </c>
      <c r="T258" s="86">
        <f t="shared" si="1072"/>
        <v>0</v>
      </c>
      <c r="U258" s="87" t="e">
        <f t="shared" ref="U258:W258" si="1073">L258/I258</f>
        <v>#DIV/0!</v>
      </c>
      <c r="V258" s="87">
        <f t="shared" si="1073"/>
        <v>0</v>
      </c>
      <c r="W258" s="232" t="e">
        <f t="shared" si="1073"/>
        <v>#DIV/0!</v>
      </c>
      <c r="X258" s="137"/>
      <c r="Y258" s="137">
        <v>0</v>
      </c>
      <c r="Z258" s="137"/>
      <c r="AA258" s="137"/>
      <c r="AB258" s="137"/>
      <c r="AC258" s="137"/>
      <c r="AD258" s="137"/>
      <c r="AE258" s="137"/>
      <c r="AF258" s="137"/>
      <c r="AG258" s="137"/>
      <c r="AH258" s="137"/>
      <c r="AI258" s="137"/>
      <c r="AJ258" s="137"/>
      <c r="AK258" s="137"/>
      <c r="AL258" s="137"/>
      <c r="AM258" s="137"/>
      <c r="AN258" s="137"/>
      <c r="AO258" s="137"/>
      <c r="AP258" s="137"/>
      <c r="AQ258" s="137"/>
      <c r="AR258" s="137"/>
      <c r="AS258" s="137"/>
      <c r="AT258" s="137"/>
      <c r="AU258" s="137"/>
      <c r="AV258" s="137"/>
      <c r="AW258" s="137"/>
      <c r="AX258" s="137"/>
      <c r="AY258" s="137"/>
      <c r="AZ258" s="137"/>
      <c r="BA258" s="137"/>
      <c r="BB258" s="137"/>
      <c r="BC258" s="137"/>
      <c r="BD258" s="137"/>
      <c r="BE258" s="137"/>
      <c r="BF258" s="137"/>
      <c r="BG258" s="137"/>
      <c r="BH258" s="137"/>
      <c r="BI258" s="137"/>
      <c r="BJ258" s="137"/>
      <c r="BK258" s="88"/>
      <c r="BL258" s="88"/>
      <c r="BM258" s="88"/>
      <c r="BN258" s="88"/>
      <c r="BO258" s="88"/>
    </row>
    <row r="259" spans="1:67" ht="15.75" customHeight="1">
      <c r="A259" s="89"/>
      <c r="B259" s="95" t="s">
        <v>480</v>
      </c>
      <c r="C259" s="80" t="s">
        <v>473</v>
      </c>
      <c r="D259" s="81" t="s">
        <v>472</v>
      </c>
      <c r="E259" s="82"/>
      <c r="F259" s="82"/>
      <c r="G259" s="83" t="e">
        <f t="shared" si="1031"/>
        <v>#DIV/0!</v>
      </c>
      <c r="H259" s="83" t="e">
        <f t="shared" si="1032"/>
        <v>#DIV/0!</v>
      </c>
      <c r="I259" s="182"/>
      <c r="J259" s="182">
        <v>28.82</v>
      </c>
      <c r="K259" s="182"/>
      <c r="L259" s="86">
        <f t="shared" ref="L259:N259" si="1074">X259+AA259+AD259+AG259+AJ259+AM259+AP259+AS259+AV259+AY259+BB259+BE259</f>
        <v>0</v>
      </c>
      <c r="M259" s="86">
        <f t="shared" si="1074"/>
        <v>0</v>
      </c>
      <c r="N259" s="86">
        <f t="shared" si="1074"/>
        <v>0</v>
      </c>
      <c r="O259" s="62">
        <f t="shared" ref="O259:Q259" si="1075">IF(BH259=0,SUM(X259+AA259+AD259+AG259+AJ259+AM259+AP259+AS259+AV259+AY259+BB259+BE259),BH259)</f>
        <v>0</v>
      </c>
      <c r="P259" s="62">
        <f t="shared" si="1075"/>
        <v>0</v>
      </c>
      <c r="Q259" s="62">
        <f t="shared" si="1075"/>
        <v>0</v>
      </c>
      <c r="R259" s="86">
        <f t="shared" ref="R259:T259" si="1076">I259-L259</f>
        <v>0</v>
      </c>
      <c r="S259" s="86">
        <f t="shared" si="1076"/>
        <v>28.82</v>
      </c>
      <c r="T259" s="86">
        <f t="shared" si="1076"/>
        <v>0</v>
      </c>
      <c r="U259" s="87" t="e">
        <f t="shared" ref="U259:W259" si="1077">L259/I259</f>
        <v>#DIV/0!</v>
      </c>
      <c r="V259" s="87">
        <f t="shared" si="1077"/>
        <v>0</v>
      </c>
      <c r="W259" s="232" t="e">
        <f t="shared" si="1077"/>
        <v>#DIV/0!</v>
      </c>
      <c r="X259" s="137"/>
      <c r="Y259" s="137">
        <v>0</v>
      </c>
      <c r="Z259" s="137"/>
      <c r="AA259" s="137"/>
      <c r="AB259" s="137"/>
      <c r="AC259" s="137"/>
      <c r="AD259" s="137"/>
      <c r="AE259" s="137"/>
      <c r="AF259" s="137"/>
      <c r="AG259" s="137"/>
      <c r="AH259" s="137"/>
      <c r="AI259" s="137"/>
      <c r="AJ259" s="137"/>
      <c r="AK259" s="137"/>
      <c r="AL259" s="137"/>
      <c r="AM259" s="137"/>
      <c r="AN259" s="137"/>
      <c r="AO259" s="137"/>
      <c r="AP259" s="137"/>
      <c r="AQ259" s="137"/>
      <c r="AR259" s="137"/>
      <c r="AS259" s="137"/>
      <c r="AT259" s="137"/>
      <c r="AU259" s="137"/>
      <c r="AV259" s="137"/>
      <c r="AW259" s="137"/>
      <c r="AX259" s="137"/>
      <c r="AY259" s="137"/>
      <c r="AZ259" s="137"/>
      <c r="BA259" s="137"/>
      <c r="BB259" s="137"/>
      <c r="BC259" s="137"/>
      <c r="BD259" s="137"/>
      <c r="BE259" s="137"/>
      <c r="BF259" s="137"/>
      <c r="BG259" s="137"/>
      <c r="BH259" s="137"/>
      <c r="BI259" s="137"/>
      <c r="BJ259" s="137"/>
      <c r="BK259" s="88"/>
      <c r="BL259" s="88"/>
      <c r="BM259" s="88"/>
      <c r="BN259" s="88"/>
      <c r="BO259" s="88"/>
    </row>
    <row r="260" spans="1:67" ht="15.75" customHeight="1">
      <c r="A260" s="89"/>
      <c r="B260" s="95" t="s">
        <v>481</v>
      </c>
      <c r="C260" s="80" t="s">
        <v>442</v>
      </c>
      <c r="D260" s="81" t="s">
        <v>472</v>
      </c>
      <c r="E260" s="82"/>
      <c r="F260" s="82"/>
      <c r="G260" s="83" t="e">
        <f t="shared" si="1031"/>
        <v>#DIV/0!</v>
      </c>
      <c r="H260" s="83" t="e">
        <f t="shared" si="1032"/>
        <v>#DIV/0!</v>
      </c>
      <c r="I260" s="182"/>
      <c r="J260" s="137">
        <v>4500</v>
      </c>
      <c r="K260" s="182"/>
      <c r="L260" s="86">
        <f t="shared" ref="L260:N260" si="1078">X260+AA260+AD260+AG260+AJ260+AM260+AP260+AS260+AV260+AY260+BB260+BE260</f>
        <v>0</v>
      </c>
      <c r="M260" s="86">
        <f t="shared" si="1078"/>
        <v>0</v>
      </c>
      <c r="N260" s="86">
        <f t="shared" si="1078"/>
        <v>0</v>
      </c>
      <c r="O260" s="62">
        <f t="shared" ref="O260:Q260" si="1079">IF(BH260=0,SUM(X260+AA260+AD260+AG260+AJ260+AM260+AP260+AS260+AV260+AY260+BB260+BE260),BH260)</f>
        <v>0</v>
      </c>
      <c r="P260" s="62">
        <f t="shared" si="1079"/>
        <v>0</v>
      </c>
      <c r="Q260" s="62">
        <f t="shared" si="1079"/>
        <v>0</v>
      </c>
      <c r="R260" s="86">
        <f t="shared" ref="R260:T260" si="1080">I260-L260</f>
        <v>0</v>
      </c>
      <c r="S260" s="86">
        <f t="shared" si="1080"/>
        <v>4500</v>
      </c>
      <c r="T260" s="86">
        <f t="shared" si="1080"/>
        <v>0</v>
      </c>
      <c r="U260" s="87" t="e">
        <f t="shared" ref="U260:W260" si="1081">L260/I260</f>
        <v>#DIV/0!</v>
      </c>
      <c r="V260" s="87">
        <f t="shared" si="1081"/>
        <v>0</v>
      </c>
      <c r="W260" s="232" t="e">
        <f t="shared" si="1081"/>
        <v>#DIV/0!</v>
      </c>
      <c r="X260" s="137"/>
      <c r="Y260" s="137">
        <v>0</v>
      </c>
      <c r="Z260" s="137"/>
      <c r="AA260" s="137"/>
      <c r="AB260" s="137"/>
      <c r="AC260" s="137"/>
      <c r="AD260" s="137"/>
      <c r="AE260" s="137"/>
      <c r="AF260" s="137"/>
      <c r="AG260" s="137"/>
      <c r="AH260" s="137"/>
      <c r="AI260" s="137"/>
      <c r="AJ260" s="137"/>
      <c r="AK260" s="137"/>
      <c r="AL260" s="137"/>
      <c r="AM260" s="137"/>
      <c r="AN260" s="137"/>
      <c r="AO260" s="137"/>
      <c r="AP260" s="137"/>
      <c r="AQ260" s="137"/>
      <c r="AR260" s="137"/>
      <c r="AS260" s="137"/>
      <c r="AT260" s="137"/>
      <c r="AU260" s="137"/>
      <c r="AV260" s="137"/>
      <c r="AW260" s="137"/>
      <c r="AX260" s="137"/>
      <c r="AY260" s="137"/>
      <c r="AZ260" s="137"/>
      <c r="BA260" s="137"/>
      <c r="BB260" s="137"/>
      <c r="BC260" s="137"/>
      <c r="BD260" s="137"/>
      <c r="BE260" s="137"/>
      <c r="BF260" s="137"/>
      <c r="BG260" s="137"/>
      <c r="BH260" s="137"/>
      <c r="BI260" s="137"/>
      <c r="BJ260" s="137"/>
      <c r="BK260" s="88"/>
      <c r="BL260" s="88"/>
      <c r="BM260" s="88"/>
      <c r="BN260" s="88"/>
      <c r="BO260" s="88"/>
    </row>
    <row r="261" spans="1:67" ht="15.75" customHeight="1">
      <c r="A261" s="89"/>
      <c r="B261" s="95" t="s">
        <v>482</v>
      </c>
      <c r="C261" s="80" t="s">
        <v>471</v>
      </c>
      <c r="D261" s="81" t="s">
        <v>472</v>
      </c>
      <c r="E261" s="82"/>
      <c r="F261" s="82"/>
      <c r="G261" s="83" t="e">
        <f t="shared" si="1031"/>
        <v>#DIV/0!</v>
      </c>
      <c r="H261" s="83" t="e">
        <f t="shared" si="1032"/>
        <v>#DIV/0!</v>
      </c>
      <c r="I261" s="182"/>
      <c r="J261" s="137">
        <v>20830</v>
      </c>
      <c r="K261" s="182"/>
      <c r="L261" s="86">
        <f t="shared" ref="L261:N261" si="1082">X261+AA261+AD261+AG261+AJ261+AM261+AP261+AS261+AV261+AY261+BB261+BE261</f>
        <v>0</v>
      </c>
      <c r="M261" s="86">
        <f t="shared" si="1082"/>
        <v>0</v>
      </c>
      <c r="N261" s="86">
        <f t="shared" si="1082"/>
        <v>0</v>
      </c>
      <c r="O261" s="62">
        <f t="shared" ref="O261:Q261" si="1083">IF(BH261=0,SUM(X261+AA261+AD261+AG261+AJ261+AM261+AP261+AS261+AV261+AY261+BB261+BE261),BH261)</f>
        <v>0</v>
      </c>
      <c r="P261" s="62">
        <f t="shared" si="1083"/>
        <v>0</v>
      </c>
      <c r="Q261" s="62">
        <f t="shared" si="1083"/>
        <v>0</v>
      </c>
      <c r="R261" s="86">
        <f t="shared" ref="R261:T261" si="1084">I261-L261</f>
        <v>0</v>
      </c>
      <c r="S261" s="86">
        <f t="shared" si="1084"/>
        <v>20830</v>
      </c>
      <c r="T261" s="86">
        <f t="shared" si="1084"/>
        <v>0</v>
      </c>
      <c r="U261" s="87" t="e">
        <f t="shared" ref="U261:W261" si="1085">L261/I261</f>
        <v>#DIV/0!</v>
      </c>
      <c r="V261" s="87">
        <f t="shared" si="1085"/>
        <v>0</v>
      </c>
      <c r="W261" s="232" t="e">
        <f t="shared" si="1085"/>
        <v>#DIV/0!</v>
      </c>
      <c r="X261" s="137"/>
      <c r="Y261" s="137">
        <v>0</v>
      </c>
      <c r="Z261" s="137"/>
      <c r="AA261" s="137"/>
      <c r="AB261" s="137"/>
      <c r="AC261" s="137"/>
      <c r="AD261" s="137"/>
      <c r="AE261" s="137"/>
      <c r="AF261" s="137"/>
      <c r="AG261" s="137"/>
      <c r="AH261" s="137"/>
      <c r="AI261" s="137"/>
      <c r="AJ261" s="137"/>
      <c r="AK261" s="137"/>
      <c r="AL261" s="137"/>
      <c r="AM261" s="137"/>
      <c r="AN261" s="137"/>
      <c r="AO261" s="137"/>
      <c r="AP261" s="137"/>
      <c r="AQ261" s="137"/>
      <c r="AR261" s="137"/>
      <c r="AS261" s="137"/>
      <c r="AT261" s="137"/>
      <c r="AU261" s="137"/>
      <c r="AV261" s="137"/>
      <c r="AW261" s="137"/>
      <c r="AX261" s="137"/>
      <c r="AY261" s="137"/>
      <c r="AZ261" s="137"/>
      <c r="BA261" s="137"/>
      <c r="BB261" s="137"/>
      <c r="BC261" s="137"/>
      <c r="BD261" s="137"/>
      <c r="BE261" s="137"/>
      <c r="BF261" s="137"/>
      <c r="BG261" s="137"/>
      <c r="BH261" s="137"/>
      <c r="BI261" s="137"/>
      <c r="BJ261" s="137"/>
      <c r="BK261" s="88"/>
      <c r="BL261" s="88"/>
      <c r="BM261" s="88"/>
      <c r="BN261" s="88"/>
      <c r="BO261" s="88"/>
    </row>
    <row r="262" spans="1:67" ht="15.75" customHeight="1">
      <c r="A262" s="89"/>
      <c r="B262" s="95" t="s">
        <v>483</v>
      </c>
      <c r="C262" s="80" t="s">
        <v>442</v>
      </c>
      <c r="D262" s="81" t="s">
        <v>472</v>
      </c>
      <c r="E262" s="82"/>
      <c r="F262" s="82"/>
      <c r="G262" s="83" t="e">
        <f t="shared" si="1031"/>
        <v>#DIV/0!</v>
      </c>
      <c r="H262" s="83" t="e">
        <f t="shared" si="1032"/>
        <v>#DIV/0!</v>
      </c>
      <c r="I262" s="182"/>
      <c r="J262" s="137">
        <v>20830</v>
      </c>
      <c r="K262" s="182"/>
      <c r="L262" s="86">
        <f t="shared" ref="L262:N262" si="1086">X262+AA262+AD262+AG262+AJ262+AM262+AP262+AS262+AV262+AY262+BB262+BE262</f>
        <v>0</v>
      </c>
      <c r="M262" s="86">
        <f t="shared" si="1086"/>
        <v>0</v>
      </c>
      <c r="N262" s="86">
        <f t="shared" si="1086"/>
        <v>0</v>
      </c>
      <c r="O262" s="62">
        <f t="shared" ref="O262:Q262" si="1087">IF(BH262=0,SUM(X262+AA262+AD262+AG262+AJ262+AM262+AP262+AS262+AV262+AY262+BB262+BE262),BH262)</f>
        <v>0</v>
      </c>
      <c r="P262" s="62">
        <f t="shared" si="1087"/>
        <v>0</v>
      </c>
      <c r="Q262" s="62">
        <f t="shared" si="1087"/>
        <v>0</v>
      </c>
      <c r="R262" s="86">
        <f t="shared" ref="R262:T262" si="1088">I262-L262</f>
        <v>0</v>
      </c>
      <c r="S262" s="86">
        <f t="shared" si="1088"/>
        <v>20830</v>
      </c>
      <c r="T262" s="86">
        <f t="shared" si="1088"/>
        <v>0</v>
      </c>
      <c r="U262" s="87" t="e">
        <f t="shared" ref="U262:W262" si="1089">L262/I262</f>
        <v>#DIV/0!</v>
      </c>
      <c r="V262" s="87">
        <f t="shared" si="1089"/>
        <v>0</v>
      </c>
      <c r="W262" s="232" t="e">
        <f t="shared" si="1089"/>
        <v>#DIV/0!</v>
      </c>
      <c r="X262" s="137"/>
      <c r="Y262" s="137">
        <v>0</v>
      </c>
      <c r="Z262" s="137"/>
      <c r="AA262" s="137"/>
      <c r="AB262" s="137"/>
      <c r="AC262" s="137"/>
      <c r="AD262" s="137"/>
      <c r="AE262" s="137"/>
      <c r="AF262" s="137"/>
      <c r="AG262" s="137"/>
      <c r="AH262" s="137"/>
      <c r="AI262" s="137"/>
      <c r="AJ262" s="137"/>
      <c r="AK262" s="137"/>
      <c r="AL262" s="137"/>
      <c r="AM262" s="137"/>
      <c r="AN262" s="137"/>
      <c r="AO262" s="137"/>
      <c r="AP262" s="137"/>
      <c r="AQ262" s="137"/>
      <c r="AR262" s="137"/>
      <c r="AS262" s="137"/>
      <c r="AT262" s="137"/>
      <c r="AU262" s="137"/>
      <c r="AV262" s="137"/>
      <c r="AW262" s="137"/>
      <c r="AX262" s="137"/>
      <c r="AY262" s="137"/>
      <c r="AZ262" s="137"/>
      <c r="BA262" s="137"/>
      <c r="BB262" s="137"/>
      <c r="BC262" s="137"/>
      <c r="BD262" s="137"/>
      <c r="BE262" s="137"/>
      <c r="BF262" s="137"/>
      <c r="BG262" s="137"/>
      <c r="BH262" s="137"/>
      <c r="BI262" s="137"/>
      <c r="BJ262" s="137"/>
      <c r="BK262" s="88"/>
      <c r="BL262" s="88"/>
      <c r="BM262" s="88"/>
      <c r="BN262" s="88"/>
      <c r="BO262" s="88"/>
    </row>
    <row r="263" spans="1:67" ht="15.75" customHeight="1">
      <c r="A263" s="89"/>
      <c r="B263" s="95" t="s">
        <v>484</v>
      </c>
      <c r="C263" s="80" t="s">
        <v>471</v>
      </c>
      <c r="D263" s="81" t="s">
        <v>472</v>
      </c>
      <c r="E263" s="82"/>
      <c r="F263" s="82"/>
      <c r="G263" s="83" t="e">
        <f t="shared" si="1031"/>
        <v>#DIV/0!</v>
      </c>
      <c r="H263" s="83" t="e">
        <f t="shared" si="1032"/>
        <v>#DIV/0!</v>
      </c>
      <c r="I263" s="182"/>
      <c r="J263" s="137">
        <v>550</v>
      </c>
      <c r="K263" s="182"/>
      <c r="L263" s="86">
        <f t="shared" ref="L263:N263" si="1090">X263+AA263+AD263+AG263+AJ263+AM263+AP263+AS263+AV263+AY263+BB263+BE263</f>
        <v>0</v>
      </c>
      <c r="M263" s="86">
        <f t="shared" si="1090"/>
        <v>0</v>
      </c>
      <c r="N263" s="86">
        <f t="shared" si="1090"/>
        <v>0</v>
      </c>
      <c r="O263" s="62">
        <f t="shared" ref="O263:Q263" si="1091">IF(BH263=0,SUM(X263+AA263+AD263+AG263+AJ263+AM263+AP263+AS263+AV263+AY263+BB263+BE263),BH263)</f>
        <v>0</v>
      </c>
      <c r="P263" s="62">
        <f t="shared" si="1091"/>
        <v>0</v>
      </c>
      <c r="Q263" s="62">
        <f t="shared" si="1091"/>
        <v>0</v>
      </c>
      <c r="R263" s="86">
        <f t="shared" ref="R263:T263" si="1092">I263-L263</f>
        <v>0</v>
      </c>
      <c r="S263" s="86">
        <f t="shared" si="1092"/>
        <v>550</v>
      </c>
      <c r="T263" s="86">
        <f t="shared" si="1092"/>
        <v>0</v>
      </c>
      <c r="U263" s="87" t="e">
        <f t="shared" ref="U263:W263" si="1093">L263/I263</f>
        <v>#DIV/0!</v>
      </c>
      <c r="V263" s="87">
        <f t="shared" si="1093"/>
        <v>0</v>
      </c>
      <c r="W263" s="232" t="e">
        <f t="shared" si="1093"/>
        <v>#DIV/0!</v>
      </c>
      <c r="X263" s="137"/>
      <c r="Y263" s="137">
        <v>0</v>
      </c>
      <c r="Z263" s="137"/>
      <c r="AA263" s="137"/>
      <c r="AB263" s="137"/>
      <c r="AC263" s="137"/>
      <c r="AD263" s="137"/>
      <c r="AE263" s="137"/>
      <c r="AF263" s="137"/>
      <c r="AG263" s="137"/>
      <c r="AH263" s="137"/>
      <c r="AI263" s="137"/>
      <c r="AJ263" s="137"/>
      <c r="AK263" s="137"/>
      <c r="AL263" s="137"/>
      <c r="AM263" s="137"/>
      <c r="AN263" s="137"/>
      <c r="AO263" s="137"/>
      <c r="AP263" s="137"/>
      <c r="AQ263" s="137"/>
      <c r="AR263" s="137"/>
      <c r="AS263" s="137"/>
      <c r="AT263" s="137"/>
      <c r="AU263" s="137"/>
      <c r="AV263" s="137"/>
      <c r="AW263" s="137"/>
      <c r="AX263" s="137"/>
      <c r="AY263" s="137"/>
      <c r="AZ263" s="137"/>
      <c r="BA263" s="137"/>
      <c r="BB263" s="137"/>
      <c r="BC263" s="137"/>
      <c r="BD263" s="137"/>
      <c r="BE263" s="137"/>
      <c r="BF263" s="137"/>
      <c r="BG263" s="137"/>
      <c r="BH263" s="137"/>
      <c r="BI263" s="137"/>
      <c r="BJ263" s="137"/>
      <c r="BK263" s="88"/>
      <c r="BL263" s="88"/>
      <c r="BM263" s="88"/>
      <c r="BN263" s="88"/>
      <c r="BO263" s="88"/>
    </row>
    <row r="264" spans="1:67" ht="29.25" customHeight="1">
      <c r="A264" s="73"/>
      <c r="B264" s="74" t="s">
        <v>485</v>
      </c>
      <c r="C264" s="75"/>
      <c r="D264" s="75"/>
      <c r="E264" s="76">
        <f>E265+E287</f>
        <v>0</v>
      </c>
      <c r="F264" s="76" t="e">
        <f>F265+F289+F298</f>
        <v>#REF!</v>
      </c>
      <c r="G264" s="103" t="e">
        <f t="shared" si="1031"/>
        <v>#DIV/0!</v>
      </c>
      <c r="H264" s="103" t="e">
        <f t="shared" si="1032"/>
        <v>#DIV/0!</v>
      </c>
      <c r="I264" s="76">
        <f t="shared" ref="I264:N264" si="1094">I265+I289+I298</f>
        <v>15591.279999999999</v>
      </c>
      <c r="J264" s="76">
        <f t="shared" si="1094"/>
        <v>40494.53</v>
      </c>
      <c r="K264" s="76">
        <f t="shared" si="1094"/>
        <v>0</v>
      </c>
      <c r="L264" s="76">
        <f t="shared" si="1094"/>
        <v>3402.61</v>
      </c>
      <c r="M264" s="76">
        <f t="shared" si="1094"/>
        <v>28340.36</v>
      </c>
      <c r="N264" s="76">
        <f t="shared" si="1094"/>
        <v>0</v>
      </c>
      <c r="O264" s="78">
        <f t="shared" ref="O264:Q264" si="1095">IF(BH264=0,SUM(X264+AA264+AD264+AG264+AJ264+AM264+AP264+AS264+AV264+AY264+BB264+BE264),BH264)</f>
        <v>3402.61</v>
      </c>
      <c r="P264" s="78">
        <f t="shared" si="1095"/>
        <v>28340.36</v>
      </c>
      <c r="Q264" s="78">
        <f t="shared" si="1095"/>
        <v>0</v>
      </c>
      <c r="R264" s="76">
        <f t="shared" ref="R264:T264" si="1096">R265+R289+R298</f>
        <v>12188.67</v>
      </c>
      <c r="S264" s="76">
        <f t="shared" si="1096"/>
        <v>12154.17</v>
      </c>
      <c r="T264" s="76">
        <f t="shared" si="1096"/>
        <v>0</v>
      </c>
      <c r="U264" s="77">
        <f t="shared" ref="U264:W264" si="1097">L264/I264</f>
        <v>0.21823801509561758</v>
      </c>
      <c r="V264" s="77">
        <f t="shared" si="1097"/>
        <v>0.69985649913704395</v>
      </c>
      <c r="W264" s="77" t="e">
        <f t="shared" si="1097"/>
        <v>#DIV/0!</v>
      </c>
      <c r="X264" s="76">
        <f t="shared" ref="X264:BJ264" si="1098">X265+X289+X298</f>
        <v>0</v>
      </c>
      <c r="Y264" s="76">
        <f t="shared" si="1098"/>
        <v>3100</v>
      </c>
      <c r="Z264" s="76">
        <f t="shared" si="1098"/>
        <v>0</v>
      </c>
      <c r="AA264" s="76">
        <f t="shared" si="1098"/>
        <v>220.29000000000002</v>
      </c>
      <c r="AB264" s="76">
        <f t="shared" si="1098"/>
        <v>3665.94</v>
      </c>
      <c r="AC264" s="76">
        <f t="shared" si="1098"/>
        <v>0</v>
      </c>
      <c r="AD264" s="76">
        <f t="shared" si="1098"/>
        <v>169.86</v>
      </c>
      <c r="AE264" s="76">
        <f t="shared" si="1098"/>
        <v>4859.62</v>
      </c>
      <c r="AF264" s="76">
        <f t="shared" si="1098"/>
        <v>0</v>
      </c>
      <c r="AG264" s="76">
        <f t="shared" si="1098"/>
        <v>3012.46</v>
      </c>
      <c r="AH264" s="76">
        <f t="shared" si="1098"/>
        <v>9286</v>
      </c>
      <c r="AI264" s="76">
        <f t="shared" si="1098"/>
        <v>0</v>
      </c>
      <c r="AJ264" s="76">
        <f t="shared" si="1098"/>
        <v>0</v>
      </c>
      <c r="AK264" s="76">
        <f t="shared" si="1098"/>
        <v>7428.8</v>
      </c>
      <c r="AL264" s="76">
        <f t="shared" si="1098"/>
        <v>0</v>
      </c>
      <c r="AM264" s="76">
        <f t="shared" si="1098"/>
        <v>0</v>
      </c>
      <c r="AN264" s="76">
        <f t="shared" si="1098"/>
        <v>0</v>
      </c>
      <c r="AO264" s="76">
        <f t="shared" si="1098"/>
        <v>0</v>
      </c>
      <c r="AP264" s="76">
        <f t="shared" si="1098"/>
        <v>0</v>
      </c>
      <c r="AQ264" s="76">
        <f t="shared" si="1098"/>
        <v>0</v>
      </c>
      <c r="AR264" s="76">
        <f t="shared" si="1098"/>
        <v>0</v>
      </c>
      <c r="AS264" s="76">
        <f t="shared" si="1098"/>
        <v>0</v>
      </c>
      <c r="AT264" s="76">
        <f t="shared" si="1098"/>
        <v>0</v>
      </c>
      <c r="AU264" s="76">
        <f t="shared" si="1098"/>
        <v>0</v>
      </c>
      <c r="AV264" s="76">
        <f t="shared" si="1098"/>
        <v>0</v>
      </c>
      <c r="AW264" s="76">
        <f t="shared" si="1098"/>
        <v>0</v>
      </c>
      <c r="AX264" s="76">
        <f t="shared" si="1098"/>
        <v>0</v>
      </c>
      <c r="AY264" s="76">
        <f t="shared" si="1098"/>
        <v>0</v>
      </c>
      <c r="AZ264" s="76">
        <f t="shared" si="1098"/>
        <v>0</v>
      </c>
      <c r="BA264" s="76">
        <f t="shared" si="1098"/>
        <v>0</v>
      </c>
      <c r="BB264" s="76">
        <f t="shared" si="1098"/>
        <v>0</v>
      </c>
      <c r="BC264" s="76">
        <f t="shared" si="1098"/>
        <v>0</v>
      </c>
      <c r="BD264" s="76">
        <f t="shared" si="1098"/>
        <v>0</v>
      </c>
      <c r="BE264" s="76">
        <f t="shared" si="1098"/>
        <v>0</v>
      </c>
      <c r="BF264" s="76">
        <f t="shared" si="1098"/>
        <v>0</v>
      </c>
      <c r="BG264" s="76">
        <f t="shared" si="1098"/>
        <v>0</v>
      </c>
      <c r="BH264" s="76">
        <f t="shared" si="1098"/>
        <v>0</v>
      </c>
      <c r="BI264" s="76">
        <f t="shared" si="1098"/>
        <v>0</v>
      </c>
      <c r="BJ264" s="76">
        <f t="shared" si="1098"/>
        <v>0</v>
      </c>
      <c r="BK264" s="155"/>
      <c r="BL264" s="155"/>
      <c r="BM264" s="155"/>
      <c r="BN264" s="155"/>
      <c r="BO264" s="155"/>
    </row>
    <row r="265" spans="1:67" ht="15.75" customHeight="1">
      <c r="A265" s="229"/>
      <c r="B265" s="229"/>
      <c r="C265" s="176"/>
      <c r="D265" s="230" t="s">
        <v>486</v>
      </c>
      <c r="E265" s="209">
        <f t="shared" ref="E265:F265" si="1099">E266+E282</f>
        <v>0</v>
      </c>
      <c r="F265" s="209">
        <f t="shared" si="1099"/>
        <v>0</v>
      </c>
      <c r="G265" s="206" t="e">
        <f t="shared" si="1031"/>
        <v>#DIV/0!</v>
      </c>
      <c r="H265" s="206" t="e">
        <f t="shared" si="1032"/>
        <v>#DIV/0!</v>
      </c>
      <c r="I265" s="209">
        <f t="shared" ref="I265:N265" si="1100">I266+I282</f>
        <v>15591.279999999999</v>
      </c>
      <c r="J265" s="209">
        <f t="shared" si="1100"/>
        <v>40494.53</v>
      </c>
      <c r="K265" s="209">
        <f t="shared" si="1100"/>
        <v>0</v>
      </c>
      <c r="L265" s="209">
        <f t="shared" si="1100"/>
        <v>3402.61</v>
      </c>
      <c r="M265" s="209">
        <f t="shared" si="1100"/>
        <v>28340.36</v>
      </c>
      <c r="N265" s="209">
        <f t="shared" si="1100"/>
        <v>0</v>
      </c>
      <c r="O265" s="65">
        <f t="shared" ref="O265:Q265" si="1101">IF(BH265=0,SUM(X265+AA265+AD265+AG265+AJ265+AM265+AP265+AS265+AV265+AY265+BB265+BE265),BH265)</f>
        <v>3402.61</v>
      </c>
      <c r="P265" s="65">
        <f t="shared" si="1101"/>
        <v>28340.36</v>
      </c>
      <c r="Q265" s="65">
        <f t="shared" si="1101"/>
        <v>0</v>
      </c>
      <c r="R265" s="209">
        <f t="shared" ref="R265:T265" si="1102">R266+R282</f>
        <v>12188.67</v>
      </c>
      <c r="S265" s="209">
        <f t="shared" si="1102"/>
        <v>12154.17</v>
      </c>
      <c r="T265" s="209">
        <f t="shared" si="1102"/>
        <v>0</v>
      </c>
      <c r="U265" s="231">
        <f t="shared" ref="U265:W265" si="1103">L265/I265</f>
        <v>0.21823801509561758</v>
      </c>
      <c r="V265" s="231">
        <f t="shared" si="1103"/>
        <v>0.69985649913704395</v>
      </c>
      <c r="W265" s="231" t="e">
        <f t="shared" si="1103"/>
        <v>#DIV/0!</v>
      </c>
      <c r="X265" s="209">
        <f t="shared" ref="X265:BJ265" si="1104">X266+X282</f>
        <v>0</v>
      </c>
      <c r="Y265" s="209">
        <f t="shared" si="1104"/>
        <v>3100</v>
      </c>
      <c r="Z265" s="209">
        <f t="shared" si="1104"/>
        <v>0</v>
      </c>
      <c r="AA265" s="209">
        <f t="shared" si="1104"/>
        <v>220.29000000000002</v>
      </c>
      <c r="AB265" s="209">
        <f t="shared" si="1104"/>
        <v>3665.94</v>
      </c>
      <c r="AC265" s="209">
        <f t="shared" si="1104"/>
        <v>0</v>
      </c>
      <c r="AD265" s="209">
        <f t="shared" si="1104"/>
        <v>169.86</v>
      </c>
      <c r="AE265" s="209">
        <f t="shared" si="1104"/>
        <v>4859.62</v>
      </c>
      <c r="AF265" s="209">
        <f t="shared" si="1104"/>
        <v>0</v>
      </c>
      <c r="AG265" s="209">
        <f t="shared" si="1104"/>
        <v>3012.46</v>
      </c>
      <c r="AH265" s="209">
        <f t="shared" si="1104"/>
        <v>9286</v>
      </c>
      <c r="AI265" s="209">
        <f t="shared" si="1104"/>
        <v>0</v>
      </c>
      <c r="AJ265" s="209">
        <f t="shared" si="1104"/>
        <v>0</v>
      </c>
      <c r="AK265" s="209">
        <f t="shared" si="1104"/>
        <v>7428.8</v>
      </c>
      <c r="AL265" s="209">
        <f t="shared" si="1104"/>
        <v>0</v>
      </c>
      <c r="AM265" s="209">
        <f t="shared" si="1104"/>
        <v>0</v>
      </c>
      <c r="AN265" s="209">
        <f t="shared" si="1104"/>
        <v>0</v>
      </c>
      <c r="AO265" s="209">
        <f t="shared" si="1104"/>
        <v>0</v>
      </c>
      <c r="AP265" s="209">
        <f t="shared" si="1104"/>
        <v>0</v>
      </c>
      <c r="AQ265" s="209">
        <f t="shared" si="1104"/>
        <v>0</v>
      </c>
      <c r="AR265" s="209">
        <f t="shared" si="1104"/>
        <v>0</v>
      </c>
      <c r="AS265" s="209">
        <f t="shared" si="1104"/>
        <v>0</v>
      </c>
      <c r="AT265" s="209">
        <f t="shared" si="1104"/>
        <v>0</v>
      </c>
      <c r="AU265" s="209">
        <f t="shared" si="1104"/>
        <v>0</v>
      </c>
      <c r="AV265" s="209">
        <f t="shared" si="1104"/>
        <v>0</v>
      </c>
      <c r="AW265" s="209">
        <f t="shared" si="1104"/>
        <v>0</v>
      </c>
      <c r="AX265" s="209">
        <f t="shared" si="1104"/>
        <v>0</v>
      </c>
      <c r="AY265" s="209">
        <f t="shared" si="1104"/>
        <v>0</v>
      </c>
      <c r="AZ265" s="209">
        <f t="shared" si="1104"/>
        <v>0</v>
      </c>
      <c r="BA265" s="209">
        <f t="shared" si="1104"/>
        <v>0</v>
      </c>
      <c r="BB265" s="209">
        <f t="shared" si="1104"/>
        <v>0</v>
      </c>
      <c r="BC265" s="209">
        <f t="shared" si="1104"/>
        <v>0</v>
      </c>
      <c r="BD265" s="209">
        <f t="shared" si="1104"/>
        <v>0</v>
      </c>
      <c r="BE265" s="209">
        <f t="shared" si="1104"/>
        <v>0</v>
      </c>
      <c r="BF265" s="209">
        <f t="shared" si="1104"/>
        <v>0</v>
      </c>
      <c r="BG265" s="209">
        <f t="shared" si="1104"/>
        <v>0</v>
      </c>
      <c r="BH265" s="209">
        <f t="shared" si="1104"/>
        <v>0</v>
      </c>
      <c r="BI265" s="209">
        <f t="shared" si="1104"/>
        <v>0</v>
      </c>
      <c r="BJ265" s="209">
        <f t="shared" si="1104"/>
        <v>0</v>
      </c>
      <c r="BK265" s="155"/>
      <c r="BL265" s="155"/>
      <c r="BM265" s="155"/>
      <c r="BN265" s="155"/>
      <c r="BO265" s="155"/>
    </row>
    <row r="266" spans="1:67" ht="18.75">
      <c r="A266" s="218"/>
      <c r="B266" s="218"/>
      <c r="C266" s="211"/>
      <c r="D266" s="212" t="s">
        <v>487</v>
      </c>
      <c r="E266" s="213">
        <f t="shared" ref="E266:F266" si="1105">SUM(E267:E281)</f>
        <v>0</v>
      </c>
      <c r="F266" s="213">
        <f t="shared" si="1105"/>
        <v>0</v>
      </c>
      <c r="G266" s="180" t="e">
        <f t="shared" si="1031"/>
        <v>#DIV/0!</v>
      </c>
      <c r="H266" s="180" t="e">
        <f t="shared" si="1032"/>
        <v>#DIV/0!</v>
      </c>
      <c r="I266" s="213">
        <f t="shared" ref="I266:N266" si="1106">SUM(I267:I281)</f>
        <v>10101.58</v>
      </c>
      <c r="J266" s="213">
        <f t="shared" si="1106"/>
        <v>40494.53</v>
      </c>
      <c r="K266" s="213">
        <f t="shared" si="1106"/>
        <v>0</v>
      </c>
      <c r="L266" s="213">
        <f t="shared" si="1106"/>
        <v>0</v>
      </c>
      <c r="M266" s="213">
        <f t="shared" si="1106"/>
        <v>28340.36</v>
      </c>
      <c r="N266" s="213">
        <f t="shared" si="1106"/>
        <v>0</v>
      </c>
      <c r="O266" s="214">
        <f t="shared" ref="O266:Q266" si="1107">IF(BH266=0,SUM(X266+AA266+AD266+AG266+AJ266+AM266+AP266+AS266+AV266+AY266+BB266+BE266),BH266)</f>
        <v>0</v>
      </c>
      <c r="P266" s="214">
        <f t="shared" si="1107"/>
        <v>28340.36</v>
      </c>
      <c r="Q266" s="214">
        <f t="shared" si="1107"/>
        <v>0</v>
      </c>
      <c r="R266" s="213">
        <f t="shared" ref="R266:T266" si="1108">SUM(R267:R281)</f>
        <v>10101.58</v>
      </c>
      <c r="S266" s="213">
        <f t="shared" si="1108"/>
        <v>12154.17</v>
      </c>
      <c r="T266" s="213">
        <f t="shared" si="1108"/>
        <v>0</v>
      </c>
      <c r="U266" s="232">
        <f t="shared" ref="U266:W266" si="1109">L266/I266</f>
        <v>0</v>
      </c>
      <c r="V266" s="232">
        <f t="shared" si="1109"/>
        <v>0.69985649913704395</v>
      </c>
      <c r="W266" s="232" t="e">
        <f t="shared" si="1109"/>
        <v>#DIV/0!</v>
      </c>
      <c r="X266" s="213">
        <f t="shared" ref="X266:BJ266" si="1110">SUM(X267:X281)</f>
        <v>0</v>
      </c>
      <c r="Y266" s="213">
        <f t="shared" si="1110"/>
        <v>3100</v>
      </c>
      <c r="Z266" s="213">
        <f t="shared" si="1110"/>
        <v>0</v>
      </c>
      <c r="AA266" s="213">
        <f t="shared" si="1110"/>
        <v>0</v>
      </c>
      <c r="AB266" s="213">
        <f t="shared" si="1110"/>
        <v>3665.94</v>
      </c>
      <c r="AC266" s="213">
        <f t="shared" si="1110"/>
        <v>0</v>
      </c>
      <c r="AD266" s="213">
        <f t="shared" si="1110"/>
        <v>0</v>
      </c>
      <c r="AE266" s="213">
        <f t="shared" si="1110"/>
        <v>4859.62</v>
      </c>
      <c r="AF266" s="213">
        <f t="shared" si="1110"/>
        <v>0</v>
      </c>
      <c r="AG266" s="213">
        <f t="shared" si="1110"/>
        <v>0</v>
      </c>
      <c r="AH266" s="213">
        <f t="shared" si="1110"/>
        <v>9286</v>
      </c>
      <c r="AI266" s="213">
        <f t="shared" si="1110"/>
        <v>0</v>
      </c>
      <c r="AJ266" s="213">
        <f t="shared" si="1110"/>
        <v>0</v>
      </c>
      <c r="AK266" s="213">
        <f t="shared" si="1110"/>
        <v>7428.8</v>
      </c>
      <c r="AL266" s="213">
        <f t="shared" si="1110"/>
        <v>0</v>
      </c>
      <c r="AM266" s="213">
        <f t="shared" si="1110"/>
        <v>0</v>
      </c>
      <c r="AN266" s="213">
        <f t="shared" si="1110"/>
        <v>0</v>
      </c>
      <c r="AO266" s="213">
        <f t="shared" si="1110"/>
        <v>0</v>
      </c>
      <c r="AP266" s="213">
        <f t="shared" si="1110"/>
        <v>0</v>
      </c>
      <c r="AQ266" s="213">
        <f t="shared" si="1110"/>
        <v>0</v>
      </c>
      <c r="AR266" s="213">
        <f t="shared" si="1110"/>
        <v>0</v>
      </c>
      <c r="AS266" s="213">
        <f t="shared" si="1110"/>
        <v>0</v>
      </c>
      <c r="AT266" s="213">
        <f t="shared" si="1110"/>
        <v>0</v>
      </c>
      <c r="AU266" s="213">
        <f t="shared" si="1110"/>
        <v>0</v>
      </c>
      <c r="AV266" s="213">
        <f t="shared" si="1110"/>
        <v>0</v>
      </c>
      <c r="AW266" s="213">
        <f t="shared" si="1110"/>
        <v>0</v>
      </c>
      <c r="AX266" s="213">
        <f t="shared" si="1110"/>
        <v>0</v>
      </c>
      <c r="AY266" s="213">
        <f t="shared" si="1110"/>
        <v>0</v>
      </c>
      <c r="AZ266" s="213">
        <f t="shared" si="1110"/>
        <v>0</v>
      </c>
      <c r="BA266" s="213">
        <f t="shared" si="1110"/>
        <v>0</v>
      </c>
      <c r="BB266" s="213">
        <f t="shared" si="1110"/>
        <v>0</v>
      </c>
      <c r="BC266" s="213">
        <f t="shared" si="1110"/>
        <v>0</v>
      </c>
      <c r="BD266" s="213">
        <f t="shared" si="1110"/>
        <v>0</v>
      </c>
      <c r="BE266" s="213">
        <f t="shared" si="1110"/>
        <v>0</v>
      </c>
      <c r="BF266" s="213">
        <f t="shared" si="1110"/>
        <v>0</v>
      </c>
      <c r="BG266" s="213">
        <f t="shared" si="1110"/>
        <v>0</v>
      </c>
      <c r="BH266" s="213">
        <f t="shared" si="1110"/>
        <v>0</v>
      </c>
      <c r="BI266" s="213">
        <f t="shared" si="1110"/>
        <v>0</v>
      </c>
      <c r="BJ266" s="213">
        <f t="shared" si="1110"/>
        <v>0</v>
      </c>
      <c r="BK266" s="215"/>
      <c r="BL266" s="215"/>
      <c r="BM266" s="215"/>
      <c r="BN266" s="215"/>
      <c r="BO266" s="215"/>
    </row>
    <row r="267" spans="1:67" ht="15.75" customHeight="1">
      <c r="A267" s="89"/>
      <c r="B267" s="95" t="s">
        <v>488</v>
      </c>
      <c r="C267" s="80" t="s">
        <v>372</v>
      </c>
      <c r="D267" s="81" t="s">
        <v>489</v>
      </c>
      <c r="E267" s="82"/>
      <c r="F267" s="82"/>
      <c r="G267" s="83" t="e">
        <f t="shared" si="1031"/>
        <v>#DIV/0!</v>
      </c>
      <c r="H267" s="83" t="e">
        <f t="shared" si="1032"/>
        <v>#DIV/0!</v>
      </c>
      <c r="I267" s="182"/>
      <c r="J267" s="182">
        <v>8800</v>
      </c>
      <c r="K267" s="236"/>
      <c r="L267" s="86">
        <f t="shared" ref="L267:N267" si="1111">X267+AA267+AD267+AG267+AJ267+AM267+AP267+AS267+AV267+AY267+BB267+BE267</f>
        <v>0</v>
      </c>
      <c r="M267" s="86">
        <f t="shared" si="1111"/>
        <v>8800</v>
      </c>
      <c r="N267" s="86">
        <f t="shared" si="1111"/>
        <v>0</v>
      </c>
      <c r="O267" s="62">
        <f t="shared" ref="O267:Q267" si="1112">IF(BH267=0,SUM(X267+AA267+AD267+AG267+AJ267+AM267+AP267+AS267+AV267+AY267+BB267+BE267),BH267)</f>
        <v>0</v>
      </c>
      <c r="P267" s="62">
        <f t="shared" si="1112"/>
        <v>8800</v>
      </c>
      <c r="Q267" s="62">
        <f t="shared" si="1112"/>
        <v>0</v>
      </c>
      <c r="R267" s="86">
        <f t="shared" ref="R267:T267" si="1113">I267-L267</f>
        <v>0</v>
      </c>
      <c r="S267" s="86">
        <f t="shared" si="1113"/>
        <v>0</v>
      </c>
      <c r="T267" s="86">
        <f t="shared" si="1113"/>
        <v>0</v>
      </c>
      <c r="U267" s="87" t="e">
        <f t="shared" ref="U267:W267" si="1114">L267/I267</f>
        <v>#DIV/0!</v>
      </c>
      <c r="V267" s="87">
        <f t="shared" si="1114"/>
        <v>1</v>
      </c>
      <c r="W267" s="87" t="e">
        <f t="shared" si="1114"/>
        <v>#DIV/0!</v>
      </c>
      <c r="X267" s="137"/>
      <c r="Y267" s="137">
        <v>2000</v>
      </c>
      <c r="Z267" s="137"/>
      <c r="AA267" s="137"/>
      <c r="AB267" s="137">
        <v>1600</v>
      </c>
      <c r="AC267" s="137"/>
      <c r="AD267" s="137"/>
      <c r="AE267" s="137">
        <f>1600</f>
        <v>1600</v>
      </c>
      <c r="AF267" s="137"/>
      <c r="AG267" s="137"/>
      <c r="AH267" s="137">
        <f>2000</f>
        <v>2000</v>
      </c>
      <c r="AI267" s="137"/>
      <c r="AJ267" s="137"/>
      <c r="AK267" s="137">
        <v>1600</v>
      </c>
      <c r="AL267" s="137"/>
      <c r="AM267" s="137"/>
      <c r="AN267" s="137"/>
      <c r="AO267" s="137"/>
      <c r="AP267" s="137"/>
      <c r="AQ267" s="137"/>
      <c r="AR267" s="137"/>
      <c r="AS267" s="137"/>
      <c r="AT267" s="137"/>
      <c r="AU267" s="137"/>
      <c r="AV267" s="137"/>
      <c r="AW267" s="137"/>
      <c r="AX267" s="137"/>
      <c r="AY267" s="137"/>
      <c r="AZ267" s="137"/>
      <c r="BA267" s="137"/>
      <c r="BB267" s="137"/>
      <c r="BC267" s="137"/>
      <c r="BD267" s="137"/>
      <c r="BE267" s="137"/>
      <c r="BF267" s="137"/>
      <c r="BG267" s="137"/>
      <c r="BH267" s="137"/>
      <c r="BI267" s="137"/>
      <c r="BJ267" s="137"/>
      <c r="BK267" s="88"/>
      <c r="BL267" s="88"/>
      <c r="BM267" s="88"/>
      <c r="BN267" s="88"/>
      <c r="BO267" s="88"/>
    </row>
    <row r="268" spans="1:67" ht="15.75" customHeight="1">
      <c r="A268" s="89"/>
      <c r="B268" s="95" t="s">
        <v>490</v>
      </c>
      <c r="C268" s="80" t="s">
        <v>372</v>
      </c>
      <c r="D268" s="81" t="s">
        <v>491</v>
      </c>
      <c r="E268" s="82"/>
      <c r="F268" s="82"/>
      <c r="G268" s="83" t="e">
        <f t="shared" si="1031"/>
        <v>#DIV/0!</v>
      </c>
      <c r="H268" s="83" t="e">
        <f t="shared" si="1032"/>
        <v>#DIV/0!</v>
      </c>
      <c r="I268" s="182"/>
      <c r="J268" s="182">
        <v>4840</v>
      </c>
      <c r="K268" s="191"/>
      <c r="L268" s="86">
        <f t="shared" ref="L268:N268" si="1115">X268+AA268+AD268+AG268+AJ268+AM268+AP268+AS268+AV268+AY268+BB268+BE268</f>
        <v>0</v>
      </c>
      <c r="M268" s="86">
        <f t="shared" si="1115"/>
        <v>4840</v>
      </c>
      <c r="N268" s="86">
        <f t="shared" si="1115"/>
        <v>0</v>
      </c>
      <c r="O268" s="62">
        <f t="shared" ref="O268:Q268" si="1116">IF(BH268=0,SUM(X268+AA268+AD268+AG268+AJ268+AM268+AP268+AS268+AV268+AY268+BB268+BE268),BH268)</f>
        <v>0</v>
      </c>
      <c r="P268" s="62">
        <f t="shared" si="1116"/>
        <v>4840</v>
      </c>
      <c r="Q268" s="62">
        <f t="shared" si="1116"/>
        <v>0</v>
      </c>
      <c r="R268" s="86">
        <f t="shared" ref="R268:T268" si="1117">I268-L268</f>
        <v>0</v>
      </c>
      <c r="S268" s="86">
        <f t="shared" si="1117"/>
        <v>0</v>
      </c>
      <c r="T268" s="86">
        <f t="shared" si="1117"/>
        <v>0</v>
      </c>
      <c r="U268" s="87" t="e">
        <f t="shared" ref="U268:W268" si="1118">L268/I268</f>
        <v>#DIV/0!</v>
      </c>
      <c r="V268" s="87">
        <f t="shared" si="1118"/>
        <v>1</v>
      </c>
      <c r="W268" s="87" t="e">
        <f t="shared" si="1118"/>
        <v>#DIV/0!</v>
      </c>
      <c r="X268" s="137"/>
      <c r="Y268" s="137">
        <v>1100</v>
      </c>
      <c r="Z268" s="137"/>
      <c r="AA268" s="137"/>
      <c r="AB268" s="137">
        <v>880</v>
      </c>
      <c r="AC268" s="137"/>
      <c r="AD268" s="137"/>
      <c r="AE268" s="137">
        <f>880</f>
        <v>880</v>
      </c>
      <c r="AF268" s="137"/>
      <c r="AG268" s="137"/>
      <c r="AH268" s="137">
        <v>1100</v>
      </c>
      <c r="AI268" s="137"/>
      <c r="AJ268" s="137"/>
      <c r="AK268" s="137">
        <v>880</v>
      </c>
      <c r="AL268" s="137"/>
      <c r="AM268" s="137"/>
      <c r="AN268" s="137"/>
      <c r="AO268" s="137"/>
      <c r="AP268" s="137"/>
      <c r="AQ268" s="137"/>
      <c r="AR268" s="137"/>
      <c r="AS268" s="137"/>
      <c r="AT268" s="137"/>
      <c r="AU268" s="137"/>
      <c r="AV268" s="137"/>
      <c r="AW268" s="137"/>
      <c r="AX268" s="137"/>
      <c r="AY268" s="137"/>
      <c r="AZ268" s="137"/>
      <c r="BA268" s="137"/>
      <c r="BB268" s="137"/>
      <c r="BC268" s="137"/>
      <c r="BD268" s="137"/>
      <c r="BE268" s="137"/>
      <c r="BF268" s="137"/>
      <c r="BG268" s="137"/>
      <c r="BH268" s="137"/>
      <c r="BI268" s="137"/>
      <c r="BJ268" s="137"/>
      <c r="BK268" s="88"/>
      <c r="BL268" s="88"/>
      <c r="BM268" s="88"/>
      <c r="BN268" s="88"/>
      <c r="BO268" s="88"/>
    </row>
    <row r="269" spans="1:67" ht="15.75" customHeight="1">
      <c r="A269" s="89"/>
      <c r="B269" s="95" t="s">
        <v>492</v>
      </c>
      <c r="C269" s="80" t="s">
        <v>372</v>
      </c>
      <c r="D269" s="81" t="s">
        <v>493</v>
      </c>
      <c r="E269" s="82"/>
      <c r="F269" s="82"/>
      <c r="G269" s="83" t="e">
        <f t="shared" si="1031"/>
        <v>#DIV/0!</v>
      </c>
      <c r="H269" s="83" t="e">
        <f t="shared" si="1032"/>
        <v>#DIV/0!</v>
      </c>
      <c r="I269" s="182"/>
      <c r="J269" s="186">
        <v>2142</v>
      </c>
      <c r="K269" s="191"/>
      <c r="L269" s="86">
        <f t="shared" ref="L269:N269" si="1119">X269+AA269+AD269+AG269+AJ269+AM269+AP269+AS269+AV269+AY269+BB269+BE269</f>
        <v>0</v>
      </c>
      <c r="M269" s="86">
        <f t="shared" si="1119"/>
        <v>2142</v>
      </c>
      <c r="N269" s="86">
        <f t="shared" si="1119"/>
        <v>0</v>
      </c>
      <c r="O269" s="62">
        <f t="shared" ref="O269:Q269" si="1120">IF(BH269=0,SUM(X269+AA269+AD269+AG269+AJ269+AM269+AP269+AS269+AV269+AY269+BB269+BE269),BH269)</f>
        <v>0</v>
      </c>
      <c r="P269" s="62">
        <f t="shared" si="1120"/>
        <v>2142</v>
      </c>
      <c r="Q269" s="62">
        <f t="shared" si="1120"/>
        <v>0</v>
      </c>
      <c r="R269" s="86">
        <f t="shared" ref="R269:T269" si="1121">I269-L269</f>
        <v>0</v>
      </c>
      <c r="S269" s="86">
        <f t="shared" si="1121"/>
        <v>0</v>
      </c>
      <c r="T269" s="86">
        <f t="shared" si="1121"/>
        <v>0</v>
      </c>
      <c r="U269" s="87" t="e">
        <f t="shared" ref="U269:W269" si="1122">L269/I269</f>
        <v>#DIV/0!</v>
      </c>
      <c r="V269" s="87">
        <f t="shared" si="1122"/>
        <v>1</v>
      </c>
      <c r="W269" s="87" t="e">
        <f t="shared" si="1122"/>
        <v>#DIV/0!</v>
      </c>
      <c r="X269" s="137"/>
      <c r="Y269" s="137">
        <v>0</v>
      </c>
      <c r="Z269" s="137"/>
      <c r="AA269" s="137"/>
      <c r="AB269" s="137">
        <v>504</v>
      </c>
      <c r="AC269" s="137"/>
      <c r="AD269" s="137"/>
      <c r="AE269" s="137">
        <f t="shared" ref="AE269:AE270" si="1123">504</f>
        <v>504</v>
      </c>
      <c r="AF269" s="137"/>
      <c r="AG269" s="137"/>
      <c r="AH269" s="137">
        <v>630</v>
      </c>
      <c r="AI269" s="137"/>
      <c r="AJ269" s="137"/>
      <c r="AK269" s="137">
        <v>504</v>
      </c>
      <c r="AL269" s="137"/>
      <c r="AM269" s="137"/>
      <c r="AN269" s="137"/>
      <c r="AO269" s="137"/>
      <c r="AP269" s="137"/>
      <c r="AQ269" s="137"/>
      <c r="AR269" s="137"/>
      <c r="AS269" s="137"/>
      <c r="AT269" s="137"/>
      <c r="AU269" s="137"/>
      <c r="AV269" s="137"/>
      <c r="AW269" s="137"/>
      <c r="AX269" s="137"/>
      <c r="AY269" s="137"/>
      <c r="AZ269" s="137"/>
      <c r="BA269" s="137"/>
      <c r="BB269" s="137"/>
      <c r="BC269" s="137"/>
      <c r="BD269" s="137"/>
      <c r="BE269" s="137"/>
      <c r="BF269" s="137"/>
      <c r="BG269" s="137"/>
      <c r="BH269" s="137"/>
      <c r="BI269" s="137"/>
      <c r="BJ269" s="137"/>
      <c r="BK269" s="88"/>
      <c r="BL269" s="88"/>
      <c r="BM269" s="88"/>
      <c r="BN269" s="88"/>
      <c r="BO269" s="88"/>
    </row>
    <row r="270" spans="1:67" ht="15.75" customHeight="1">
      <c r="A270" s="89"/>
      <c r="B270" s="95" t="s">
        <v>494</v>
      </c>
      <c r="C270" s="80" t="s">
        <v>263</v>
      </c>
      <c r="D270" s="81" t="s">
        <v>495</v>
      </c>
      <c r="E270" s="82"/>
      <c r="F270" s="82"/>
      <c r="G270" s="83" t="e">
        <f t="shared" si="1031"/>
        <v>#DIV/0!</v>
      </c>
      <c r="H270" s="83" t="e">
        <f t="shared" si="1032"/>
        <v>#DIV/0!</v>
      </c>
      <c r="I270" s="182"/>
      <c r="J270" s="186">
        <v>2142</v>
      </c>
      <c r="K270" s="191"/>
      <c r="L270" s="86">
        <f t="shared" ref="L270:N270" si="1124">X270+AA270+AD270+AG270+AJ270+AM270+AP270+AS270+AV270+AY270+BB270+BE270</f>
        <v>0</v>
      </c>
      <c r="M270" s="86">
        <f t="shared" si="1124"/>
        <v>2142</v>
      </c>
      <c r="N270" s="86">
        <f t="shared" si="1124"/>
        <v>0</v>
      </c>
      <c r="O270" s="62">
        <f t="shared" ref="O270:Q270" si="1125">IF(BH270=0,SUM(X270+AA270+AD270+AG270+AJ270+AM270+AP270+AS270+AV270+AY270+BB270+BE270),BH270)</f>
        <v>0</v>
      </c>
      <c r="P270" s="62">
        <f t="shared" si="1125"/>
        <v>2142</v>
      </c>
      <c r="Q270" s="62">
        <f t="shared" si="1125"/>
        <v>0</v>
      </c>
      <c r="R270" s="86">
        <f t="shared" ref="R270:T270" si="1126">I270-L270</f>
        <v>0</v>
      </c>
      <c r="S270" s="86">
        <f t="shared" si="1126"/>
        <v>0</v>
      </c>
      <c r="T270" s="86">
        <f t="shared" si="1126"/>
        <v>0</v>
      </c>
      <c r="U270" s="87" t="e">
        <f t="shared" ref="U270:W270" si="1127">L270/I270</f>
        <v>#DIV/0!</v>
      </c>
      <c r="V270" s="87">
        <f t="shared" si="1127"/>
        <v>1</v>
      </c>
      <c r="W270" s="87" t="e">
        <f t="shared" si="1127"/>
        <v>#DIV/0!</v>
      </c>
      <c r="X270" s="137"/>
      <c r="Y270" s="137">
        <v>0</v>
      </c>
      <c r="Z270" s="137"/>
      <c r="AA270" s="137"/>
      <c r="AB270" s="137">
        <v>504</v>
      </c>
      <c r="AC270" s="137"/>
      <c r="AD270" s="137"/>
      <c r="AE270" s="137">
        <f t="shared" si="1123"/>
        <v>504</v>
      </c>
      <c r="AF270" s="137"/>
      <c r="AG270" s="137"/>
      <c r="AH270" s="137">
        <v>630</v>
      </c>
      <c r="AI270" s="137"/>
      <c r="AJ270" s="137"/>
      <c r="AK270" s="137">
        <v>504</v>
      </c>
      <c r="AL270" s="137"/>
      <c r="AM270" s="137"/>
      <c r="AN270" s="137"/>
      <c r="AO270" s="137"/>
      <c r="AP270" s="137"/>
      <c r="AQ270" s="137"/>
      <c r="AR270" s="137"/>
      <c r="AS270" s="137"/>
      <c r="AT270" s="137"/>
      <c r="AU270" s="137"/>
      <c r="AV270" s="137"/>
      <c r="AW270" s="137"/>
      <c r="AX270" s="137"/>
      <c r="AY270" s="137"/>
      <c r="AZ270" s="137"/>
      <c r="BA270" s="137"/>
      <c r="BB270" s="137"/>
      <c r="BC270" s="137"/>
      <c r="BD270" s="137"/>
      <c r="BE270" s="137"/>
      <c r="BF270" s="137"/>
      <c r="BG270" s="137"/>
      <c r="BH270" s="137"/>
      <c r="BI270" s="137"/>
      <c r="BJ270" s="137"/>
      <c r="BK270" s="88"/>
      <c r="BL270" s="88"/>
      <c r="BM270" s="88"/>
      <c r="BN270" s="88"/>
      <c r="BO270" s="88"/>
    </row>
    <row r="271" spans="1:67" ht="15.75" customHeight="1">
      <c r="A271" s="89"/>
      <c r="B271" s="95" t="s">
        <v>496</v>
      </c>
      <c r="C271" s="80" t="s">
        <v>263</v>
      </c>
      <c r="D271" s="81" t="s">
        <v>497</v>
      </c>
      <c r="E271" s="82"/>
      <c r="F271" s="82"/>
      <c r="G271" s="83" t="e">
        <f t="shared" si="1031"/>
        <v>#DIV/0!</v>
      </c>
      <c r="H271" s="83" t="e">
        <f t="shared" si="1032"/>
        <v>#DIV/0!</v>
      </c>
      <c r="I271" s="182"/>
      <c r="J271" s="186">
        <v>8100</v>
      </c>
      <c r="K271" s="191"/>
      <c r="L271" s="86">
        <f t="shared" ref="L271:N271" si="1128">X271+AA271+AD271+AG271+AJ271+AM271+AP271+AS271+AV271+AY271+BB271+BE271</f>
        <v>0</v>
      </c>
      <c r="M271" s="86">
        <f t="shared" si="1128"/>
        <v>8100</v>
      </c>
      <c r="N271" s="86">
        <f t="shared" si="1128"/>
        <v>0</v>
      </c>
      <c r="O271" s="62">
        <f t="shared" ref="O271:Q271" si="1129">IF(BH271=0,SUM(X271+AA271+AD271+AG271+AJ271+AM271+AP271+AS271+AV271+AY271+BB271+BE271),BH271)</f>
        <v>0</v>
      </c>
      <c r="P271" s="62">
        <f t="shared" si="1129"/>
        <v>8100</v>
      </c>
      <c r="Q271" s="62">
        <f t="shared" si="1129"/>
        <v>0</v>
      </c>
      <c r="R271" s="86">
        <f t="shared" ref="R271:T271" si="1130">I271-L271</f>
        <v>0</v>
      </c>
      <c r="S271" s="86">
        <f t="shared" si="1130"/>
        <v>0</v>
      </c>
      <c r="T271" s="86">
        <f t="shared" si="1130"/>
        <v>0</v>
      </c>
      <c r="U271" s="87" t="e">
        <f t="shared" ref="U271:W271" si="1131">L271/I271</f>
        <v>#DIV/0!</v>
      </c>
      <c r="V271" s="87">
        <f t="shared" si="1131"/>
        <v>1</v>
      </c>
      <c r="W271" s="87" t="e">
        <f t="shared" si="1131"/>
        <v>#DIV/0!</v>
      </c>
      <c r="X271" s="137"/>
      <c r="Y271" s="137">
        <v>0</v>
      </c>
      <c r="Z271" s="137"/>
      <c r="AA271" s="137"/>
      <c r="AB271" s="137">
        <v>0</v>
      </c>
      <c r="AC271" s="137"/>
      <c r="AD271" s="137"/>
      <c r="AE271" s="137">
        <f>900</f>
        <v>900</v>
      </c>
      <c r="AF271" s="137"/>
      <c r="AG271" s="137"/>
      <c r="AH271" s="137">
        <v>4000</v>
      </c>
      <c r="AI271" s="137"/>
      <c r="AJ271" s="137"/>
      <c r="AK271" s="137">
        <v>3200</v>
      </c>
      <c r="AL271" s="137"/>
      <c r="AM271" s="137"/>
      <c r="AN271" s="137"/>
      <c r="AO271" s="137"/>
      <c r="AP271" s="137"/>
      <c r="AQ271" s="137"/>
      <c r="AR271" s="137"/>
      <c r="AS271" s="137"/>
      <c r="AT271" s="137"/>
      <c r="AU271" s="137"/>
      <c r="AV271" s="137"/>
      <c r="AW271" s="137"/>
      <c r="AX271" s="137"/>
      <c r="AY271" s="137"/>
      <c r="AZ271" s="137"/>
      <c r="BA271" s="137"/>
      <c r="BB271" s="137"/>
      <c r="BC271" s="137"/>
      <c r="BD271" s="137"/>
      <c r="BE271" s="137"/>
      <c r="BF271" s="137"/>
      <c r="BG271" s="137"/>
      <c r="BH271" s="137"/>
      <c r="BI271" s="137"/>
      <c r="BJ271" s="137"/>
      <c r="BK271" s="88"/>
      <c r="BL271" s="88"/>
      <c r="BM271" s="88"/>
      <c r="BN271" s="88"/>
      <c r="BO271" s="88"/>
    </row>
    <row r="272" spans="1:67" ht="15.75" customHeight="1">
      <c r="A272" s="89"/>
      <c r="B272" s="95" t="s">
        <v>498</v>
      </c>
      <c r="C272" s="80" t="s">
        <v>499</v>
      </c>
      <c r="D272" s="81" t="s">
        <v>500</v>
      </c>
      <c r="E272" s="82"/>
      <c r="F272" s="82"/>
      <c r="G272" s="83" t="e">
        <f t="shared" si="1031"/>
        <v>#DIV/0!</v>
      </c>
      <c r="H272" s="83" t="e">
        <f t="shared" si="1032"/>
        <v>#DIV/0!</v>
      </c>
      <c r="I272" s="182"/>
      <c r="J272" s="186">
        <v>2048.4</v>
      </c>
      <c r="K272" s="191"/>
      <c r="L272" s="86">
        <f t="shared" ref="L272:N272" si="1132">X272+AA272+AD272+AG272+AJ272+AM272+AP272+AS272+AV272+AY272+BB272+BE272</f>
        <v>0</v>
      </c>
      <c r="M272" s="86">
        <f t="shared" si="1132"/>
        <v>2048.3999999999996</v>
      </c>
      <c r="N272" s="86">
        <f t="shared" si="1132"/>
        <v>0</v>
      </c>
      <c r="O272" s="62">
        <f t="shared" ref="O272:Q272" si="1133">IF(BH272=0,SUM(X272+AA272+AD272+AG272+AJ272+AM272+AP272+AS272+AV272+AY272+BB272+BE272),BH272)</f>
        <v>0</v>
      </c>
      <c r="P272" s="62">
        <f t="shared" si="1133"/>
        <v>2048.3999999999996</v>
      </c>
      <c r="Q272" s="62">
        <f t="shared" si="1133"/>
        <v>0</v>
      </c>
      <c r="R272" s="86">
        <f t="shared" ref="R272:T272" si="1134">I272-L272</f>
        <v>0</v>
      </c>
      <c r="S272" s="86">
        <f t="shared" si="1134"/>
        <v>0</v>
      </c>
      <c r="T272" s="86">
        <f t="shared" si="1134"/>
        <v>0</v>
      </c>
      <c r="U272" s="87" t="e">
        <f t="shared" ref="U272:W272" si="1135">L272/I272</f>
        <v>#DIV/0!</v>
      </c>
      <c r="V272" s="87">
        <f t="shared" si="1135"/>
        <v>0.99999999999999978</v>
      </c>
      <c r="W272" s="87" t="e">
        <f t="shared" si="1135"/>
        <v>#DIV/0!</v>
      </c>
      <c r="X272" s="137"/>
      <c r="Y272" s="137">
        <v>0</v>
      </c>
      <c r="Z272" s="137"/>
      <c r="AA272" s="137"/>
      <c r="AB272" s="137">
        <f>100.8</f>
        <v>100.8</v>
      </c>
      <c r="AC272" s="137"/>
      <c r="AD272" s="137"/>
      <c r="AE272" s="137">
        <f>100.8+180</f>
        <v>280.8</v>
      </c>
      <c r="AF272" s="137"/>
      <c r="AG272" s="137"/>
      <c r="AH272" s="137">
        <f>800+126</f>
        <v>926</v>
      </c>
      <c r="AI272" s="137"/>
      <c r="AJ272" s="137"/>
      <c r="AK272" s="137">
        <v>740.8</v>
      </c>
      <c r="AL272" s="137"/>
      <c r="AM272" s="137"/>
      <c r="AN272" s="137"/>
      <c r="AO272" s="137"/>
      <c r="AP272" s="137"/>
      <c r="AQ272" s="137"/>
      <c r="AR272" s="137"/>
      <c r="AS272" s="137"/>
      <c r="AT272" s="137"/>
      <c r="AU272" s="137"/>
      <c r="AV272" s="137"/>
      <c r="AW272" s="137"/>
      <c r="AX272" s="137"/>
      <c r="AY272" s="137"/>
      <c r="AZ272" s="137"/>
      <c r="BA272" s="137"/>
      <c r="BB272" s="137"/>
      <c r="BC272" s="137"/>
      <c r="BD272" s="137"/>
      <c r="BE272" s="137"/>
      <c r="BF272" s="137"/>
      <c r="BG272" s="137"/>
      <c r="BH272" s="137"/>
      <c r="BI272" s="137"/>
      <c r="BJ272" s="137"/>
      <c r="BK272" s="88"/>
      <c r="BL272" s="88"/>
      <c r="BM272" s="88"/>
      <c r="BN272" s="88"/>
      <c r="BO272" s="88"/>
    </row>
    <row r="273" spans="1:67" ht="15.75" customHeight="1">
      <c r="A273" s="89"/>
      <c r="B273" s="95"/>
      <c r="C273" s="79" t="s">
        <v>501</v>
      </c>
      <c r="D273" s="237" t="s">
        <v>502</v>
      </c>
      <c r="E273" s="82"/>
      <c r="F273" s="82"/>
      <c r="G273" s="83" t="e">
        <f t="shared" si="1031"/>
        <v>#DIV/0!</v>
      </c>
      <c r="H273" s="83" t="e">
        <f t="shared" si="1032"/>
        <v>#DIV/0!</v>
      </c>
      <c r="I273" s="93"/>
      <c r="J273" s="182"/>
      <c r="K273" s="191"/>
      <c r="L273" s="86">
        <f t="shared" ref="L273:N273" si="1136">X273+AA273+AD273+AG273+AJ273+AM273+AP273+AS273+AV273+AY273+BB273+BE273</f>
        <v>0</v>
      </c>
      <c r="M273" s="86">
        <f t="shared" si="1136"/>
        <v>0</v>
      </c>
      <c r="N273" s="86">
        <f t="shared" si="1136"/>
        <v>0</v>
      </c>
      <c r="O273" s="62">
        <f t="shared" ref="O273:Q273" si="1137">IF(BH273=0,SUM(X273+AA273+AD273+AG273+AJ273+AM273+AP273+AS273+AV273+AY273+BB273+BE273),BH273)</f>
        <v>0</v>
      </c>
      <c r="P273" s="62">
        <f t="shared" si="1137"/>
        <v>0</v>
      </c>
      <c r="Q273" s="62">
        <f t="shared" si="1137"/>
        <v>0</v>
      </c>
      <c r="R273" s="86">
        <f t="shared" ref="R273:T273" si="1138">I273-L273</f>
        <v>0</v>
      </c>
      <c r="S273" s="86">
        <f t="shared" si="1138"/>
        <v>0</v>
      </c>
      <c r="T273" s="86">
        <f t="shared" si="1138"/>
        <v>0</v>
      </c>
      <c r="U273" s="87" t="e">
        <f t="shared" ref="U273:W273" si="1139">L273/I273</f>
        <v>#DIV/0!</v>
      </c>
      <c r="V273" s="87" t="e">
        <f t="shared" si="1139"/>
        <v>#DIV/0!</v>
      </c>
      <c r="W273" s="87" t="e">
        <f t="shared" si="1139"/>
        <v>#DIV/0!</v>
      </c>
      <c r="X273" s="137"/>
      <c r="Y273" s="137"/>
      <c r="Z273" s="137"/>
      <c r="AA273" s="137"/>
      <c r="AB273" s="137"/>
      <c r="AC273" s="137"/>
      <c r="AD273" s="137"/>
      <c r="AE273" s="137"/>
      <c r="AF273" s="137"/>
      <c r="AG273" s="137"/>
      <c r="AH273" s="137"/>
      <c r="AI273" s="137"/>
      <c r="AJ273" s="137"/>
      <c r="AK273" s="137"/>
      <c r="AL273" s="137"/>
      <c r="AM273" s="137"/>
      <c r="AN273" s="137"/>
      <c r="AO273" s="137"/>
      <c r="AP273" s="137"/>
      <c r="AQ273" s="137"/>
      <c r="AR273" s="137"/>
      <c r="AS273" s="137"/>
      <c r="AT273" s="137"/>
      <c r="AU273" s="137"/>
      <c r="AV273" s="137"/>
      <c r="AW273" s="137"/>
      <c r="AX273" s="137"/>
      <c r="AY273" s="137"/>
      <c r="AZ273" s="137"/>
      <c r="BA273" s="137"/>
      <c r="BB273" s="137"/>
      <c r="BC273" s="137"/>
      <c r="BD273" s="137"/>
      <c r="BE273" s="137"/>
      <c r="BF273" s="137"/>
      <c r="BG273" s="137"/>
      <c r="BH273" s="137"/>
      <c r="BI273" s="137"/>
      <c r="BJ273" s="137"/>
      <c r="BK273" s="88"/>
      <c r="BL273" s="88"/>
      <c r="BM273" s="88"/>
      <c r="BN273" s="88"/>
      <c r="BO273" s="88"/>
    </row>
    <row r="274" spans="1:67" ht="15.75" customHeight="1">
      <c r="A274" s="89"/>
      <c r="B274" s="95"/>
      <c r="C274" s="79" t="s">
        <v>501</v>
      </c>
      <c r="D274" s="238" t="s">
        <v>503</v>
      </c>
      <c r="E274" s="82"/>
      <c r="F274" s="82"/>
      <c r="G274" s="83" t="e">
        <f t="shared" si="1031"/>
        <v>#DIV/0!</v>
      </c>
      <c r="H274" s="83" t="e">
        <f t="shared" si="1032"/>
        <v>#DIV/0!</v>
      </c>
      <c r="I274" s="93"/>
      <c r="J274" s="182"/>
      <c r="K274" s="191"/>
      <c r="L274" s="86">
        <f t="shared" ref="L274:N274" si="1140">X274+AA274+AD274+AG274+AJ274+AM274+AP274+AS274+AV274+AY274+BB274+BE274</f>
        <v>0</v>
      </c>
      <c r="M274" s="86">
        <f t="shared" si="1140"/>
        <v>0</v>
      </c>
      <c r="N274" s="86">
        <f t="shared" si="1140"/>
        <v>0</v>
      </c>
      <c r="O274" s="62">
        <f t="shared" ref="O274:Q274" si="1141">IF(BH274=0,SUM(X274+AA274+AD274+AG274+AJ274+AM274+AP274+AS274+AV274+AY274+BB274+BE274),BH274)</f>
        <v>0</v>
      </c>
      <c r="P274" s="62">
        <f t="shared" si="1141"/>
        <v>0</v>
      </c>
      <c r="Q274" s="62">
        <f t="shared" si="1141"/>
        <v>0</v>
      </c>
      <c r="R274" s="86">
        <f t="shared" ref="R274:T274" si="1142">I274-L274</f>
        <v>0</v>
      </c>
      <c r="S274" s="86">
        <f t="shared" si="1142"/>
        <v>0</v>
      </c>
      <c r="T274" s="86">
        <f t="shared" si="1142"/>
        <v>0</v>
      </c>
      <c r="U274" s="87" t="e">
        <f t="shared" ref="U274:W274" si="1143">L274/I274</f>
        <v>#DIV/0!</v>
      </c>
      <c r="V274" s="87" t="e">
        <f t="shared" si="1143"/>
        <v>#DIV/0!</v>
      </c>
      <c r="W274" s="87" t="e">
        <f t="shared" si="1143"/>
        <v>#DIV/0!</v>
      </c>
      <c r="X274" s="137"/>
      <c r="Y274" s="137"/>
      <c r="Z274" s="137"/>
      <c r="AA274" s="137"/>
      <c r="AB274" s="137"/>
      <c r="AC274" s="137"/>
      <c r="AD274" s="137"/>
      <c r="AE274" s="137"/>
      <c r="AF274" s="137"/>
      <c r="AG274" s="137"/>
      <c r="AH274" s="137"/>
      <c r="AI274" s="137"/>
      <c r="AJ274" s="137"/>
      <c r="AK274" s="137"/>
      <c r="AL274" s="137"/>
      <c r="AM274" s="137"/>
      <c r="AN274" s="137"/>
      <c r="AO274" s="137"/>
      <c r="AP274" s="137"/>
      <c r="AQ274" s="137"/>
      <c r="AR274" s="137"/>
      <c r="AS274" s="137"/>
      <c r="AT274" s="137"/>
      <c r="AU274" s="137"/>
      <c r="AV274" s="137"/>
      <c r="AW274" s="137"/>
      <c r="AX274" s="137"/>
      <c r="AY274" s="137"/>
      <c r="AZ274" s="137"/>
      <c r="BA274" s="137"/>
      <c r="BB274" s="137"/>
      <c r="BC274" s="137"/>
      <c r="BD274" s="137"/>
      <c r="BE274" s="137"/>
      <c r="BF274" s="137"/>
      <c r="BG274" s="137"/>
      <c r="BH274" s="137"/>
      <c r="BI274" s="137"/>
      <c r="BJ274" s="137"/>
      <c r="BK274" s="88"/>
      <c r="BL274" s="88"/>
      <c r="BM274" s="88"/>
      <c r="BN274" s="88"/>
      <c r="BO274" s="88"/>
    </row>
    <row r="275" spans="1:67" ht="15.75" customHeight="1">
      <c r="A275" s="89"/>
      <c r="B275" s="95"/>
      <c r="C275" s="79" t="s">
        <v>501</v>
      </c>
      <c r="D275" s="238" t="s">
        <v>503</v>
      </c>
      <c r="E275" s="82"/>
      <c r="F275" s="82"/>
      <c r="G275" s="83" t="e">
        <f t="shared" si="1031"/>
        <v>#DIV/0!</v>
      </c>
      <c r="H275" s="83" t="e">
        <f t="shared" si="1032"/>
        <v>#DIV/0!</v>
      </c>
      <c r="I275" s="93"/>
      <c r="J275" s="182"/>
      <c r="K275" s="191"/>
      <c r="L275" s="86">
        <f t="shared" ref="L275:N275" si="1144">X275+AA275+AD275+AG275+AJ275+AM275+AP275+AS275+AV275+AY275+BB275+BE275</f>
        <v>0</v>
      </c>
      <c r="M275" s="86">
        <f t="shared" si="1144"/>
        <v>0</v>
      </c>
      <c r="N275" s="86">
        <f t="shared" si="1144"/>
        <v>0</v>
      </c>
      <c r="O275" s="62">
        <f t="shared" ref="O275:Q275" si="1145">IF(BH275=0,SUM(X275+AA275+AD275+AG275+AJ275+AM275+AP275+AS275+AV275+AY275+BB275+BE275),BH275)</f>
        <v>0</v>
      </c>
      <c r="P275" s="62">
        <f t="shared" si="1145"/>
        <v>0</v>
      </c>
      <c r="Q275" s="62">
        <f t="shared" si="1145"/>
        <v>0</v>
      </c>
      <c r="R275" s="86">
        <f t="shared" ref="R275:T275" si="1146">I275-L275</f>
        <v>0</v>
      </c>
      <c r="S275" s="86">
        <f t="shared" si="1146"/>
        <v>0</v>
      </c>
      <c r="T275" s="86">
        <f t="shared" si="1146"/>
        <v>0</v>
      </c>
      <c r="U275" s="87" t="e">
        <f t="shared" ref="U275:W275" si="1147">L275/I275</f>
        <v>#DIV/0!</v>
      </c>
      <c r="V275" s="87" t="e">
        <f t="shared" si="1147"/>
        <v>#DIV/0!</v>
      </c>
      <c r="W275" s="87" t="e">
        <f t="shared" si="1147"/>
        <v>#DIV/0!</v>
      </c>
      <c r="X275" s="137"/>
      <c r="Y275" s="137"/>
      <c r="Z275" s="137"/>
      <c r="AA275" s="137"/>
      <c r="AB275" s="137"/>
      <c r="AC275" s="137"/>
      <c r="AD275" s="137"/>
      <c r="AE275" s="137"/>
      <c r="AF275" s="137"/>
      <c r="AG275" s="137"/>
      <c r="AH275" s="137"/>
      <c r="AI275" s="137"/>
      <c r="AJ275" s="137"/>
      <c r="AK275" s="137"/>
      <c r="AL275" s="137"/>
      <c r="AM275" s="137"/>
      <c r="AN275" s="137"/>
      <c r="AO275" s="137"/>
      <c r="AP275" s="137"/>
      <c r="AQ275" s="137"/>
      <c r="AR275" s="137"/>
      <c r="AS275" s="137"/>
      <c r="AT275" s="137"/>
      <c r="AU275" s="137"/>
      <c r="AV275" s="137"/>
      <c r="AW275" s="137"/>
      <c r="AX275" s="137"/>
      <c r="AY275" s="137"/>
      <c r="AZ275" s="137"/>
      <c r="BA275" s="137"/>
      <c r="BB275" s="137"/>
      <c r="BC275" s="137"/>
      <c r="BD275" s="137"/>
      <c r="BE275" s="137"/>
      <c r="BF275" s="137"/>
      <c r="BG275" s="137"/>
      <c r="BH275" s="137"/>
      <c r="BI275" s="137"/>
      <c r="BJ275" s="137"/>
      <c r="BK275" s="88"/>
      <c r="BL275" s="88"/>
      <c r="BM275" s="88"/>
      <c r="BN275" s="88"/>
      <c r="BO275" s="88"/>
    </row>
    <row r="276" spans="1:67" ht="15.75" customHeight="1">
      <c r="A276" s="118"/>
      <c r="B276" s="95"/>
      <c r="C276" s="79" t="s">
        <v>501</v>
      </c>
      <c r="D276" s="238" t="s">
        <v>503</v>
      </c>
      <c r="E276" s="82"/>
      <c r="F276" s="82"/>
      <c r="G276" s="83" t="e">
        <f t="shared" si="1031"/>
        <v>#DIV/0!</v>
      </c>
      <c r="H276" s="83" t="e">
        <f t="shared" si="1032"/>
        <v>#DIV/0!</v>
      </c>
      <c r="I276" s="93"/>
      <c r="J276" s="182"/>
      <c r="K276" s="191"/>
      <c r="L276" s="86">
        <f t="shared" ref="L276:N276" si="1148">X276+AA276+AD276+AG276+AJ276+AM276+AP276+AS276+AV276+AY276+BB276+BE276</f>
        <v>0</v>
      </c>
      <c r="M276" s="86">
        <f t="shared" si="1148"/>
        <v>0</v>
      </c>
      <c r="N276" s="86">
        <f t="shared" si="1148"/>
        <v>0</v>
      </c>
      <c r="O276" s="62">
        <f t="shared" ref="O276:Q276" si="1149">IF(BH276=0,SUM(X276+AA276+AD276+AG276+AJ276+AM276+AP276+AS276+AV276+AY276+BB276+BE276),BH276)</f>
        <v>0</v>
      </c>
      <c r="P276" s="62">
        <f t="shared" si="1149"/>
        <v>0</v>
      </c>
      <c r="Q276" s="62">
        <f t="shared" si="1149"/>
        <v>0</v>
      </c>
      <c r="R276" s="86">
        <f t="shared" ref="R276:T276" si="1150">I276-L276</f>
        <v>0</v>
      </c>
      <c r="S276" s="86">
        <f t="shared" si="1150"/>
        <v>0</v>
      </c>
      <c r="T276" s="86">
        <f t="shared" si="1150"/>
        <v>0</v>
      </c>
      <c r="U276" s="87" t="e">
        <f t="shared" ref="U276:W276" si="1151">L276/I276</f>
        <v>#DIV/0!</v>
      </c>
      <c r="V276" s="87" t="e">
        <f t="shared" si="1151"/>
        <v>#DIV/0!</v>
      </c>
      <c r="W276" s="87" t="e">
        <f t="shared" si="1151"/>
        <v>#DIV/0!</v>
      </c>
      <c r="X276" s="137"/>
      <c r="Y276" s="137"/>
      <c r="Z276" s="137"/>
      <c r="AA276" s="137"/>
      <c r="AB276" s="137"/>
      <c r="AC276" s="137"/>
      <c r="AD276" s="137"/>
      <c r="AE276" s="137"/>
      <c r="AF276" s="137"/>
      <c r="AG276" s="137"/>
      <c r="AH276" s="137"/>
      <c r="AI276" s="137"/>
      <c r="AJ276" s="137"/>
      <c r="AK276" s="137"/>
      <c r="AL276" s="137"/>
      <c r="AM276" s="137"/>
      <c r="AN276" s="137"/>
      <c r="AO276" s="137"/>
      <c r="AP276" s="137"/>
      <c r="AQ276" s="137"/>
      <c r="AR276" s="137"/>
      <c r="AS276" s="137"/>
      <c r="AT276" s="137"/>
      <c r="AU276" s="137"/>
      <c r="AV276" s="137"/>
      <c r="AW276" s="137"/>
      <c r="AX276" s="137"/>
      <c r="AY276" s="137"/>
      <c r="AZ276" s="137"/>
      <c r="BA276" s="137"/>
      <c r="BB276" s="137"/>
      <c r="BC276" s="137"/>
      <c r="BD276" s="137"/>
      <c r="BE276" s="137"/>
      <c r="BF276" s="137"/>
      <c r="BG276" s="137"/>
      <c r="BH276" s="137"/>
      <c r="BI276" s="137"/>
      <c r="BJ276" s="137"/>
      <c r="BK276" s="88"/>
      <c r="BL276" s="88"/>
      <c r="BM276" s="88"/>
      <c r="BN276" s="88"/>
      <c r="BO276" s="88"/>
    </row>
    <row r="277" spans="1:67" ht="15.75" customHeight="1">
      <c r="A277" s="89" t="s">
        <v>504</v>
      </c>
      <c r="B277" s="95"/>
      <c r="C277" s="80" t="s">
        <v>423</v>
      </c>
      <c r="D277" s="238" t="s">
        <v>505</v>
      </c>
      <c r="E277" s="82"/>
      <c r="F277" s="82"/>
      <c r="G277" s="83" t="e">
        <f t="shared" si="1031"/>
        <v>#DIV/0!</v>
      </c>
      <c r="H277" s="83" t="e">
        <f t="shared" si="1032"/>
        <v>#DIV/0!</v>
      </c>
      <c r="I277" s="93">
        <v>7523.3</v>
      </c>
      <c r="J277" s="182"/>
      <c r="K277" s="191"/>
      <c r="L277" s="86">
        <f t="shared" ref="L277:N277" si="1152">X277+AA277+AD277+AG277+AJ277+AM277+AP277+AS277+AV277+AY277+BB277+BE277</f>
        <v>0</v>
      </c>
      <c r="M277" s="86">
        <f t="shared" si="1152"/>
        <v>0</v>
      </c>
      <c r="N277" s="86">
        <f t="shared" si="1152"/>
        <v>0</v>
      </c>
      <c r="O277" s="62">
        <f t="shared" ref="O277:Q277" si="1153">IF(BH277=0,SUM(X277+AA277+AD277+AG277+AJ277+AM277+AP277+AS277+AV277+AY277+BB277+BE277),BH277)</f>
        <v>0</v>
      </c>
      <c r="P277" s="62">
        <f t="shared" si="1153"/>
        <v>0</v>
      </c>
      <c r="Q277" s="62">
        <f t="shared" si="1153"/>
        <v>0</v>
      </c>
      <c r="R277" s="86">
        <f t="shared" ref="R277:T277" si="1154">I277-L277</f>
        <v>7523.3</v>
      </c>
      <c r="S277" s="86">
        <f t="shared" si="1154"/>
        <v>0</v>
      </c>
      <c r="T277" s="86">
        <f t="shared" si="1154"/>
        <v>0</v>
      </c>
      <c r="U277" s="87">
        <f t="shared" ref="U277:W277" si="1155">L277/I277</f>
        <v>0</v>
      </c>
      <c r="V277" s="87" t="e">
        <f t="shared" si="1155"/>
        <v>#DIV/0!</v>
      </c>
      <c r="W277" s="87" t="e">
        <f t="shared" si="1155"/>
        <v>#DIV/0!</v>
      </c>
      <c r="X277" s="137"/>
      <c r="Y277" s="137"/>
      <c r="Z277" s="137"/>
      <c r="AA277" s="137"/>
      <c r="AB277" s="137"/>
      <c r="AC277" s="137"/>
      <c r="AD277" s="137"/>
      <c r="AE277" s="137"/>
      <c r="AF277" s="137"/>
      <c r="AG277" s="137"/>
      <c r="AH277" s="137"/>
      <c r="AI277" s="137"/>
      <c r="AJ277" s="137"/>
      <c r="AK277" s="137"/>
      <c r="AL277" s="137"/>
      <c r="AM277" s="137"/>
      <c r="AN277" s="137"/>
      <c r="AO277" s="137"/>
      <c r="AP277" s="137"/>
      <c r="AQ277" s="137"/>
      <c r="AR277" s="137"/>
      <c r="AS277" s="137"/>
      <c r="AT277" s="137"/>
      <c r="AU277" s="137"/>
      <c r="AV277" s="137"/>
      <c r="AW277" s="137"/>
      <c r="AX277" s="137"/>
      <c r="AY277" s="137"/>
      <c r="AZ277" s="137"/>
      <c r="BA277" s="137"/>
      <c r="BB277" s="137"/>
      <c r="BC277" s="137"/>
      <c r="BD277" s="137"/>
      <c r="BE277" s="137"/>
      <c r="BF277" s="137"/>
      <c r="BG277" s="137"/>
      <c r="BH277" s="137"/>
      <c r="BI277" s="137"/>
      <c r="BJ277" s="137"/>
      <c r="BK277" s="88"/>
      <c r="BL277" s="88"/>
      <c r="BM277" s="88"/>
      <c r="BN277" s="88"/>
      <c r="BO277" s="88"/>
    </row>
    <row r="278" spans="1:67" ht="15.75" customHeight="1">
      <c r="A278" s="89" t="s">
        <v>506</v>
      </c>
      <c r="B278" s="95"/>
      <c r="C278" s="80" t="s">
        <v>94</v>
      </c>
      <c r="D278" s="238" t="s">
        <v>507</v>
      </c>
      <c r="E278" s="82"/>
      <c r="F278" s="82"/>
      <c r="G278" s="83" t="e">
        <f t="shared" si="1031"/>
        <v>#DIV/0!</v>
      </c>
      <c r="H278" s="83" t="e">
        <f t="shared" si="1032"/>
        <v>#DIV/0!</v>
      </c>
      <c r="I278" s="93">
        <v>2578.2800000000002</v>
      </c>
      <c r="J278" s="182"/>
      <c r="K278" s="191"/>
      <c r="L278" s="86">
        <f t="shared" ref="L278:N278" si="1156">X278+AA278+AD278+AG278+AJ278+AM278+AP278+AS278+AV278+AY278+BB278+BE278</f>
        <v>0</v>
      </c>
      <c r="M278" s="86">
        <f t="shared" si="1156"/>
        <v>0</v>
      </c>
      <c r="N278" s="86">
        <f t="shared" si="1156"/>
        <v>0</v>
      </c>
      <c r="O278" s="62">
        <f t="shared" ref="O278:Q278" si="1157">IF(BH278=0,SUM(X278+AA278+AD278+AG278+AJ278+AM278+AP278+AS278+AV278+AY278+BB278+BE278),BH278)</f>
        <v>0</v>
      </c>
      <c r="P278" s="62">
        <f t="shared" si="1157"/>
        <v>0</v>
      </c>
      <c r="Q278" s="62">
        <f t="shared" si="1157"/>
        <v>0</v>
      </c>
      <c r="R278" s="86">
        <f t="shared" ref="R278:T278" si="1158">I278-L278</f>
        <v>2578.2800000000002</v>
      </c>
      <c r="S278" s="86">
        <f t="shared" si="1158"/>
        <v>0</v>
      </c>
      <c r="T278" s="86">
        <f t="shared" si="1158"/>
        <v>0</v>
      </c>
      <c r="U278" s="87">
        <f t="shared" ref="U278:W278" si="1159">L278/I278</f>
        <v>0</v>
      </c>
      <c r="V278" s="87" t="e">
        <f t="shared" si="1159"/>
        <v>#DIV/0!</v>
      </c>
      <c r="W278" s="87" t="e">
        <f t="shared" si="1159"/>
        <v>#DIV/0!</v>
      </c>
      <c r="X278" s="137"/>
      <c r="Y278" s="137"/>
      <c r="Z278" s="137"/>
      <c r="AA278" s="137"/>
      <c r="AB278" s="137"/>
      <c r="AC278" s="137"/>
      <c r="AD278" s="137"/>
      <c r="AE278" s="137"/>
      <c r="AF278" s="137"/>
      <c r="AG278" s="137"/>
      <c r="AH278" s="137"/>
      <c r="AI278" s="137"/>
      <c r="AJ278" s="137"/>
      <c r="AK278" s="137"/>
      <c r="AL278" s="137"/>
      <c r="AM278" s="137"/>
      <c r="AN278" s="137"/>
      <c r="AO278" s="137"/>
      <c r="AP278" s="137"/>
      <c r="AQ278" s="137"/>
      <c r="AR278" s="137"/>
      <c r="AS278" s="137"/>
      <c r="AT278" s="137"/>
      <c r="AU278" s="137"/>
      <c r="AV278" s="137"/>
      <c r="AW278" s="137"/>
      <c r="AX278" s="137"/>
      <c r="AY278" s="137"/>
      <c r="AZ278" s="137"/>
      <c r="BA278" s="137"/>
      <c r="BB278" s="137"/>
      <c r="BC278" s="137"/>
      <c r="BD278" s="137"/>
      <c r="BE278" s="137"/>
      <c r="BF278" s="137"/>
      <c r="BG278" s="137"/>
      <c r="BH278" s="137"/>
      <c r="BI278" s="137"/>
      <c r="BJ278" s="137"/>
      <c r="BK278" s="88"/>
      <c r="BL278" s="88"/>
      <c r="BM278" s="88"/>
      <c r="BN278" s="88"/>
      <c r="BO278" s="88"/>
    </row>
    <row r="279" spans="1:67" ht="48.75" customHeight="1">
      <c r="A279" s="89"/>
      <c r="B279" s="91"/>
      <c r="C279" s="80" t="s">
        <v>508</v>
      </c>
      <c r="D279" s="92" t="s">
        <v>509</v>
      </c>
      <c r="E279" s="82"/>
      <c r="F279" s="82"/>
      <c r="G279" s="83" t="e">
        <f t="shared" si="1031"/>
        <v>#DIV/0!</v>
      </c>
      <c r="H279" s="83" t="e">
        <f t="shared" si="1032"/>
        <v>#DIV/0!</v>
      </c>
      <c r="I279" s="182"/>
      <c r="J279" s="182"/>
      <c r="K279" s="191"/>
      <c r="L279" s="86">
        <f t="shared" ref="L279:N279" si="1160">X279+AA279+AD279+AG279+AJ279+AM279+AP279+AS279+AV279+AY279+BB279+BE279</f>
        <v>0</v>
      </c>
      <c r="M279" s="86">
        <f t="shared" si="1160"/>
        <v>0</v>
      </c>
      <c r="N279" s="86">
        <f t="shared" si="1160"/>
        <v>0</v>
      </c>
      <c r="O279" s="62">
        <f t="shared" ref="O279:Q279" si="1161">IF(BH279=0,SUM(X279+AA279+AD279+AG279+AJ279+AM279+AP279+AS279+AV279+AY279+BB279+BE279),BH279)</f>
        <v>0</v>
      </c>
      <c r="P279" s="62">
        <f t="shared" si="1161"/>
        <v>0</v>
      </c>
      <c r="Q279" s="62">
        <f t="shared" si="1161"/>
        <v>0</v>
      </c>
      <c r="R279" s="86">
        <f t="shared" ref="R279:T279" si="1162">I279-L279</f>
        <v>0</v>
      </c>
      <c r="S279" s="86">
        <f t="shared" si="1162"/>
        <v>0</v>
      </c>
      <c r="T279" s="86">
        <f t="shared" si="1162"/>
        <v>0</v>
      </c>
      <c r="U279" s="87" t="e">
        <f t="shared" ref="U279:W279" si="1163">L279/I279</f>
        <v>#DIV/0!</v>
      </c>
      <c r="V279" s="87" t="e">
        <f t="shared" si="1163"/>
        <v>#DIV/0!</v>
      </c>
      <c r="W279" s="87" t="e">
        <f t="shared" si="1163"/>
        <v>#DIV/0!</v>
      </c>
      <c r="X279" s="137"/>
      <c r="Y279" s="137"/>
      <c r="Z279" s="137"/>
      <c r="AA279" s="137"/>
      <c r="AB279" s="137"/>
      <c r="AC279" s="137"/>
      <c r="AD279" s="137"/>
      <c r="AE279" s="137"/>
      <c r="AF279" s="137"/>
      <c r="AG279" s="137"/>
      <c r="AH279" s="137"/>
      <c r="AI279" s="137"/>
      <c r="AJ279" s="137"/>
      <c r="AK279" s="137"/>
      <c r="AL279" s="137"/>
      <c r="AM279" s="137"/>
      <c r="AN279" s="137"/>
      <c r="AO279" s="137"/>
      <c r="AP279" s="137"/>
      <c r="AQ279" s="137"/>
      <c r="AR279" s="137"/>
      <c r="AS279" s="137"/>
      <c r="AT279" s="137"/>
      <c r="AU279" s="137"/>
      <c r="AV279" s="137"/>
      <c r="AW279" s="137"/>
      <c r="AX279" s="137"/>
      <c r="AY279" s="137"/>
      <c r="AZ279" s="137"/>
      <c r="BA279" s="137"/>
      <c r="BB279" s="137"/>
      <c r="BC279" s="137"/>
      <c r="BD279" s="137"/>
      <c r="BE279" s="137"/>
      <c r="BF279" s="137"/>
      <c r="BG279" s="137"/>
      <c r="BH279" s="137"/>
      <c r="BI279" s="137"/>
      <c r="BJ279" s="137"/>
      <c r="BK279" s="88"/>
      <c r="BL279" s="88"/>
      <c r="BM279" s="88"/>
      <c r="BN279" s="88"/>
      <c r="BO279" s="88"/>
    </row>
    <row r="280" spans="1:67" ht="15.75" customHeight="1">
      <c r="A280" s="89"/>
      <c r="B280" s="95" t="s">
        <v>510</v>
      </c>
      <c r="C280" s="80" t="s">
        <v>277</v>
      </c>
      <c r="D280" s="92" t="s">
        <v>511</v>
      </c>
      <c r="E280" s="82"/>
      <c r="F280" s="82"/>
      <c r="G280" s="83" t="e">
        <f t="shared" si="1031"/>
        <v>#DIV/0!</v>
      </c>
      <c r="H280" s="83" t="e">
        <f t="shared" si="1032"/>
        <v>#DIV/0!</v>
      </c>
      <c r="I280" s="182"/>
      <c r="J280" s="182">
        <v>12422.13</v>
      </c>
      <c r="K280" s="191"/>
      <c r="L280" s="86">
        <f t="shared" ref="L280:N280" si="1164">X280+AA280+AD280+AG280+AJ280+AM280+AP280+AS280+AV280+AY280+BB280+BE280</f>
        <v>0</v>
      </c>
      <c r="M280" s="86">
        <f t="shared" si="1164"/>
        <v>267.95999999999998</v>
      </c>
      <c r="N280" s="86">
        <f t="shared" si="1164"/>
        <v>0</v>
      </c>
      <c r="O280" s="62">
        <f t="shared" ref="O280:Q280" si="1165">IF(BH280=0,SUM(X280+AA280+AD280+AG280+AJ280+AM280+AP280+AS280+AV280+AY280+BB280+BE280),BH280)</f>
        <v>0</v>
      </c>
      <c r="P280" s="62">
        <f t="shared" si="1165"/>
        <v>267.95999999999998</v>
      </c>
      <c r="Q280" s="62">
        <f t="shared" si="1165"/>
        <v>0</v>
      </c>
      <c r="R280" s="86">
        <f t="shared" ref="R280:T280" si="1166">I280-L280</f>
        <v>0</v>
      </c>
      <c r="S280" s="86">
        <f t="shared" si="1166"/>
        <v>12154.17</v>
      </c>
      <c r="T280" s="86">
        <f t="shared" si="1166"/>
        <v>0</v>
      </c>
      <c r="U280" s="87" t="e">
        <f t="shared" ref="U280:W280" si="1167">L280/I280</f>
        <v>#DIV/0!</v>
      </c>
      <c r="V280" s="87">
        <f t="shared" si="1167"/>
        <v>2.1571179821817998E-2</v>
      </c>
      <c r="W280" s="87" t="e">
        <f t="shared" si="1167"/>
        <v>#DIV/0!</v>
      </c>
      <c r="X280" s="137"/>
      <c r="Y280" s="137">
        <v>0</v>
      </c>
      <c r="Z280" s="137"/>
      <c r="AA280" s="137"/>
      <c r="AB280" s="137">
        <f>77.14</f>
        <v>77.14</v>
      </c>
      <c r="AC280" s="137"/>
      <c r="AD280" s="137"/>
      <c r="AE280" s="137">
        <f>190.82</f>
        <v>190.82</v>
      </c>
      <c r="AF280" s="137"/>
      <c r="AG280" s="137"/>
      <c r="AH280" s="137"/>
      <c r="AI280" s="137"/>
      <c r="AJ280" s="137"/>
      <c r="AK280" s="137"/>
      <c r="AL280" s="137"/>
      <c r="AM280" s="137"/>
      <c r="AN280" s="137"/>
      <c r="AO280" s="137"/>
      <c r="AP280" s="137"/>
      <c r="AQ280" s="137"/>
      <c r="AR280" s="137"/>
      <c r="AS280" s="137"/>
      <c r="AT280" s="137"/>
      <c r="AU280" s="137"/>
      <c r="AV280" s="137"/>
      <c r="AW280" s="137"/>
      <c r="AX280" s="137"/>
      <c r="AY280" s="137"/>
      <c r="AZ280" s="137"/>
      <c r="BA280" s="137"/>
      <c r="BB280" s="137"/>
      <c r="BC280" s="137"/>
      <c r="BD280" s="137"/>
      <c r="BE280" s="137"/>
      <c r="BF280" s="137"/>
      <c r="BG280" s="137"/>
      <c r="BH280" s="137"/>
      <c r="BI280" s="137"/>
      <c r="BJ280" s="137"/>
      <c r="BK280" s="88"/>
      <c r="BL280" s="88"/>
      <c r="BM280" s="88"/>
      <c r="BN280" s="88"/>
      <c r="BO280" s="88"/>
    </row>
    <row r="281" spans="1:67" ht="15.75" customHeight="1">
      <c r="A281" s="89"/>
      <c r="B281" s="90"/>
      <c r="C281" s="80"/>
      <c r="D281" s="92"/>
      <c r="E281" s="82"/>
      <c r="F281" s="82"/>
      <c r="G281" s="83" t="e">
        <f t="shared" si="1031"/>
        <v>#DIV/0!</v>
      </c>
      <c r="H281" s="83" t="e">
        <f t="shared" si="1032"/>
        <v>#DIV/0!</v>
      </c>
      <c r="I281" s="182"/>
      <c r="J281" s="182"/>
      <c r="K281" s="191"/>
      <c r="L281" s="86"/>
      <c r="M281" s="86"/>
      <c r="N281" s="86"/>
      <c r="O281" s="62"/>
      <c r="P281" s="62"/>
      <c r="Q281" s="62"/>
      <c r="R281" s="86"/>
      <c r="S281" s="86"/>
      <c r="T281" s="86"/>
      <c r="U281" s="87"/>
      <c r="V281" s="87"/>
      <c r="W281" s="87"/>
      <c r="X281" s="137"/>
      <c r="Y281" s="137"/>
      <c r="Z281" s="137"/>
      <c r="AA281" s="137"/>
      <c r="AB281" s="137"/>
      <c r="AC281" s="137"/>
      <c r="AD281" s="137"/>
      <c r="AE281" s="137"/>
      <c r="AF281" s="137"/>
      <c r="AG281" s="137"/>
      <c r="AH281" s="137"/>
      <c r="AI281" s="137"/>
      <c r="AJ281" s="137"/>
      <c r="AK281" s="137"/>
      <c r="AL281" s="137"/>
      <c r="AM281" s="137"/>
      <c r="AN281" s="137"/>
      <c r="AO281" s="137"/>
      <c r="AP281" s="137"/>
      <c r="AQ281" s="137"/>
      <c r="AR281" s="137"/>
      <c r="AS281" s="137"/>
      <c r="AT281" s="137"/>
      <c r="AU281" s="137"/>
      <c r="AV281" s="137"/>
      <c r="AW281" s="137"/>
      <c r="AX281" s="137"/>
      <c r="AY281" s="137"/>
      <c r="AZ281" s="137"/>
      <c r="BA281" s="137"/>
      <c r="BB281" s="137"/>
      <c r="BC281" s="137"/>
      <c r="BD281" s="137"/>
      <c r="BE281" s="137"/>
      <c r="BF281" s="137"/>
      <c r="BG281" s="137"/>
      <c r="BH281" s="137"/>
      <c r="BI281" s="137"/>
      <c r="BJ281" s="137"/>
      <c r="BK281" s="88"/>
      <c r="BL281" s="88"/>
      <c r="BM281" s="88"/>
      <c r="BN281" s="88"/>
      <c r="BO281" s="88"/>
    </row>
    <row r="282" spans="1:67" ht="18.75">
      <c r="A282" s="218"/>
      <c r="B282" s="218"/>
      <c r="C282" s="211"/>
      <c r="D282" s="212" t="s">
        <v>512</v>
      </c>
      <c r="E282" s="213">
        <f t="shared" ref="E282:F282" si="1168">SUM(E283:E286)</f>
        <v>0</v>
      </c>
      <c r="F282" s="213">
        <f t="shared" si="1168"/>
        <v>0</v>
      </c>
      <c r="G282" s="180" t="e">
        <f t="shared" si="1031"/>
        <v>#DIV/0!</v>
      </c>
      <c r="H282" s="180" t="e">
        <f t="shared" si="1032"/>
        <v>#DIV/0!</v>
      </c>
      <c r="I282" s="213">
        <f t="shared" ref="I282:N282" si="1169">SUM(I283:I286)</f>
        <v>5489.7</v>
      </c>
      <c r="J282" s="213">
        <f t="shared" si="1169"/>
        <v>0</v>
      </c>
      <c r="K282" s="213">
        <f t="shared" si="1169"/>
        <v>0</v>
      </c>
      <c r="L282" s="213">
        <f t="shared" si="1169"/>
        <v>3402.61</v>
      </c>
      <c r="M282" s="213">
        <f t="shared" si="1169"/>
        <v>0</v>
      </c>
      <c r="N282" s="213">
        <f t="shared" si="1169"/>
        <v>0</v>
      </c>
      <c r="O282" s="214">
        <f t="shared" ref="O282:Q282" si="1170">IF(BH282=0,SUM(X282+AA282+AD282+AG282+AJ282+AM282+AP282+AS282+AV282+AY282+BB282+BE282),BH282)</f>
        <v>3402.61</v>
      </c>
      <c r="P282" s="214">
        <f t="shared" si="1170"/>
        <v>0</v>
      </c>
      <c r="Q282" s="214">
        <f t="shared" si="1170"/>
        <v>0</v>
      </c>
      <c r="R282" s="213">
        <f t="shared" ref="R282:T282" si="1171">SUM(R283:R286)</f>
        <v>2087.09</v>
      </c>
      <c r="S282" s="213">
        <f t="shared" si="1171"/>
        <v>0</v>
      </c>
      <c r="T282" s="213">
        <f t="shared" si="1171"/>
        <v>0</v>
      </c>
      <c r="U282" s="232">
        <f t="shared" ref="U282:W282" si="1172">L282/I282</f>
        <v>0.61981711204619561</v>
      </c>
      <c r="V282" s="232" t="e">
        <f t="shared" si="1172"/>
        <v>#DIV/0!</v>
      </c>
      <c r="W282" s="232" t="e">
        <f t="shared" si="1172"/>
        <v>#DIV/0!</v>
      </c>
      <c r="X282" s="213">
        <f t="shared" ref="X282:BJ282" si="1173">SUM(X283:X286)</f>
        <v>0</v>
      </c>
      <c r="Y282" s="213">
        <f t="shared" si="1173"/>
        <v>0</v>
      </c>
      <c r="Z282" s="213">
        <f t="shared" si="1173"/>
        <v>0</v>
      </c>
      <c r="AA282" s="213">
        <f t="shared" si="1173"/>
        <v>220.29000000000002</v>
      </c>
      <c r="AB282" s="213">
        <f t="shared" si="1173"/>
        <v>0</v>
      </c>
      <c r="AC282" s="213">
        <f t="shared" si="1173"/>
        <v>0</v>
      </c>
      <c r="AD282" s="213">
        <f t="shared" si="1173"/>
        <v>169.86</v>
      </c>
      <c r="AE282" s="213">
        <f t="shared" si="1173"/>
        <v>0</v>
      </c>
      <c r="AF282" s="213">
        <f t="shared" si="1173"/>
        <v>0</v>
      </c>
      <c r="AG282" s="213">
        <f t="shared" si="1173"/>
        <v>3012.46</v>
      </c>
      <c r="AH282" s="213">
        <f t="shared" si="1173"/>
        <v>0</v>
      </c>
      <c r="AI282" s="213">
        <f t="shared" si="1173"/>
        <v>0</v>
      </c>
      <c r="AJ282" s="213">
        <f t="shared" si="1173"/>
        <v>0</v>
      </c>
      <c r="AK282" s="213">
        <f t="shared" si="1173"/>
        <v>0</v>
      </c>
      <c r="AL282" s="213">
        <f t="shared" si="1173"/>
        <v>0</v>
      </c>
      <c r="AM282" s="213">
        <f t="shared" si="1173"/>
        <v>0</v>
      </c>
      <c r="AN282" s="213">
        <f t="shared" si="1173"/>
        <v>0</v>
      </c>
      <c r="AO282" s="213">
        <f t="shared" si="1173"/>
        <v>0</v>
      </c>
      <c r="AP282" s="213">
        <f t="shared" si="1173"/>
        <v>0</v>
      </c>
      <c r="AQ282" s="213">
        <f t="shared" si="1173"/>
        <v>0</v>
      </c>
      <c r="AR282" s="213">
        <f t="shared" si="1173"/>
        <v>0</v>
      </c>
      <c r="AS282" s="213">
        <f t="shared" si="1173"/>
        <v>0</v>
      </c>
      <c r="AT282" s="213">
        <f t="shared" si="1173"/>
        <v>0</v>
      </c>
      <c r="AU282" s="213">
        <f t="shared" si="1173"/>
        <v>0</v>
      </c>
      <c r="AV282" s="213">
        <f t="shared" si="1173"/>
        <v>0</v>
      </c>
      <c r="AW282" s="213">
        <f t="shared" si="1173"/>
        <v>0</v>
      </c>
      <c r="AX282" s="213">
        <f t="shared" si="1173"/>
        <v>0</v>
      </c>
      <c r="AY282" s="213">
        <f t="shared" si="1173"/>
        <v>0</v>
      </c>
      <c r="AZ282" s="213">
        <f t="shared" si="1173"/>
        <v>0</v>
      </c>
      <c r="BA282" s="213">
        <f t="shared" si="1173"/>
        <v>0</v>
      </c>
      <c r="BB282" s="213">
        <f t="shared" si="1173"/>
        <v>0</v>
      </c>
      <c r="BC282" s="213">
        <f t="shared" si="1173"/>
        <v>0</v>
      </c>
      <c r="BD282" s="213">
        <f t="shared" si="1173"/>
        <v>0</v>
      </c>
      <c r="BE282" s="213">
        <f t="shared" si="1173"/>
        <v>0</v>
      </c>
      <c r="BF282" s="213">
        <f t="shared" si="1173"/>
        <v>0</v>
      </c>
      <c r="BG282" s="213">
        <f t="shared" si="1173"/>
        <v>0</v>
      </c>
      <c r="BH282" s="213">
        <f t="shared" si="1173"/>
        <v>0</v>
      </c>
      <c r="BI282" s="213">
        <f t="shared" si="1173"/>
        <v>0</v>
      </c>
      <c r="BJ282" s="213">
        <f t="shared" si="1173"/>
        <v>0</v>
      </c>
      <c r="BK282" s="215"/>
      <c r="BL282" s="215"/>
      <c r="BM282" s="215"/>
      <c r="BN282" s="215"/>
      <c r="BO282" s="215"/>
    </row>
    <row r="283" spans="1:67" ht="15.75" customHeight="1">
      <c r="A283" s="89" t="s">
        <v>513</v>
      </c>
      <c r="B283" s="90"/>
      <c r="C283" s="80" t="s">
        <v>94</v>
      </c>
      <c r="D283" s="81" t="s">
        <v>514</v>
      </c>
      <c r="E283" s="82"/>
      <c r="F283" s="82"/>
      <c r="G283" s="83" t="e">
        <f t="shared" si="1031"/>
        <v>#DIV/0!</v>
      </c>
      <c r="H283" s="83" t="e">
        <f t="shared" si="1032"/>
        <v>#DIV/0!</v>
      </c>
      <c r="I283" s="182">
        <v>97.94</v>
      </c>
      <c r="J283" s="182"/>
      <c r="K283" s="191"/>
      <c r="L283" s="86">
        <f t="shared" ref="L283:N283" si="1174">X283+AA283+AD283+AG283+AJ283+AM283+AP283+AS283+AV283+AY283+BB283+BE283</f>
        <v>0</v>
      </c>
      <c r="M283" s="86">
        <f t="shared" si="1174"/>
        <v>0</v>
      </c>
      <c r="N283" s="86">
        <f t="shared" si="1174"/>
        <v>0</v>
      </c>
      <c r="O283" s="62">
        <f t="shared" ref="O283:Q283" si="1175">IF(BH283=0,SUM(X283+AA283+AD283+AG283+AJ283+AM283+AP283+AS283+AV283+AY283+BB283+BE283),BH283)</f>
        <v>0</v>
      </c>
      <c r="P283" s="62">
        <f t="shared" si="1175"/>
        <v>0</v>
      </c>
      <c r="Q283" s="62">
        <f t="shared" si="1175"/>
        <v>0</v>
      </c>
      <c r="R283" s="86">
        <f t="shared" ref="R283:T283" si="1176">I283-L283</f>
        <v>97.94</v>
      </c>
      <c r="S283" s="86">
        <f t="shared" si="1176"/>
        <v>0</v>
      </c>
      <c r="T283" s="86">
        <f t="shared" si="1176"/>
        <v>0</v>
      </c>
      <c r="U283" s="87">
        <f t="shared" ref="U283:W283" si="1177">L283/I283</f>
        <v>0</v>
      </c>
      <c r="V283" s="87" t="e">
        <f t="shared" si="1177"/>
        <v>#DIV/0!</v>
      </c>
      <c r="W283" s="87" t="e">
        <f t="shared" si="1177"/>
        <v>#DIV/0!</v>
      </c>
      <c r="X283" s="137"/>
      <c r="Y283" s="137"/>
      <c r="Z283" s="137"/>
      <c r="AA283" s="137"/>
      <c r="AB283" s="137"/>
      <c r="AC283" s="137"/>
      <c r="AD283" s="137"/>
      <c r="AE283" s="137"/>
      <c r="AF283" s="137"/>
      <c r="AG283" s="137"/>
      <c r="AH283" s="137"/>
      <c r="AI283" s="137"/>
      <c r="AJ283" s="137"/>
      <c r="AK283" s="137"/>
      <c r="AL283" s="137"/>
      <c r="AM283" s="137"/>
      <c r="AN283" s="137"/>
      <c r="AO283" s="137"/>
      <c r="AP283" s="137"/>
      <c r="AQ283" s="137"/>
      <c r="AR283" s="137"/>
      <c r="AS283" s="137"/>
      <c r="AT283" s="137"/>
      <c r="AU283" s="137"/>
      <c r="AV283" s="137"/>
      <c r="AW283" s="137"/>
      <c r="AX283" s="137"/>
      <c r="AY283" s="137"/>
      <c r="AZ283" s="137"/>
      <c r="BA283" s="137"/>
      <c r="BB283" s="137"/>
      <c r="BC283" s="137"/>
      <c r="BD283" s="137"/>
      <c r="BE283" s="137"/>
      <c r="BF283" s="137"/>
      <c r="BG283" s="137"/>
      <c r="BH283" s="137"/>
      <c r="BI283" s="137"/>
      <c r="BJ283" s="137"/>
      <c r="BK283" s="88"/>
      <c r="BL283" s="88"/>
      <c r="BM283" s="88"/>
      <c r="BN283" s="88"/>
      <c r="BO283" s="88"/>
    </row>
    <row r="284" spans="1:67" ht="15.75" customHeight="1">
      <c r="A284" s="89"/>
      <c r="B284" s="90"/>
      <c r="C284" s="80" t="s">
        <v>428</v>
      </c>
      <c r="D284" s="92" t="s">
        <v>515</v>
      </c>
      <c r="E284" s="82"/>
      <c r="F284" s="82"/>
      <c r="G284" s="83" t="e">
        <f t="shared" si="1031"/>
        <v>#DIV/0!</v>
      </c>
      <c r="H284" s="83" t="e">
        <f t="shared" si="1032"/>
        <v>#DIV/0!</v>
      </c>
      <c r="I284" s="182"/>
      <c r="J284" s="182"/>
      <c r="K284" s="191"/>
      <c r="L284" s="86">
        <f t="shared" ref="L284:N284" si="1178">X284+AA284+AD284+AG284+AJ284+AM284+AP284+AS284+AV284+AY284+BB284+BE284</f>
        <v>0</v>
      </c>
      <c r="M284" s="86">
        <f t="shared" si="1178"/>
        <v>0</v>
      </c>
      <c r="N284" s="86">
        <f t="shared" si="1178"/>
        <v>0</v>
      </c>
      <c r="O284" s="62">
        <f t="shared" ref="O284:Q284" si="1179">IF(BH284=0,SUM(X284+AA284+AD284+AG284+AJ284+AM284+AP284+AS284+AV284+AY284+BB284+BE284),BH284)</f>
        <v>0</v>
      </c>
      <c r="P284" s="62">
        <f t="shared" si="1179"/>
        <v>0</v>
      </c>
      <c r="Q284" s="62">
        <f t="shared" si="1179"/>
        <v>0</v>
      </c>
      <c r="R284" s="86">
        <f t="shared" ref="R284:T284" si="1180">I284-L284</f>
        <v>0</v>
      </c>
      <c r="S284" s="86">
        <f t="shared" si="1180"/>
        <v>0</v>
      </c>
      <c r="T284" s="86">
        <f t="shared" si="1180"/>
        <v>0</v>
      </c>
      <c r="U284" s="87" t="e">
        <f t="shared" ref="U284:W284" si="1181">L284/I284</f>
        <v>#DIV/0!</v>
      </c>
      <c r="V284" s="87" t="e">
        <f t="shared" si="1181"/>
        <v>#DIV/0!</v>
      </c>
      <c r="W284" s="87" t="e">
        <f t="shared" si="1181"/>
        <v>#DIV/0!</v>
      </c>
      <c r="X284" s="137"/>
      <c r="Y284" s="137"/>
      <c r="Z284" s="137"/>
      <c r="AA284" s="137"/>
      <c r="AB284" s="137"/>
      <c r="AC284" s="137"/>
      <c r="AD284" s="137"/>
      <c r="AE284" s="137"/>
      <c r="AF284" s="137"/>
      <c r="AG284" s="137"/>
      <c r="AH284" s="137"/>
      <c r="AI284" s="137"/>
      <c r="AJ284" s="137"/>
      <c r="AK284" s="137"/>
      <c r="AL284" s="137"/>
      <c r="AM284" s="137"/>
      <c r="AN284" s="137"/>
      <c r="AO284" s="137"/>
      <c r="AP284" s="137"/>
      <c r="AQ284" s="137"/>
      <c r="AR284" s="137"/>
      <c r="AS284" s="137"/>
      <c r="AT284" s="137"/>
      <c r="AU284" s="137"/>
      <c r="AV284" s="137"/>
      <c r="AW284" s="137"/>
      <c r="AX284" s="137"/>
      <c r="AY284" s="137"/>
      <c r="AZ284" s="137"/>
      <c r="BA284" s="137"/>
      <c r="BB284" s="137"/>
      <c r="BC284" s="137"/>
      <c r="BD284" s="137"/>
      <c r="BE284" s="137"/>
      <c r="BF284" s="137"/>
      <c r="BG284" s="137"/>
      <c r="BH284" s="137"/>
      <c r="BI284" s="137"/>
      <c r="BJ284" s="137"/>
      <c r="BK284" s="88"/>
      <c r="BL284" s="88"/>
      <c r="BM284" s="88"/>
      <c r="BN284" s="88"/>
      <c r="BO284" s="88"/>
    </row>
    <row r="285" spans="1:67" ht="36" customHeight="1">
      <c r="A285" s="89" t="s">
        <v>516</v>
      </c>
      <c r="B285" s="90"/>
      <c r="C285" s="80" t="s">
        <v>89</v>
      </c>
      <c r="D285" s="235" t="s">
        <v>517</v>
      </c>
      <c r="E285" s="82"/>
      <c r="F285" s="82"/>
      <c r="G285" s="83" t="e">
        <f t="shared" si="1031"/>
        <v>#DIV/0!</v>
      </c>
      <c r="H285" s="83" t="e">
        <f t="shared" si="1032"/>
        <v>#DIV/0!</v>
      </c>
      <c r="I285" s="93">
        <v>5000</v>
      </c>
      <c r="J285" s="182"/>
      <c r="K285" s="239"/>
      <c r="L285" s="86">
        <f t="shared" ref="L285:N285" si="1182">X285+AA285+AD285+AG285+AJ285+AM285+AP285+AS285+AV285+AY285+BB285+BE285</f>
        <v>3402.61</v>
      </c>
      <c r="M285" s="86">
        <f t="shared" si="1182"/>
        <v>0</v>
      </c>
      <c r="N285" s="86">
        <f t="shared" si="1182"/>
        <v>0</v>
      </c>
      <c r="O285" s="62">
        <f t="shared" ref="O285:Q285" si="1183">IF(BH285=0,SUM(X285+AA285+AD285+AG285+AJ285+AM285+AP285+AS285+AV285+AY285+BB285+BE285),BH285)</f>
        <v>3402.61</v>
      </c>
      <c r="P285" s="62">
        <f t="shared" si="1183"/>
        <v>0</v>
      </c>
      <c r="Q285" s="62">
        <f t="shared" si="1183"/>
        <v>0</v>
      </c>
      <c r="R285" s="86">
        <f t="shared" ref="R285:T285" si="1184">I285-L285</f>
        <v>1597.3899999999999</v>
      </c>
      <c r="S285" s="86">
        <f t="shared" si="1184"/>
        <v>0</v>
      </c>
      <c r="T285" s="86">
        <f t="shared" si="1184"/>
        <v>0</v>
      </c>
      <c r="U285" s="87">
        <f t="shared" ref="U285:W285" si="1185">L285/I285</f>
        <v>0.68052200000000007</v>
      </c>
      <c r="V285" s="87" t="e">
        <f t="shared" si="1185"/>
        <v>#DIV/0!</v>
      </c>
      <c r="W285" s="87" t="e">
        <f t="shared" si="1185"/>
        <v>#DIV/0!</v>
      </c>
      <c r="X285" s="137">
        <v>0</v>
      </c>
      <c r="Y285" s="137"/>
      <c r="Z285" s="137"/>
      <c r="AA285" s="137">
        <f>84.93+67.68+67.68</f>
        <v>220.29000000000002</v>
      </c>
      <c r="AB285" s="137"/>
      <c r="AC285" s="137"/>
      <c r="AD285" s="137">
        <f>84.93+84.93</f>
        <v>169.86</v>
      </c>
      <c r="AE285" s="137"/>
      <c r="AF285" s="137"/>
      <c r="AG285" s="137">
        <f>3012.46</f>
        <v>3012.46</v>
      </c>
      <c r="AH285" s="137"/>
      <c r="AI285" s="137"/>
      <c r="AJ285" s="137"/>
      <c r="AK285" s="137"/>
      <c r="AL285" s="137"/>
      <c r="AM285" s="137"/>
      <c r="AN285" s="137"/>
      <c r="AO285" s="137"/>
      <c r="AP285" s="137"/>
      <c r="AQ285" s="137"/>
      <c r="AR285" s="137"/>
      <c r="AS285" s="137"/>
      <c r="AT285" s="137"/>
      <c r="AU285" s="137"/>
      <c r="AV285" s="137"/>
      <c r="AW285" s="137"/>
      <c r="AX285" s="137"/>
      <c r="AY285" s="137"/>
      <c r="AZ285" s="137"/>
      <c r="BA285" s="137"/>
      <c r="BB285" s="137"/>
      <c r="BC285" s="137"/>
      <c r="BD285" s="137"/>
      <c r="BE285" s="137"/>
      <c r="BF285" s="137"/>
      <c r="BG285" s="137"/>
      <c r="BH285" s="137"/>
      <c r="BI285" s="137"/>
      <c r="BJ285" s="137"/>
      <c r="BK285" s="88"/>
      <c r="BL285" s="88"/>
      <c r="BM285" s="88"/>
      <c r="BN285" s="88"/>
      <c r="BO285" s="88"/>
    </row>
    <row r="286" spans="1:67" ht="15.75" customHeight="1">
      <c r="A286" s="89" t="s">
        <v>518</v>
      </c>
      <c r="B286" s="90"/>
      <c r="C286" s="80" t="s">
        <v>94</v>
      </c>
      <c r="D286" s="81" t="s">
        <v>514</v>
      </c>
      <c r="E286" s="82"/>
      <c r="F286" s="82"/>
      <c r="G286" s="83" t="e">
        <f t="shared" si="1031"/>
        <v>#DIV/0!</v>
      </c>
      <c r="H286" s="83" t="e">
        <f t="shared" si="1032"/>
        <v>#DIV/0!</v>
      </c>
      <c r="I286" s="182">
        <v>391.76</v>
      </c>
      <c r="J286" s="182"/>
      <c r="K286" s="239"/>
      <c r="L286" s="86">
        <f t="shared" ref="L286:N286" si="1186">X286+AA286+AD286+AG286+AJ286+AM286+AP286+AS286+AV286+AY286+BB286+BE286</f>
        <v>0</v>
      </c>
      <c r="M286" s="86">
        <f t="shared" si="1186"/>
        <v>0</v>
      </c>
      <c r="N286" s="86">
        <f t="shared" si="1186"/>
        <v>0</v>
      </c>
      <c r="O286" s="62">
        <f t="shared" ref="O286:Q286" si="1187">IF(BH286=0,SUM(X286+AA286+AD286+AG286+AJ286+AM286+AP286+AS286+AV286+AY286+BB286+BE286),BH286)</f>
        <v>0</v>
      </c>
      <c r="P286" s="62">
        <f t="shared" si="1187"/>
        <v>0</v>
      </c>
      <c r="Q286" s="62">
        <f t="shared" si="1187"/>
        <v>0</v>
      </c>
      <c r="R286" s="86">
        <f t="shared" ref="R286:T286" si="1188">I286-L286</f>
        <v>391.76</v>
      </c>
      <c r="S286" s="86">
        <f t="shared" si="1188"/>
        <v>0</v>
      </c>
      <c r="T286" s="86">
        <f t="shared" si="1188"/>
        <v>0</v>
      </c>
      <c r="U286" s="87">
        <f t="shared" ref="U286:W286" si="1189">L286/I286</f>
        <v>0</v>
      </c>
      <c r="V286" s="87" t="e">
        <f t="shared" si="1189"/>
        <v>#DIV/0!</v>
      </c>
      <c r="W286" s="87" t="e">
        <f t="shared" si="1189"/>
        <v>#DIV/0!</v>
      </c>
      <c r="X286" s="137"/>
      <c r="Y286" s="137"/>
      <c r="Z286" s="137"/>
      <c r="AA286" s="137"/>
      <c r="AB286" s="137"/>
      <c r="AC286" s="137"/>
      <c r="AD286" s="137"/>
      <c r="AE286" s="137"/>
      <c r="AF286" s="137"/>
      <c r="AG286" s="137"/>
      <c r="AH286" s="137"/>
      <c r="AI286" s="137"/>
      <c r="AJ286" s="137"/>
      <c r="AK286" s="137"/>
      <c r="AL286" s="137"/>
      <c r="AM286" s="137"/>
      <c r="AN286" s="137"/>
      <c r="AO286" s="137"/>
      <c r="AP286" s="137"/>
      <c r="AQ286" s="137"/>
      <c r="AR286" s="137"/>
      <c r="AS286" s="137"/>
      <c r="AT286" s="137"/>
      <c r="AU286" s="137"/>
      <c r="AV286" s="137"/>
      <c r="AW286" s="137"/>
      <c r="AX286" s="137"/>
      <c r="AY286" s="137"/>
      <c r="AZ286" s="137"/>
      <c r="BA286" s="137"/>
      <c r="BB286" s="137"/>
      <c r="BC286" s="137"/>
      <c r="BD286" s="137"/>
      <c r="BE286" s="137"/>
      <c r="BF286" s="137"/>
      <c r="BG286" s="137"/>
      <c r="BH286" s="137"/>
      <c r="BI286" s="137"/>
      <c r="BJ286" s="137"/>
      <c r="BK286" s="88"/>
      <c r="BL286" s="88"/>
      <c r="BM286" s="88"/>
      <c r="BN286" s="88"/>
      <c r="BO286" s="88"/>
    </row>
    <row r="287" spans="1:67" ht="18.75">
      <c r="A287" s="240"/>
      <c r="B287" s="240"/>
      <c r="C287" s="241"/>
      <c r="D287" s="242" t="s">
        <v>519</v>
      </c>
      <c r="E287" s="243">
        <f t="shared" ref="E287:F287" si="1190">SUM(E288:E290)</f>
        <v>0</v>
      </c>
      <c r="F287" s="243">
        <f t="shared" si="1190"/>
        <v>0</v>
      </c>
      <c r="G287" s="206" t="e">
        <f t="shared" si="1031"/>
        <v>#DIV/0!</v>
      </c>
      <c r="H287" s="206" t="e">
        <f t="shared" si="1032"/>
        <v>#DIV/0!</v>
      </c>
      <c r="I287" s="243">
        <f t="shared" ref="I287:N287" si="1191">SUM(I288:I290)</f>
        <v>0</v>
      </c>
      <c r="J287" s="243">
        <f t="shared" si="1191"/>
        <v>0</v>
      </c>
      <c r="K287" s="243">
        <f t="shared" si="1191"/>
        <v>0</v>
      </c>
      <c r="L287" s="243">
        <f t="shared" si="1191"/>
        <v>0</v>
      </c>
      <c r="M287" s="243">
        <f t="shared" si="1191"/>
        <v>0</v>
      </c>
      <c r="N287" s="243">
        <f t="shared" si="1191"/>
        <v>0</v>
      </c>
      <c r="O287" s="216">
        <f t="shared" ref="O287:Q287" si="1192">IF(BH287=0,SUM(X287+AA287+AD287+AG287+AJ287+AM287+AP287+AS287+AV287+AY287+BB287+BE287),BH287)</f>
        <v>0</v>
      </c>
      <c r="P287" s="216">
        <f t="shared" si="1192"/>
        <v>0</v>
      </c>
      <c r="Q287" s="216">
        <f t="shared" si="1192"/>
        <v>0</v>
      </c>
      <c r="R287" s="243">
        <f t="shared" ref="R287:T287" si="1193">SUM(R288:R290)</f>
        <v>0</v>
      </c>
      <c r="S287" s="243">
        <f t="shared" si="1193"/>
        <v>0</v>
      </c>
      <c r="T287" s="243">
        <f t="shared" si="1193"/>
        <v>0</v>
      </c>
      <c r="U287" s="244" t="e">
        <f t="shared" ref="U287:W287" si="1194">L287/I287</f>
        <v>#DIV/0!</v>
      </c>
      <c r="V287" s="244" t="e">
        <f t="shared" si="1194"/>
        <v>#DIV/0!</v>
      </c>
      <c r="W287" s="244" t="e">
        <f t="shared" si="1194"/>
        <v>#DIV/0!</v>
      </c>
      <c r="X287" s="243">
        <f t="shared" ref="X287:BJ287" si="1195">SUM(X288:X290)</f>
        <v>0</v>
      </c>
      <c r="Y287" s="243">
        <f t="shared" si="1195"/>
        <v>0</v>
      </c>
      <c r="Z287" s="243">
        <f t="shared" si="1195"/>
        <v>0</v>
      </c>
      <c r="AA287" s="243">
        <f t="shared" si="1195"/>
        <v>0</v>
      </c>
      <c r="AB287" s="243">
        <f t="shared" si="1195"/>
        <v>0</v>
      </c>
      <c r="AC287" s="243">
        <f t="shared" si="1195"/>
        <v>0</v>
      </c>
      <c r="AD287" s="243">
        <f t="shared" si="1195"/>
        <v>0</v>
      </c>
      <c r="AE287" s="243">
        <f t="shared" si="1195"/>
        <v>0</v>
      </c>
      <c r="AF287" s="243">
        <f t="shared" si="1195"/>
        <v>0</v>
      </c>
      <c r="AG287" s="243">
        <f t="shared" si="1195"/>
        <v>0</v>
      </c>
      <c r="AH287" s="243">
        <f t="shared" si="1195"/>
        <v>0</v>
      </c>
      <c r="AI287" s="243">
        <f t="shared" si="1195"/>
        <v>0</v>
      </c>
      <c r="AJ287" s="243">
        <f t="shared" si="1195"/>
        <v>0</v>
      </c>
      <c r="AK287" s="243">
        <f t="shared" si="1195"/>
        <v>0</v>
      </c>
      <c r="AL287" s="243">
        <f t="shared" si="1195"/>
        <v>0</v>
      </c>
      <c r="AM287" s="243">
        <f t="shared" si="1195"/>
        <v>0</v>
      </c>
      <c r="AN287" s="243">
        <f t="shared" si="1195"/>
        <v>0</v>
      </c>
      <c r="AO287" s="243">
        <f t="shared" si="1195"/>
        <v>0</v>
      </c>
      <c r="AP287" s="243">
        <f t="shared" si="1195"/>
        <v>0</v>
      </c>
      <c r="AQ287" s="243">
        <f t="shared" si="1195"/>
        <v>0</v>
      </c>
      <c r="AR287" s="243">
        <f t="shared" si="1195"/>
        <v>0</v>
      </c>
      <c r="AS287" s="243">
        <f t="shared" si="1195"/>
        <v>0</v>
      </c>
      <c r="AT287" s="243">
        <f t="shared" si="1195"/>
        <v>0</v>
      </c>
      <c r="AU287" s="243">
        <f t="shared" si="1195"/>
        <v>0</v>
      </c>
      <c r="AV287" s="243">
        <f t="shared" si="1195"/>
        <v>0</v>
      </c>
      <c r="AW287" s="243">
        <f t="shared" si="1195"/>
        <v>0</v>
      </c>
      <c r="AX287" s="243">
        <f t="shared" si="1195"/>
        <v>0</v>
      </c>
      <c r="AY287" s="243">
        <f t="shared" si="1195"/>
        <v>0</v>
      </c>
      <c r="AZ287" s="243">
        <f t="shared" si="1195"/>
        <v>0</v>
      </c>
      <c r="BA287" s="243">
        <f t="shared" si="1195"/>
        <v>0</v>
      </c>
      <c r="BB287" s="243">
        <f t="shared" si="1195"/>
        <v>0</v>
      </c>
      <c r="BC287" s="243">
        <f t="shared" si="1195"/>
        <v>0</v>
      </c>
      <c r="BD287" s="243">
        <f t="shared" si="1195"/>
        <v>0</v>
      </c>
      <c r="BE287" s="243">
        <f t="shared" si="1195"/>
        <v>0</v>
      </c>
      <c r="BF287" s="243">
        <f t="shared" si="1195"/>
        <v>0</v>
      </c>
      <c r="BG287" s="243">
        <f t="shared" si="1195"/>
        <v>0</v>
      </c>
      <c r="BH287" s="243">
        <f t="shared" si="1195"/>
        <v>0</v>
      </c>
      <c r="BI287" s="243">
        <f t="shared" si="1195"/>
        <v>0</v>
      </c>
      <c r="BJ287" s="243">
        <f t="shared" si="1195"/>
        <v>0</v>
      </c>
      <c r="BK287" s="215"/>
      <c r="BL287" s="215"/>
      <c r="BM287" s="215"/>
      <c r="BN287" s="215"/>
      <c r="BO287" s="215"/>
    </row>
    <row r="288" spans="1:67" ht="15.75" customHeight="1">
      <c r="A288" s="89"/>
      <c r="B288" s="90"/>
      <c r="C288" s="80" t="s">
        <v>173</v>
      </c>
      <c r="D288" s="81" t="s">
        <v>520</v>
      </c>
      <c r="E288" s="82"/>
      <c r="F288" s="82"/>
      <c r="G288" s="83" t="e">
        <f t="shared" si="1031"/>
        <v>#DIV/0!</v>
      </c>
      <c r="H288" s="83" t="e">
        <f t="shared" si="1032"/>
        <v>#DIV/0!</v>
      </c>
      <c r="I288" s="182"/>
      <c r="J288" s="182"/>
      <c r="K288" s="239"/>
      <c r="L288" s="86">
        <f t="shared" ref="L288:N288" si="1196">X288+AA288+AD288+AG288+AJ288+AM288+AP288+AS288+AV288+AY288+BB288+BE288</f>
        <v>0</v>
      </c>
      <c r="M288" s="86">
        <f t="shared" si="1196"/>
        <v>0</v>
      </c>
      <c r="N288" s="86">
        <f t="shared" si="1196"/>
        <v>0</v>
      </c>
      <c r="O288" s="62">
        <f t="shared" ref="O288:Q288" si="1197">IF(BH288=0,SUM(X288+AA288+AD288+AG288+AJ288+AM288+AP288+AS288+AV288+AY288+BB288+BE288),BH288)</f>
        <v>0</v>
      </c>
      <c r="P288" s="62">
        <f t="shared" si="1197"/>
        <v>0</v>
      </c>
      <c r="Q288" s="62">
        <f t="shared" si="1197"/>
        <v>0</v>
      </c>
      <c r="R288" s="86">
        <f t="shared" ref="R288:T288" si="1198">I288-L288</f>
        <v>0</v>
      </c>
      <c r="S288" s="86">
        <f t="shared" si="1198"/>
        <v>0</v>
      </c>
      <c r="T288" s="86">
        <f t="shared" si="1198"/>
        <v>0</v>
      </c>
      <c r="U288" s="87" t="e">
        <f t="shared" ref="U288:W288" si="1199">L288/I288</f>
        <v>#DIV/0!</v>
      </c>
      <c r="V288" s="87" t="e">
        <f t="shared" si="1199"/>
        <v>#DIV/0!</v>
      </c>
      <c r="W288" s="87" t="e">
        <f t="shared" si="1199"/>
        <v>#DIV/0!</v>
      </c>
      <c r="X288" s="137"/>
      <c r="Y288" s="137"/>
      <c r="Z288" s="137"/>
      <c r="AA288" s="137"/>
      <c r="AB288" s="137"/>
      <c r="AC288" s="137"/>
      <c r="AD288" s="137"/>
      <c r="AE288" s="137"/>
      <c r="AF288" s="137"/>
      <c r="AG288" s="137"/>
      <c r="AH288" s="137"/>
      <c r="AI288" s="137"/>
      <c r="AJ288" s="137"/>
      <c r="AK288" s="137"/>
      <c r="AL288" s="137"/>
      <c r="AM288" s="137"/>
      <c r="AN288" s="137"/>
      <c r="AO288" s="137"/>
      <c r="AP288" s="137"/>
      <c r="AQ288" s="137"/>
      <c r="AR288" s="137"/>
      <c r="AS288" s="137"/>
      <c r="AT288" s="137"/>
      <c r="AU288" s="137"/>
      <c r="AV288" s="137"/>
      <c r="AW288" s="137"/>
      <c r="AX288" s="137"/>
      <c r="AY288" s="137"/>
      <c r="AZ288" s="137"/>
      <c r="BA288" s="137"/>
      <c r="BB288" s="137"/>
      <c r="BC288" s="137"/>
      <c r="BD288" s="137"/>
      <c r="BE288" s="137"/>
      <c r="BF288" s="137"/>
      <c r="BG288" s="137"/>
      <c r="BH288" s="137"/>
      <c r="BI288" s="137"/>
      <c r="BJ288" s="137"/>
      <c r="BK288" s="88"/>
      <c r="BL288" s="88"/>
      <c r="BM288" s="88"/>
      <c r="BN288" s="88"/>
      <c r="BO288" s="88"/>
    </row>
    <row r="289" spans="1:67" ht="15.75" customHeight="1">
      <c r="A289" s="89"/>
      <c r="B289" s="90"/>
      <c r="C289" s="80" t="s">
        <v>263</v>
      </c>
      <c r="D289" s="81" t="s">
        <v>582</v>
      </c>
      <c r="E289" s="82"/>
      <c r="F289" s="82"/>
      <c r="G289" s="83" t="e">
        <f t="shared" si="1031"/>
        <v>#DIV/0!</v>
      </c>
      <c r="H289" s="83" t="e">
        <f t="shared" si="1032"/>
        <v>#DIV/0!</v>
      </c>
      <c r="I289" s="182"/>
      <c r="J289" s="182"/>
      <c r="K289" s="239"/>
      <c r="L289" s="86">
        <f t="shared" ref="L289:N289" si="1200">X289+AA289+AD289+AG289+AJ289+AM289+AP289+AS289+AV289+AY289+BB289+BE289</f>
        <v>0</v>
      </c>
      <c r="M289" s="86">
        <f t="shared" si="1200"/>
        <v>0</v>
      </c>
      <c r="N289" s="86">
        <f t="shared" si="1200"/>
        <v>0</v>
      </c>
      <c r="O289" s="62">
        <f t="shared" ref="O289:Q289" si="1201">IF(BH289=0,SUM(X289+AA289+AD289+AG289+AJ289+AM289+AP289+AS289+AV289+AY289+BB289+BE289),BH289)</f>
        <v>0</v>
      </c>
      <c r="P289" s="62">
        <f t="shared" si="1201"/>
        <v>0</v>
      </c>
      <c r="Q289" s="62">
        <f t="shared" si="1201"/>
        <v>0</v>
      </c>
      <c r="R289" s="86">
        <f t="shared" ref="R289:T289" si="1202">I289-L289</f>
        <v>0</v>
      </c>
      <c r="S289" s="86">
        <f t="shared" si="1202"/>
        <v>0</v>
      </c>
      <c r="T289" s="86">
        <f t="shared" si="1202"/>
        <v>0</v>
      </c>
      <c r="U289" s="87" t="e">
        <f t="shared" ref="U289:W289" si="1203">L289/I289</f>
        <v>#DIV/0!</v>
      </c>
      <c r="V289" s="87" t="e">
        <f t="shared" si="1203"/>
        <v>#DIV/0!</v>
      </c>
      <c r="W289" s="87" t="e">
        <f t="shared" si="1203"/>
        <v>#DIV/0!</v>
      </c>
      <c r="X289" s="137"/>
      <c r="Y289" s="137"/>
      <c r="Z289" s="137"/>
      <c r="AA289" s="137"/>
      <c r="AB289" s="137"/>
      <c r="AC289" s="137"/>
      <c r="AD289" s="137"/>
      <c r="AE289" s="137"/>
      <c r="AF289" s="137"/>
      <c r="AG289" s="137"/>
      <c r="AH289" s="137"/>
      <c r="AI289" s="137"/>
      <c r="AJ289" s="137"/>
      <c r="AK289" s="137"/>
      <c r="AL289" s="137"/>
      <c r="AM289" s="137"/>
      <c r="AN289" s="137"/>
      <c r="AO289" s="137"/>
      <c r="AP289" s="137"/>
      <c r="AQ289" s="137"/>
      <c r="AR289" s="137"/>
      <c r="AS289" s="137"/>
      <c r="AT289" s="137"/>
      <c r="AU289" s="137"/>
      <c r="AV289" s="137"/>
      <c r="AW289" s="137"/>
      <c r="AX289" s="137"/>
      <c r="AY289" s="137"/>
      <c r="AZ289" s="137"/>
      <c r="BA289" s="137"/>
      <c r="BB289" s="137"/>
      <c r="BC289" s="137"/>
      <c r="BD289" s="137"/>
      <c r="BE289" s="137"/>
      <c r="BF289" s="137"/>
      <c r="BG289" s="137"/>
      <c r="BH289" s="137"/>
      <c r="BI289" s="137"/>
      <c r="BJ289" s="137"/>
      <c r="BK289" s="88"/>
      <c r="BL289" s="88"/>
      <c r="BM289" s="88"/>
      <c r="BN289" s="88"/>
      <c r="BO289" s="88"/>
    </row>
    <row r="290" spans="1:67" ht="15.75" customHeight="1">
      <c r="A290" s="89"/>
      <c r="B290" s="90"/>
      <c r="C290" s="80" t="s">
        <v>301</v>
      </c>
      <c r="D290" s="81" t="s">
        <v>521</v>
      </c>
      <c r="E290" s="82"/>
      <c r="F290" s="82"/>
      <c r="G290" s="83" t="e">
        <f t="shared" si="1031"/>
        <v>#DIV/0!</v>
      </c>
      <c r="H290" s="83" t="e">
        <f t="shared" si="1032"/>
        <v>#DIV/0!</v>
      </c>
      <c r="I290" s="182"/>
      <c r="J290" s="182"/>
      <c r="K290" s="245"/>
      <c r="L290" s="86">
        <f t="shared" ref="L290:N290" si="1204">X290+AA290+AD290+AG290+AJ290+AM290+AP290+AS290+AV290+AY290+BB290+BE290</f>
        <v>0</v>
      </c>
      <c r="M290" s="86">
        <f t="shared" si="1204"/>
        <v>0</v>
      </c>
      <c r="N290" s="86">
        <f t="shared" si="1204"/>
        <v>0</v>
      </c>
      <c r="O290" s="62">
        <f t="shared" ref="O290:Q290" si="1205">IF(BH290=0,SUM(X290+AA290+AD290+AG290+AJ290+AM290+AP290+AS290+AV290+AY290+BB290+BE290),BH290)</f>
        <v>0</v>
      </c>
      <c r="P290" s="62">
        <f t="shared" si="1205"/>
        <v>0</v>
      </c>
      <c r="Q290" s="62">
        <f t="shared" si="1205"/>
        <v>0</v>
      </c>
      <c r="R290" s="86">
        <f t="shared" ref="R290:T290" si="1206">I290-L290</f>
        <v>0</v>
      </c>
      <c r="S290" s="86">
        <f t="shared" si="1206"/>
        <v>0</v>
      </c>
      <c r="T290" s="86">
        <f t="shared" si="1206"/>
        <v>0</v>
      </c>
      <c r="U290" s="87" t="e">
        <f t="shared" ref="U290:W290" si="1207">L290/I290</f>
        <v>#DIV/0!</v>
      </c>
      <c r="V290" s="87" t="e">
        <f t="shared" si="1207"/>
        <v>#DIV/0!</v>
      </c>
      <c r="W290" s="87" t="e">
        <f t="shared" si="1207"/>
        <v>#DIV/0!</v>
      </c>
      <c r="X290" s="137"/>
      <c r="Y290" s="137"/>
      <c r="Z290" s="137"/>
      <c r="AA290" s="137"/>
      <c r="AB290" s="137"/>
      <c r="AC290" s="137"/>
      <c r="AD290" s="137"/>
      <c r="AE290" s="137"/>
      <c r="AF290" s="137"/>
      <c r="AG290" s="137"/>
      <c r="AH290" s="137"/>
      <c r="AI290" s="137"/>
      <c r="AJ290" s="137"/>
      <c r="AK290" s="137"/>
      <c r="AL290" s="137"/>
      <c r="AM290" s="137"/>
      <c r="AN290" s="137"/>
      <c r="AO290" s="137"/>
      <c r="AP290" s="137"/>
      <c r="AQ290" s="137"/>
      <c r="AR290" s="137"/>
      <c r="AS290" s="137"/>
      <c r="AT290" s="137"/>
      <c r="AU290" s="137"/>
      <c r="AV290" s="137"/>
      <c r="AW290" s="137"/>
      <c r="AX290" s="137"/>
      <c r="AY290" s="137"/>
      <c r="AZ290" s="137"/>
      <c r="BA290" s="137"/>
      <c r="BB290" s="137"/>
      <c r="BC290" s="137"/>
      <c r="BD290" s="137"/>
      <c r="BE290" s="137"/>
      <c r="BF290" s="137"/>
      <c r="BG290" s="137"/>
      <c r="BH290" s="137"/>
      <c r="BI290" s="137"/>
      <c r="BJ290" s="137"/>
      <c r="BK290" s="88"/>
      <c r="BL290" s="88"/>
      <c r="BM290" s="88"/>
      <c r="BN290" s="88"/>
      <c r="BO290" s="88"/>
    </row>
    <row r="291" spans="1:67" ht="15.75" customHeight="1">
      <c r="A291" s="148"/>
      <c r="B291" s="148"/>
      <c r="C291" s="246"/>
      <c r="D291" s="247"/>
      <c r="E291" s="247"/>
      <c r="F291" s="247"/>
      <c r="G291" s="248"/>
      <c r="H291" s="248"/>
      <c r="I291" s="248"/>
      <c r="J291" s="248"/>
      <c r="K291" s="248"/>
      <c r="L291" s="248"/>
      <c r="M291" s="248"/>
      <c r="N291" s="248"/>
      <c r="O291" s="249"/>
      <c r="P291" s="249"/>
      <c r="Q291" s="249"/>
      <c r="R291" s="248"/>
      <c r="S291" s="248"/>
      <c r="T291" s="248"/>
      <c r="U291" s="248"/>
      <c r="V291" s="250"/>
      <c r="W291" s="248"/>
      <c r="X291" s="248"/>
      <c r="Y291" s="248"/>
      <c r="Z291" s="248"/>
      <c r="AA291" s="248"/>
      <c r="AB291" s="248"/>
      <c r="AC291" s="248"/>
      <c r="AD291" s="248"/>
      <c r="AE291" s="248"/>
      <c r="AF291" s="248"/>
      <c r="AG291" s="248"/>
      <c r="AH291" s="248"/>
      <c r="AI291" s="248"/>
      <c r="AJ291" s="248"/>
      <c r="AK291" s="248"/>
      <c r="AL291" s="248"/>
      <c r="AM291" s="248"/>
      <c r="AN291" s="248"/>
      <c r="AO291" s="248"/>
      <c r="AP291" s="248"/>
      <c r="AQ291" s="248"/>
      <c r="AR291" s="248"/>
      <c r="AS291" s="248"/>
      <c r="AT291" s="248"/>
      <c r="AU291" s="248"/>
      <c r="AV291" s="248"/>
      <c r="AW291" s="248"/>
      <c r="AX291" s="248"/>
      <c r="AY291" s="248"/>
      <c r="AZ291" s="248"/>
      <c r="BA291" s="248"/>
      <c r="BB291" s="248"/>
      <c r="BC291" s="248"/>
      <c r="BD291" s="248"/>
      <c r="BE291" s="248"/>
      <c r="BF291" s="248"/>
      <c r="BG291" s="248"/>
      <c r="BH291" s="248"/>
      <c r="BI291" s="248"/>
      <c r="BJ291" s="248"/>
      <c r="BK291" s="251"/>
      <c r="BL291" s="251"/>
      <c r="BM291" s="251"/>
      <c r="BN291" s="251"/>
      <c r="BO291" s="251"/>
    </row>
    <row r="292" spans="1:67" ht="15.75" customHeight="1">
      <c r="A292" s="148"/>
      <c r="B292" s="148"/>
      <c r="C292" s="246"/>
      <c r="D292" s="252" t="s">
        <v>522</v>
      </c>
      <c r="E292" s="253" t="s">
        <v>77</v>
      </c>
      <c r="F292" s="253" t="s">
        <v>74</v>
      </c>
      <c r="G292" s="254" t="s">
        <v>523</v>
      </c>
      <c r="H292" s="45"/>
      <c r="I292" s="255" t="s">
        <v>77</v>
      </c>
      <c r="J292" s="255" t="s">
        <v>78</v>
      </c>
      <c r="K292" s="255" t="s">
        <v>74</v>
      </c>
      <c r="L292" s="255" t="s">
        <v>77</v>
      </c>
      <c r="M292" s="255" t="s">
        <v>78</v>
      </c>
      <c r="N292" s="255" t="s">
        <v>74</v>
      </c>
      <c r="O292" s="255" t="s">
        <v>77</v>
      </c>
      <c r="P292" s="255" t="s">
        <v>78</v>
      </c>
      <c r="Q292" s="255" t="s">
        <v>74</v>
      </c>
      <c r="R292" s="256"/>
      <c r="S292" s="256"/>
      <c r="T292" s="256"/>
      <c r="U292" s="256"/>
      <c r="V292" s="257"/>
      <c r="W292" s="256"/>
      <c r="X292" s="254" t="s">
        <v>524</v>
      </c>
      <c r="Y292" s="44"/>
      <c r="Z292" s="44"/>
      <c r="AA292" s="44"/>
      <c r="AB292" s="44"/>
      <c r="AC292" s="45"/>
      <c r="AD292" s="258" t="s">
        <v>525</v>
      </c>
      <c r="AE292" s="44"/>
      <c r="AF292" s="44"/>
      <c r="AG292" s="44"/>
      <c r="AH292" s="44"/>
      <c r="AI292" s="45"/>
      <c r="AJ292" s="258" t="s">
        <v>526</v>
      </c>
      <c r="AK292" s="44"/>
      <c r="AL292" s="44"/>
      <c r="AM292" s="44"/>
      <c r="AN292" s="44"/>
      <c r="AO292" s="45"/>
      <c r="AP292" s="258" t="s">
        <v>527</v>
      </c>
      <c r="AQ292" s="44"/>
      <c r="AR292" s="44"/>
      <c r="AS292" s="44"/>
      <c r="AT292" s="44"/>
      <c r="AU292" s="45"/>
      <c r="AV292" s="258" t="s">
        <v>528</v>
      </c>
      <c r="AW292" s="44"/>
      <c r="AX292" s="44"/>
      <c r="AY292" s="44"/>
      <c r="AZ292" s="44"/>
      <c r="BA292" s="45"/>
      <c r="BB292" s="248"/>
      <c r="BC292" s="248"/>
      <c r="BD292" s="248"/>
      <c r="BE292" s="248"/>
      <c r="BF292" s="248"/>
      <c r="BG292" s="248"/>
      <c r="BH292" s="248"/>
      <c r="BI292" s="248"/>
      <c r="BJ292" s="248"/>
    </row>
    <row r="293" spans="1:67" ht="15.75" customHeight="1">
      <c r="A293" s="259"/>
      <c r="B293" s="260"/>
      <c r="C293" s="260"/>
      <c r="D293" s="261" t="s">
        <v>529</v>
      </c>
      <c r="E293" s="262">
        <f t="shared" ref="E293:F293" si="1208">E4+E16+E104+E141+E220</f>
        <v>0</v>
      </c>
      <c r="F293" s="262" t="e">
        <f t="shared" si="1208"/>
        <v>#REF!</v>
      </c>
      <c r="G293" s="263" t="s">
        <v>77</v>
      </c>
      <c r="H293" s="263" t="s">
        <v>74</v>
      </c>
      <c r="I293" s="62"/>
      <c r="J293" s="261"/>
      <c r="K293" s="62"/>
      <c r="L293" s="62"/>
      <c r="M293" s="62"/>
      <c r="N293" s="62"/>
      <c r="O293" s="62"/>
      <c r="P293" s="62"/>
      <c r="Q293" s="62"/>
      <c r="R293" s="256"/>
      <c r="S293" s="256"/>
      <c r="T293" s="256"/>
      <c r="U293" s="256"/>
      <c r="V293" s="257"/>
      <c r="W293" s="256"/>
      <c r="X293" s="264" t="s">
        <v>58</v>
      </c>
      <c r="Y293" s="265" t="s">
        <v>59</v>
      </c>
      <c r="Z293" s="265" t="s">
        <v>60</v>
      </c>
      <c r="AA293" s="266" t="s">
        <v>61</v>
      </c>
      <c r="AB293" s="264" t="s">
        <v>62</v>
      </c>
      <c r="AC293" s="264" t="s">
        <v>63</v>
      </c>
      <c r="AD293" s="264" t="s">
        <v>58</v>
      </c>
      <c r="AE293" s="265" t="s">
        <v>59</v>
      </c>
      <c r="AF293" s="265" t="s">
        <v>60</v>
      </c>
      <c r="AG293" s="266" t="s">
        <v>61</v>
      </c>
      <c r="AH293" s="264" t="s">
        <v>62</v>
      </c>
      <c r="AI293" s="264" t="s">
        <v>63</v>
      </c>
      <c r="AJ293" s="264" t="s">
        <v>58</v>
      </c>
      <c r="AK293" s="265" t="s">
        <v>59</v>
      </c>
      <c r="AL293" s="265" t="s">
        <v>60</v>
      </c>
      <c r="AM293" s="266" t="s">
        <v>61</v>
      </c>
      <c r="AN293" s="264" t="s">
        <v>62</v>
      </c>
      <c r="AO293" s="264" t="s">
        <v>63</v>
      </c>
      <c r="AP293" s="264" t="s">
        <v>58</v>
      </c>
      <c r="AQ293" s="265" t="s">
        <v>59</v>
      </c>
      <c r="AR293" s="265" t="s">
        <v>60</v>
      </c>
      <c r="AS293" s="266" t="s">
        <v>61</v>
      </c>
      <c r="AT293" s="264" t="s">
        <v>62</v>
      </c>
      <c r="AU293" s="264" t="s">
        <v>63</v>
      </c>
      <c r="AV293" s="264" t="s">
        <v>58</v>
      </c>
      <c r="AW293" s="265" t="s">
        <v>59</v>
      </c>
      <c r="AX293" s="265" t="s">
        <v>60</v>
      </c>
      <c r="AY293" s="266" t="s">
        <v>61</v>
      </c>
      <c r="AZ293" s="264" t="s">
        <v>62</v>
      </c>
      <c r="BA293" s="264" t="s">
        <v>63</v>
      </c>
      <c r="BB293" s="248"/>
      <c r="BC293" s="248"/>
      <c r="BD293" s="248"/>
      <c r="BE293" s="248"/>
      <c r="BF293" s="248"/>
      <c r="BG293" s="248"/>
      <c r="BH293" s="248"/>
      <c r="BI293" s="248"/>
      <c r="BJ293" s="248"/>
    </row>
    <row r="294" spans="1:67" ht="15.75" customHeight="1">
      <c r="A294" s="267"/>
      <c r="B294" s="268"/>
      <c r="C294" s="268"/>
      <c r="D294" s="261" t="s">
        <v>530</v>
      </c>
      <c r="E294" s="269">
        <f>SUM(X294:AC294)+SUM(X296:AC296)</f>
        <v>0</v>
      </c>
      <c r="F294" s="269">
        <f>SUM(AD294:BA294)+SUM(AD296:BA296)</f>
        <v>0</v>
      </c>
      <c r="G294" s="70" t="e">
        <f t="shared" ref="G294:H294" si="1209">E294/E293</f>
        <v>#DIV/0!</v>
      </c>
      <c r="H294" s="70" t="e">
        <f t="shared" si="1209"/>
        <v>#REF!</v>
      </c>
      <c r="I294" s="62"/>
      <c r="J294" s="62"/>
      <c r="K294" s="62"/>
      <c r="L294" s="62"/>
      <c r="M294" s="62"/>
      <c r="N294" s="62"/>
      <c r="O294" s="62"/>
      <c r="P294" s="62"/>
      <c r="Q294" s="62"/>
      <c r="R294" s="256"/>
      <c r="S294" s="256"/>
      <c r="T294" s="256"/>
      <c r="U294" s="256"/>
      <c r="V294" s="257"/>
      <c r="W294" s="256"/>
      <c r="X294" s="173">
        <v>0</v>
      </c>
      <c r="Y294" s="270">
        <v>0</v>
      </c>
      <c r="Z294" s="270">
        <v>0</v>
      </c>
      <c r="AA294" s="271">
        <v>0</v>
      </c>
      <c r="AB294" s="271">
        <v>0</v>
      </c>
      <c r="AC294" s="271">
        <v>0</v>
      </c>
      <c r="AD294" s="173">
        <v>0</v>
      </c>
      <c r="AE294" s="270">
        <v>0</v>
      </c>
      <c r="AF294" s="270">
        <v>0</v>
      </c>
      <c r="AG294" s="271">
        <v>0</v>
      </c>
      <c r="AH294" s="271">
        <v>0</v>
      </c>
      <c r="AI294" s="271">
        <v>0</v>
      </c>
      <c r="AJ294" s="173">
        <v>0</v>
      </c>
      <c r="AK294" s="270">
        <v>0</v>
      </c>
      <c r="AL294" s="270">
        <v>0</v>
      </c>
      <c r="AM294" s="271">
        <v>0</v>
      </c>
      <c r="AN294" s="271">
        <v>0</v>
      </c>
      <c r="AO294" s="271">
        <v>0</v>
      </c>
      <c r="AP294" s="173">
        <v>0</v>
      </c>
      <c r="AQ294" s="270">
        <v>0</v>
      </c>
      <c r="AR294" s="270">
        <v>0</v>
      </c>
      <c r="AS294" s="271">
        <v>0</v>
      </c>
      <c r="AT294" s="271">
        <v>0</v>
      </c>
      <c r="AU294" s="271">
        <v>0</v>
      </c>
      <c r="AV294" s="173">
        <v>0</v>
      </c>
      <c r="AW294" s="270">
        <v>0</v>
      </c>
      <c r="AX294" s="270">
        <v>0</v>
      </c>
      <c r="AY294" s="271">
        <v>0</v>
      </c>
      <c r="AZ294" s="271">
        <v>0</v>
      </c>
      <c r="BA294" s="271">
        <v>0</v>
      </c>
      <c r="BB294" s="272"/>
      <c r="BC294" s="272"/>
      <c r="BD294" s="272"/>
      <c r="BE294" s="272"/>
      <c r="BF294" s="272"/>
      <c r="BG294" s="272"/>
      <c r="BH294" s="272"/>
      <c r="BI294" s="272"/>
      <c r="BJ294" s="272"/>
    </row>
    <row r="295" spans="1:67" ht="15.75" customHeight="1">
      <c r="A295" s="267"/>
      <c r="B295" s="268"/>
      <c r="C295" s="268"/>
      <c r="D295" s="261" t="s">
        <v>531</v>
      </c>
      <c r="E295" s="262" t="e">
        <f>I295</f>
        <v>#REF!</v>
      </c>
      <c r="F295" s="262" t="e">
        <f>K295</f>
        <v>#REF!</v>
      </c>
      <c r="G295" s="70" t="e">
        <f t="shared" ref="G295:H295" si="1210">E295/E294</f>
        <v>#REF!</v>
      </c>
      <c r="H295" s="70" t="e">
        <f t="shared" si="1210"/>
        <v>#REF!</v>
      </c>
      <c r="I295" s="273" t="e">
        <f t="shared" ref="I295:K295" si="1211">I4+I16+I104+I141+I220</f>
        <v>#REF!</v>
      </c>
      <c r="J295" s="273" t="e">
        <f t="shared" si="1211"/>
        <v>#REF!</v>
      </c>
      <c r="K295" s="273" t="e">
        <f t="shared" si="1211"/>
        <v>#REF!</v>
      </c>
      <c r="L295" s="273"/>
      <c r="M295" s="273"/>
      <c r="N295" s="273"/>
      <c r="O295" s="62"/>
      <c r="P295" s="62"/>
      <c r="Q295" s="62"/>
      <c r="R295" s="256"/>
      <c r="S295" s="256"/>
      <c r="T295" s="256"/>
      <c r="U295" s="256"/>
      <c r="V295" s="257"/>
      <c r="W295" s="256"/>
      <c r="X295" s="264" t="s">
        <v>64</v>
      </c>
      <c r="Y295" s="274" t="s">
        <v>65</v>
      </c>
      <c r="Z295" s="274" t="s">
        <v>66</v>
      </c>
      <c r="AA295" s="275" t="s">
        <v>67</v>
      </c>
      <c r="AB295" s="276" t="s">
        <v>68</v>
      </c>
      <c r="AC295" s="276" t="s">
        <v>69</v>
      </c>
      <c r="AD295" s="264" t="s">
        <v>64</v>
      </c>
      <c r="AE295" s="274" t="s">
        <v>65</v>
      </c>
      <c r="AF295" s="274" t="s">
        <v>66</v>
      </c>
      <c r="AG295" s="275" t="s">
        <v>67</v>
      </c>
      <c r="AH295" s="276" t="s">
        <v>68</v>
      </c>
      <c r="AI295" s="276" t="s">
        <v>69</v>
      </c>
      <c r="AJ295" s="264" t="s">
        <v>64</v>
      </c>
      <c r="AK295" s="274" t="s">
        <v>65</v>
      </c>
      <c r="AL295" s="274" t="s">
        <v>66</v>
      </c>
      <c r="AM295" s="275" t="s">
        <v>67</v>
      </c>
      <c r="AN295" s="276" t="s">
        <v>68</v>
      </c>
      <c r="AO295" s="276" t="s">
        <v>69</v>
      </c>
      <c r="AP295" s="264" t="s">
        <v>64</v>
      </c>
      <c r="AQ295" s="274" t="s">
        <v>65</v>
      </c>
      <c r="AR295" s="274" t="s">
        <v>66</v>
      </c>
      <c r="AS295" s="275" t="s">
        <v>67</v>
      </c>
      <c r="AT295" s="276" t="s">
        <v>68</v>
      </c>
      <c r="AU295" s="276" t="s">
        <v>69</v>
      </c>
      <c r="AV295" s="264" t="s">
        <v>64</v>
      </c>
      <c r="AW295" s="274" t="s">
        <v>65</v>
      </c>
      <c r="AX295" s="274" t="s">
        <v>66</v>
      </c>
      <c r="AY295" s="275" t="s">
        <v>67</v>
      </c>
      <c r="AZ295" s="276" t="s">
        <v>68</v>
      </c>
      <c r="BA295" s="276" t="s">
        <v>69</v>
      </c>
      <c r="BB295" s="272"/>
      <c r="BC295" s="272"/>
      <c r="BD295" s="272"/>
      <c r="BE295" s="272"/>
      <c r="BF295" s="272"/>
      <c r="BG295" s="272"/>
      <c r="BH295" s="272"/>
      <c r="BI295" s="272"/>
      <c r="BJ295" s="272"/>
    </row>
    <row r="296" spans="1:67" ht="15.75" customHeight="1">
      <c r="A296" s="267"/>
      <c r="B296" s="268"/>
      <c r="C296" s="268"/>
      <c r="D296" s="261" t="s">
        <v>532</v>
      </c>
      <c r="E296" s="262" t="e">
        <f>L296</f>
        <v>#REF!</v>
      </c>
      <c r="F296" s="262" t="e">
        <f>N296</f>
        <v>#REF!</v>
      </c>
      <c r="G296" s="70" t="e">
        <f t="shared" ref="G296:H296" si="1212">E296/E294</f>
        <v>#REF!</v>
      </c>
      <c r="H296" s="70" t="e">
        <f t="shared" si="1212"/>
        <v>#REF!</v>
      </c>
      <c r="I296" s="277"/>
      <c r="J296" s="277"/>
      <c r="K296" s="277"/>
      <c r="L296" s="269" t="e">
        <f t="shared" ref="L296:N296" si="1213">L4+L16+L104+L141+L220</f>
        <v>#REF!</v>
      </c>
      <c r="M296" s="269" t="e">
        <f t="shared" si="1213"/>
        <v>#REF!</v>
      </c>
      <c r="N296" s="269" t="e">
        <f t="shared" si="1213"/>
        <v>#REF!</v>
      </c>
      <c r="O296" s="62"/>
      <c r="P296" s="62"/>
      <c r="Q296" s="62"/>
      <c r="R296" s="256"/>
      <c r="S296" s="256"/>
      <c r="T296" s="256"/>
      <c r="U296" s="256"/>
      <c r="V296" s="257"/>
      <c r="W296" s="256"/>
      <c r="X296" s="173">
        <v>0</v>
      </c>
      <c r="Y296" s="270">
        <v>0</v>
      </c>
      <c r="Z296" s="270">
        <v>0</v>
      </c>
      <c r="AA296" s="271">
        <v>0</v>
      </c>
      <c r="AB296" s="271">
        <v>0</v>
      </c>
      <c r="AC296" s="271">
        <v>0</v>
      </c>
      <c r="AD296" s="173">
        <v>0</v>
      </c>
      <c r="AE296" s="270">
        <v>0</v>
      </c>
      <c r="AF296" s="270">
        <v>0</v>
      </c>
      <c r="AG296" s="271">
        <v>0</v>
      </c>
      <c r="AH296" s="271">
        <v>0</v>
      </c>
      <c r="AI296" s="271">
        <v>0</v>
      </c>
      <c r="AJ296" s="173">
        <v>0</v>
      </c>
      <c r="AK296" s="270">
        <v>0</v>
      </c>
      <c r="AL296" s="270">
        <v>0</v>
      </c>
      <c r="AM296" s="271">
        <v>0</v>
      </c>
      <c r="AN296" s="271">
        <v>0</v>
      </c>
      <c r="AO296" s="271">
        <v>0</v>
      </c>
      <c r="AP296" s="173">
        <v>0</v>
      </c>
      <c r="AQ296" s="270">
        <v>0</v>
      </c>
      <c r="AR296" s="270">
        <v>0</v>
      </c>
      <c r="AS296" s="271">
        <v>0</v>
      </c>
      <c r="AT296" s="271">
        <v>0</v>
      </c>
      <c r="AU296" s="271">
        <v>0</v>
      </c>
      <c r="AV296" s="173">
        <v>0</v>
      </c>
      <c r="AW296" s="270">
        <v>0</v>
      </c>
      <c r="AX296" s="270">
        <v>0</v>
      </c>
      <c r="AY296" s="271">
        <v>0</v>
      </c>
      <c r="AZ296" s="271">
        <v>0</v>
      </c>
      <c r="BA296" s="271">
        <v>0</v>
      </c>
      <c r="BB296" s="272"/>
      <c r="BC296" s="272"/>
      <c r="BD296" s="272"/>
      <c r="BE296" s="272"/>
      <c r="BF296" s="272"/>
      <c r="BG296" s="272"/>
      <c r="BH296" s="272"/>
      <c r="BI296" s="272"/>
      <c r="BJ296" s="272"/>
    </row>
    <row r="297" spans="1:67" ht="15.75" customHeight="1">
      <c r="A297" s="267"/>
      <c r="B297" s="268"/>
      <c r="C297" s="272"/>
      <c r="D297" s="261" t="s">
        <v>533</v>
      </c>
      <c r="E297" s="262" t="e">
        <f>O297</f>
        <v>#REF!</v>
      </c>
      <c r="F297" s="262" t="e">
        <f>Q297</f>
        <v>#REF!</v>
      </c>
      <c r="G297" s="70" t="e">
        <f t="shared" ref="G297:H297" si="1214">E297/E294</f>
        <v>#REF!</v>
      </c>
      <c r="H297" s="70" t="e">
        <f t="shared" si="1214"/>
        <v>#REF!</v>
      </c>
      <c r="I297" s="277"/>
      <c r="J297" s="277"/>
      <c r="K297" s="277"/>
      <c r="L297" s="277"/>
      <c r="M297" s="277"/>
      <c r="N297" s="277"/>
      <c r="O297" s="273" t="e">
        <f t="shared" ref="O297:Q297" si="1215">O4+O16+O104+O141+O220</f>
        <v>#REF!</v>
      </c>
      <c r="P297" s="273" t="e">
        <f t="shared" si="1215"/>
        <v>#REF!</v>
      </c>
      <c r="Q297" s="273" t="e">
        <f t="shared" si="1215"/>
        <v>#REF!</v>
      </c>
      <c r="R297" s="256"/>
      <c r="S297" s="256"/>
      <c r="T297" s="256"/>
      <c r="U297" s="256"/>
      <c r="V297" s="257"/>
      <c r="W297" s="256"/>
      <c r="X297" s="256"/>
      <c r="Y297" s="278"/>
      <c r="Z297" s="278"/>
      <c r="AA297" s="279"/>
      <c r="AB297" s="272"/>
      <c r="AC297" s="272"/>
      <c r="AD297" s="272"/>
      <c r="AE297" s="272"/>
      <c r="AF297" s="272"/>
      <c r="AG297" s="272"/>
      <c r="AH297" s="272"/>
      <c r="AI297" s="272"/>
      <c r="AJ297" s="272"/>
      <c r="AK297" s="272"/>
      <c r="AL297" s="272"/>
      <c r="AM297" s="272"/>
      <c r="AN297" s="272"/>
      <c r="AO297" s="272"/>
      <c r="AP297" s="272"/>
      <c r="AQ297" s="272"/>
      <c r="AR297" s="272"/>
      <c r="AS297" s="272"/>
      <c r="AT297" s="272"/>
      <c r="AU297" s="272"/>
      <c r="AV297" s="272"/>
      <c r="AW297" s="272"/>
      <c r="AX297" s="272"/>
      <c r="AY297" s="272"/>
      <c r="AZ297" s="272"/>
      <c r="BA297" s="272"/>
      <c r="BB297" s="272"/>
      <c r="BC297" s="272"/>
      <c r="BD297" s="272"/>
      <c r="BE297" s="272"/>
      <c r="BF297" s="272"/>
      <c r="BG297" s="272"/>
      <c r="BH297" s="272"/>
      <c r="BI297" s="272"/>
      <c r="BJ297" s="272"/>
    </row>
    <row r="298" spans="1:67" ht="15.75" customHeight="1">
      <c r="A298" s="267"/>
      <c r="B298" s="268"/>
      <c r="C298" s="272"/>
      <c r="D298" s="280" t="s">
        <v>534</v>
      </c>
      <c r="E298" s="281">
        <f t="shared" ref="E298:F298" si="1216">E293-E294</f>
        <v>0</v>
      </c>
      <c r="F298" s="281" t="e">
        <f t="shared" si="1216"/>
        <v>#REF!</v>
      </c>
      <c r="G298" s="282" t="e">
        <f t="shared" ref="G298:H298" si="1217">E298/E293</f>
        <v>#DIV/0!</v>
      </c>
      <c r="H298" s="282" t="e">
        <f t="shared" si="1217"/>
        <v>#REF!</v>
      </c>
      <c r="I298" s="256"/>
      <c r="J298" s="256"/>
      <c r="K298" s="256"/>
      <c r="L298" s="256"/>
      <c r="M298" s="256"/>
      <c r="N298" s="256"/>
      <c r="O298" s="256"/>
      <c r="P298" s="256"/>
      <c r="Q298" s="256"/>
      <c r="R298" s="256"/>
      <c r="S298" s="256"/>
      <c r="T298" s="256"/>
      <c r="U298" s="256"/>
      <c r="V298" s="257"/>
      <c r="W298" s="256"/>
      <c r="X298" s="256"/>
      <c r="Y298" s="283"/>
      <c r="Z298" s="284"/>
      <c r="AA298" s="279"/>
      <c r="AB298" s="272"/>
      <c r="AC298" s="272"/>
      <c r="AD298" s="272"/>
      <c r="AE298" s="272"/>
      <c r="AF298" s="272"/>
      <c r="AG298" s="272"/>
      <c r="AH298" s="272"/>
      <c r="AI298" s="272"/>
      <c r="AJ298" s="272"/>
      <c r="AK298" s="272"/>
      <c r="AL298" s="272"/>
      <c r="AM298" s="272"/>
      <c r="AN298" s="272"/>
      <c r="AO298" s="272"/>
      <c r="AP298" s="272"/>
      <c r="AQ298" s="272"/>
      <c r="AR298" s="272"/>
      <c r="AS298" s="272"/>
      <c r="AT298" s="272"/>
      <c r="AU298" s="272"/>
      <c r="AV298" s="272"/>
      <c r="AW298" s="272"/>
      <c r="AX298" s="272"/>
      <c r="AY298" s="272"/>
      <c r="AZ298" s="272"/>
      <c r="BA298" s="272"/>
      <c r="BB298" s="272"/>
      <c r="BC298" s="272"/>
      <c r="BD298" s="272"/>
      <c r="BE298" s="272"/>
      <c r="BF298" s="272"/>
      <c r="BG298" s="272"/>
      <c r="BH298" s="272"/>
      <c r="BI298" s="272"/>
      <c r="BJ298" s="272"/>
    </row>
    <row r="299" spans="1:67" ht="15.75" customHeight="1">
      <c r="A299" s="267"/>
      <c r="B299" s="268"/>
      <c r="C299" s="272"/>
      <c r="D299" s="280" t="s">
        <v>535</v>
      </c>
      <c r="E299" s="285" t="e">
        <f>E294-I295</f>
        <v>#REF!</v>
      </c>
      <c r="F299" s="285" t="e">
        <f>F294-K295</f>
        <v>#REF!</v>
      </c>
      <c r="G299" s="282" t="e">
        <f t="shared" ref="G299:H299" si="1218">E299/E294</f>
        <v>#REF!</v>
      </c>
      <c r="H299" s="282" t="e">
        <f t="shared" si="1218"/>
        <v>#REF!</v>
      </c>
      <c r="I299" s="256"/>
      <c r="J299" s="256"/>
      <c r="K299" s="256"/>
      <c r="L299" s="256"/>
      <c r="M299" s="256"/>
      <c r="N299" s="256"/>
      <c r="O299" s="256"/>
      <c r="P299" s="256"/>
      <c r="Q299" s="256"/>
      <c r="R299" s="256"/>
      <c r="S299" s="256"/>
      <c r="T299" s="256"/>
      <c r="U299" s="256"/>
      <c r="V299" s="257"/>
      <c r="W299" s="256"/>
      <c r="X299" s="256"/>
      <c r="Y299" s="278"/>
      <c r="Z299" s="278"/>
      <c r="AA299" s="279"/>
      <c r="AB299" s="272"/>
      <c r="AC299" s="272"/>
      <c r="AD299" s="272"/>
      <c r="AE299" s="272"/>
      <c r="AF299" s="272"/>
      <c r="AG299" s="272"/>
      <c r="AH299" s="272"/>
      <c r="AI299" s="272"/>
      <c r="AJ299" s="272"/>
      <c r="AK299" s="272"/>
      <c r="AL299" s="272"/>
      <c r="AM299" s="272"/>
      <c r="AN299" s="272"/>
      <c r="AO299" s="272"/>
      <c r="AP299" s="272"/>
      <c r="AQ299" s="272"/>
      <c r="AR299" s="272"/>
      <c r="AS299" s="272"/>
      <c r="AT299" s="272"/>
      <c r="AU299" s="272"/>
      <c r="AV299" s="272"/>
      <c r="AW299" s="272"/>
      <c r="AX299" s="272"/>
      <c r="AY299" s="272"/>
      <c r="AZ299" s="272"/>
      <c r="BA299" s="272"/>
      <c r="BB299" s="272"/>
      <c r="BC299" s="272"/>
      <c r="BD299" s="272"/>
      <c r="BE299" s="272"/>
      <c r="BF299" s="272"/>
      <c r="BG299" s="272"/>
      <c r="BH299" s="272"/>
      <c r="BI299" s="272"/>
      <c r="BJ299" s="272"/>
    </row>
    <row r="300" spans="1:67" ht="15.75" customHeight="1">
      <c r="A300" s="267"/>
      <c r="B300" s="268"/>
      <c r="C300" s="272"/>
      <c r="D300" s="280" t="s">
        <v>536</v>
      </c>
      <c r="E300" s="285" t="e">
        <f>I295-L296</f>
        <v>#REF!</v>
      </c>
      <c r="F300" s="285" t="e">
        <f>K295-N296</f>
        <v>#REF!</v>
      </c>
      <c r="G300" s="282" t="e">
        <f>E300/I295</f>
        <v>#REF!</v>
      </c>
      <c r="H300" s="282" t="e">
        <f>F300/K295</f>
        <v>#REF!</v>
      </c>
      <c r="I300" s="256"/>
      <c r="J300" s="256"/>
      <c r="K300" s="256"/>
      <c r="L300" s="256"/>
      <c r="M300" s="256"/>
      <c r="N300" s="256"/>
      <c r="O300" s="256"/>
      <c r="P300" s="256"/>
      <c r="Q300" s="256"/>
      <c r="R300" s="256"/>
      <c r="S300" s="256"/>
      <c r="T300" s="256"/>
      <c r="U300" s="256"/>
      <c r="V300" s="257"/>
      <c r="W300" s="256"/>
      <c r="X300" s="256"/>
      <c r="Y300" s="278"/>
      <c r="Z300" s="278"/>
      <c r="AA300" s="279"/>
      <c r="AB300" s="272"/>
      <c r="AC300" s="272"/>
      <c r="AD300" s="272"/>
      <c r="AE300" s="272"/>
      <c r="AF300" s="272"/>
      <c r="AG300" s="272"/>
      <c r="AH300" s="272"/>
      <c r="AI300" s="272"/>
      <c r="AJ300" s="272"/>
      <c r="AK300" s="272"/>
      <c r="AL300" s="272"/>
      <c r="AM300" s="272"/>
      <c r="AN300" s="272"/>
      <c r="AO300" s="272"/>
      <c r="AP300" s="272"/>
      <c r="AQ300" s="272"/>
      <c r="AR300" s="272"/>
      <c r="AS300" s="272"/>
      <c r="AT300" s="272"/>
      <c r="AU300" s="272"/>
      <c r="AV300" s="272"/>
      <c r="AW300" s="272"/>
      <c r="AX300" s="272"/>
      <c r="AY300" s="272"/>
      <c r="AZ300" s="272"/>
      <c r="BA300" s="272"/>
      <c r="BB300" s="272"/>
      <c r="BC300" s="272"/>
      <c r="BD300" s="272"/>
      <c r="BE300" s="272"/>
      <c r="BF300" s="272"/>
      <c r="BG300" s="272"/>
      <c r="BH300" s="272"/>
      <c r="BI300" s="272"/>
      <c r="BJ300" s="272"/>
    </row>
    <row r="301" spans="1:67" ht="15.75" customHeight="1">
      <c r="A301" s="267"/>
      <c r="B301" s="268"/>
      <c r="C301" s="272"/>
      <c r="D301" s="280" t="s">
        <v>537</v>
      </c>
      <c r="E301" s="285" t="e">
        <f>L296-O297</f>
        <v>#REF!</v>
      </c>
      <c r="F301" s="285" t="e">
        <f>N296-Q297</f>
        <v>#REF!</v>
      </c>
      <c r="G301" s="282" t="e">
        <f>E301/L296</f>
        <v>#REF!</v>
      </c>
      <c r="H301" s="282" t="e">
        <f>F301/N296</f>
        <v>#REF!</v>
      </c>
      <c r="I301" s="256"/>
      <c r="J301" s="256"/>
      <c r="K301" s="256"/>
      <c r="L301" s="256"/>
      <c r="M301" s="256"/>
      <c r="N301" s="256"/>
      <c r="O301" s="256"/>
      <c r="P301" s="256"/>
      <c r="Q301" s="256"/>
      <c r="R301" s="256"/>
      <c r="S301" s="256"/>
      <c r="T301" s="256"/>
      <c r="U301" s="256"/>
      <c r="V301" s="257"/>
      <c r="W301" s="256"/>
      <c r="X301" s="256"/>
      <c r="Y301" s="278"/>
      <c r="Z301" s="278"/>
      <c r="AA301" s="279"/>
      <c r="AB301" s="272"/>
      <c r="AC301" s="272"/>
      <c r="AD301" s="272"/>
      <c r="AE301" s="272"/>
      <c r="AF301" s="272"/>
      <c r="AG301" s="272"/>
      <c r="AH301" s="272"/>
      <c r="AI301" s="272"/>
      <c r="AJ301" s="272"/>
      <c r="AK301" s="272"/>
      <c r="AL301" s="272"/>
      <c r="AM301" s="272"/>
      <c r="AN301" s="272"/>
      <c r="AO301" s="272"/>
      <c r="AP301" s="272"/>
      <c r="AQ301" s="272"/>
      <c r="AR301" s="272"/>
      <c r="AS301" s="272"/>
      <c r="AT301" s="272"/>
      <c r="AU301" s="272"/>
      <c r="AV301" s="272"/>
      <c r="AW301" s="272"/>
      <c r="AX301" s="272"/>
      <c r="AY301" s="272"/>
      <c r="AZ301" s="272"/>
      <c r="BA301" s="272"/>
      <c r="BB301" s="272"/>
      <c r="BC301" s="272"/>
      <c r="BD301" s="272"/>
      <c r="BE301" s="272"/>
      <c r="BF301" s="272"/>
      <c r="BG301" s="272"/>
      <c r="BH301" s="272"/>
      <c r="BI301" s="272"/>
      <c r="BJ301" s="272"/>
    </row>
    <row r="302" spans="1:67" ht="15.75" customHeight="1">
      <c r="A302" s="286"/>
      <c r="B302" s="286"/>
      <c r="C302" s="287"/>
      <c r="D302" s="288" t="s">
        <v>538</v>
      </c>
      <c r="E302" s="289" t="e">
        <f>J295-M296</f>
        <v>#REF!</v>
      </c>
      <c r="F302" s="290"/>
      <c r="G302" s="291" t="e">
        <f>E302/J295</f>
        <v>#REF!</v>
      </c>
      <c r="H302" s="292"/>
      <c r="I302" s="287"/>
      <c r="J302" s="287"/>
      <c r="K302" s="287"/>
      <c r="L302" s="287"/>
      <c r="M302" s="287"/>
      <c r="N302" s="287"/>
      <c r="O302" s="287"/>
      <c r="P302" s="287"/>
      <c r="Q302" s="287"/>
      <c r="R302" s="287"/>
      <c r="S302" s="287"/>
      <c r="T302" s="287"/>
      <c r="U302" s="287"/>
      <c r="V302" s="293"/>
      <c r="W302" s="287"/>
      <c r="X302" s="287"/>
      <c r="Y302" s="287"/>
      <c r="Z302" s="287"/>
      <c r="AA302" s="287"/>
      <c r="AB302" s="287"/>
      <c r="AC302" s="287"/>
      <c r="AD302" s="287"/>
      <c r="AE302" s="287"/>
      <c r="AF302" s="287"/>
      <c r="AG302" s="287"/>
      <c r="AH302" s="287"/>
      <c r="AI302" s="287"/>
      <c r="AJ302" s="287"/>
      <c r="AK302" s="287"/>
      <c r="AL302" s="287"/>
      <c r="AM302" s="287"/>
      <c r="AN302" s="287"/>
      <c r="AO302" s="287"/>
      <c r="AP302" s="287"/>
      <c r="AQ302" s="287"/>
      <c r="AR302" s="287"/>
      <c r="AS302" s="287"/>
      <c r="AT302" s="287"/>
      <c r="AU302" s="287"/>
      <c r="AV302" s="287"/>
      <c r="AW302" s="287"/>
      <c r="AX302" s="287"/>
      <c r="AY302" s="287"/>
      <c r="AZ302" s="287"/>
      <c r="BA302" s="287"/>
      <c r="BB302" s="287"/>
      <c r="BC302" s="287"/>
      <c r="BD302" s="287"/>
      <c r="BE302" s="287"/>
      <c r="BF302" s="287"/>
      <c r="BG302" s="287"/>
      <c r="BH302" s="287"/>
      <c r="BI302" s="287"/>
      <c r="BJ302" s="287"/>
    </row>
    <row r="303" spans="1:67" ht="15.75" customHeight="1">
      <c r="A303" s="286"/>
      <c r="B303" s="286"/>
      <c r="C303" s="287"/>
      <c r="D303" s="287"/>
      <c r="E303" s="272"/>
      <c r="F303" s="272"/>
      <c r="G303" s="287"/>
      <c r="H303" s="287"/>
      <c r="I303" s="287"/>
      <c r="J303" s="287"/>
      <c r="K303" s="287"/>
      <c r="L303" s="287"/>
      <c r="M303" s="287"/>
      <c r="N303" s="287"/>
      <c r="O303" s="287"/>
      <c r="P303" s="287"/>
      <c r="Q303" s="287"/>
      <c r="R303" s="287"/>
      <c r="S303" s="287"/>
      <c r="T303" s="287"/>
      <c r="U303" s="287"/>
      <c r="V303" s="293"/>
      <c r="W303" s="287"/>
      <c r="X303" s="287"/>
      <c r="Y303" s="287"/>
      <c r="Z303" s="287"/>
      <c r="AA303" s="287"/>
      <c r="AB303" s="287"/>
      <c r="AC303" s="287"/>
      <c r="AD303" s="287"/>
      <c r="AE303" s="287"/>
      <c r="AF303" s="287"/>
      <c r="AG303" s="287"/>
      <c r="AH303" s="287"/>
      <c r="AI303" s="287"/>
      <c r="AJ303" s="287"/>
      <c r="AK303" s="287"/>
      <c r="AL303" s="287"/>
      <c r="AM303" s="287"/>
      <c r="AN303" s="287"/>
      <c r="AO303" s="287"/>
      <c r="AP303" s="287"/>
      <c r="AQ303" s="287"/>
      <c r="AR303" s="287"/>
      <c r="AS303" s="287"/>
      <c r="AT303" s="287"/>
      <c r="AU303" s="287"/>
      <c r="AV303" s="287"/>
      <c r="AW303" s="287"/>
      <c r="AX303" s="287"/>
      <c r="AY303" s="287"/>
      <c r="AZ303" s="287"/>
      <c r="BA303" s="287"/>
      <c r="BB303" s="287"/>
      <c r="BC303" s="287"/>
      <c r="BD303" s="287"/>
      <c r="BE303" s="287"/>
      <c r="BF303" s="287"/>
      <c r="BG303" s="287"/>
      <c r="BH303" s="287"/>
      <c r="BI303" s="287"/>
      <c r="BJ303" s="287"/>
    </row>
    <row r="304" spans="1:67" ht="15.75" customHeight="1">
      <c r="A304" s="286"/>
      <c r="B304" s="286"/>
      <c r="C304" s="287"/>
      <c r="D304" s="287"/>
      <c r="E304" s="272"/>
      <c r="F304" s="272"/>
      <c r="G304" s="287"/>
      <c r="H304" s="287"/>
      <c r="I304" s="287"/>
      <c r="J304" s="287"/>
      <c r="K304" s="287"/>
      <c r="L304" s="287"/>
      <c r="M304" s="287"/>
      <c r="N304" s="287"/>
      <c r="O304" s="287"/>
      <c r="P304" s="287"/>
      <c r="Q304" s="287"/>
      <c r="R304" s="287"/>
      <c r="S304" s="287"/>
      <c r="T304" s="287"/>
      <c r="U304" s="287"/>
      <c r="V304" s="293"/>
      <c r="W304" s="287"/>
      <c r="X304" s="287"/>
      <c r="Y304" s="287"/>
      <c r="Z304" s="287"/>
      <c r="AA304" s="287"/>
      <c r="AB304" s="287"/>
      <c r="AC304" s="287"/>
      <c r="AD304" s="287"/>
      <c r="AE304" s="287"/>
      <c r="AF304" s="287"/>
      <c r="AG304" s="287"/>
      <c r="AH304" s="287"/>
      <c r="AI304" s="287"/>
      <c r="AJ304" s="287"/>
      <c r="AK304" s="287"/>
      <c r="AL304" s="287"/>
      <c r="AM304" s="287"/>
      <c r="AN304" s="287"/>
      <c r="AO304" s="287"/>
      <c r="AP304" s="287"/>
      <c r="AQ304" s="287"/>
      <c r="AR304" s="287"/>
      <c r="AS304" s="287"/>
      <c r="AT304" s="287"/>
      <c r="AU304" s="287"/>
      <c r="AV304" s="287"/>
      <c r="AW304" s="287"/>
      <c r="AX304" s="287"/>
      <c r="AY304" s="287"/>
      <c r="AZ304" s="287"/>
      <c r="BA304" s="287"/>
      <c r="BB304" s="287"/>
      <c r="BC304" s="287"/>
      <c r="BD304" s="287"/>
      <c r="BE304" s="287"/>
      <c r="BF304" s="287"/>
      <c r="BG304" s="287"/>
      <c r="BH304" s="287"/>
      <c r="BI304" s="287"/>
      <c r="BJ304" s="287"/>
    </row>
    <row r="305" spans="1:62" ht="15.75" customHeight="1">
      <c r="A305" s="278"/>
      <c r="B305" s="278"/>
      <c r="C305" s="294"/>
      <c r="D305" s="294"/>
      <c r="E305" s="272"/>
      <c r="F305" s="272"/>
      <c r="G305" s="287"/>
      <c r="H305" s="287"/>
      <c r="I305" s="287"/>
      <c r="J305" s="287"/>
      <c r="K305" s="287"/>
      <c r="L305" s="287"/>
      <c r="M305" s="287"/>
      <c r="N305" s="287"/>
      <c r="O305" s="287"/>
      <c r="P305" s="287"/>
      <c r="Q305" s="287"/>
      <c r="R305" s="287"/>
      <c r="S305" s="287"/>
      <c r="T305" s="287"/>
      <c r="U305" s="287"/>
      <c r="V305" s="293"/>
      <c r="W305" s="287"/>
      <c r="X305" s="287"/>
      <c r="Y305" s="287"/>
      <c r="Z305" s="287"/>
      <c r="AA305" s="287"/>
      <c r="AB305" s="287"/>
      <c r="AC305" s="287"/>
      <c r="AD305" s="287"/>
      <c r="AE305" s="287"/>
      <c r="AF305" s="287"/>
      <c r="AG305" s="287"/>
      <c r="AH305" s="287"/>
      <c r="AI305" s="287"/>
      <c r="AJ305" s="287"/>
      <c r="AK305" s="287"/>
      <c r="AL305" s="287"/>
      <c r="AM305" s="287"/>
      <c r="AN305" s="287"/>
      <c r="AO305" s="287"/>
      <c r="AP305" s="287"/>
      <c r="AQ305" s="287"/>
      <c r="AR305" s="287"/>
      <c r="AS305" s="287"/>
      <c r="AT305" s="287"/>
      <c r="AU305" s="287"/>
      <c r="AV305" s="287"/>
      <c r="AW305" s="287"/>
      <c r="AX305" s="287"/>
      <c r="AY305" s="287"/>
      <c r="AZ305" s="287"/>
      <c r="BA305" s="287"/>
      <c r="BB305" s="287"/>
      <c r="BC305" s="287"/>
      <c r="BD305" s="287"/>
      <c r="BE305" s="287"/>
      <c r="BF305" s="287"/>
      <c r="BG305" s="287"/>
      <c r="BH305" s="287"/>
      <c r="BI305" s="287"/>
      <c r="BJ305" s="287"/>
    </row>
    <row r="306" spans="1:62" ht="15.75" customHeight="1">
      <c r="A306" s="278"/>
      <c r="B306" s="294"/>
      <c r="C306" s="294"/>
      <c r="D306" s="294"/>
      <c r="E306" s="295"/>
      <c r="F306" s="272"/>
      <c r="G306" s="287"/>
      <c r="H306" s="287"/>
      <c r="I306" s="287"/>
      <c r="J306" s="287"/>
      <c r="K306" s="287"/>
      <c r="L306" s="287"/>
      <c r="M306" s="287"/>
      <c r="N306" s="287"/>
      <c r="O306" s="287"/>
      <c r="P306" s="287"/>
      <c r="Q306" s="287"/>
      <c r="R306" s="287"/>
      <c r="S306" s="287"/>
      <c r="T306" s="287"/>
      <c r="U306" s="287"/>
      <c r="V306" s="293"/>
      <c r="W306" s="287"/>
      <c r="Y306" s="287"/>
      <c r="Z306" s="287"/>
      <c r="AA306" s="287"/>
      <c r="AB306" s="287"/>
      <c r="AC306" s="287"/>
      <c r="AD306" s="287"/>
      <c r="AE306" s="287"/>
      <c r="AF306" s="287"/>
      <c r="AG306" s="287"/>
      <c r="AH306" s="287"/>
      <c r="AI306" s="287"/>
      <c r="AJ306" s="287"/>
      <c r="AK306" s="287"/>
      <c r="AL306" s="287"/>
      <c r="AM306" s="287"/>
      <c r="AN306" s="287"/>
      <c r="AO306" s="287"/>
      <c r="AP306" s="287"/>
      <c r="AQ306" s="287"/>
      <c r="AR306" s="287"/>
      <c r="AS306" s="287"/>
      <c r="AT306" s="287"/>
      <c r="AU306" s="287"/>
      <c r="AV306" s="287"/>
      <c r="AW306" s="287"/>
      <c r="AX306" s="287"/>
      <c r="AY306" s="287"/>
      <c r="AZ306" s="287"/>
      <c r="BA306" s="287"/>
      <c r="BB306" s="287"/>
      <c r="BC306" s="287"/>
      <c r="BD306" s="287"/>
      <c r="BE306" s="287"/>
      <c r="BF306" s="287"/>
      <c r="BG306" s="287"/>
      <c r="BH306" s="287"/>
      <c r="BI306" s="287"/>
      <c r="BJ306" s="287"/>
    </row>
    <row r="307" spans="1:62" ht="15.75" customHeight="1">
      <c r="A307" s="278"/>
      <c r="B307" s="294"/>
      <c r="C307" s="294"/>
      <c r="D307" s="296"/>
      <c r="E307" s="272"/>
      <c r="F307" s="272"/>
      <c r="G307" s="297"/>
      <c r="H307" s="297"/>
      <c r="I307" s="297"/>
      <c r="J307" s="287"/>
      <c r="K307" s="287"/>
      <c r="L307" s="287"/>
      <c r="M307" s="287"/>
      <c r="N307" s="287"/>
      <c r="O307" s="287"/>
      <c r="P307" s="287"/>
      <c r="Q307" s="287"/>
      <c r="R307" s="287"/>
      <c r="S307" s="287"/>
      <c r="T307" s="287"/>
      <c r="U307" s="287"/>
      <c r="V307" s="293"/>
      <c r="W307" s="287"/>
      <c r="X307" s="287"/>
      <c r="Y307" s="287"/>
      <c r="Z307" s="287"/>
      <c r="AA307" s="287"/>
      <c r="AB307" s="287"/>
      <c r="AC307" s="287"/>
      <c r="AD307" s="287"/>
      <c r="AE307" s="287"/>
      <c r="AF307" s="287"/>
      <c r="AG307" s="287"/>
      <c r="AH307" s="287"/>
      <c r="AI307" s="287"/>
      <c r="AJ307" s="287"/>
      <c r="AK307" s="287"/>
      <c r="AL307" s="287"/>
      <c r="AM307" s="287"/>
      <c r="AN307" s="287"/>
      <c r="AO307" s="287"/>
      <c r="AP307" s="287"/>
      <c r="AQ307" s="287"/>
      <c r="AR307" s="287"/>
      <c r="AS307" s="287"/>
      <c r="AT307" s="287"/>
      <c r="AU307" s="287"/>
      <c r="AV307" s="287"/>
      <c r="AW307" s="287"/>
      <c r="AX307" s="287"/>
      <c r="AY307" s="287"/>
      <c r="AZ307" s="287"/>
      <c r="BA307" s="287"/>
      <c r="BB307" s="287"/>
      <c r="BC307" s="287"/>
      <c r="BD307" s="287"/>
      <c r="BE307" s="287"/>
      <c r="BF307" s="287"/>
      <c r="BG307" s="287"/>
      <c r="BH307" s="287"/>
      <c r="BI307" s="287"/>
      <c r="BJ307" s="287"/>
    </row>
    <row r="308" spans="1:62" ht="15.75" customHeight="1">
      <c r="A308" s="278"/>
      <c r="B308" s="294"/>
      <c r="C308" s="296"/>
      <c r="D308" s="296"/>
      <c r="E308" s="272"/>
      <c r="F308" s="272"/>
      <c r="G308" s="287"/>
      <c r="H308" s="287"/>
      <c r="I308" s="287"/>
      <c r="J308" s="287"/>
      <c r="K308" s="287"/>
      <c r="L308" s="287"/>
      <c r="M308" s="287"/>
      <c r="N308" s="287"/>
      <c r="O308" s="287"/>
      <c r="P308" s="287"/>
      <c r="Q308" s="287"/>
      <c r="R308" s="287"/>
      <c r="S308" s="287"/>
      <c r="T308" s="287"/>
      <c r="U308" s="287"/>
      <c r="V308" s="293"/>
      <c r="W308" s="287"/>
      <c r="X308" s="287"/>
      <c r="Y308" s="287"/>
      <c r="Z308" s="287"/>
      <c r="AA308" s="287"/>
      <c r="AB308" s="287"/>
      <c r="AC308" s="287"/>
      <c r="AD308" s="287"/>
      <c r="AE308" s="287"/>
      <c r="AF308" s="287"/>
      <c r="AG308" s="287"/>
      <c r="AH308" s="287"/>
      <c r="AI308" s="287"/>
      <c r="AJ308" s="287"/>
      <c r="AK308" s="287"/>
      <c r="AL308" s="287"/>
      <c r="AM308" s="287"/>
      <c r="AN308" s="287"/>
      <c r="AO308" s="287"/>
      <c r="AP308" s="287"/>
      <c r="AQ308" s="287"/>
      <c r="AR308" s="287"/>
      <c r="AS308" s="287"/>
      <c r="AT308" s="287"/>
      <c r="AU308" s="287"/>
      <c r="AV308" s="287"/>
      <c r="AW308" s="287"/>
      <c r="AX308" s="287"/>
      <c r="AY308" s="287"/>
      <c r="AZ308" s="287"/>
      <c r="BA308" s="287"/>
      <c r="BB308" s="287"/>
      <c r="BC308" s="287"/>
      <c r="BD308" s="287"/>
      <c r="BE308" s="287"/>
      <c r="BF308" s="287"/>
      <c r="BG308" s="287"/>
      <c r="BH308" s="287"/>
      <c r="BI308" s="287"/>
      <c r="BJ308" s="287"/>
    </row>
    <row r="309" spans="1:62" ht="15.75" customHeight="1">
      <c r="A309" s="278"/>
      <c r="B309" s="294"/>
      <c r="C309" s="296"/>
      <c r="D309" s="296"/>
      <c r="E309" s="272"/>
      <c r="F309" s="272"/>
      <c r="G309" s="287"/>
      <c r="H309" s="287"/>
      <c r="I309" s="287"/>
      <c r="J309" s="287"/>
      <c r="K309" s="287"/>
      <c r="L309" s="287"/>
      <c r="M309" s="287"/>
      <c r="N309" s="287"/>
      <c r="O309" s="287"/>
      <c r="P309" s="287"/>
      <c r="Q309" s="287"/>
      <c r="R309" s="287"/>
      <c r="S309" s="287"/>
      <c r="T309" s="287"/>
      <c r="U309" s="287"/>
      <c r="V309" s="293"/>
      <c r="W309" s="287"/>
      <c r="X309" s="287"/>
      <c r="Y309" s="287"/>
      <c r="Z309" s="287"/>
      <c r="AA309" s="287"/>
      <c r="AB309" s="287"/>
      <c r="AC309" s="287"/>
      <c r="AD309" s="287"/>
      <c r="AE309" s="287"/>
      <c r="AF309" s="287"/>
      <c r="AG309" s="287"/>
      <c r="AH309" s="287"/>
      <c r="AI309" s="287"/>
      <c r="AJ309" s="287"/>
      <c r="AK309" s="287"/>
      <c r="AL309" s="287"/>
      <c r="AM309" s="287"/>
      <c r="AN309" s="287"/>
      <c r="AO309" s="287"/>
      <c r="AP309" s="287"/>
      <c r="AQ309" s="287"/>
      <c r="AR309" s="287"/>
      <c r="AS309" s="287"/>
      <c r="AT309" s="287"/>
      <c r="AU309" s="287"/>
      <c r="AV309" s="287"/>
      <c r="AW309" s="287"/>
      <c r="AX309" s="287"/>
      <c r="AY309" s="287"/>
      <c r="AZ309" s="287"/>
      <c r="BA309" s="287"/>
      <c r="BB309" s="287"/>
      <c r="BC309" s="287"/>
      <c r="BD309" s="287"/>
      <c r="BE309" s="287"/>
      <c r="BF309" s="287"/>
      <c r="BG309" s="287"/>
      <c r="BH309" s="287"/>
      <c r="BI309" s="287"/>
      <c r="BJ309" s="287"/>
    </row>
    <row r="310" spans="1:62" ht="15.75" customHeight="1">
      <c r="A310" s="286"/>
      <c r="B310" s="287"/>
      <c r="C310" s="287"/>
      <c r="D310" s="287"/>
      <c r="E310" s="272"/>
      <c r="F310" s="272"/>
      <c r="G310" s="287"/>
      <c r="H310" s="287"/>
      <c r="I310" s="287"/>
      <c r="J310" s="287"/>
      <c r="K310" s="287"/>
      <c r="L310" s="287"/>
      <c r="M310" s="287"/>
      <c r="N310" s="287"/>
      <c r="O310" s="287"/>
      <c r="P310" s="287"/>
      <c r="Q310" s="287"/>
      <c r="R310" s="287"/>
      <c r="S310" s="287"/>
      <c r="T310" s="287"/>
      <c r="U310" s="287"/>
      <c r="V310" s="293"/>
      <c r="W310" s="287"/>
      <c r="X310" s="287"/>
      <c r="Y310" s="287"/>
      <c r="Z310" s="287"/>
      <c r="AA310" s="287"/>
      <c r="AB310" s="287"/>
      <c r="AC310" s="287"/>
      <c r="AD310" s="287"/>
      <c r="AE310" s="287"/>
      <c r="AF310" s="287"/>
      <c r="AG310" s="287"/>
      <c r="AH310" s="287"/>
      <c r="AI310" s="287"/>
      <c r="AJ310" s="287"/>
      <c r="AK310" s="287"/>
      <c r="AL310" s="287"/>
      <c r="AM310" s="287"/>
      <c r="AN310" s="287"/>
      <c r="AO310" s="287"/>
      <c r="AP310" s="287"/>
      <c r="AQ310" s="287"/>
      <c r="AR310" s="287"/>
      <c r="AS310" s="287"/>
      <c r="AT310" s="287"/>
      <c r="AU310" s="287"/>
      <c r="AV310" s="287"/>
      <c r="AW310" s="287"/>
      <c r="AX310" s="287"/>
      <c r="AY310" s="287"/>
      <c r="AZ310" s="287"/>
      <c r="BA310" s="287"/>
      <c r="BB310" s="287"/>
      <c r="BC310" s="287"/>
      <c r="BD310" s="287"/>
      <c r="BE310" s="287"/>
      <c r="BF310" s="287"/>
      <c r="BG310" s="287"/>
      <c r="BH310" s="287"/>
      <c r="BI310" s="287"/>
      <c r="BJ310" s="287"/>
    </row>
    <row r="311" spans="1:62" ht="15.75" customHeight="1">
      <c r="A311" s="286"/>
      <c r="B311" s="287"/>
      <c r="C311" s="287"/>
      <c r="D311" s="287"/>
      <c r="E311" s="272"/>
      <c r="F311" s="272"/>
      <c r="G311" s="287"/>
      <c r="H311" s="287"/>
      <c r="I311" s="287"/>
      <c r="J311" s="287"/>
      <c r="K311" s="287"/>
      <c r="L311" s="287"/>
      <c r="M311" s="287"/>
      <c r="N311" s="287"/>
      <c r="O311" s="287"/>
      <c r="P311" s="287"/>
      <c r="Q311" s="287"/>
      <c r="R311" s="287"/>
      <c r="S311" s="287"/>
      <c r="T311" s="287"/>
      <c r="U311" s="287"/>
      <c r="V311" s="293"/>
      <c r="W311" s="287"/>
      <c r="X311" s="287"/>
      <c r="Y311" s="287"/>
      <c r="Z311" s="287"/>
      <c r="AA311" s="287"/>
      <c r="AB311" s="287"/>
      <c r="AC311" s="287"/>
      <c r="AD311" s="287"/>
      <c r="AE311" s="287"/>
      <c r="AF311" s="287"/>
      <c r="AG311" s="287"/>
      <c r="AH311" s="287"/>
      <c r="AI311" s="287"/>
      <c r="AJ311" s="287"/>
      <c r="AK311" s="287"/>
      <c r="AL311" s="287"/>
      <c r="AM311" s="287"/>
      <c r="AN311" s="287"/>
      <c r="AO311" s="287"/>
      <c r="AP311" s="287"/>
      <c r="AQ311" s="287"/>
      <c r="AR311" s="287"/>
      <c r="AS311" s="287"/>
      <c r="AT311" s="287"/>
      <c r="AU311" s="287"/>
      <c r="AV311" s="287"/>
      <c r="AW311" s="287"/>
      <c r="AX311" s="287"/>
      <c r="AY311" s="287"/>
      <c r="AZ311" s="287"/>
      <c r="BA311" s="287"/>
      <c r="BB311" s="287"/>
      <c r="BC311" s="287"/>
      <c r="BD311" s="287"/>
      <c r="BE311" s="287"/>
      <c r="BF311" s="287"/>
      <c r="BG311" s="287"/>
      <c r="BH311" s="287"/>
      <c r="BI311" s="287"/>
      <c r="BJ311" s="287"/>
    </row>
    <row r="312" spans="1:62" ht="15.75" customHeight="1">
      <c r="A312" s="286"/>
      <c r="B312" s="287"/>
      <c r="C312" s="287"/>
      <c r="D312" s="287"/>
      <c r="E312" s="272"/>
      <c r="F312" s="272"/>
      <c r="G312" s="287"/>
      <c r="H312" s="287"/>
      <c r="I312" s="287"/>
      <c r="J312" s="287"/>
      <c r="K312" s="287"/>
      <c r="L312" s="287"/>
      <c r="M312" s="287"/>
      <c r="N312" s="287"/>
      <c r="O312" s="287"/>
      <c r="P312" s="287"/>
      <c r="Q312" s="287"/>
      <c r="R312" s="287"/>
      <c r="S312" s="287"/>
      <c r="T312" s="287"/>
      <c r="U312" s="287"/>
      <c r="V312" s="293"/>
      <c r="W312" s="287"/>
      <c r="X312" s="287"/>
      <c r="Y312" s="287"/>
      <c r="Z312" s="287"/>
      <c r="AA312" s="287"/>
      <c r="AB312" s="287"/>
      <c r="AC312" s="287"/>
      <c r="AD312" s="287"/>
      <c r="AE312" s="287"/>
      <c r="AF312" s="287"/>
      <c r="AG312" s="287"/>
      <c r="AH312" s="287"/>
      <c r="AI312" s="287"/>
      <c r="AJ312" s="287"/>
      <c r="AK312" s="287"/>
      <c r="AL312" s="287"/>
      <c r="AM312" s="287"/>
      <c r="AN312" s="287"/>
      <c r="AO312" s="287"/>
      <c r="AP312" s="287"/>
      <c r="AQ312" s="287"/>
      <c r="AR312" s="287"/>
      <c r="AS312" s="287"/>
      <c r="AT312" s="287"/>
      <c r="AU312" s="287"/>
      <c r="AV312" s="287"/>
      <c r="AW312" s="287"/>
      <c r="AX312" s="287"/>
      <c r="AY312" s="287"/>
      <c r="AZ312" s="287"/>
      <c r="BA312" s="287"/>
      <c r="BB312" s="287"/>
      <c r="BC312" s="287"/>
      <c r="BD312" s="287"/>
      <c r="BE312" s="287"/>
      <c r="BF312" s="287"/>
      <c r="BG312" s="287"/>
      <c r="BH312" s="287"/>
      <c r="BI312" s="287"/>
      <c r="BJ312" s="287"/>
    </row>
    <row r="313" spans="1:62" ht="15.75" customHeight="1">
      <c r="A313" s="286"/>
      <c r="B313" s="287"/>
      <c r="C313" s="287"/>
      <c r="D313" s="287"/>
      <c r="E313" s="272"/>
      <c r="F313" s="272"/>
      <c r="G313" s="287"/>
      <c r="H313" s="287"/>
      <c r="I313" s="287"/>
      <c r="J313" s="287"/>
      <c r="K313" s="287"/>
      <c r="L313" s="287"/>
      <c r="M313" s="287"/>
      <c r="N313" s="287"/>
      <c r="O313" s="287"/>
      <c r="P313" s="287"/>
      <c r="Q313" s="287"/>
      <c r="R313" s="287"/>
      <c r="S313" s="287"/>
      <c r="T313" s="287"/>
      <c r="U313" s="287"/>
      <c r="V313" s="293"/>
      <c r="W313" s="287"/>
      <c r="X313" s="287"/>
      <c r="Y313" s="287"/>
      <c r="Z313" s="287"/>
      <c r="AA313" s="287"/>
      <c r="AB313" s="287"/>
      <c r="AC313" s="287"/>
      <c r="AD313" s="287"/>
      <c r="AE313" s="287"/>
      <c r="AF313" s="287"/>
      <c r="AG313" s="287"/>
      <c r="AH313" s="287"/>
      <c r="AI313" s="287"/>
      <c r="AJ313" s="287"/>
      <c r="AK313" s="287"/>
      <c r="AL313" s="287"/>
      <c r="AM313" s="287"/>
      <c r="AN313" s="287"/>
      <c r="AO313" s="287"/>
      <c r="AP313" s="287"/>
      <c r="AQ313" s="287"/>
      <c r="AR313" s="287"/>
      <c r="AS313" s="287"/>
      <c r="AT313" s="287"/>
      <c r="AU313" s="287"/>
      <c r="AV313" s="287"/>
      <c r="AW313" s="287"/>
      <c r="AX313" s="287"/>
      <c r="AY313" s="287"/>
      <c r="AZ313" s="287"/>
      <c r="BA313" s="287"/>
      <c r="BB313" s="287"/>
      <c r="BC313" s="287"/>
      <c r="BD313" s="287"/>
      <c r="BE313" s="287"/>
      <c r="BF313" s="287"/>
      <c r="BG313" s="287"/>
      <c r="BH313" s="287"/>
      <c r="BI313" s="287"/>
      <c r="BJ313" s="287"/>
    </row>
    <row r="314" spans="1:62" ht="15.75" customHeight="1">
      <c r="A314" s="286"/>
      <c r="B314" s="287"/>
      <c r="C314" s="287"/>
      <c r="D314" s="287"/>
      <c r="E314" s="272"/>
      <c r="F314" s="272"/>
      <c r="G314" s="287"/>
      <c r="H314" s="287"/>
      <c r="I314" s="287"/>
      <c r="J314" s="287"/>
      <c r="K314" s="287"/>
      <c r="L314" s="287"/>
      <c r="M314" s="287"/>
      <c r="N314" s="287"/>
      <c r="O314" s="287"/>
      <c r="P314" s="287"/>
      <c r="Q314" s="287"/>
      <c r="R314" s="287"/>
      <c r="S314" s="287"/>
      <c r="T314" s="287"/>
      <c r="U314" s="287"/>
      <c r="V314" s="293"/>
      <c r="W314" s="287"/>
      <c r="X314" s="287"/>
      <c r="Y314" s="287"/>
      <c r="Z314" s="287"/>
      <c r="AA314" s="287"/>
      <c r="AB314" s="287"/>
      <c r="AC314" s="287"/>
      <c r="AD314" s="287"/>
      <c r="AE314" s="287"/>
      <c r="AF314" s="287"/>
      <c r="AG314" s="287"/>
      <c r="AH314" s="287"/>
      <c r="AI314" s="287"/>
      <c r="AJ314" s="287"/>
      <c r="AK314" s="287"/>
      <c r="AL314" s="287"/>
      <c r="AM314" s="287"/>
      <c r="AN314" s="287"/>
      <c r="AO314" s="287"/>
      <c r="AP314" s="287"/>
      <c r="AQ314" s="287"/>
      <c r="AR314" s="287"/>
      <c r="AS314" s="287"/>
      <c r="AT314" s="287"/>
      <c r="AU314" s="287"/>
      <c r="AV314" s="287"/>
      <c r="AW314" s="287"/>
      <c r="AX314" s="287"/>
      <c r="AY314" s="287"/>
      <c r="AZ314" s="287"/>
      <c r="BA314" s="287"/>
      <c r="BB314" s="287"/>
      <c r="BC314" s="287"/>
      <c r="BD314" s="287"/>
      <c r="BE314" s="287"/>
      <c r="BF314" s="287"/>
      <c r="BG314" s="287"/>
      <c r="BH314" s="287"/>
      <c r="BI314" s="287"/>
      <c r="BJ314" s="287"/>
    </row>
    <row r="315" spans="1:62" ht="15.75" customHeight="1">
      <c r="A315" s="286"/>
      <c r="B315" s="287"/>
      <c r="C315" s="287"/>
      <c r="D315" s="287"/>
      <c r="E315" s="272"/>
      <c r="F315" s="272"/>
      <c r="G315" s="287"/>
      <c r="H315" s="287"/>
      <c r="I315" s="287"/>
      <c r="J315" s="287"/>
      <c r="K315" s="287"/>
      <c r="L315" s="287"/>
      <c r="M315" s="287"/>
      <c r="N315" s="287"/>
      <c r="O315" s="287"/>
      <c r="P315" s="287"/>
      <c r="Q315" s="287"/>
      <c r="R315" s="287"/>
      <c r="S315" s="287"/>
      <c r="T315" s="287"/>
      <c r="U315" s="287"/>
      <c r="V315" s="293"/>
      <c r="W315" s="287"/>
      <c r="X315" s="287"/>
      <c r="Y315" s="287"/>
      <c r="Z315" s="287"/>
      <c r="AA315" s="287"/>
      <c r="AB315" s="287"/>
      <c r="AC315" s="287"/>
      <c r="AD315" s="287"/>
      <c r="AE315" s="287"/>
      <c r="AF315" s="287"/>
      <c r="AG315" s="287"/>
      <c r="AH315" s="287"/>
      <c r="AI315" s="287"/>
      <c r="AJ315" s="287"/>
      <c r="AK315" s="287"/>
      <c r="AL315" s="287"/>
      <c r="AM315" s="287"/>
      <c r="AN315" s="287"/>
      <c r="AO315" s="287"/>
      <c r="AP315" s="287"/>
      <c r="AQ315" s="287"/>
      <c r="AR315" s="287"/>
      <c r="AS315" s="287"/>
      <c r="AT315" s="287"/>
      <c r="AU315" s="287"/>
      <c r="AV315" s="287"/>
      <c r="AW315" s="287"/>
      <c r="AX315" s="287"/>
      <c r="AY315" s="287"/>
      <c r="AZ315" s="287"/>
      <c r="BA315" s="287"/>
      <c r="BB315" s="287"/>
      <c r="BC315" s="287"/>
      <c r="BD315" s="287"/>
      <c r="BE315" s="287"/>
      <c r="BF315" s="287"/>
      <c r="BG315" s="287"/>
      <c r="BH315" s="287"/>
      <c r="BI315" s="287"/>
      <c r="BJ315" s="287"/>
    </row>
    <row r="316" spans="1:62" ht="15.75" customHeight="1">
      <c r="A316" s="286"/>
      <c r="B316" s="287"/>
      <c r="C316" s="287"/>
      <c r="D316" s="287"/>
      <c r="E316" s="272"/>
      <c r="F316" s="272"/>
      <c r="G316" s="287"/>
      <c r="H316" s="287"/>
      <c r="I316" s="287"/>
      <c r="J316" s="287"/>
      <c r="K316" s="287"/>
      <c r="L316" s="287"/>
      <c r="M316" s="287"/>
      <c r="N316" s="287"/>
      <c r="O316" s="287"/>
      <c r="P316" s="287"/>
      <c r="Q316" s="287"/>
      <c r="R316" s="287"/>
      <c r="S316" s="287"/>
      <c r="T316" s="287"/>
      <c r="U316" s="287"/>
      <c r="V316" s="293"/>
      <c r="W316" s="287"/>
      <c r="X316" s="287"/>
      <c r="Y316" s="287"/>
      <c r="Z316" s="287"/>
      <c r="AA316" s="287"/>
      <c r="AB316" s="287"/>
      <c r="AC316" s="287"/>
      <c r="AD316" s="287"/>
      <c r="AE316" s="287"/>
      <c r="AF316" s="287"/>
      <c r="AG316" s="287"/>
      <c r="AH316" s="287"/>
      <c r="AI316" s="287"/>
      <c r="AJ316" s="287"/>
      <c r="AK316" s="287"/>
      <c r="AL316" s="287"/>
      <c r="AM316" s="287"/>
      <c r="AN316" s="287"/>
      <c r="AO316" s="287"/>
      <c r="AP316" s="287"/>
      <c r="AQ316" s="287"/>
      <c r="AR316" s="287"/>
      <c r="AS316" s="287"/>
      <c r="AT316" s="287"/>
      <c r="AU316" s="287"/>
      <c r="AV316" s="287"/>
      <c r="AW316" s="287"/>
      <c r="AX316" s="287"/>
      <c r="AY316" s="287"/>
      <c r="AZ316" s="287"/>
      <c r="BA316" s="287"/>
      <c r="BB316" s="287"/>
      <c r="BC316" s="287"/>
      <c r="BD316" s="287"/>
      <c r="BE316" s="287"/>
      <c r="BF316" s="287"/>
      <c r="BG316" s="287"/>
      <c r="BH316" s="287"/>
      <c r="BI316" s="287"/>
      <c r="BJ316" s="287"/>
    </row>
    <row r="317" spans="1:62" ht="15.75" customHeight="1">
      <c r="A317" s="286"/>
      <c r="B317" s="287"/>
      <c r="C317" s="287"/>
      <c r="D317" s="287"/>
      <c r="E317" s="272"/>
      <c r="F317" s="272"/>
      <c r="G317" s="287"/>
      <c r="H317" s="287"/>
      <c r="I317" s="287"/>
      <c r="J317" s="287"/>
      <c r="K317" s="287"/>
      <c r="L317" s="287"/>
      <c r="M317" s="287"/>
      <c r="N317" s="287"/>
      <c r="O317" s="287"/>
      <c r="P317" s="287"/>
      <c r="Q317" s="287"/>
      <c r="R317" s="287"/>
      <c r="S317" s="287"/>
      <c r="T317" s="287"/>
      <c r="U317" s="287"/>
      <c r="V317" s="293"/>
      <c r="W317" s="287"/>
      <c r="X317" s="287"/>
      <c r="Y317" s="287"/>
      <c r="Z317" s="287"/>
      <c r="AA317" s="287"/>
      <c r="AB317" s="287"/>
      <c r="AC317" s="287"/>
      <c r="AD317" s="287"/>
      <c r="AE317" s="287"/>
      <c r="AF317" s="287"/>
      <c r="AG317" s="287"/>
      <c r="AH317" s="287"/>
      <c r="AI317" s="287"/>
      <c r="AJ317" s="287"/>
      <c r="AK317" s="287"/>
      <c r="AL317" s="287"/>
      <c r="AM317" s="287"/>
      <c r="AN317" s="287"/>
      <c r="AO317" s="287"/>
      <c r="AP317" s="287"/>
      <c r="AQ317" s="287"/>
      <c r="AR317" s="287"/>
      <c r="AS317" s="287"/>
      <c r="AT317" s="287"/>
      <c r="AU317" s="287"/>
      <c r="AV317" s="287"/>
      <c r="AW317" s="287"/>
      <c r="AX317" s="287"/>
      <c r="AY317" s="287"/>
      <c r="AZ317" s="287"/>
      <c r="BA317" s="287"/>
      <c r="BB317" s="287"/>
      <c r="BC317" s="287"/>
      <c r="BD317" s="287"/>
      <c r="BE317" s="287"/>
      <c r="BF317" s="287"/>
      <c r="BG317" s="287"/>
      <c r="BH317" s="287"/>
      <c r="BI317" s="287"/>
      <c r="BJ317" s="287"/>
    </row>
    <row r="318" spans="1:62" ht="15.75" customHeight="1">
      <c r="A318" s="298"/>
      <c r="E318" s="251"/>
      <c r="F318" s="251"/>
      <c r="V318" s="299"/>
    </row>
    <row r="319" spans="1:62" ht="15.75" customHeight="1">
      <c r="A319" s="298"/>
      <c r="E319" s="251"/>
      <c r="F319" s="251"/>
      <c r="V319" s="299"/>
    </row>
    <row r="320" spans="1:62" ht="15.75" customHeight="1">
      <c r="A320" s="298"/>
      <c r="E320" s="251"/>
      <c r="F320" s="251"/>
      <c r="V320" s="299"/>
    </row>
    <row r="321" spans="1:22" ht="15.75" customHeight="1">
      <c r="A321" s="298"/>
      <c r="E321" s="251"/>
      <c r="F321" s="251"/>
      <c r="V321" s="299"/>
    </row>
    <row r="322" spans="1:22" ht="15.75" customHeight="1">
      <c r="A322" s="298"/>
      <c r="E322" s="251"/>
      <c r="F322" s="251"/>
      <c r="V322" s="299"/>
    </row>
    <row r="323" spans="1:22" ht="15.75" customHeight="1">
      <c r="A323" s="298"/>
      <c r="E323" s="251"/>
      <c r="F323" s="251"/>
      <c r="V323" s="299"/>
    </row>
    <row r="324" spans="1:22" ht="15.75" customHeight="1">
      <c r="A324" s="298"/>
      <c r="E324" s="251"/>
      <c r="F324" s="251"/>
      <c r="V324" s="299"/>
    </row>
    <row r="325" spans="1:22" ht="15.75" customHeight="1">
      <c r="A325" s="298"/>
      <c r="E325" s="251"/>
      <c r="F325" s="251"/>
      <c r="V325" s="299"/>
    </row>
    <row r="326" spans="1:22" ht="15.75" customHeight="1">
      <c r="A326" s="298"/>
      <c r="E326" s="251"/>
      <c r="F326" s="251"/>
      <c r="V326" s="299"/>
    </row>
    <row r="327" spans="1:22" ht="15.75" customHeight="1">
      <c r="A327" s="298"/>
      <c r="E327" s="251"/>
      <c r="F327" s="251"/>
      <c r="V327" s="299"/>
    </row>
    <row r="328" spans="1:22" ht="15.75" customHeight="1">
      <c r="A328" s="298"/>
      <c r="E328" s="251"/>
      <c r="F328" s="251"/>
      <c r="V328" s="299"/>
    </row>
    <row r="329" spans="1:22" ht="15.75" customHeight="1">
      <c r="A329" s="298"/>
      <c r="E329" s="251"/>
      <c r="F329" s="251"/>
      <c r="V329" s="299"/>
    </row>
    <row r="330" spans="1:22" ht="15.75" customHeight="1">
      <c r="A330" s="298"/>
      <c r="E330" s="251"/>
      <c r="F330" s="251"/>
      <c r="V330" s="299"/>
    </row>
    <row r="331" spans="1:22" ht="15.75" customHeight="1">
      <c r="A331" s="298"/>
      <c r="E331" s="251"/>
      <c r="F331" s="251"/>
      <c r="V331" s="299"/>
    </row>
    <row r="332" spans="1:22" ht="15.75" customHeight="1">
      <c r="A332" s="298"/>
      <c r="E332" s="251"/>
      <c r="F332" s="251"/>
      <c r="V332" s="299"/>
    </row>
    <row r="333" spans="1:22" ht="15.75" customHeight="1">
      <c r="A333" s="298"/>
      <c r="E333" s="251"/>
      <c r="F333" s="251"/>
      <c r="V333" s="299"/>
    </row>
    <row r="334" spans="1:22" ht="15.75" customHeight="1">
      <c r="A334" s="298"/>
      <c r="E334" s="251"/>
      <c r="F334" s="251"/>
      <c r="V334" s="299"/>
    </row>
    <row r="335" spans="1:22" ht="15.75" customHeight="1">
      <c r="A335" s="298"/>
      <c r="E335" s="251"/>
      <c r="F335" s="251"/>
      <c r="V335" s="299"/>
    </row>
    <row r="336" spans="1:22" ht="15.75" customHeight="1">
      <c r="A336" s="298"/>
      <c r="E336" s="251"/>
      <c r="F336" s="251"/>
      <c r="V336" s="299"/>
    </row>
    <row r="337" spans="1:22" ht="15.75" customHeight="1">
      <c r="A337" s="298"/>
      <c r="E337" s="251"/>
      <c r="F337" s="251"/>
      <c r="V337" s="299"/>
    </row>
    <row r="338" spans="1:22" ht="15.75" customHeight="1">
      <c r="A338" s="298"/>
      <c r="E338" s="251"/>
      <c r="F338" s="251"/>
      <c r="V338" s="299"/>
    </row>
    <row r="339" spans="1:22" ht="15.75" customHeight="1">
      <c r="A339" s="298"/>
      <c r="E339" s="251"/>
      <c r="F339" s="251"/>
      <c r="V339" s="299"/>
    </row>
    <row r="340" spans="1:22" ht="15.75" customHeight="1">
      <c r="A340" s="298"/>
      <c r="E340" s="251"/>
      <c r="F340" s="251"/>
      <c r="V340" s="299"/>
    </row>
    <row r="341" spans="1:22" ht="15.75" customHeight="1">
      <c r="A341" s="298"/>
      <c r="E341" s="251"/>
      <c r="F341" s="251"/>
      <c r="V341" s="299"/>
    </row>
    <row r="342" spans="1:22" ht="15.75" customHeight="1">
      <c r="A342" s="298"/>
      <c r="E342" s="251"/>
      <c r="F342" s="251"/>
      <c r="V342" s="299"/>
    </row>
    <row r="343" spans="1:22" ht="15.75" customHeight="1">
      <c r="A343" s="298"/>
      <c r="E343" s="251"/>
      <c r="F343" s="251"/>
      <c r="V343" s="299"/>
    </row>
    <row r="344" spans="1:22" ht="15.75" customHeight="1">
      <c r="A344" s="298"/>
      <c r="E344" s="251"/>
      <c r="F344" s="251"/>
      <c r="V344" s="299"/>
    </row>
    <row r="345" spans="1:22" ht="15.75" customHeight="1">
      <c r="A345" s="298"/>
      <c r="E345" s="251"/>
      <c r="F345" s="251"/>
      <c r="V345" s="299"/>
    </row>
    <row r="346" spans="1:22" ht="15.75" customHeight="1">
      <c r="A346" s="298"/>
      <c r="E346" s="251"/>
      <c r="F346" s="251"/>
      <c r="V346" s="299"/>
    </row>
    <row r="347" spans="1:22" ht="15.75" customHeight="1">
      <c r="A347" s="298"/>
      <c r="E347" s="251"/>
      <c r="F347" s="251"/>
      <c r="V347" s="299"/>
    </row>
    <row r="348" spans="1:22" ht="15.75" customHeight="1">
      <c r="A348" s="298"/>
      <c r="E348" s="251"/>
      <c r="F348" s="251"/>
      <c r="V348" s="299"/>
    </row>
    <row r="349" spans="1:22" ht="15.75" customHeight="1">
      <c r="A349" s="298"/>
      <c r="E349" s="251"/>
      <c r="F349" s="251"/>
      <c r="V349" s="299"/>
    </row>
    <row r="350" spans="1:22" ht="15.75" customHeight="1">
      <c r="A350" s="298"/>
      <c r="E350" s="251"/>
      <c r="F350" s="251"/>
      <c r="V350" s="299"/>
    </row>
    <row r="351" spans="1:22" ht="15.75" customHeight="1">
      <c r="A351" s="298"/>
      <c r="E351" s="251"/>
      <c r="F351" s="251"/>
      <c r="V351" s="299"/>
    </row>
    <row r="352" spans="1:22" ht="15.75" customHeight="1">
      <c r="A352" s="298"/>
      <c r="E352" s="251"/>
      <c r="F352" s="251"/>
      <c r="V352" s="299"/>
    </row>
    <row r="353" spans="1:22" ht="15.75" customHeight="1">
      <c r="A353" s="298"/>
      <c r="E353" s="251"/>
      <c r="F353" s="251"/>
      <c r="V353" s="299"/>
    </row>
    <row r="354" spans="1:22" ht="15.75" customHeight="1">
      <c r="A354" s="298"/>
      <c r="E354" s="251"/>
      <c r="F354" s="251"/>
      <c r="V354" s="299"/>
    </row>
    <row r="355" spans="1:22" ht="15.75" customHeight="1">
      <c r="A355" s="298"/>
      <c r="E355" s="251"/>
      <c r="F355" s="251"/>
      <c r="V355" s="299"/>
    </row>
    <row r="356" spans="1:22" ht="15.75" customHeight="1">
      <c r="A356" s="298"/>
      <c r="E356" s="251"/>
      <c r="F356" s="251"/>
      <c r="V356" s="299"/>
    </row>
    <row r="357" spans="1:22" ht="15.75" customHeight="1">
      <c r="A357" s="298"/>
      <c r="E357" s="251"/>
      <c r="F357" s="251"/>
      <c r="V357" s="299"/>
    </row>
    <row r="358" spans="1:22" ht="15.75" customHeight="1">
      <c r="A358" s="298"/>
      <c r="E358" s="251"/>
      <c r="F358" s="251"/>
      <c r="V358" s="299"/>
    </row>
    <row r="359" spans="1:22" ht="15.75" customHeight="1">
      <c r="A359" s="298"/>
      <c r="E359" s="251"/>
      <c r="F359" s="251"/>
      <c r="V359" s="299"/>
    </row>
    <row r="360" spans="1:22" ht="15.75" customHeight="1">
      <c r="A360" s="298"/>
      <c r="E360" s="251"/>
      <c r="F360" s="251"/>
      <c r="V360" s="299"/>
    </row>
    <row r="361" spans="1:22" ht="15.75" customHeight="1">
      <c r="A361" s="298"/>
      <c r="E361" s="251"/>
      <c r="F361" s="251"/>
      <c r="V361" s="299"/>
    </row>
    <row r="362" spans="1:22" ht="15.75" customHeight="1">
      <c r="A362" s="298"/>
      <c r="E362" s="251"/>
      <c r="F362" s="251"/>
      <c r="V362" s="299"/>
    </row>
    <row r="363" spans="1:22" ht="15.75" customHeight="1">
      <c r="A363" s="298"/>
      <c r="E363" s="251"/>
      <c r="F363" s="251"/>
      <c r="V363" s="299"/>
    </row>
    <row r="364" spans="1:22" ht="15.75" customHeight="1">
      <c r="A364" s="298"/>
      <c r="E364" s="251"/>
      <c r="F364" s="251"/>
      <c r="V364" s="299"/>
    </row>
    <row r="365" spans="1:22" ht="15.75" customHeight="1">
      <c r="A365" s="298"/>
      <c r="E365" s="251"/>
      <c r="F365" s="251"/>
      <c r="V365" s="299"/>
    </row>
    <row r="366" spans="1:22" ht="15.75" customHeight="1">
      <c r="A366" s="298"/>
      <c r="E366" s="251"/>
      <c r="F366" s="251"/>
      <c r="V366" s="299"/>
    </row>
    <row r="367" spans="1:22" ht="15.75" customHeight="1">
      <c r="A367" s="298"/>
      <c r="E367" s="251"/>
      <c r="F367" s="251"/>
      <c r="V367" s="299"/>
    </row>
    <row r="368" spans="1:22" ht="15.75" customHeight="1">
      <c r="A368" s="298"/>
      <c r="E368" s="251"/>
      <c r="F368" s="251"/>
      <c r="V368" s="299"/>
    </row>
    <row r="369" spans="1:22" ht="15.75" customHeight="1">
      <c r="A369" s="298"/>
      <c r="E369" s="251"/>
      <c r="F369" s="251"/>
      <c r="V369" s="299"/>
    </row>
    <row r="370" spans="1:22" ht="15.75" customHeight="1">
      <c r="A370" s="298"/>
      <c r="E370" s="251"/>
      <c r="F370" s="251"/>
      <c r="V370" s="299"/>
    </row>
    <row r="371" spans="1:22" ht="15.75" customHeight="1">
      <c r="A371" s="298"/>
      <c r="E371" s="251"/>
      <c r="F371" s="251"/>
      <c r="V371" s="299"/>
    </row>
    <row r="372" spans="1:22" ht="15.75" customHeight="1">
      <c r="A372" s="298"/>
      <c r="E372" s="251"/>
      <c r="F372" s="251"/>
      <c r="V372" s="299"/>
    </row>
    <row r="373" spans="1:22" ht="15.75" customHeight="1">
      <c r="A373" s="298"/>
      <c r="E373" s="251"/>
      <c r="F373" s="251"/>
      <c r="V373" s="299"/>
    </row>
    <row r="374" spans="1:22" ht="15.75" customHeight="1">
      <c r="A374" s="298"/>
      <c r="E374" s="251"/>
      <c r="F374" s="251"/>
      <c r="V374" s="299"/>
    </row>
    <row r="375" spans="1:22" ht="15.75" customHeight="1">
      <c r="A375" s="298"/>
      <c r="E375" s="251"/>
      <c r="F375" s="251"/>
      <c r="V375" s="299"/>
    </row>
    <row r="376" spans="1:22" ht="15.75" customHeight="1">
      <c r="A376" s="298"/>
      <c r="E376" s="251"/>
      <c r="F376" s="251"/>
      <c r="V376" s="299"/>
    </row>
    <row r="377" spans="1:22" ht="15.75" customHeight="1">
      <c r="A377" s="298"/>
      <c r="E377" s="251"/>
      <c r="F377" s="251"/>
      <c r="V377" s="299"/>
    </row>
    <row r="378" spans="1:22" ht="15.75" customHeight="1">
      <c r="A378" s="298"/>
      <c r="E378" s="251"/>
      <c r="F378" s="251"/>
      <c r="V378" s="299"/>
    </row>
    <row r="379" spans="1:22" ht="15.75" customHeight="1">
      <c r="A379" s="298"/>
      <c r="E379" s="251"/>
      <c r="F379" s="251"/>
      <c r="V379" s="299"/>
    </row>
    <row r="380" spans="1:22" ht="15.75" customHeight="1">
      <c r="A380" s="298"/>
      <c r="E380" s="251"/>
      <c r="F380" s="251"/>
      <c r="V380" s="299"/>
    </row>
    <row r="381" spans="1:22" ht="15.75" customHeight="1">
      <c r="A381" s="298"/>
      <c r="E381" s="251"/>
      <c r="F381" s="251"/>
      <c r="V381" s="299"/>
    </row>
    <row r="382" spans="1:22" ht="15.75" customHeight="1">
      <c r="A382" s="298"/>
      <c r="E382" s="251"/>
      <c r="F382" s="251"/>
      <c r="V382" s="299"/>
    </row>
    <row r="383" spans="1:22" ht="15.75" customHeight="1">
      <c r="A383" s="298"/>
      <c r="E383" s="251"/>
      <c r="F383" s="251"/>
      <c r="V383" s="299"/>
    </row>
    <row r="384" spans="1:22" ht="15.75" customHeight="1">
      <c r="A384" s="298"/>
      <c r="E384" s="251"/>
      <c r="F384" s="251"/>
      <c r="V384" s="299"/>
    </row>
    <row r="385" spans="1:22" ht="15.75" customHeight="1">
      <c r="A385" s="298"/>
      <c r="E385" s="251"/>
      <c r="F385" s="251"/>
      <c r="V385" s="299"/>
    </row>
    <row r="386" spans="1:22" ht="15.75" customHeight="1">
      <c r="A386" s="298"/>
      <c r="E386" s="251"/>
      <c r="F386" s="251"/>
      <c r="V386" s="299"/>
    </row>
    <row r="387" spans="1:22" ht="15.75" customHeight="1">
      <c r="A387" s="298"/>
      <c r="E387" s="251"/>
      <c r="F387" s="251"/>
      <c r="V387" s="299"/>
    </row>
    <row r="388" spans="1:22" ht="15.75" customHeight="1">
      <c r="A388" s="298"/>
      <c r="E388" s="251"/>
      <c r="F388" s="251"/>
      <c r="V388" s="299"/>
    </row>
    <row r="389" spans="1:22" ht="15.75" customHeight="1">
      <c r="A389" s="298"/>
      <c r="E389" s="251"/>
      <c r="F389" s="251"/>
      <c r="V389" s="299"/>
    </row>
    <row r="390" spans="1:22" ht="15.75" customHeight="1">
      <c r="A390" s="298"/>
      <c r="E390" s="251"/>
      <c r="F390" s="251"/>
      <c r="V390" s="299"/>
    </row>
    <row r="391" spans="1:22" ht="15.75" customHeight="1">
      <c r="A391" s="298"/>
      <c r="E391" s="251"/>
      <c r="F391" s="251"/>
      <c r="V391" s="299"/>
    </row>
    <row r="392" spans="1:22" ht="15.75" customHeight="1">
      <c r="A392" s="298"/>
      <c r="E392" s="251"/>
      <c r="F392" s="251"/>
      <c r="V392" s="299"/>
    </row>
    <row r="393" spans="1:22" ht="15.75" customHeight="1">
      <c r="A393" s="298"/>
      <c r="E393" s="251"/>
      <c r="F393" s="251"/>
      <c r="V393" s="299"/>
    </row>
    <row r="394" spans="1:22" ht="15.75" customHeight="1">
      <c r="A394" s="298"/>
      <c r="E394" s="251"/>
      <c r="F394" s="251"/>
      <c r="V394" s="299"/>
    </row>
    <row r="395" spans="1:22" ht="15.75" customHeight="1">
      <c r="A395" s="298"/>
      <c r="E395" s="251"/>
      <c r="F395" s="251"/>
      <c r="V395" s="299"/>
    </row>
    <row r="396" spans="1:22" ht="15.75" customHeight="1">
      <c r="A396" s="298"/>
      <c r="E396" s="251"/>
      <c r="F396" s="251"/>
      <c r="V396" s="299"/>
    </row>
    <row r="397" spans="1:22" ht="15.75" customHeight="1">
      <c r="A397" s="298"/>
      <c r="E397" s="251"/>
      <c r="F397" s="251"/>
      <c r="V397" s="299"/>
    </row>
    <row r="398" spans="1:22" ht="15.75" customHeight="1">
      <c r="A398" s="298"/>
      <c r="E398" s="251"/>
      <c r="F398" s="251"/>
      <c r="V398" s="299"/>
    </row>
    <row r="399" spans="1:22" ht="15.75" customHeight="1">
      <c r="A399" s="298"/>
      <c r="E399" s="251"/>
      <c r="F399" s="251"/>
      <c r="V399" s="299"/>
    </row>
    <row r="400" spans="1:22" ht="15.75" customHeight="1">
      <c r="A400" s="298"/>
      <c r="E400" s="251"/>
      <c r="F400" s="251"/>
      <c r="V400" s="299"/>
    </row>
    <row r="401" spans="1:22" ht="15.75" customHeight="1">
      <c r="A401" s="298"/>
      <c r="E401" s="251"/>
      <c r="F401" s="251"/>
      <c r="V401" s="299"/>
    </row>
    <row r="402" spans="1:22" ht="15.75" customHeight="1">
      <c r="A402" s="298"/>
      <c r="E402" s="251"/>
      <c r="F402" s="251"/>
      <c r="V402" s="299"/>
    </row>
    <row r="403" spans="1:22" ht="15.75" customHeight="1">
      <c r="A403" s="298"/>
      <c r="E403" s="251"/>
      <c r="F403" s="251"/>
      <c r="V403" s="299"/>
    </row>
    <row r="404" spans="1:22" ht="15.75" customHeight="1">
      <c r="A404" s="298"/>
      <c r="E404" s="251"/>
      <c r="F404" s="251"/>
      <c r="V404" s="299"/>
    </row>
    <row r="405" spans="1:22" ht="15.75" customHeight="1">
      <c r="A405" s="298"/>
      <c r="E405" s="251"/>
      <c r="F405" s="251"/>
      <c r="V405" s="299"/>
    </row>
    <row r="406" spans="1:22" ht="15.75" customHeight="1">
      <c r="A406" s="298"/>
      <c r="E406" s="251"/>
      <c r="F406" s="251"/>
      <c r="V406" s="299"/>
    </row>
    <row r="407" spans="1:22" ht="15.75" customHeight="1">
      <c r="A407" s="298"/>
      <c r="E407" s="251"/>
      <c r="F407" s="251"/>
      <c r="V407" s="299"/>
    </row>
    <row r="408" spans="1:22" ht="15.75" customHeight="1">
      <c r="A408" s="298"/>
      <c r="E408" s="251"/>
      <c r="F408" s="251"/>
      <c r="V408" s="299"/>
    </row>
    <row r="409" spans="1:22" ht="15.75" customHeight="1">
      <c r="A409" s="298"/>
      <c r="E409" s="251"/>
      <c r="F409" s="251"/>
      <c r="V409" s="299"/>
    </row>
    <row r="410" spans="1:22" ht="15.75" customHeight="1">
      <c r="A410" s="298"/>
      <c r="E410" s="251"/>
      <c r="F410" s="251"/>
      <c r="V410" s="299"/>
    </row>
    <row r="411" spans="1:22" ht="15.75" customHeight="1">
      <c r="A411" s="298"/>
      <c r="E411" s="251"/>
      <c r="F411" s="251"/>
      <c r="V411" s="299"/>
    </row>
    <row r="412" spans="1:22" ht="15.75" customHeight="1">
      <c r="A412" s="298"/>
      <c r="E412" s="251"/>
      <c r="F412" s="251"/>
      <c r="V412" s="299"/>
    </row>
    <row r="413" spans="1:22" ht="15.75" customHeight="1">
      <c r="A413" s="298"/>
      <c r="E413" s="251"/>
      <c r="F413" s="251"/>
      <c r="V413" s="299"/>
    </row>
    <row r="414" spans="1:22" ht="15.75" customHeight="1">
      <c r="A414" s="298"/>
      <c r="E414" s="251"/>
      <c r="F414" s="251"/>
      <c r="V414" s="299"/>
    </row>
    <row r="415" spans="1:22" ht="15.75" customHeight="1">
      <c r="A415" s="298"/>
      <c r="E415" s="251"/>
      <c r="F415" s="251"/>
      <c r="V415" s="299"/>
    </row>
    <row r="416" spans="1:22" ht="15.75" customHeight="1">
      <c r="A416" s="298"/>
      <c r="E416" s="251"/>
      <c r="F416" s="251"/>
      <c r="V416" s="299"/>
    </row>
    <row r="417" spans="1:22" ht="15.75" customHeight="1">
      <c r="A417" s="298"/>
      <c r="E417" s="251"/>
      <c r="F417" s="251"/>
      <c r="V417" s="299"/>
    </row>
    <row r="418" spans="1:22" ht="15.75" customHeight="1">
      <c r="A418" s="298"/>
      <c r="E418" s="251"/>
      <c r="F418" s="251"/>
      <c r="V418" s="299"/>
    </row>
    <row r="419" spans="1:22" ht="15.75" customHeight="1">
      <c r="A419" s="298"/>
      <c r="E419" s="251"/>
      <c r="F419" s="251"/>
      <c r="V419" s="299"/>
    </row>
    <row r="420" spans="1:22" ht="15.75" customHeight="1">
      <c r="A420" s="298"/>
      <c r="E420" s="251"/>
      <c r="F420" s="251"/>
      <c r="V420" s="299"/>
    </row>
    <row r="421" spans="1:22" ht="15.75" customHeight="1">
      <c r="A421" s="298"/>
      <c r="E421" s="251"/>
      <c r="F421" s="251"/>
      <c r="V421" s="299"/>
    </row>
    <row r="422" spans="1:22" ht="15.75" customHeight="1">
      <c r="A422" s="298"/>
      <c r="E422" s="251"/>
      <c r="F422" s="251"/>
      <c r="V422" s="299"/>
    </row>
    <row r="423" spans="1:22" ht="15.75" customHeight="1">
      <c r="A423" s="298"/>
      <c r="E423" s="251"/>
      <c r="F423" s="251"/>
      <c r="V423" s="299"/>
    </row>
    <row r="424" spans="1:22" ht="15.75" customHeight="1">
      <c r="A424" s="298"/>
      <c r="E424" s="251"/>
      <c r="F424" s="251"/>
      <c r="V424" s="299"/>
    </row>
    <row r="425" spans="1:22" ht="15.75" customHeight="1">
      <c r="A425" s="298"/>
      <c r="E425" s="251"/>
      <c r="F425" s="251"/>
      <c r="V425" s="299"/>
    </row>
    <row r="426" spans="1:22" ht="15.75" customHeight="1">
      <c r="A426" s="298"/>
      <c r="E426" s="251"/>
      <c r="F426" s="251"/>
      <c r="V426" s="299"/>
    </row>
    <row r="427" spans="1:22" ht="15.75" customHeight="1">
      <c r="A427" s="298"/>
      <c r="E427" s="251"/>
      <c r="F427" s="251"/>
      <c r="V427" s="299"/>
    </row>
    <row r="428" spans="1:22" ht="15.75" customHeight="1">
      <c r="A428" s="298"/>
      <c r="E428" s="251"/>
      <c r="F428" s="251"/>
      <c r="V428" s="299"/>
    </row>
    <row r="429" spans="1:22" ht="15.75" customHeight="1">
      <c r="A429" s="298"/>
      <c r="E429" s="251"/>
      <c r="F429" s="251"/>
      <c r="V429" s="299"/>
    </row>
    <row r="430" spans="1:22" ht="15.75" customHeight="1">
      <c r="A430" s="298"/>
      <c r="E430" s="251"/>
      <c r="F430" s="251"/>
      <c r="V430" s="299"/>
    </row>
    <row r="431" spans="1:22" ht="15.75" customHeight="1">
      <c r="A431" s="298"/>
      <c r="E431" s="251"/>
      <c r="F431" s="251"/>
      <c r="V431" s="299"/>
    </row>
    <row r="432" spans="1:22" ht="15.75" customHeight="1">
      <c r="A432" s="298"/>
      <c r="E432" s="251"/>
      <c r="F432" s="251"/>
      <c r="V432" s="299"/>
    </row>
    <row r="433" spans="1:22" ht="15.75" customHeight="1">
      <c r="A433" s="298"/>
      <c r="E433" s="251"/>
      <c r="F433" s="251"/>
      <c r="V433" s="299"/>
    </row>
    <row r="434" spans="1:22" ht="15.75" customHeight="1">
      <c r="A434" s="298"/>
      <c r="E434" s="251"/>
      <c r="F434" s="251"/>
      <c r="V434" s="299"/>
    </row>
    <row r="435" spans="1:22" ht="15.75" customHeight="1">
      <c r="A435" s="298"/>
      <c r="E435" s="251"/>
      <c r="F435" s="251"/>
      <c r="V435" s="299"/>
    </row>
    <row r="436" spans="1:22" ht="15.75" customHeight="1">
      <c r="A436" s="298"/>
      <c r="E436" s="251"/>
      <c r="F436" s="251"/>
      <c r="V436" s="299"/>
    </row>
    <row r="437" spans="1:22" ht="15.75" customHeight="1">
      <c r="A437" s="298"/>
      <c r="E437" s="251"/>
      <c r="F437" s="251"/>
      <c r="V437" s="299"/>
    </row>
    <row r="438" spans="1:22" ht="15.75" customHeight="1">
      <c r="A438" s="298"/>
      <c r="E438" s="251"/>
      <c r="F438" s="251"/>
      <c r="V438" s="299"/>
    </row>
    <row r="439" spans="1:22" ht="15.75" customHeight="1">
      <c r="A439" s="298"/>
      <c r="E439" s="251"/>
      <c r="F439" s="251"/>
      <c r="V439" s="299"/>
    </row>
    <row r="440" spans="1:22" ht="15.75" customHeight="1">
      <c r="A440" s="298"/>
      <c r="E440" s="251"/>
      <c r="F440" s="251"/>
      <c r="V440" s="299"/>
    </row>
    <row r="441" spans="1:22" ht="15.75" customHeight="1">
      <c r="A441" s="298"/>
      <c r="E441" s="251"/>
      <c r="F441" s="251"/>
      <c r="V441" s="299"/>
    </row>
    <row r="442" spans="1:22" ht="15.75" customHeight="1">
      <c r="A442" s="298"/>
      <c r="E442" s="251"/>
      <c r="F442" s="251"/>
      <c r="V442" s="299"/>
    </row>
    <row r="443" spans="1:22" ht="15.75" customHeight="1">
      <c r="A443" s="298"/>
      <c r="E443" s="251"/>
      <c r="F443" s="251"/>
      <c r="V443" s="299"/>
    </row>
    <row r="444" spans="1:22" ht="15.75" customHeight="1">
      <c r="A444" s="298"/>
      <c r="E444" s="251"/>
      <c r="F444" s="251"/>
      <c r="V444" s="299"/>
    </row>
    <row r="445" spans="1:22" ht="15.75" customHeight="1">
      <c r="A445" s="298"/>
      <c r="E445" s="251"/>
      <c r="F445" s="251"/>
      <c r="V445" s="299"/>
    </row>
    <row r="446" spans="1:22" ht="15.75" customHeight="1">
      <c r="A446" s="298"/>
      <c r="E446" s="251"/>
      <c r="F446" s="251"/>
      <c r="V446" s="299"/>
    </row>
    <row r="447" spans="1:22" ht="15.75" customHeight="1">
      <c r="A447" s="298"/>
      <c r="E447" s="251"/>
      <c r="F447" s="251"/>
      <c r="V447" s="299"/>
    </row>
    <row r="448" spans="1:22" ht="15.75" customHeight="1">
      <c r="A448" s="298"/>
      <c r="E448" s="251"/>
      <c r="F448" s="251"/>
      <c r="V448" s="299"/>
    </row>
    <row r="449" spans="1:22" ht="15.75" customHeight="1">
      <c r="A449" s="298"/>
      <c r="E449" s="251"/>
      <c r="F449" s="251"/>
      <c r="V449" s="299"/>
    </row>
    <row r="450" spans="1:22" ht="15.75" customHeight="1">
      <c r="A450" s="298"/>
      <c r="E450" s="251"/>
      <c r="F450" s="251"/>
      <c r="V450" s="299"/>
    </row>
    <row r="451" spans="1:22" ht="15.75" customHeight="1">
      <c r="A451" s="298"/>
      <c r="E451" s="251"/>
      <c r="F451" s="251"/>
      <c r="V451" s="299"/>
    </row>
    <row r="452" spans="1:22" ht="15.75" customHeight="1">
      <c r="A452" s="298"/>
      <c r="E452" s="251"/>
      <c r="F452" s="251"/>
      <c r="V452" s="299"/>
    </row>
    <row r="453" spans="1:22" ht="15.75" customHeight="1">
      <c r="A453" s="298"/>
      <c r="E453" s="251"/>
      <c r="F453" s="251"/>
      <c r="V453" s="299"/>
    </row>
    <row r="454" spans="1:22" ht="15.75" customHeight="1">
      <c r="A454" s="298"/>
      <c r="E454" s="251"/>
      <c r="F454" s="251"/>
      <c r="V454" s="299"/>
    </row>
    <row r="455" spans="1:22" ht="15.75" customHeight="1">
      <c r="A455" s="298"/>
      <c r="E455" s="251"/>
      <c r="F455" s="251"/>
      <c r="V455" s="299"/>
    </row>
    <row r="456" spans="1:22" ht="15.75" customHeight="1">
      <c r="A456" s="298"/>
      <c r="E456" s="251"/>
      <c r="F456" s="251"/>
      <c r="V456" s="299"/>
    </row>
    <row r="457" spans="1:22" ht="15.75" customHeight="1">
      <c r="A457" s="298"/>
      <c r="E457" s="251"/>
      <c r="F457" s="251"/>
      <c r="V457" s="299"/>
    </row>
    <row r="458" spans="1:22" ht="15.75" customHeight="1">
      <c r="A458" s="298"/>
      <c r="E458" s="251"/>
      <c r="F458" s="251"/>
      <c r="V458" s="299"/>
    </row>
    <row r="459" spans="1:22" ht="15.75" customHeight="1">
      <c r="A459" s="298"/>
      <c r="E459" s="251"/>
      <c r="F459" s="251"/>
      <c r="V459" s="299"/>
    </row>
    <row r="460" spans="1:22" ht="15.75" customHeight="1">
      <c r="A460" s="298"/>
      <c r="E460" s="251"/>
      <c r="F460" s="251"/>
      <c r="V460" s="299"/>
    </row>
    <row r="461" spans="1:22" ht="15.75" customHeight="1">
      <c r="A461" s="298"/>
      <c r="E461" s="251"/>
      <c r="F461" s="251"/>
      <c r="V461" s="299"/>
    </row>
    <row r="462" spans="1:22" ht="15.75" customHeight="1">
      <c r="A462" s="298"/>
      <c r="E462" s="251"/>
      <c r="F462" s="251"/>
      <c r="V462" s="299"/>
    </row>
    <row r="463" spans="1:22" ht="15.75" customHeight="1">
      <c r="A463" s="298"/>
      <c r="E463" s="251"/>
      <c r="F463" s="251"/>
      <c r="V463" s="299"/>
    </row>
    <row r="464" spans="1:22" ht="15.75" customHeight="1">
      <c r="A464" s="298"/>
      <c r="E464" s="251"/>
      <c r="F464" s="251"/>
      <c r="V464" s="299"/>
    </row>
    <row r="465" spans="1:22" ht="15.75" customHeight="1">
      <c r="A465" s="298"/>
      <c r="E465" s="251"/>
      <c r="F465" s="251"/>
      <c r="V465" s="299"/>
    </row>
    <row r="466" spans="1:22" ht="15.75" customHeight="1">
      <c r="A466" s="298"/>
      <c r="E466" s="251"/>
      <c r="F466" s="251"/>
      <c r="V466" s="299"/>
    </row>
    <row r="467" spans="1:22" ht="15.75" customHeight="1">
      <c r="A467" s="298"/>
      <c r="E467" s="251"/>
      <c r="F467" s="251"/>
      <c r="V467" s="299"/>
    </row>
    <row r="468" spans="1:22" ht="15.75" customHeight="1">
      <c r="A468" s="298"/>
      <c r="E468" s="251"/>
      <c r="F468" s="251"/>
      <c r="V468" s="299"/>
    </row>
    <row r="469" spans="1:22" ht="15.75" customHeight="1">
      <c r="A469" s="298"/>
      <c r="E469" s="251"/>
      <c r="F469" s="251"/>
      <c r="V469" s="299"/>
    </row>
    <row r="470" spans="1:22" ht="15.75" customHeight="1">
      <c r="A470" s="298"/>
      <c r="E470" s="251"/>
      <c r="F470" s="251"/>
      <c r="V470" s="299"/>
    </row>
    <row r="471" spans="1:22" ht="15.75" customHeight="1">
      <c r="A471" s="298"/>
      <c r="E471" s="251"/>
      <c r="F471" s="251"/>
      <c r="V471" s="299"/>
    </row>
    <row r="472" spans="1:22" ht="15.75" customHeight="1">
      <c r="A472" s="298"/>
      <c r="E472" s="251"/>
      <c r="F472" s="251"/>
      <c r="V472" s="299"/>
    </row>
    <row r="473" spans="1:22" ht="15.75" customHeight="1">
      <c r="A473" s="298"/>
      <c r="E473" s="251"/>
      <c r="F473" s="251"/>
      <c r="V473" s="299"/>
    </row>
    <row r="474" spans="1:22" ht="15.75" customHeight="1">
      <c r="A474" s="298"/>
      <c r="E474" s="251"/>
      <c r="F474" s="251"/>
      <c r="V474" s="299"/>
    </row>
    <row r="475" spans="1:22" ht="15.75" customHeight="1">
      <c r="A475" s="298"/>
      <c r="E475" s="251"/>
      <c r="F475" s="251"/>
      <c r="V475" s="299"/>
    </row>
    <row r="476" spans="1:22" ht="15.75" customHeight="1">
      <c r="A476" s="298"/>
      <c r="E476" s="251"/>
      <c r="F476" s="251"/>
      <c r="V476" s="299"/>
    </row>
    <row r="477" spans="1:22" ht="15.75" customHeight="1">
      <c r="A477" s="298"/>
      <c r="E477" s="251"/>
      <c r="F477" s="251"/>
      <c r="V477" s="299"/>
    </row>
    <row r="478" spans="1:22" ht="15.75" customHeight="1">
      <c r="A478" s="298"/>
      <c r="E478" s="251"/>
      <c r="F478" s="251"/>
      <c r="V478" s="299"/>
    </row>
    <row r="479" spans="1:22" ht="15.75" customHeight="1">
      <c r="A479" s="298"/>
      <c r="E479" s="251"/>
      <c r="F479" s="251"/>
      <c r="V479" s="299"/>
    </row>
    <row r="480" spans="1:22" ht="15.75" customHeight="1">
      <c r="A480" s="298"/>
      <c r="E480" s="251"/>
      <c r="F480" s="251"/>
      <c r="V480" s="299"/>
    </row>
    <row r="481" spans="1:22" ht="15.75" customHeight="1">
      <c r="A481" s="298"/>
      <c r="E481" s="251"/>
      <c r="F481" s="251"/>
      <c r="V481" s="299"/>
    </row>
    <row r="482" spans="1:22" ht="15.75" customHeight="1">
      <c r="A482" s="298"/>
      <c r="E482" s="251"/>
      <c r="F482" s="251"/>
      <c r="V482" s="299"/>
    </row>
    <row r="483" spans="1:22" ht="15.75" customHeight="1">
      <c r="A483" s="298"/>
      <c r="E483" s="251"/>
      <c r="F483" s="251"/>
      <c r="V483" s="299"/>
    </row>
    <row r="484" spans="1:22" ht="15.75" customHeight="1">
      <c r="A484" s="298"/>
      <c r="E484" s="251"/>
      <c r="F484" s="251"/>
      <c r="V484" s="299"/>
    </row>
    <row r="485" spans="1:22" ht="15.75" customHeight="1">
      <c r="A485" s="298"/>
      <c r="E485" s="251"/>
      <c r="F485" s="251"/>
      <c r="V485" s="299"/>
    </row>
    <row r="486" spans="1:22" ht="15.75" customHeight="1">
      <c r="A486" s="298"/>
      <c r="E486" s="251"/>
      <c r="F486" s="251"/>
      <c r="V486" s="299"/>
    </row>
    <row r="487" spans="1:22" ht="15.75" customHeight="1">
      <c r="A487" s="298"/>
      <c r="E487" s="251"/>
      <c r="F487" s="251"/>
      <c r="V487" s="299"/>
    </row>
    <row r="488" spans="1:22" ht="15.75" customHeight="1">
      <c r="A488" s="298"/>
      <c r="E488" s="251"/>
      <c r="F488" s="251"/>
      <c r="V488" s="299"/>
    </row>
    <row r="489" spans="1:22" ht="15.75" customHeight="1">
      <c r="A489" s="298"/>
      <c r="E489" s="251"/>
      <c r="F489" s="251"/>
      <c r="V489" s="299"/>
    </row>
    <row r="490" spans="1:22" ht="15.75" customHeight="1">
      <c r="A490" s="298"/>
      <c r="E490" s="251"/>
      <c r="F490" s="251"/>
      <c r="V490" s="299"/>
    </row>
    <row r="491" spans="1:22" ht="15.75" customHeight="1">
      <c r="A491" s="298"/>
      <c r="E491" s="251"/>
      <c r="F491" s="251"/>
      <c r="V491" s="299"/>
    </row>
    <row r="492" spans="1:22" ht="15.75" customHeight="1">
      <c r="A492" s="298"/>
      <c r="E492" s="251"/>
      <c r="F492" s="251"/>
      <c r="V492" s="299"/>
    </row>
    <row r="493" spans="1:22" ht="15.75" customHeight="1">
      <c r="A493" s="298"/>
      <c r="E493" s="251"/>
      <c r="F493" s="251"/>
      <c r="V493" s="299"/>
    </row>
    <row r="494" spans="1:22" ht="15.75" customHeight="1">
      <c r="A494" s="298"/>
      <c r="E494" s="251"/>
      <c r="F494" s="251"/>
      <c r="V494" s="299"/>
    </row>
    <row r="495" spans="1:22" ht="15.75" customHeight="1">
      <c r="A495" s="298"/>
      <c r="E495" s="251"/>
      <c r="F495" s="251"/>
      <c r="V495" s="299"/>
    </row>
    <row r="496" spans="1:22" ht="15.75" customHeight="1">
      <c r="A496" s="298"/>
      <c r="E496" s="251"/>
      <c r="F496" s="251"/>
      <c r="V496" s="299"/>
    </row>
    <row r="497" spans="1:22" ht="15.75" customHeight="1">
      <c r="A497" s="298"/>
      <c r="E497" s="251"/>
      <c r="F497" s="251"/>
      <c r="V497" s="299"/>
    </row>
    <row r="498" spans="1:22" ht="15.75" customHeight="1">
      <c r="A498" s="298"/>
      <c r="E498" s="251"/>
      <c r="F498" s="251"/>
      <c r="V498" s="299"/>
    </row>
    <row r="499" spans="1:22" ht="15.75" customHeight="1">
      <c r="A499" s="298"/>
      <c r="E499" s="251"/>
      <c r="F499" s="251"/>
      <c r="V499" s="299"/>
    </row>
    <row r="500" spans="1:22" ht="15.75" customHeight="1">
      <c r="A500" s="298"/>
      <c r="E500" s="251"/>
      <c r="F500" s="251"/>
      <c r="V500" s="299"/>
    </row>
    <row r="501" spans="1:22" ht="15.75" customHeight="1">
      <c r="A501" s="298"/>
      <c r="E501" s="251"/>
      <c r="F501" s="251"/>
      <c r="V501" s="299"/>
    </row>
    <row r="502" spans="1:22" ht="15.75" customHeight="1">
      <c r="A502" s="298"/>
      <c r="E502" s="251"/>
      <c r="F502" s="251"/>
      <c r="V502" s="299"/>
    </row>
    <row r="503" spans="1:22" ht="15.75" customHeight="1">
      <c r="A503" s="298"/>
      <c r="E503" s="251"/>
      <c r="F503" s="251"/>
      <c r="V503" s="299"/>
    </row>
    <row r="504" spans="1:22" ht="15.75" customHeight="1">
      <c r="A504" s="298"/>
      <c r="E504" s="251"/>
      <c r="F504" s="251"/>
      <c r="V504" s="299"/>
    </row>
    <row r="505" spans="1:22" ht="15.75" customHeight="1">
      <c r="A505" s="298"/>
      <c r="E505" s="251"/>
      <c r="F505" s="251"/>
      <c r="V505" s="299"/>
    </row>
    <row r="506" spans="1:22" ht="15.75" customHeight="1">
      <c r="A506" s="298"/>
      <c r="E506" s="251"/>
      <c r="F506" s="251"/>
      <c r="V506" s="299"/>
    </row>
    <row r="507" spans="1:22" ht="15.75" customHeight="1">
      <c r="A507" s="298"/>
      <c r="E507" s="251"/>
      <c r="F507" s="251"/>
      <c r="V507" s="299"/>
    </row>
    <row r="508" spans="1:22" ht="15.75" customHeight="1">
      <c r="A508" s="298"/>
      <c r="E508" s="251"/>
      <c r="F508" s="251"/>
      <c r="V508" s="299"/>
    </row>
    <row r="509" spans="1:22" ht="15.75" customHeight="1">
      <c r="A509" s="298"/>
      <c r="E509" s="251"/>
      <c r="F509" s="251"/>
      <c r="V509" s="299"/>
    </row>
    <row r="510" spans="1:22" ht="15.75" customHeight="1">
      <c r="A510" s="298"/>
      <c r="E510" s="251"/>
      <c r="F510" s="251"/>
      <c r="V510" s="299"/>
    </row>
    <row r="511" spans="1:22" ht="15.75" customHeight="1">
      <c r="A511" s="298"/>
      <c r="E511" s="251"/>
      <c r="F511" s="251"/>
      <c r="V511" s="299"/>
    </row>
    <row r="512" spans="1:22" ht="15.75" customHeight="1">
      <c r="A512" s="298"/>
      <c r="E512" s="251"/>
      <c r="F512" s="251"/>
      <c r="V512" s="299"/>
    </row>
    <row r="513" spans="1:22" ht="15.75" customHeight="1">
      <c r="A513" s="298"/>
      <c r="E513" s="251"/>
      <c r="F513" s="251"/>
      <c r="V513" s="299"/>
    </row>
    <row r="514" spans="1:22" ht="15.75" customHeight="1">
      <c r="A514" s="298"/>
      <c r="E514" s="251"/>
      <c r="F514" s="251"/>
      <c r="V514" s="299"/>
    </row>
    <row r="515" spans="1:22" ht="15.75" customHeight="1">
      <c r="A515" s="298"/>
      <c r="E515" s="251"/>
      <c r="F515" s="251"/>
      <c r="V515" s="299"/>
    </row>
    <row r="516" spans="1:22" ht="15.75" customHeight="1">
      <c r="A516" s="298"/>
      <c r="E516" s="251"/>
      <c r="F516" s="251"/>
      <c r="V516" s="299"/>
    </row>
    <row r="517" spans="1:22" ht="15.75" customHeight="1">
      <c r="A517" s="298"/>
      <c r="E517" s="251"/>
      <c r="F517" s="251"/>
      <c r="V517" s="299"/>
    </row>
    <row r="518" spans="1:22" ht="15.75" customHeight="1">
      <c r="A518" s="298"/>
      <c r="E518" s="251"/>
      <c r="F518" s="251"/>
      <c r="V518" s="299"/>
    </row>
    <row r="519" spans="1:22" ht="15.75" customHeight="1">
      <c r="A519" s="298"/>
      <c r="E519" s="251"/>
      <c r="F519" s="251"/>
      <c r="V519" s="299"/>
    </row>
    <row r="520" spans="1:22" ht="15.75" customHeight="1">
      <c r="A520" s="298"/>
      <c r="E520" s="251"/>
      <c r="F520" s="251"/>
      <c r="V520" s="299"/>
    </row>
    <row r="521" spans="1:22" ht="15.75" customHeight="1">
      <c r="A521" s="298"/>
      <c r="E521" s="251"/>
      <c r="F521" s="251"/>
      <c r="V521" s="299"/>
    </row>
    <row r="522" spans="1:22" ht="15.75" customHeight="1">
      <c r="A522" s="298"/>
      <c r="E522" s="251"/>
      <c r="F522" s="251"/>
      <c r="V522" s="299"/>
    </row>
    <row r="523" spans="1:22" ht="15.75" customHeight="1">
      <c r="A523" s="298"/>
      <c r="E523" s="251"/>
      <c r="F523" s="251"/>
      <c r="V523" s="299"/>
    </row>
    <row r="524" spans="1:22" ht="15.75" customHeight="1">
      <c r="A524" s="298"/>
      <c r="E524" s="251"/>
      <c r="F524" s="251"/>
      <c r="V524" s="299"/>
    </row>
    <row r="525" spans="1:22" ht="15.75" customHeight="1">
      <c r="A525" s="298"/>
      <c r="E525" s="251"/>
      <c r="F525" s="251"/>
      <c r="V525" s="299"/>
    </row>
    <row r="526" spans="1:22" ht="15.75" customHeight="1">
      <c r="A526" s="298"/>
      <c r="E526" s="251"/>
      <c r="F526" s="251"/>
      <c r="V526" s="299"/>
    </row>
    <row r="527" spans="1:22" ht="15.75" customHeight="1">
      <c r="A527" s="298"/>
      <c r="E527" s="251"/>
      <c r="F527" s="251"/>
      <c r="V527" s="299"/>
    </row>
    <row r="528" spans="1:22" ht="15.75" customHeight="1">
      <c r="A528" s="298"/>
      <c r="E528" s="251"/>
      <c r="F528" s="251"/>
      <c r="V528" s="299"/>
    </row>
    <row r="529" spans="1:22" ht="15.75" customHeight="1">
      <c r="A529" s="298"/>
      <c r="E529" s="251"/>
      <c r="F529" s="251"/>
      <c r="V529" s="299"/>
    </row>
    <row r="530" spans="1:22" ht="15.75" customHeight="1">
      <c r="A530" s="298"/>
      <c r="E530" s="251"/>
      <c r="F530" s="251"/>
      <c r="V530" s="299"/>
    </row>
    <row r="531" spans="1:22" ht="15.75" customHeight="1">
      <c r="A531" s="298"/>
      <c r="E531" s="251"/>
      <c r="F531" s="251"/>
      <c r="V531" s="299"/>
    </row>
    <row r="532" spans="1:22" ht="15.75" customHeight="1">
      <c r="A532" s="298"/>
      <c r="E532" s="251"/>
      <c r="F532" s="251"/>
      <c r="V532" s="299"/>
    </row>
    <row r="533" spans="1:22" ht="15.75" customHeight="1">
      <c r="A533" s="298"/>
      <c r="E533" s="251"/>
      <c r="F533" s="251"/>
      <c r="V533" s="299"/>
    </row>
    <row r="534" spans="1:22" ht="15.75" customHeight="1">
      <c r="A534" s="298"/>
      <c r="E534" s="251"/>
      <c r="F534" s="251"/>
      <c r="V534" s="299"/>
    </row>
    <row r="535" spans="1:22" ht="15.75" customHeight="1">
      <c r="A535" s="298"/>
      <c r="E535" s="251"/>
      <c r="F535" s="251"/>
      <c r="V535" s="299"/>
    </row>
    <row r="536" spans="1:22" ht="15.75" customHeight="1">
      <c r="A536" s="298"/>
      <c r="E536" s="251"/>
      <c r="F536" s="251"/>
      <c r="V536" s="299"/>
    </row>
    <row r="537" spans="1:22" ht="15.75" customHeight="1">
      <c r="A537" s="298"/>
      <c r="E537" s="251"/>
      <c r="F537" s="251"/>
      <c r="V537" s="299"/>
    </row>
    <row r="538" spans="1:22" ht="15.75" customHeight="1">
      <c r="A538" s="298"/>
      <c r="E538" s="251"/>
      <c r="F538" s="251"/>
      <c r="V538" s="299"/>
    </row>
    <row r="539" spans="1:22" ht="15.75" customHeight="1">
      <c r="A539" s="298"/>
      <c r="E539" s="251"/>
      <c r="F539" s="251"/>
      <c r="V539" s="299"/>
    </row>
    <row r="540" spans="1:22" ht="15.75" customHeight="1">
      <c r="A540" s="298"/>
      <c r="E540" s="251"/>
      <c r="F540" s="251"/>
      <c r="V540" s="299"/>
    </row>
    <row r="541" spans="1:22" ht="15.75" customHeight="1">
      <c r="A541" s="298"/>
      <c r="E541" s="251"/>
      <c r="F541" s="251"/>
      <c r="V541" s="299"/>
    </row>
    <row r="542" spans="1:22" ht="15.75" customHeight="1">
      <c r="A542" s="298"/>
      <c r="E542" s="251"/>
      <c r="F542" s="251"/>
      <c r="V542" s="299"/>
    </row>
    <row r="543" spans="1:22" ht="15.75" customHeight="1">
      <c r="A543" s="298"/>
      <c r="E543" s="251"/>
      <c r="F543" s="251"/>
      <c r="V543" s="299"/>
    </row>
    <row r="544" spans="1:22" ht="15.75" customHeight="1">
      <c r="A544" s="298"/>
      <c r="E544" s="251"/>
      <c r="F544" s="251"/>
      <c r="V544" s="299"/>
    </row>
    <row r="545" spans="1:22" ht="15.75" customHeight="1">
      <c r="A545" s="298"/>
      <c r="E545" s="251"/>
      <c r="F545" s="251"/>
      <c r="V545" s="299"/>
    </row>
    <row r="546" spans="1:22" ht="15.75" customHeight="1">
      <c r="A546" s="298"/>
      <c r="E546" s="251"/>
      <c r="F546" s="251"/>
      <c r="V546" s="299"/>
    </row>
    <row r="547" spans="1:22" ht="15.75" customHeight="1">
      <c r="A547" s="298"/>
      <c r="E547" s="251"/>
      <c r="F547" s="251"/>
      <c r="V547" s="299"/>
    </row>
    <row r="548" spans="1:22" ht="15.75" customHeight="1">
      <c r="A548" s="298"/>
      <c r="E548" s="251"/>
      <c r="F548" s="251"/>
      <c r="V548" s="299"/>
    </row>
    <row r="549" spans="1:22" ht="15.75" customHeight="1">
      <c r="A549" s="298"/>
      <c r="E549" s="251"/>
      <c r="F549" s="251"/>
      <c r="V549" s="299"/>
    </row>
    <row r="550" spans="1:22" ht="15.75" customHeight="1">
      <c r="A550" s="298"/>
      <c r="E550" s="251"/>
      <c r="F550" s="251"/>
      <c r="V550" s="299"/>
    </row>
    <row r="551" spans="1:22" ht="15.75" customHeight="1">
      <c r="A551" s="298"/>
      <c r="E551" s="251"/>
      <c r="F551" s="251"/>
      <c r="V551" s="299"/>
    </row>
    <row r="552" spans="1:22" ht="15.75" customHeight="1">
      <c r="A552" s="298"/>
      <c r="E552" s="251"/>
      <c r="F552" s="251"/>
      <c r="V552" s="299"/>
    </row>
    <row r="553" spans="1:22" ht="15.75" customHeight="1">
      <c r="A553" s="298"/>
      <c r="E553" s="251"/>
      <c r="F553" s="251"/>
      <c r="V553" s="299"/>
    </row>
    <row r="554" spans="1:22" ht="15.75" customHeight="1">
      <c r="A554" s="298"/>
      <c r="E554" s="251"/>
      <c r="F554" s="251"/>
      <c r="V554" s="299"/>
    </row>
    <row r="555" spans="1:22" ht="15.75" customHeight="1">
      <c r="A555" s="298"/>
      <c r="E555" s="251"/>
      <c r="F555" s="251"/>
      <c r="V555" s="299"/>
    </row>
    <row r="556" spans="1:22" ht="15.75" customHeight="1">
      <c r="A556" s="298"/>
      <c r="E556" s="251"/>
      <c r="F556" s="251"/>
      <c r="V556" s="299"/>
    </row>
    <row r="557" spans="1:22" ht="15.75" customHeight="1">
      <c r="A557" s="298"/>
      <c r="E557" s="251"/>
      <c r="F557" s="251"/>
      <c r="V557" s="299"/>
    </row>
    <row r="558" spans="1:22" ht="15.75" customHeight="1">
      <c r="A558" s="298"/>
      <c r="E558" s="251"/>
      <c r="F558" s="251"/>
      <c r="V558" s="299"/>
    </row>
    <row r="559" spans="1:22" ht="15.75" customHeight="1">
      <c r="A559" s="298"/>
      <c r="E559" s="251"/>
      <c r="F559" s="251"/>
      <c r="V559" s="299"/>
    </row>
    <row r="560" spans="1:22" ht="15.75" customHeight="1">
      <c r="A560" s="298"/>
      <c r="E560" s="251"/>
      <c r="F560" s="251"/>
      <c r="V560" s="299"/>
    </row>
    <row r="561" spans="1:22" ht="15.75" customHeight="1">
      <c r="A561" s="298"/>
      <c r="E561" s="251"/>
      <c r="F561" s="251"/>
      <c r="V561" s="299"/>
    </row>
    <row r="562" spans="1:22" ht="15.75" customHeight="1">
      <c r="A562" s="298"/>
      <c r="E562" s="251"/>
      <c r="F562" s="251"/>
      <c r="V562" s="299"/>
    </row>
    <row r="563" spans="1:22" ht="15.75" customHeight="1">
      <c r="A563" s="298"/>
      <c r="E563" s="251"/>
      <c r="F563" s="251"/>
      <c r="V563" s="299"/>
    </row>
    <row r="564" spans="1:22" ht="15.75" customHeight="1">
      <c r="A564" s="298"/>
      <c r="E564" s="251"/>
      <c r="F564" s="251"/>
      <c r="V564" s="299"/>
    </row>
    <row r="565" spans="1:22" ht="15.75" customHeight="1">
      <c r="A565" s="298"/>
      <c r="E565" s="251"/>
      <c r="F565" s="251"/>
      <c r="V565" s="299"/>
    </row>
    <row r="566" spans="1:22" ht="15.75" customHeight="1">
      <c r="A566" s="298"/>
      <c r="E566" s="251"/>
      <c r="F566" s="251"/>
      <c r="V566" s="299"/>
    </row>
    <row r="567" spans="1:22" ht="15.75" customHeight="1">
      <c r="A567" s="298"/>
      <c r="E567" s="251"/>
      <c r="F567" s="251"/>
      <c r="V567" s="299"/>
    </row>
    <row r="568" spans="1:22" ht="15.75" customHeight="1">
      <c r="A568" s="298"/>
      <c r="E568" s="251"/>
      <c r="F568" s="251"/>
      <c r="V568" s="299"/>
    </row>
    <row r="569" spans="1:22" ht="15.75" customHeight="1">
      <c r="A569" s="298"/>
      <c r="E569" s="251"/>
      <c r="F569" s="251"/>
      <c r="V569" s="299"/>
    </row>
    <row r="570" spans="1:22" ht="15.75" customHeight="1">
      <c r="A570" s="298"/>
      <c r="E570" s="251"/>
      <c r="F570" s="251"/>
      <c r="V570" s="299"/>
    </row>
    <row r="571" spans="1:22" ht="15.75" customHeight="1">
      <c r="A571" s="298"/>
      <c r="E571" s="251"/>
      <c r="F571" s="251"/>
      <c r="V571" s="299"/>
    </row>
    <row r="572" spans="1:22" ht="15.75" customHeight="1">
      <c r="A572" s="298"/>
      <c r="E572" s="251"/>
      <c r="F572" s="251"/>
      <c r="V572" s="299"/>
    </row>
    <row r="573" spans="1:22" ht="15.75" customHeight="1">
      <c r="A573" s="298"/>
      <c r="E573" s="251"/>
      <c r="F573" s="251"/>
      <c r="V573" s="299"/>
    </row>
    <row r="574" spans="1:22" ht="15.75" customHeight="1">
      <c r="A574" s="298"/>
      <c r="E574" s="251"/>
      <c r="F574" s="251"/>
      <c r="V574" s="299"/>
    </row>
    <row r="575" spans="1:22" ht="15.75" customHeight="1">
      <c r="A575" s="298"/>
      <c r="E575" s="251"/>
      <c r="F575" s="251"/>
      <c r="V575" s="299"/>
    </row>
    <row r="576" spans="1:22" ht="15.75" customHeight="1">
      <c r="A576" s="298"/>
      <c r="E576" s="251"/>
      <c r="F576" s="251"/>
      <c r="V576" s="299"/>
    </row>
    <row r="577" spans="1:22" ht="15.75" customHeight="1">
      <c r="A577" s="298"/>
      <c r="E577" s="251"/>
      <c r="F577" s="251"/>
      <c r="V577" s="299"/>
    </row>
    <row r="578" spans="1:22" ht="15.75" customHeight="1">
      <c r="A578" s="298"/>
      <c r="E578" s="251"/>
      <c r="F578" s="251"/>
      <c r="V578" s="299"/>
    </row>
    <row r="579" spans="1:22" ht="15.75" customHeight="1">
      <c r="A579" s="298"/>
      <c r="E579" s="251"/>
      <c r="F579" s="251"/>
      <c r="V579" s="299"/>
    </row>
    <row r="580" spans="1:22" ht="15.75" customHeight="1">
      <c r="A580" s="298"/>
      <c r="E580" s="251"/>
      <c r="F580" s="251"/>
      <c r="V580" s="299"/>
    </row>
    <row r="581" spans="1:22" ht="15.75" customHeight="1">
      <c r="A581" s="298"/>
      <c r="E581" s="251"/>
      <c r="F581" s="251"/>
      <c r="V581" s="299"/>
    </row>
    <row r="582" spans="1:22" ht="15.75" customHeight="1">
      <c r="A582" s="298"/>
      <c r="E582" s="251"/>
      <c r="F582" s="251"/>
      <c r="V582" s="299"/>
    </row>
    <row r="583" spans="1:22" ht="15.75" customHeight="1">
      <c r="A583" s="298"/>
      <c r="E583" s="251"/>
      <c r="F583" s="251"/>
      <c r="V583" s="299"/>
    </row>
    <row r="584" spans="1:22" ht="15.75" customHeight="1">
      <c r="A584" s="298"/>
      <c r="E584" s="251"/>
      <c r="F584" s="251"/>
      <c r="V584" s="299"/>
    </row>
    <row r="585" spans="1:22" ht="15.75" customHeight="1">
      <c r="A585" s="298"/>
      <c r="E585" s="251"/>
      <c r="F585" s="251"/>
      <c r="V585" s="299"/>
    </row>
    <row r="586" spans="1:22" ht="15.75" customHeight="1">
      <c r="A586" s="298"/>
      <c r="E586" s="251"/>
      <c r="F586" s="251"/>
      <c r="V586" s="299"/>
    </row>
    <row r="587" spans="1:22" ht="15.75" customHeight="1">
      <c r="A587" s="298"/>
      <c r="E587" s="251"/>
      <c r="F587" s="251"/>
      <c r="V587" s="299"/>
    </row>
    <row r="588" spans="1:22" ht="15.75" customHeight="1">
      <c r="A588" s="298"/>
      <c r="E588" s="251"/>
      <c r="F588" s="251"/>
      <c r="V588" s="299"/>
    </row>
    <row r="589" spans="1:22" ht="15.75" customHeight="1">
      <c r="A589" s="298"/>
      <c r="E589" s="251"/>
      <c r="F589" s="251"/>
      <c r="V589" s="299"/>
    </row>
    <row r="590" spans="1:22" ht="15.75" customHeight="1">
      <c r="A590" s="298"/>
      <c r="E590" s="251"/>
      <c r="F590" s="251"/>
      <c r="V590" s="299"/>
    </row>
    <row r="591" spans="1:22" ht="15.75" customHeight="1">
      <c r="A591" s="298"/>
      <c r="E591" s="251"/>
      <c r="F591" s="251"/>
      <c r="V591" s="299"/>
    </row>
    <row r="592" spans="1:22" ht="15.75" customHeight="1">
      <c r="A592" s="298"/>
      <c r="E592" s="251"/>
      <c r="F592" s="251"/>
      <c r="V592" s="299"/>
    </row>
    <row r="593" spans="1:22" ht="15.75" customHeight="1">
      <c r="A593" s="298"/>
      <c r="E593" s="251"/>
      <c r="F593" s="251"/>
      <c r="V593" s="299"/>
    </row>
    <row r="594" spans="1:22" ht="15.75" customHeight="1">
      <c r="A594" s="298"/>
      <c r="E594" s="251"/>
      <c r="F594" s="251"/>
      <c r="V594" s="299"/>
    </row>
    <row r="595" spans="1:22" ht="15.75" customHeight="1">
      <c r="A595" s="298"/>
      <c r="E595" s="251"/>
      <c r="F595" s="251"/>
      <c r="V595" s="299"/>
    </row>
    <row r="596" spans="1:22" ht="15.75" customHeight="1">
      <c r="A596" s="298"/>
      <c r="E596" s="251"/>
      <c r="F596" s="251"/>
      <c r="V596" s="299"/>
    </row>
    <row r="597" spans="1:22" ht="15.75" customHeight="1">
      <c r="A597" s="298"/>
      <c r="E597" s="251"/>
      <c r="F597" s="251"/>
      <c r="V597" s="299"/>
    </row>
    <row r="598" spans="1:22" ht="15.75" customHeight="1">
      <c r="A598" s="298"/>
      <c r="E598" s="251"/>
      <c r="F598" s="251"/>
      <c r="V598" s="299"/>
    </row>
    <row r="599" spans="1:22" ht="15.75" customHeight="1">
      <c r="A599" s="298"/>
      <c r="E599" s="251"/>
      <c r="F599" s="251"/>
      <c r="V599" s="299"/>
    </row>
    <row r="600" spans="1:22" ht="15.75" customHeight="1">
      <c r="A600" s="298"/>
      <c r="E600" s="251"/>
      <c r="F600" s="251"/>
      <c r="V600" s="299"/>
    </row>
    <row r="601" spans="1:22" ht="15.75" customHeight="1">
      <c r="A601" s="298"/>
      <c r="E601" s="251"/>
      <c r="F601" s="251"/>
      <c r="V601" s="299"/>
    </row>
    <row r="602" spans="1:22" ht="15.75" customHeight="1">
      <c r="A602" s="298"/>
      <c r="E602" s="251"/>
      <c r="F602" s="251"/>
      <c r="V602" s="299"/>
    </row>
    <row r="603" spans="1:22" ht="15.75" customHeight="1">
      <c r="A603" s="298"/>
      <c r="E603" s="251"/>
      <c r="F603" s="251"/>
      <c r="V603" s="299"/>
    </row>
    <row r="604" spans="1:22" ht="15.75" customHeight="1">
      <c r="A604" s="298"/>
      <c r="E604" s="251"/>
      <c r="F604" s="251"/>
      <c r="V604" s="299"/>
    </row>
    <row r="605" spans="1:22" ht="15.75" customHeight="1">
      <c r="A605" s="298"/>
      <c r="E605" s="251"/>
      <c r="F605" s="251"/>
      <c r="V605" s="299"/>
    </row>
    <row r="606" spans="1:22" ht="15.75" customHeight="1">
      <c r="A606" s="298"/>
      <c r="E606" s="251"/>
      <c r="F606" s="251"/>
      <c r="V606" s="299"/>
    </row>
    <row r="607" spans="1:22" ht="15.75" customHeight="1">
      <c r="A607" s="298"/>
      <c r="E607" s="251"/>
      <c r="F607" s="251"/>
      <c r="V607" s="299"/>
    </row>
    <row r="608" spans="1:22" ht="15.75" customHeight="1">
      <c r="A608" s="298"/>
      <c r="E608" s="251"/>
      <c r="F608" s="251"/>
      <c r="V608" s="299"/>
    </row>
    <row r="609" spans="1:22" ht="15.75" customHeight="1">
      <c r="A609" s="298"/>
      <c r="E609" s="251"/>
      <c r="F609" s="251"/>
      <c r="V609" s="299"/>
    </row>
    <row r="610" spans="1:22" ht="15.75" customHeight="1">
      <c r="A610" s="298"/>
      <c r="E610" s="251"/>
      <c r="F610" s="251"/>
      <c r="V610" s="299"/>
    </row>
    <row r="611" spans="1:22" ht="15.75" customHeight="1">
      <c r="A611" s="298"/>
      <c r="E611" s="251"/>
      <c r="F611" s="251"/>
      <c r="V611" s="299"/>
    </row>
    <row r="612" spans="1:22" ht="15.75" customHeight="1">
      <c r="A612" s="298"/>
      <c r="E612" s="251"/>
      <c r="F612" s="251"/>
      <c r="V612" s="299"/>
    </row>
    <row r="613" spans="1:22" ht="15.75" customHeight="1">
      <c r="A613" s="298"/>
      <c r="E613" s="251"/>
      <c r="F613" s="251"/>
      <c r="V613" s="299"/>
    </row>
    <row r="614" spans="1:22" ht="15.75" customHeight="1">
      <c r="A614" s="298"/>
      <c r="E614" s="251"/>
      <c r="F614" s="251"/>
      <c r="V614" s="299"/>
    </row>
    <row r="615" spans="1:22" ht="15.75" customHeight="1">
      <c r="A615" s="298"/>
      <c r="E615" s="251"/>
      <c r="F615" s="251"/>
      <c r="V615" s="299"/>
    </row>
    <row r="616" spans="1:22" ht="15.75" customHeight="1">
      <c r="A616" s="298"/>
      <c r="E616" s="251"/>
      <c r="F616" s="251"/>
      <c r="V616" s="299"/>
    </row>
    <row r="617" spans="1:22" ht="15.75" customHeight="1">
      <c r="A617" s="298"/>
      <c r="E617" s="251"/>
      <c r="F617" s="251"/>
      <c r="V617" s="299"/>
    </row>
    <row r="618" spans="1:22" ht="15.75" customHeight="1">
      <c r="A618" s="298"/>
      <c r="E618" s="251"/>
      <c r="F618" s="251"/>
      <c r="V618" s="299"/>
    </row>
    <row r="619" spans="1:22" ht="15.75" customHeight="1">
      <c r="A619" s="298"/>
      <c r="E619" s="251"/>
      <c r="F619" s="251"/>
      <c r="V619" s="299"/>
    </row>
    <row r="620" spans="1:22" ht="15.75" customHeight="1">
      <c r="A620" s="298"/>
      <c r="E620" s="251"/>
      <c r="F620" s="251"/>
      <c r="V620" s="299"/>
    </row>
    <row r="621" spans="1:22" ht="15.75" customHeight="1">
      <c r="A621" s="298"/>
      <c r="E621" s="251"/>
      <c r="F621" s="251"/>
      <c r="V621" s="299"/>
    </row>
    <row r="622" spans="1:22" ht="15.75" customHeight="1">
      <c r="A622" s="298"/>
      <c r="E622" s="251"/>
      <c r="F622" s="251"/>
      <c r="V622" s="299"/>
    </row>
    <row r="623" spans="1:22" ht="15.75" customHeight="1">
      <c r="A623" s="298"/>
      <c r="E623" s="251"/>
      <c r="F623" s="251"/>
      <c r="V623" s="299"/>
    </row>
    <row r="624" spans="1:22" ht="15.75" customHeight="1">
      <c r="A624" s="298"/>
      <c r="E624" s="251"/>
      <c r="F624" s="251"/>
      <c r="V624" s="299"/>
    </row>
    <row r="625" spans="1:22" ht="15.75" customHeight="1">
      <c r="A625" s="298"/>
      <c r="E625" s="251"/>
      <c r="F625" s="251"/>
      <c r="V625" s="299"/>
    </row>
    <row r="626" spans="1:22" ht="15.75" customHeight="1">
      <c r="A626" s="298"/>
      <c r="E626" s="251"/>
      <c r="F626" s="251"/>
      <c r="V626" s="299"/>
    </row>
    <row r="627" spans="1:22" ht="15.75" customHeight="1">
      <c r="A627" s="298"/>
      <c r="E627" s="251"/>
      <c r="F627" s="251"/>
      <c r="V627" s="299"/>
    </row>
    <row r="628" spans="1:22" ht="15.75" customHeight="1">
      <c r="A628" s="298"/>
      <c r="E628" s="251"/>
      <c r="F628" s="251"/>
      <c r="V628" s="299"/>
    </row>
    <row r="629" spans="1:22" ht="15.75" customHeight="1">
      <c r="A629" s="298"/>
      <c r="E629" s="251"/>
      <c r="F629" s="251"/>
      <c r="V629" s="299"/>
    </row>
    <row r="630" spans="1:22" ht="15.75" customHeight="1">
      <c r="A630" s="298"/>
      <c r="E630" s="251"/>
      <c r="F630" s="251"/>
      <c r="V630" s="299"/>
    </row>
    <row r="631" spans="1:22" ht="15.75" customHeight="1">
      <c r="A631" s="298"/>
      <c r="E631" s="251"/>
      <c r="F631" s="251"/>
      <c r="V631" s="299"/>
    </row>
    <row r="632" spans="1:22" ht="15.75" customHeight="1">
      <c r="A632" s="298"/>
      <c r="E632" s="251"/>
      <c r="F632" s="251"/>
      <c r="V632" s="299"/>
    </row>
    <row r="633" spans="1:22" ht="15.75" customHeight="1">
      <c r="A633" s="298"/>
      <c r="E633" s="251"/>
      <c r="F633" s="251"/>
      <c r="V633" s="299"/>
    </row>
    <row r="634" spans="1:22" ht="15.75" customHeight="1">
      <c r="A634" s="298"/>
      <c r="E634" s="251"/>
      <c r="F634" s="251"/>
      <c r="V634" s="299"/>
    </row>
    <row r="635" spans="1:22" ht="15.75" customHeight="1">
      <c r="A635" s="298"/>
      <c r="E635" s="251"/>
      <c r="F635" s="251"/>
      <c r="V635" s="299"/>
    </row>
    <row r="636" spans="1:22" ht="15.75" customHeight="1">
      <c r="A636" s="298"/>
      <c r="E636" s="251"/>
      <c r="F636" s="251"/>
      <c r="V636" s="299"/>
    </row>
    <row r="637" spans="1:22" ht="15.75" customHeight="1">
      <c r="A637" s="298"/>
      <c r="E637" s="251"/>
      <c r="F637" s="251"/>
      <c r="V637" s="299"/>
    </row>
    <row r="638" spans="1:22" ht="15.75" customHeight="1">
      <c r="A638" s="298"/>
      <c r="E638" s="251"/>
      <c r="F638" s="251"/>
      <c r="V638" s="299"/>
    </row>
    <row r="639" spans="1:22" ht="15.75" customHeight="1">
      <c r="A639" s="298"/>
      <c r="E639" s="251"/>
      <c r="F639" s="251"/>
      <c r="V639" s="299"/>
    </row>
    <row r="640" spans="1:22" ht="15.75" customHeight="1">
      <c r="A640" s="298"/>
      <c r="E640" s="251"/>
      <c r="F640" s="251"/>
      <c r="V640" s="299"/>
    </row>
    <row r="641" spans="1:22" ht="15.75" customHeight="1">
      <c r="A641" s="298"/>
      <c r="E641" s="251"/>
      <c r="F641" s="251"/>
      <c r="V641" s="299"/>
    </row>
    <row r="642" spans="1:22" ht="15.75" customHeight="1">
      <c r="A642" s="298"/>
      <c r="E642" s="251"/>
      <c r="F642" s="251"/>
      <c r="V642" s="299"/>
    </row>
    <row r="643" spans="1:22" ht="15.75" customHeight="1">
      <c r="A643" s="298"/>
      <c r="E643" s="251"/>
      <c r="F643" s="251"/>
      <c r="V643" s="299"/>
    </row>
    <row r="644" spans="1:22" ht="15.75" customHeight="1">
      <c r="A644" s="298"/>
      <c r="E644" s="251"/>
      <c r="F644" s="251"/>
      <c r="V644" s="299"/>
    </row>
    <row r="645" spans="1:22" ht="15.75" customHeight="1">
      <c r="A645" s="298"/>
      <c r="E645" s="251"/>
      <c r="F645" s="251"/>
      <c r="V645" s="299"/>
    </row>
    <row r="646" spans="1:22" ht="15.75" customHeight="1">
      <c r="A646" s="298"/>
      <c r="E646" s="251"/>
      <c r="F646" s="251"/>
      <c r="V646" s="299"/>
    </row>
    <row r="647" spans="1:22" ht="15.75" customHeight="1">
      <c r="A647" s="298"/>
      <c r="E647" s="251"/>
      <c r="F647" s="251"/>
      <c r="V647" s="299"/>
    </row>
    <row r="648" spans="1:22" ht="15.75" customHeight="1">
      <c r="A648" s="298"/>
      <c r="E648" s="251"/>
      <c r="F648" s="251"/>
      <c r="V648" s="299"/>
    </row>
    <row r="649" spans="1:22" ht="15.75" customHeight="1">
      <c r="A649" s="298"/>
      <c r="E649" s="251"/>
      <c r="F649" s="251"/>
      <c r="V649" s="299"/>
    </row>
    <row r="650" spans="1:22" ht="15.75" customHeight="1">
      <c r="A650" s="298"/>
      <c r="E650" s="251"/>
      <c r="F650" s="251"/>
      <c r="V650" s="299"/>
    </row>
    <row r="651" spans="1:22" ht="15.75" customHeight="1">
      <c r="A651" s="298"/>
      <c r="E651" s="251"/>
      <c r="F651" s="251"/>
      <c r="V651" s="299"/>
    </row>
    <row r="652" spans="1:22" ht="15.75" customHeight="1">
      <c r="A652" s="298"/>
      <c r="E652" s="251"/>
      <c r="F652" s="251"/>
      <c r="V652" s="299"/>
    </row>
    <row r="653" spans="1:22" ht="15.75" customHeight="1">
      <c r="A653" s="298"/>
      <c r="E653" s="251"/>
      <c r="F653" s="251"/>
      <c r="V653" s="299"/>
    </row>
    <row r="654" spans="1:22" ht="15.75" customHeight="1">
      <c r="A654" s="298"/>
      <c r="E654" s="251"/>
      <c r="F654" s="251"/>
      <c r="V654" s="299"/>
    </row>
    <row r="655" spans="1:22" ht="15.75" customHeight="1">
      <c r="A655" s="298"/>
      <c r="E655" s="251"/>
      <c r="F655" s="251"/>
      <c r="V655" s="299"/>
    </row>
    <row r="656" spans="1:22" ht="15.75" customHeight="1">
      <c r="A656" s="298"/>
      <c r="E656" s="251"/>
      <c r="F656" s="251"/>
      <c r="V656" s="299"/>
    </row>
    <row r="657" spans="1:22" ht="15.75" customHeight="1">
      <c r="A657" s="298"/>
      <c r="E657" s="251"/>
      <c r="F657" s="251"/>
      <c r="V657" s="299"/>
    </row>
    <row r="658" spans="1:22" ht="15.75" customHeight="1">
      <c r="A658" s="298"/>
      <c r="E658" s="251"/>
      <c r="F658" s="251"/>
      <c r="V658" s="299"/>
    </row>
    <row r="659" spans="1:22" ht="15.75" customHeight="1">
      <c r="A659" s="298"/>
      <c r="E659" s="251"/>
      <c r="F659" s="251"/>
      <c r="V659" s="299"/>
    </row>
    <row r="660" spans="1:22" ht="15.75" customHeight="1">
      <c r="A660" s="298"/>
      <c r="E660" s="251"/>
      <c r="F660" s="251"/>
      <c r="V660" s="299"/>
    </row>
    <row r="661" spans="1:22" ht="15.75" customHeight="1">
      <c r="A661" s="298"/>
      <c r="E661" s="251"/>
      <c r="F661" s="251"/>
      <c r="V661" s="299"/>
    </row>
    <row r="662" spans="1:22" ht="15.75" customHeight="1">
      <c r="A662" s="298"/>
      <c r="E662" s="251"/>
      <c r="F662" s="251"/>
      <c r="V662" s="299"/>
    </row>
    <row r="663" spans="1:22" ht="15.75" customHeight="1">
      <c r="A663" s="298"/>
      <c r="E663" s="251"/>
      <c r="F663" s="251"/>
      <c r="V663" s="299"/>
    </row>
    <row r="664" spans="1:22" ht="15.75" customHeight="1">
      <c r="A664" s="298"/>
      <c r="E664" s="251"/>
      <c r="F664" s="251"/>
      <c r="V664" s="299"/>
    </row>
    <row r="665" spans="1:22" ht="15.75" customHeight="1">
      <c r="A665" s="298"/>
      <c r="E665" s="251"/>
      <c r="F665" s="251"/>
      <c r="V665" s="299"/>
    </row>
    <row r="666" spans="1:22" ht="15.75" customHeight="1">
      <c r="A666" s="298"/>
      <c r="E666" s="251"/>
      <c r="F666" s="251"/>
      <c r="V666" s="299"/>
    </row>
    <row r="667" spans="1:22" ht="15.75" customHeight="1">
      <c r="A667" s="298"/>
      <c r="E667" s="251"/>
      <c r="F667" s="251"/>
      <c r="V667" s="299"/>
    </row>
    <row r="668" spans="1:22" ht="15.75" customHeight="1">
      <c r="A668" s="298"/>
      <c r="E668" s="251"/>
      <c r="F668" s="251"/>
      <c r="V668" s="299"/>
    </row>
    <row r="669" spans="1:22" ht="15.75" customHeight="1">
      <c r="A669" s="298"/>
      <c r="E669" s="251"/>
      <c r="F669" s="251"/>
      <c r="V669" s="299"/>
    </row>
    <row r="670" spans="1:22" ht="15.75" customHeight="1">
      <c r="A670" s="298"/>
      <c r="E670" s="251"/>
      <c r="F670" s="251"/>
      <c r="V670" s="299"/>
    </row>
    <row r="671" spans="1:22" ht="15.75" customHeight="1">
      <c r="A671" s="298"/>
      <c r="E671" s="251"/>
      <c r="F671" s="251"/>
      <c r="V671" s="299"/>
    </row>
    <row r="672" spans="1:22" ht="15.75" customHeight="1">
      <c r="A672" s="298"/>
      <c r="E672" s="251"/>
      <c r="F672" s="251"/>
      <c r="V672" s="299"/>
    </row>
    <row r="673" spans="1:22" ht="15.75" customHeight="1">
      <c r="A673" s="298"/>
      <c r="E673" s="251"/>
      <c r="F673" s="251"/>
      <c r="V673" s="299"/>
    </row>
    <row r="674" spans="1:22" ht="15.75" customHeight="1">
      <c r="A674" s="298"/>
      <c r="E674" s="251"/>
      <c r="F674" s="251"/>
      <c r="V674" s="299"/>
    </row>
    <row r="675" spans="1:22" ht="15.75" customHeight="1">
      <c r="A675" s="298"/>
      <c r="E675" s="251"/>
      <c r="F675" s="251"/>
      <c r="V675" s="299"/>
    </row>
    <row r="676" spans="1:22" ht="15.75" customHeight="1">
      <c r="A676" s="298"/>
      <c r="E676" s="251"/>
      <c r="F676" s="251"/>
      <c r="V676" s="299"/>
    </row>
    <row r="677" spans="1:22" ht="15.75" customHeight="1">
      <c r="A677" s="298"/>
      <c r="E677" s="251"/>
      <c r="F677" s="251"/>
      <c r="V677" s="299"/>
    </row>
    <row r="678" spans="1:22" ht="15.75" customHeight="1">
      <c r="A678" s="298"/>
      <c r="E678" s="251"/>
      <c r="F678" s="251"/>
      <c r="V678" s="299"/>
    </row>
    <row r="679" spans="1:22" ht="15.75" customHeight="1">
      <c r="A679" s="298"/>
      <c r="E679" s="251"/>
      <c r="F679" s="251"/>
      <c r="V679" s="299"/>
    </row>
    <row r="680" spans="1:22" ht="15.75" customHeight="1">
      <c r="A680" s="298"/>
      <c r="E680" s="251"/>
      <c r="F680" s="251"/>
      <c r="V680" s="299"/>
    </row>
    <row r="681" spans="1:22" ht="15.75" customHeight="1">
      <c r="A681" s="298"/>
      <c r="E681" s="251"/>
      <c r="F681" s="251"/>
      <c r="V681" s="299"/>
    </row>
    <row r="682" spans="1:22" ht="15.75" customHeight="1">
      <c r="A682" s="298"/>
      <c r="E682" s="251"/>
      <c r="F682" s="251"/>
      <c r="V682" s="299"/>
    </row>
    <row r="683" spans="1:22" ht="15.75" customHeight="1">
      <c r="A683" s="298"/>
      <c r="E683" s="251"/>
      <c r="F683" s="251"/>
      <c r="V683" s="299"/>
    </row>
    <row r="684" spans="1:22" ht="15.75" customHeight="1">
      <c r="A684" s="298"/>
      <c r="E684" s="251"/>
      <c r="F684" s="251"/>
      <c r="V684" s="299"/>
    </row>
    <row r="685" spans="1:22" ht="15.75" customHeight="1">
      <c r="A685" s="298"/>
      <c r="E685" s="251"/>
      <c r="F685" s="251"/>
      <c r="V685" s="299"/>
    </row>
    <row r="686" spans="1:22" ht="15.75" customHeight="1">
      <c r="A686" s="298"/>
      <c r="E686" s="251"/>
      <c r="F686" s="251"/>
      <c r="V686" s="299"/>
    </row>
    <row r="687" spans="1:22" ht="15.75" customHeight="1">
      <c r="A687" s="298"/>
      <c r="E687" s="251"/>
      <c r="F687" s="251"/>
      <c r="V687" s="299"/>
    </row>
    <row r="688" spans="1:22" ht="15.75" customHeight="1">
      <c r="A688" s="298"/>
      <c r="E688" s="251"/>
      <c r="F688" s="251"/>
      <c r="V688" s="299"/>
    </row>
    <row r="689" spans="1:22" ht="15.75" customHeight="1">
      <c r="A689" s="298"/>
      <c r="E689" s="251"/>
      <c r="F689" s="251"/>
      <c r="V689" s="299"/>
    </row>
    <row r="690" spans="1:22" ht="15.75" customHeight="1">
      <c r="A690" s="298"/>
      <c r="E690" s="251"/>
      <c r="F690" s="251"/>
      <c r="V690" s="299"/>
    </row>
    <row r="691" spans="1:22" ht="15.75" customHeight="1">
      <c r="A691" s="298"/>
      <c r="E691" s="251"/>
      <c r="F691" s="251"/>
      <c r="V691" s="299"/>
    </row>
    <row r="692" spans="1:22" ht="15.75" customHeight="1">
      <c r="A692" s="298"/>
      <c r="E692" s="251"/>
      <c r="F692" s="251"/>
      <c r="V692" s="299"/>
    </row>
    <row r="693" spans="1:22" ht="15.75" customHeight="1">
      <c r="A693" s="298"/>
      <c r="E693" s="251"/>
      <c r="F693" s="251"/>
      <c r="V693" s="299"/>
    </row>
    <row r="694" spans="1:22" ht="15.75" customHeight="1">
      <c r="A694" s="298"/>
      <c r="E694" s="251"/>
      <c r="F694" s="251"/>
      <c r="V694" s="299"/>
    </row>
    <row r="695" spans="1:22" ht="15.75" customHeight="1">
      <c r="A695" s="298"/>
      <c r="E695" s="251"/>
      <c r="F695" s="251"/>
      <c r="V695" s="299"/>
    </row>
    <row r="696" spans="1:22" ht="15.75" customHeight="1">
      <c r="A696" s="298"/>
      <c r="E696" s="251"/>
      <c r="F696" s="251"/>
      <c r="V696" s="299"/>
    </row>
    <row r="697" spans="1:22" ht="15.75" customHeight="1">
      <c r="A697" s="298"/>
      <c r="E697" s="251"/>
      <c r="F697" s="251"/>
      <c r="V697" s="299"/>
    </row>
    <row r="698" spans="1:22" ht="15.75" customHeight="1">
      <c r="A698" s="298"/>
      <c r="E698" s="251"/>
      <c r="F698" s="251"/>
      <c r="V698" s="299"/>
    </row>
    <row r="699" spans="1:22" ht="15.75" customHeight="1">
      <c r="A699" s="298"/>
      <c r="E699" s="251"/>
      <c r="F699" s="251"/>
      <c r="V699" s="299"/>
    </row>
    <row r="700" spans="1:22" ht="15.75" customHeight="1">
      <c r="A700" s="298"/>
      <c r="E700" s="251"/>
      <c r="F700" s="251"/>
      <c r="V700" s="299"/>
    </row>
    <row r="701" spans="1:22" ht="15.75" customHeight="1">
      <c r="A701" s="298"/>
      <c r="E701" s="251"/>
      <c r="F701" s="251"/>
      <c r="V701" s="299"/>
    </row>
    <row r="702" spans="1:22" ht="15.75" customHeight="1">
      <c r="A702" s="298"/>
      <c r="E702" s="251"/>
      <c r="F702" s="251"/>
      <c r="V702" s="299"/>
    </row>
    <row r="703" spans="1:22" ht="15.75" customHeight="1">
      <c r="A703" s="298"/>
      <c r="E703" s="251"/>
      <c r="F703" s="251"/>
      <c r="V703" s="299"/>
    </row>
    <row r="704" spans="1:22" ht="15.75" customHeight="1">
      <c r="A704" s="298"/>
      <c r="E704" s="251"/>
      <c r="F704" s="251"/>
      <c r="V704" s="299"/>
    </row>
    <row r="705" spans="1:22" ht="15.75" customHeight="1">
      <c r="A705" s="298"/>
      <c r="E705" s="251"/>
      <c r="F705" s="251"/>
      <c r="V705" s="299"/>
    </row>
    <row r="706" spans="1:22" ht="15.75" customHeight="1">
      <c r="A706" s="298"/>
      <c r="E706" s="251"/>
      <c r="F706" s="251"/>
      <c r="V706" s="299"/>
    </row>
    <row r="707" spans="1:22" ht="15.75" customHeight="1">
      <c r="A707" s="298"/>
      <c r="E707" s="251"/>
      <c r="F707" s="251"/>
      <c r="V707" s="299"/>
    </row>
    <row r="708" spans="1:22" ht="15.75" customHeight="1">
      <c r="A708" s="298"/>
      <c r="E708" s="251"/>
      <c r="F708" s="251"/>
      <c r="V708" s="299"/>
    </row>
    <row r="709" spans="1:22" ht="15.75" customHeight="1">
      <c r="A709" s="298"/>
      <c r="E709" s="251"/>
      <c r="F709" s="251"/>
      <c r="V709" s="299"/>
    </row>
    <row r="710" spans="1:22" ht="15.75" customHeight="1">
      <c r="A710" s="298"/>
      <c r="E710" s="251"/>
      <c r="F710" s="251"/>
      <c r="V710" s="299"/>
    </row>
    <row r="711" spans="1:22" ht="15.75" customHeight="1">
      <c r="A711" s="298"/>
      <c r="E711" s="251"/>
      <c r="F711" s="251"/>
      <c r="V711" s="299"/>
    </row>
    <row r="712" spans="1:22" ht="15.75" customHeight="1">
      <c r="A712" s="298"/>
      <c r="E712" s="251"/>
      <c r="F712" s="251"/>
      <c r="V712" s="299"/>
    </row>
    <row r="713" spans="1:22" ht="15.75" customHeight="1">
      <c r="A713" s="298"/>
      <c r="E713" s="251"/>
      <c r="F713" s="251"/>
      <c r="V713" s="299"/>
    </row>
    <row r="714" spans="1:22" ht="15.75" customHeight="1">
      <c r="A714" s="298"/>
      <c r="E714" s="251"/>
      <c r="F714" s="251"/>
      <c r="V714" s="299"/>
    </row>
    <row r="715" spans="1:22" ht="15.75" customHeight="1">
      <c r="A715" s="298"/>
      <c r="E715" s="251"/>
      <c r="F715" s="251"/>
      <c r="V715" s="299"/>
    </row>
    <row r="716" spans="1:22" ht="15.75" customHeight="1">
      <c r="A716" s="298"/>
      <c r="E716" s="251"/>
      <c r="F716" s="251"/>
      <c r="V716" s="299"/>
    </row>
    <row r="717" spans="1:22" ht="15.75" customHeight="1">
      <c r="A717" s="298"/>
      <c r="E717" s="251"/>
      <c r="F717" s="251"/>
      <c r="V717" s="299"/>
    </row>
    <row r="718" spans="1:22" ht="15.75" customHeight="1">
      <c r="A718" s="298"/>
      <c r="E718" s="251"/>
      <c r="F718" s="251"/>
      <c r="V718" s="299"/>
    </row>
    <row r="719" spans="1:22" ht="15.75" customHeight="1">
      <c r="A719" s="298"/>
      <c r="E719" s="251"/>
      <c r="F719" s="251"/>
      <c r="V719" s="299"/>
    </row>
    <row r="720" spans="1:22" ht="15.75" customHeight="1">
      <c r="A720" s="298"/>
      <c r="E720" s="251"/>
      <c r="F720" s="251"/>
      <c r="V720" s="299"/>
    </row>
    <row r="721" spans="1:22" ht="15.75" customHeight="1">
      <c r="A721" s="298"/>
      <c r="E721" s="251"/>
      <c r="F721" s="251"/>
      <c r="V721" s="299"/>
    </row>
    <row r="722" spans="1:22" ht="15.75" customHeight="1">
      <c r="A722" s="298"/>
      <c r="E722" s="251"/>
      <c r="F722" s="251"/>
      <c r="V722" s="299"/>
    </row>
    <row r="723" spans="1:22" ht="15.75" customHeight="1">
      <c r="A723" s="298"/>
      <c r="E723" s="251"/>
      <c r="F723" s="251"/>
      <c r="V723" s="299"/>
    </row>
    <row r="724" spans="1:22" ht="15.75" customHeight="1">
      <c r="A724" s="298"/>
      <c r="E724" s="251"/>
      <c r="F724" s="251"/>
      <c r="V724" s="299"/>
    </row>
    <row r="725" spans="1:22" ht="15.75" customHeight="1">
      <c r="A725" s="298"/>
      <c r="E725" s="251"/>
      <c r="F725" s="251"/>
      <c r="V725" s="299"/>
    </row>
    <row r="726" spans="1:22" ht="15.75" customHeight="1">
      <c r="A726" s="298"/>
      <c r="E726" s="251"/>
      <c r="F726" s="251"/>
      <c r="V726" s="299"/>
    </row>
    <row r="727" spans="1:22" ht="15.75" customHeight="1">
      <c r="A727" s="298"/>
      <c r="E727" s="251"/>
      <c r="F727" s="251"/>
      <c r="V727" s="299"/>
    </row>
    <row r="728" spans="1:22" ht="15.75" customHeight="1">
      <c r="A728" s="298"/>
      <c r="E728" s="251"/>
      <c r="F728" s="251"/>
      <c r="V728" s="299"/>
    </row>
    <row r="729" spans="1:22" ht="15.75" customHeight="1">
      <c r="A729" s="298"/>
      <c r="E729" s="251"/>
      <c r="F729" s="251"/>
      <c r="V729" s="299"/>
    </row>
    <row r="730" spans="1:22" ht="15.75" customHeight="1">
      <c r="A730" s="298"/>
      <c r="E730" s="251"/>
      <c r="F730" s="251"/>
      <c r="V730" s="299"/>
    </row>
    <row r="731" spans="1:22" ht="15.75" customHeight="1">
      <c r="A731" s="298"/>
      <c r="E731" s="251"/>
      <c r="F731" s="251"/>
      <c r="V731" s="299"/>
    </row>
    <row r="732" spans="1:22" ht="15.75" customHeight="1">
      <c r="A732" s="298"/>
      <c r="E732" s="251"/>
      <c r="F732" s="251"/>
      <c r="V732" s="299"/>
    </row>
    <row r="733" spans="1:22" ht="15.75" customHeight="1">
      <c r="A733" s="298"/>
      <c r="E733" s="251"/>
      <c r="F733" s="251"/>
      <c r="V733" s="299"/>
    </row>
    <row r="734" spans="1:22" ht="15.75" customHeight="1">
      <c r="A734" s="298"/>
      <c r="E734" s="251"/>
      <c r="F734" s="251"/>
      <c r="V734" s="299"/>
    </row>
    <row r="735" spans="1:22" ht="15.75" customHeight="1">
      <c r="A735" s="298"/>
      <c r="E735" s="251"/>
      <c r="F735" s="251"/>
      <c r="V735" s="299"/>
    </row>
    <row r="736" spans="1:22" ht="15.75" customHeight="1">
      <c r="A736" s="298"/>
      <c r="E736" s="251"/>
      <c r="F736" s="251"/>
      <c r="V736" s="299"/>
    </row>
    <row r="737" spans="1:22" ht="15.75" customHeight="1">
      <c r="A737" s="298"/>
      <c r="E737" s="251"/>
      <c r="F737" s="251"/>
      <c r="V737" s="299"/>
    </row>
    <row r="738" spans="1:22" ht="15.75" customHeight="1">
      <c r="A738" s="298"/>
      <c r="E738" s="251"/>
      <c r="F738" s="251"/>
      <c r="V738" s="299"/>
    </row>
    <row r="739" spans="1:22" ht="15.75" customHeight="1">
      <c r="A739" s="298"/>
      <c r="E739" s="251"/>
      <c r="F739" s="251"/>
      <c r="V739" s="299"/>
    </row>
    <row r="740" spans="1:22" ht="15.75" customHeight="1">
      <c r="A740" s="298"/>
      <c r="E740" s="251"/>
      <c r="F740" s="251"/>
      <c r="V740" s="299"/>
    </row>
    <row r="741" spans="1:22" ht="15.75" customHeight="1">
      <c r="A741" s="298"/>
      <c r="E741" s="251"/>
      <c r="F741" s="251"/>
      <c r="V741" s="299"/>
    </row>
    <row r="742" spans="1:22" ht="15.75" customHeight="1">
      <c r="A742" s="298"/>
      <c r="E742" s="251"/>
      <c r="F742" s="251"/>
      <c r="V742" s="299"/>
    </row>
    <row r="743" spans="1:22" ht="15.75" customHeight="1">
      <c r="A743" s="298"/>
      <c r="E743" s="251"/>
      <c r="F743" s="251"/>
      <c r="V743" s="299"/>
    </row>
    <row r="744" spans="1:22" ht="15.75" customHeight="1">
      <c r="A744" s="298"/>
      <c r="E744" s="251"/>
      <c r="F744" s="251"/>
      <c r="V744" s="299"/>
    </row>
    <row r="745" spans="1:22" ht="15.75" customHeight="1">
      <c r="A745" s="298"/>
      <c r="E745" s="251"/>
      <c r="F745" s="251"/>
      <c r="V745" s="299"/>
    </row>
    <row r="746" spans="1:22" ht="15.75" customHeight="1">
      <c r="A746" s="298"/>
      <c r="E746" s="251"/>
      <c r="F746" s="251"/>
      <c r="V746" s="299"/>
    </row>
    <row r="747" spans="1:22" ht="15.75" customHeight="1">
      <c r="A747" s="298"/>
      <c r="E747" s="251"/>
      <c r="F747" s="251"/>
      <c r="V747" s="299"/>
    </row>
    <row r="748" spans="1:22" ht="15.75" customHeight="1">
      <c r="A748" s="298"/>
      <c r="E748" s="251"/>
      <c r="F748" s="251"/>
      <c r="V748" s="299"/>
    </row>
    <row r="749" spans="1:22" ht="15.75" customHeight="1">
      <c r="A749" s="298"/>
      <c r="E749" s="251"/>
      <c r="F749" s="251"/>
      <c r="V749" s="299"/>
    </row>
    <row r="750" spans="1:22" ht="15.75" customHeight="1">
      <c r="A750" s="298"/>
      <c r="E750" s="251"/>
      <c r="F750" s="251"/>
      <c r="V750" s="299"/>
    </row>
    <row r="751" spans="1:22" ht="15.75" customHeight="1">
      <c r="A751" s="298"/>
      <c r="E751" s="251"/>
      <c r="F751" s="251"/>
      <c r="V751" s="299"/>
    </row>
    <row r="752" spans="1:22" ht="15.75" customHeight="1">
      <c r="A752" s="298"/>
      <c r="E752" s="251"/>
      <c r="F752" s="251"/>
      <c r="V752" s="299"/>
    </row>
    <row r="753" spans="1:22" ht="15.75" customHeight="1">
      <c r="A753" s="298"/>
      <c r="E753" s="251"/>
      <c r="F753" s="251"/>
      <c r="V753" s="299"/>
    </row>
    <row r="754" spans="1:22" ht="15.75" customHeight="1">
      <c r="A754" s="298"/>
      <c r="E754" s="251"/>
      <c r="F754" s="251"/>
      <c r="V754" s="299"/>
    </row>
    <row r="755" spans="1:22" ht="15.75" customHeight="1">
      <c r="A755" s="298"/>
      <c r="E755" s="251"/>
      <c r="F755" s="251"/>
      <c r="V755" s="299"/>
    </row>
    <row r="756" spans="1:22" ht="15.75" customHeight="1">
      <c r="A756" s="298"/>
      <c r="E756" s="251"/>
      <c r="F756" s="251"/>
      <c r="V756" s="299"/>
    </row>
    <row r="757" spans="1:22" ht="15.75" customHeight="1">
      <c r="A757" s="298"/>
      <c r="E757" s="251"/>
      <c r="F757" s="251"/>
      <c r="V757" s="299"/>
    </row>
    <row r="758" spans="1:22" ht="15.75" customHeight="1">
      <c r="A758" s="298"/>
      <c r="E758" s="251"/>
      <c r="F758" s="251"/>
      <c r="V758" s="299"/>
    </row>
    <row r="759" spans="1:22" ht="15.75" customHeight="1">
      <c r="A759" s="298"/>
      <c r="E759" s="251"/>
      <c r="F759" s="251"/>
      <c r="V759" s="299"/>
    </row>
    <row r="760" spans="1:22" ht="15.75" customHeight="1">
      <c r="A760" s="298"/>
      <c r="E760" s="251"/>
      <c r="F760" s="251"/>
      <c r="V760" s="299"/>
    </row>
    <row r="761" spans="1:22" ht="15.75" customHeight="1">
      <c r="A761" s="298"/>
      <c r="E761" s="251"/>
      <c r="F761" s="251"/>
      <c r="V761" s="299"/>
    </row>
    <row r="762" spans="1:22" ht="15.75" customHeight="1">
      <c r="A762" s="298"/>
      <c r="E762" s="251"/>
      <c r="F762" s="251"/>
      <c r="V762" s="299"/>
    </row>
    <row r="763" spans="1:22" ht="15.75" customHeight="1">
      <c r="A763" s="298"/>
      <c r="E763" s="251"/>
      <c r="F763" s="251"/>
      <c r="V763" s="299"/>
    </row>
    <row r="764" spans="1:22" ht="15.75" customHeight="1">
      <c r="A764" s="298"/>
      <c r="E764" s="251"/>
      <c r="F764" s="251"/>
      <c r="V764" s="299"/>
    </row>
    <row r="765" spans="1:22" ht="15.75" customHeight="1">
      <c r="A765" s="298"/>
      <c r="E765" s="251"/>
      <c r="F765" s="251"/>
      <c r="V765" s="299"/>
    </row>
    <row r="766" spans="1:22" ht="15.75" customHeight="1">
      <c r="A766" s="298"/>
      <c r="E766" s="251"/>
      <c r="F766" s="251"/>
      <c r="V766" s="299"/>
    </row>
    <row r="767" spans="1:22" ht="15.75" customHeight="1">
      <c r="A767" s="298"/>
      <c r="E767" s="251"/>
      <c r="F767" s="251"/>
      <c r="V767" s="299"/>
    </row>
    <row r="768" spans="1:22" ht="15.75" customHeight="1">
      <c r="A768" s="298"/>
      <c r="E768" s="251"/>
      <c r="F768" s="251"/>
      <c r="V768" s="299"/>
    </row>
    <row r="769" spans="1:22" ht="15.75" customHeight="1">
      <c r="A769" s="298"/>
      <c r="E769" s="251"/>
      <c r="F769" s="251"/>
      <c r="V769" s="299"/>
    </row>
    <row r="770" spans="1:22" ht="15.75" customHeight="1">
      <c r="A770" s="298"/>
      <c r="E770" s="251"/>
      <c r="F770" s="251"/>
      <c r="V770" s="299"/>
    </row>
    <row r="771" spans="1:22" ht="15.75" customHeight="1">
      <c r="A771" s="298"/>
      <c r="E771" s="251"/>
      <c r="F771" s="251"/>
      <c r="V771" s="299"/>
    </row>
    <row r="772" spans="1:22" ht="15.75" customHeight="1">
      <c r="A772" s="298"/>
      <c r="E772" s="251"/>
      <c r="F772" s="251"/>
      <c r="V772" s="299"/>
    </row>
    <row r="773" spans="1:22" ht="15.75" customHeight="1">
      <c r="A773" s="298"/>
      <c r="E773" s="251"/>
      <c r="F773" s="251"/>
      <c r="V773" s="299"/>
    </row>
    <row r="774" spans="1:22" ht="15.75" customHeight="1">
      <c r="A774" s="298"/>
      <c r="E774" s="251"/>
      <c r="F774" s="251"/>
      <c r="V774" s="299"/>
    </row>
    <row r="775" spans="1:22" ht="15.75" customHeight="1">
      <c r="A775" s="298"/>
      <c r="E775" s="251"/>
      <c r="F775" s="251"/>
      <c r="V775" s="299"/>
    </row>
    <row r="776" spans="1:22" ht="15.75" customHeight="1">
      <c r="A776" s="298"/>
      <c r="E776" s="251"/>
      <c r="F776" s="251"/>
      <c r="V776" s="299"/>
    </row>
    <row r="777" spans="1:22" ht="15.75" customHeight="1">
      <c r="A777" s="298"/>
      <c r="E777" s="251"/>
      <c r="F777" s="251"/>
      <c r="V777" s="299"/>
    </row>
    <row r="778" spans="1:22" ht="15.75" customHeight="1">
      <c r="A778" s="298"/>
      <c r="E778" s="251"/>
      <c r="F778" s="251"/>
      <c r="V778" s="299"/>
    </row>
    <row r="779" spans="1:22" ht="15.75" customHeight="1">
      <c r="A779" s="298"/>
      <c r="E779" s="251"/>
      <c r="F779" s="251"/>
      <c r="V779" s="299"/>
    </row>
    <row r="780" spans="1:22" ht="15.75" customHeight="1">
      <c r="A780" s="298"/>
      <c r="E780" s="251"/>
      <c r="F780" s="251"/>
      <c r="V780" s="299"/>
    </row>
    <row r="781" spans="1:22" ht="15.75" customHeight="1">
      <c r="A781" s="298"/>
      <c r="E781" s="251"/>
      <c r="F781" s="251"/>
      <c r="V781" s="299"/>
    </row>
    <row r="782" spans="1:22" ht="15.75" customHeight="1">
      <c r="A782" s="298"/>
      <c r="E782" s="251"/>
      <c r="F782" s="251"/>
      <c r="V782" s="299"/>
    </row>
    <row r="783" spans="1:22" ht="15.75" customHeight="1">
      <c r="A783" s="298"/>
      <c r="E783" s="251"/>
      <c r="F783" s="251"/>
      <c r="V783" s="299"/>
    </row>
    <row r="784" spans="1:22" ht="15.75" customHeight="1">
      <c r="A784" s="298"/>
      <c r="E784" s="251"/>
      <c r="F784" s="251"/>
      <c r="V784" s="299"/>
    </row>
    <row r="785" spans="1:22" ht="15.75" customHeight="1">
      <c r="A785" s="298"/>
      <c r="E785" s="251"/>
      <c r="F785" s="251"/>
      <c r="V785" s="299"/>
    </row>
    <row r="786" spans="1:22" ht="15.75" customHeight="1">
      <c r="A786" s="298"/>
      <c r="E786" s="251"/>
      <c r="F786" s="251"/>
      <c r="V786" s="299"/>
    </row>
    <row r="787" spans="1:22" ht="15.75" customHeight="1">
      <c r="A787" s="298"/>
      <c r="E787" s="251"/>
      <c r="F787" s="251"/>
      <c r="V787" s="299"/>
    </row>
    <row r="788" spans="1:22" ht="15.75" customHeight="1">
      <c r="A788" s="298"/>
      <c r="E788" s="251"/>
      <c r="F788" s="251"/>
      <c r="V788" s="299"/>
    </row>
    <row r="789" spans="1:22" ht="15.75" customHeight="1">
      <c r="A789" s="298"/>
      <c r="E789" s="251"/>
      <c r="F789" s="251"/>
      <c r="V789" s="299"/>
    </row>
    <row r="790" spans="1:22" ht="15.75" customHeight="1">
      <c r="A790" s="298"/>
      <c r="E790" s="251"/>
      <c r="F790" s="251"/>
      <c r="V790" s="299"/>
    </row>
    <row r="791" spans="1:22" ht="15.75" customHeight="1">
      <c r="A791" s="298"/>
      <c r="E791" s="251"/>
      <c r="F791" s="251"/>
      <c r="V791" s="299"/>
    </row>
    <row r="792" spans="1:22" ht="15.75" customHeight="1">
      <c r="A792" s="298"/>
      <c r="E792" s="251"/>
      <c r="F792" s="251"/>
      <c r="V792" s="299"/>
    </row>
    <row r="793" spans="1:22" ht="15.75" customHeight="1">
      <c r="A793" s="298"/>
      <c r="E793" s="251"/>
      <c r="F793" s="251"/>
      <c r="V793" s="299"/>
    </row>
    <row r="794" spans="1:22" ht="15.75" customHeight="1">
      <c r="A794" s="298"/>
      <c r="E794" s="251"/>
      <c r="F794" s="251"/>
      <c r="V794" s="299"/>
    </row>
    <row r="795" spans="1:22" ht="15.75" customHeight="1">
      <c r="A795" s="298"/>
      <c r="E795" s="251"/>
      <c r="F795" s="251"/>
      <c r="V795" s="299"/>
    </row>
    <row r="796" spans="1:22" ht="15.75" customHeight="1">
      <c r="A796" s="298"/>
      <c r="E796" s="251"/>
      <c r="F796" s="251"/>
      <c r="V796" s="299"/>
    </row>
    <row r="797" spans="1:22" ht="15.75" customHeight="1">
      <c r="A797" s="298"/>
      <c r="E797" s="251"/>
      <c r="F797" s="251"/>
      <c r="V797" s="299"/>
    </row>
    <row r="798" spans="1:22" ht="15.75" customHeight="1">
      <c r="A798" s="298"/>
      <c r="E798" s="251"/>
      <c r="F798" s="251"/>
      <c r="V798" s="299"/>
    </row>
    <row r="799" spans="1:22" ht="15.75" customHeight="1">
      <c r="A799" s="298"/>
      <c r="E799" s="251"/>
      <c r="F799" s="251"/>
      <c r="V799" s="299"/>
    </row>
    <row r="800" spans="1:22" ht="15.75" customHeight="1">
      <c r="A800" s="298"/>
      <c r="E800" s="251"/>
      <c r="F800" s="251"/>
      <c r="V800" s="299"/>
    </row>
    <row r="801" spans="1:22" ht="15.75" customHeight="1">
      <c r="A801" s="298"/>
      <c r="E801" s="251"/>
      <c r="F801" s="251"/>
      <c r="V801" s="299"/>
    </row>
    <row r="802" spans="1:22" ht="15.75" customHeight="1">
      <c r="A802" s="298"/>
      <c r="E802" s="251"/>
      <c r="F802" s="251"/>
      <c r="V802" s="299"/>
    </row>
    <row r="803" spans="1:22" ht="15.75" customHeight="1">
      <c r="A803" s="298"/>
      <c r="E803" s="251"/>
      <c r="F803" s="251"/>
      <c r="V803" s="299"/>
    </row>
    <row r="804" spans="1:22" ht="15.75" customHeight="1">
      <c r="A804" s="298"/>
      <c r="E804" s="251"/>
      <c r="F804" s="251"/>
      <c r="V804" s="299"/>
    </row>
    <row r="805" spans="1:22" ht="15.75" customHeight="1">
      <c r="A805" s="298"/>
      <c r="E805" s="251"/>
      <c r="F805" s="251"/>
      <c r="V805" s="299"/>
    </row>
    <row r="806" spans="1:22" ht="15.75" customHeight="1">
      <c r="A806" s="298"/>
      <c r="E806" s="251"/>
      <c r="F806" s="251"/>
      <c r="V806" s="299"/>
    </row>
    <row r="807" spans="1:22" ht="15.75" customHeight="1">
      <c r="A807" s="298"/>
      <c r="E807" s="251"/>
      <c r="F807" s="251"/>
      <c r="V807" s="299"/>
    </row>
    <row r="808" spans="1:22" ht="15.75" customHeight="1">
      <c r="A808" s="298"/>
      <c r="E808" s="251"/>
      <c r="F808" s="251"/>
      <c r="V808" s="299"/>
    </row>
    <row r="809" spans="1:22" ht="15.75" customHeight="1">
      <c r="A809" s="298"/>
      <c r="E809" s="251"/>
      <c r="F809" s="251"/>
      <c r="V809" s="299"/>
    </row>
    <row r="810" spans="1:22" ht="15.75" customHeight="1">
      <c r="A810" s="298"/>
      <c r="E810" s="251"/>
      <c r="F810" s="251"/>
      <c r="V810" s="299"/>
    </row>
    <row r="811" spans="1:22" ht="15.75" customHeight="1">
      <c r="A811" s="298"/>
      <c r="E811" s="251"/>
      <c r="F811" s="251"/>
      <c r="V811" s="299"/>
    </row>
    <row r="812" spans="1:22" ht="15.75" customHeight="1">
      <c r="A812" s="298"/>
      <c r="E812" s="251"/>
      <c r="F812" s="251"/>
      <c r="V812" s="299"/>
    </row>
    <row r="813" spans="1:22" ht="15.75" customHeight="1">
      <c r="A813" s="298"/>
      <c r="E813" s="251"/>
      <c r="F813" s="251"/>
      <c r="V813" s="299"/>
    </row>
    <row r="814" spans="1:22" ht="15.75" customHeight="1">
      <c r="A814" s="298"/>
      <c r="E814" s="251"/>
      <c r="F814" s="251"/>
      <c r="V814" s="299"/>
    </row>
    <row r="815" spans="1:22" ht="15.75" customHeight="1">
      <c r="A815" s="298"/>
      <c r="E815" s="251"/>
      <c r="F815" s="251"/>
      <c r="V815" s="299"/>
    </row>
    <row r="816" spans="1:22" ht="15.75" customHeight="1">
      <c r="A816" s="298"/>
      <c r="E816" s="251"/>
      <c r="F816" s="251"/>
      <c r="V816" s="299"/>
    </row>
    <row r="817" spans="1:22" ht="15.75" customHeight="1">
      <c r="A817" s="298"/>
      <c r="E817" s="251"/>
      <c r="F817" s="251"/>
      <c r="V817" s="299"/>
    </row>
    <row r="818" spans="1:22" ht="15.75" customHeight="1">
      <c r="A818" s="298"/>
      <c r="E818" s="251"/>
      <c r="F818" s="251"/>
      <c r="V818" s="299"/>
    </row>
    <row r="819" spans="1:22" ht="15.75" customHeight="1">
      <c r="A819" s="298"/>
      <c r="E819" s="251"/>
      <c r="F819" s="251"/>
      <c r="V819" s="299"/>
    </row>
    <row r="820" spans="1:22" ht="15.75" customHeight="1">
      <c r="A820" s="298"/>
      <c r="E820" s="251"/>
      <c r="F820" s="251"/>
      <c r="V820" s="299"/>
    </row>
    <row r="821" spans="1:22" ht="15.75" customHeight="1">
      <c r="A821" s="298"/>
      <c r="E821" s="251"/>
      <c r="F821" s="251"/>
      <c r="V821" s="299"/>
    </row>
    <row r="822" spans="1:22" ht="15.75" customHeight="1">
      <c r="A822" s="298"/>
      <c r="E822" s="251"/>
      <c r="F822" s="251"/>
      <c r="V822" s="299"/>
    </row>
    <row r="823" spans="1:22" ht="15.75" customHeight="1">
      <c r="A823" s="298"/>
      <c r="E823" s="251"/>
      <c r="F823" s="251"/>
      <c r="V823" s="299"/>
    </row>
    <row r="824" spans="1:22" ht="15.75" customHeight="1">
      <c r="A824" s="298"/>
      <c r="E824" s="251"/>
      <c r="F824" s="251"/>
      <c r="V824" s="299"/>
    </row>
    <row r="825" spans="1:22" ht="15.75" customHeight="1">
      <c r="A825" s="298"/>
      <c r="E825" s="251"/>
      <c r="F825" s="251"/>
      <c r="V825" s="299"/>
    </row>
    <row r="826" spans="1:22" ht="15.75" customHeight="1">
      <c r="A826" s="298"/>
      <c r="E826" s="251"/>
      <c r="F826" s="251"/>
      <c r="V826" s="299"/>
    </row>
    <row r="827" spans="1:22" ht="15.75" customHeight="1">
      <c r="A827" s="298"/>
      <c r="E827" s="251"/>
      <c r="F827" s="251"/>
      <c r="V827" s="299"/>
    </row>
    <row r="828" spans="1:22" ht="15.75" customHeight="1">
      <c r="A828" s="298"/>
      <c r="E828" s="251"/>
      <c r="F828" s="251"/>
      <c r="V828" s="299"/>
    </row>
    <row r="829" spans="1:22" ht="15.75" customHeight="1">
      <c r="A829" s="298"/>
      <c r="E829" s="251"/>
      <c r="F829" s="251"/>
      <c r="V829" s="299"/>
    </row>
    <row r="830" spans="1:22" ht="15.75" customHeight="1">
      <c r="A830" s="298"/>
      <c r="E830" s="251"/>
      <c r="F830" s="251"/>
      <c r="V830" s="299"/>
    </row>
    <row r="831" spans="1:22" ht="15.75" customHeight="1">
      <c r="A831" s="298"/>
      <c r="E831" s="251"/>
      <c r="F831" s="251"/>
      <c r="V831" s="299"/>
    </row>
    <row r="832" spans="1:22" ht="15.75" customHeight="1">
      <c r="A832" s="298"/>
      <c r="E832" s="251"/>
      <c r="F832" s="251"/>
      <c r="V832" s="299"/>
    </row>
    <row r="833" spans="1:22" ht="15.75" customHeight="1">
      <c r="A833" s="298"/>
      <c r="E833" s="251"/>
      <c r="F833" s="251"/>
      <c r="V833" s="299"/>
    </row>
    <row r="834" spans="1:22" ht="15.75" customHeight="1">
      <c r="A834" s="298"/>
      <c r="E834" s="251"/>
      <c r="F834" s="251"/>
      <c r="V834" s="299"/>
    </row>
    <row r="835" spans="1:22" ht="15.75" customHeight="1">
      <c r="A835" s="298"/>
      <c r="E835" s="251"/>
      <c r="F835" s="251"/>
      <c r="V835" s="299"/>
    </row>
    <row r="836" spans="1:22" ht="15.75" customHeight="1">
      <c r="A836" s="298"/>
      <c r="E836" s="251"/>
      <c r="F836" s="251"/>
      <c r="V836" s="299"/>
    </row>
    <row r="837" spans="1:22" ht="15.75" customHeight="1">
      <c r="A837" s="298"/>
      <c r="E837" s="251"/>
      <c r="F837" s="251"/>
      <c r="V837" s="299"/>
    </row>
    <row r="838" spans="1:22" ht="15.75" customHeight="1">
      <c r="A838" s="298"/>
      <c r="E838" s="251"/>
      <c r="F838" s="251"/>
      <c r="V838" s="299"/>
    </row>
    <row r="839" spans="1:22" ht="15.75" customHeight="1">
      <c r="A839" s="298"/>
      <c r="E839" s="251"/>
      <c r="F839" s="251"/>
      <c r="V839" s="299"/>
    </row>
    <row r="840" spans="1:22" ht="15.75" customHeight="1">
      <c r="A840" s="298"/>
      <c r="E840" s="251"/>
      <c r="F840" s="251"/>
      <c r="V840" s="299"/>
    </row>
    <row r="841" spans="1:22" ht="15.75" customHeight="1">
      <c r="A841" s="298"/>
      <c r="E841" s="251"/>
      <c r="F841" s="251"/>
      <c r="V841" s="299"/>
    </row>
    <row r="842" spans="1:22" ht="15.75" customHeight="1">
      <c r="A842" s="298"/>
      <c r="E842" s="251"/>
      <c r="F842" s="251"/>
      <c r="V842" s="299"/>
    </row>
    <row r="843" spans="1:22" ht="15.75" customHeight="1">
      <c r="A843" s="298"/>
      <c r="E843" s="251"/>
      <c r="F843" s="251"/>
      <c r="V843" s="299"/>
    </row>
    <row r="844" spans="1:22" ht="15.75" customHeight="1">
      <c r="A844" s="298"/>
      <c r="E844" s="251"/>
      <c r="F844" s="251"/>
      <c r="V844" s="299"/>
    </row>
    <row r="845" spans="1:22" ht="15.75" customHeight="1">
      <c r="A845" s="298"/>
      <c r="E845" s="251"/>
      <c r="F845" s="251"/>
      <c r="V845" s="299"/>
    </row>
    <row r="846" spans="1:22" ht="15.75" customHeight="1">
      <c r="A846" s="298"/>
      <c r="E846" s="251"/>
      <c r="F846" s="251"/>
      <c r="V846" s="299"/>
    </row>
    <row r="847" spans="1:22" ht="15.75" customHeight="1">
      <c r="A847" s="298"/>
      <c r="E847" s="251"/>
      <c r="F847" s="251"/>
      <c r="V847" s="299"/>
    </row>
    <row r="848" spans="1:22" ht="15.75" customHeight="1">
      <c r="A848" s="298"/>
      <c r="E848" s="251"/>
      <c r="F848" s="251"/>
      <c r="V848" s="299"/>
    </row>
    <row r="849" spans="1:22" ht="15.75" customHeight="1">
      <c r="A849" s="298"/>
      <c r="E849" s="251"/>
      <c r="F849" s="251"/>
      <c r="V849" s="299"/>
    </row>
    <row r="850" spans="1:22" ht="15.75" customHeight="1">
      <c r="A850" s="298"/>
      <c r="E850" s="251"/>
      <c r="F850" s="251"/>
      <c r="V850" s="299"/>
    </row>
    <row r="851" spans="1:22" ht="15.75" customHeight="1">
      <c r="A851" s="298"/>
      <c r="E851" s="251"/>
      <c r="F851" s="251"/>
      <c r="V851" s="299"/>
    </row>
    <row r="852" spans="1:22" ht="15.75" customHeight="1">
      <c r="A852" s="298"/>
      <c r="E852" s="251"/>
      <c r="F852" s="251"/>
      <c r="V852" s="299"/>
    </row>
    <row r="853" spans="1:22" ht="15.75" customHeight="1">
      <c r="A853" s="298"/>
      <c r="E853" s="251"/>
      <c r="F853" s="251"/>
      <c r="V853" s="299"/>
    </row>
    <row r="854" spans="1:22" ht="15.75" customHeight="1">
      <c r="A854" s="298"/>
      <c r="E854" s="251"/>
      <c r="F854" s="251"/>
      <c r="V854" s="299"/>
    </row>
    <row r="855" spans="1:22" ht="15.75" customHeight="1">
      <c r="A855" s="298"/>
      <c r="E855" s="251"/>
      <c r="F855" s="251"/>
      <c r="V855" s="299"/>
    </row>
    <row r="856" spans="1:22" ht="15.75" customHeight="1">
      <c r="A856" s="298"/>
      <c r="E856" s="251"/>
      <c r="F856" s="251"/>
      <c r="V856" s="299"/>
    </row>
    <row r="857" spans="1:22" ht="15.75" customHeight="1">
      <c r="A857" s="298"/>
      <c r="E857" s="251"/>
      <c r="F857" s="251"/>
      <c r="V857" s="299"/>
    </row>
    <row r="858" spans="1:22" ht="15.75" customHeight="1">
      <c r="A858" s="298"/>
      <c r="E858" s="251"/>
      <c r="F858" s="251"/>
      <c r="V858" s="299"/>
    </row>
    <row r="859" spans="1:22" ht="15.75" customHeight="1">
      <c r="A859" s="298"/>
      <c r="E859" s="251"/>
      <c r="F859" s="251"/>
      <c r="V859" s="299"/>
    </row>
    <row r="860" spans="1:22" ht="15.75" customHeight="1">
      <c r="A860" s="298"/>
      <c r="E860" s="251"/>
      <c r="F860" s="251"/>
      <c r="V860" s="299"/>
    </row>
    <row r="861" spans="1:22" ht="15.75" customHeight="1">
      <c r="A861" s="298"/>
      <c r="E861" s="251"/>
      <c r="F861" s="251"/>
      <c r="V861" s="299"/>
    </row>
    <row r="862" spans="1:22" ht="15.75" customHeight="1">
      <c r="A862" s="298"/>
      <c r="E862" s="251"/>
      <c r="F862" s="251"/>
      <c r="V862" s="299"/>
    </row>
    <row r="863" spans="1:22" ht="15.75" customHeight="1">
      <c r="A863" s="298"/>
      <c r="E863" s="251"/>
      <c r="F863" s="251"/>
      <c r="V863" s="299"/>
    </row>
    <row r="864" spans="1:22" ht="15.75" customHeight="1">
      <c r="A864" s="298"/>
      <c r="E864" s="251"/>
      <c r="F864" s="251"/>
      <c r="V864" s="299"/>
    </row>
    <row r="865" spans="1:22" ht="15.75" customHeight="1">
      <c r="A865" s="298"/>
      <c r="E865" s="251"/>
      <c r="F865" s="251"/>
      <c r="V865" s="299"/>
    </row>
    <row r="866" spans="1:22" ht="15.75" customHeight="1">
      <c r="A866" s="298"/>
      <c r="E866" s="251"/>
      <c r="F866" s="251"/>
      <c r="V866" s="299"/>
    </row>
    <row r="867" spans="1:22" ht="15.75" customHeight="1">
      <c r="A867" s="298"/>
      <c r="E867" s="251"/>
      <c r="F867" s="251"/>
      <c r="V867" s="299"/>
    </row>
    <row r="868" spans="1:22" ht="15.75" customHeight="1">
      <c r="A868" s="298"/>
      <c r="E868" s="251"/>
      <c r="F868" s="251"/>
      <c r="V868" s="299"/>
    </row>
    <row r="869" spans="1:22" ht="15.75" customHeight="1">
      <c r="A869" s="298"/>
      <c r="E869" s="251"/>
      <c r="F869" s="251"/>
      <c r="V869" s="299"/>
    </row>
    <row r="870" spans="1:22" ht="15.75" customHeight="1">
      <c r="A870" s="298"/>
      <c r="E870" s="251"/>
      <c r="F870" s="251"/>
      <c r="V870" s="299"/>
    </row>
    <row r="871" spans="1:22" ht="15.75" customHeight="1">
      <c r="A871" s="298"/>
      <c r="E871" s="251"/>
      <c r="F871" s="251"/>
      <c r="V871" s="299"/>
    </row>
    <row r="872" spans="1:22" ht="15.75" customHeight="1">
      <c r="A872" s="298"/>
      <c r="E872" s="251"/>
      <c r="F872" s="251"/>
      <c r="V872" s="299"/>
    </row>
    <row r="873" spans="1:22" ht="15.75" customHeight="1">
      <c r="A873" s="298"/>
      <c r="E873" s="251"/>
      <c r="F873" s="251"/>
      <c r="V873" s="299"/>
    </row>
    <row r="874" spans="1:22" ht="15.75" customHeight="1">
      <c r="A874" s="298"/>
      <c r="E874" s="251"/>
      <c r="F874" s="251"/>
      <c r="V874" s="299"/>
    </row>
    <row r="875" spans="1:22" ht="15.75" customHeight="1">
      <c r="A875" s="298"/>
      <c r="E875" s="251"/>
      <c r="F875" s="251"/>
      <c r="V875" s="299"/>
    </row>
    <row r="876" spans="1:22" ht="15.75" customHeight="1">
      <c r="A876" s="298"/>
      <c r="E876" s="251"/>
      <c r="F876" s="251"/>
      <c r="V876" s="299"/>
    </row>
    <row r="877" spans="1:22" ht="15.75" customHeight="1">
      <c r="A877" s="298"/>
      <c r="E877" s="251"/>
      <c r="F877" s="251"/>
      <c r="V877" s="299"/>
    </row>
    <row r="878" spans="1:22" ht="15.75" customHeight="1">
      <c r="A878" s="298"/>
      <c r="E878" s="251"/>
      <c r="F878" s="251"/>
      <c r="V878" s="299"/>
    </row>
    <row r="879" spans="1:22" ht="15.75" customHeight="1">
      <c r="A879" s="298"/>
      <c r="E879" s="251"/>
      <c r="F879" s="251"/>
      <c r="V879" s="299"/>
    </row>
    <row r="880" spans="1:22" ht="15.75" customHeight="1">
      <c r="A880" s="298"/>
      <c r="E880" s="251"/>
      <c r="F880" s="251"/>
      <c r="V880" s="299"/>
    </row>
    <row r="881" spans="1:22" ht="15.75" customHeight="1">
      <c r="A881" s="298"/>
      <c r="E881" s="251"/>
      <c r="F881" s="251"/>
      <c r="V881" s="299"/>
    </row>
    <row r="882" spans="1:22" ht="15.75" customHeight="1">
      <c r="A882" s="298"/>
      <c r="E882" s="251"/>
      <c r="F882" s="251"/>
      <c r="V882" s="299"/>
    </row>
    <row r="883" spans="1:22" ht="15.75" customHeight="1">
      <c r="A883" s="298"/>
      <c r="E883" s="251"/>
      <c r="F883" s="251"/>
      <c r="V883" s="299"/>
    </row>
    <row r="884" spans="1:22" ht="15.75" customHeight="1">
      <c r="A884" s="298"/>
      <c r="E884" s="251"/>
      <c r="F884" s="251"/>
      <c r="V884" s="299"/>
    </row>
    <row r="885" spans="1:22" ht="15.75" customHeight="1">
      <c r="A885" s="298"/>
      <c r="E885" s="251"/>
      <c r="F885" s="251"/>
      <c r="V885" s="299"/>
    </row>
    <row r="886" spans="1:22" ht="15.75" customHeight="1">
      <c r="A886" s="298"/>
      <c r="E886" s="251"/>
      <c r="F886" s="251"/>
      <c r="V886" s="299"/>
    </row>
    <row r="887" spans="1:22" ht="15.75" customHeight="1">
      <c r="A887" s="298"/>
      <c r="E887" s="251"/>
      <c r="F887" s="251"/>
      <c r="V887" s="299"/>
    </row>
    <row r="888" spans="1:22" ht="15.75" customHeight="1">
      <c r="A888" s="298"/>
      <c r="E888" s="251"/>
      <c r="F888" s="251"/>
      <c r="V888" s="299"/>
    </row>
    <row r="889" spans="1:22" ht="15.75" customHeight="1">
      <c r="A889" s="298"/>
      <c r="E889" s="251"/>
      <c r="F889" s="251"/>
      <c r="V889" s="299"/>
    </row>
    <row r="890" spans="1:22" ht="15.75" customHeight="1">
      <c r="A890" s="298"/>
      <c r="E890" s="251"/>
      <c r="F890" s="251"/>
      <c r="V890" s="299"/>
    </row>
    <row r="891" spans="1:22" ht="15.75" customHeight="1">
      <c r="A891" s="298"/>
      <c r="E891" s="251"/>
      <c r="F891" s="251"/>
      <c r="V891" s="299"/>
    </row>
    <row r="892" spans="1:22" ht="15.75" customHeight="1">
      <c r="A892" s="298"/>
      <c r="E892" s="251"/>
      <c r="F892" s="251"/>
      <c r="V892" s="299"/>
    </row>
    <row r="893" spans="1:22" ht="15.75" customHeight="1">
      <c r="A893" s="298"/>
      <c r="E893" s="251"/>
      <c r="F893" s="251"/>
      <c r="V893" s="299"/>
    </row>
    <row r="894" spans="1:22" ht="15.75" customHeight="1">
      <c r="A894" s="298"/>
      <c r="E894" s="251"/>
      <c r="F894" s="251"/>
      <c r="V894" s="299"/>
    </row>
    <row r="895" spans="1:22" ht="15.75" customHeight="1">
      <c r="A895" s="298"/>
      <c r="E895" s="251"/>
      <c r="F895" s="251"/>
      <c r="V895" s="299"/>
    </row>
    <row r="896" spans="1:22" ht="15.75" customHeight="1">
      <c r="A896" s="298"/>
      <c r="E896" s="251"/>
      <c r="F896" s="251"/>
      <c r="V896" s="299"/>
    </row>
    <row r="897" spans="1:22" ht="15.75" customHeight="1">
      <c r="A897" s="298"/>
      <c r="E897" s="251"/>
      <c r="F897" s="251"/>
      <c r="V897" s="299"/>
    </row>
    <row r="898" spans="1:22" ht="15.75" customHeight="1">
      <c r="A898" s="298"/>
      <c r="E898" s="251"/>
      <c r="F898" s="251"/>
      <c r="V898" s="299"/>
    </row>
    <row r="899" spans="1:22" ht="15.75" customHeight="1">
      <c r="A899" s="298"/>
      <c r="E899" s="251"/>
      <c r="F899" s="251"/>
      <c r="V899" s="299"/>
    </row>
    <row r="900" spans="1:22" ht="15.75" customHeight="1">
      <c r="A900" s="298"/>
      <c r="E900" s="251"/>
      <c r="F900" s="251"/>
      <c r="V900" s="299"/>
    </row>
    <row r="901" spans="1:22" ht="15.75" customHeight="1">
      <c r="A901" s="298"/>
      <c r="E901" s="251"/>
      <c r="F901" s="251"/>
      <c r="V901" s="299"/>
    </row>
    <row r="902" spans="1:22" ht="15.75" customHeight="1">
      <c r="A902" s="298"/>
      <c r="E902" s="251"/>
      <c r="F902" s="251"/>
      <c r="V902" s="299"/>
    </row>
    <row r="903" spans="1:22" ht="15.75" customHeight="1">
      <c r="A903" s="298"/>
      <c r="E903" s="251"/>
      <c r="F903" s="251"/>
      <c r="V903" s="299"/>
    </row>
    <row r="904" spans="1:22" ht="15.75" customHeight="1">
      <c r="A904" s="298"/>
      <c r="E904" s="251"/>
      <c r="F904" s="251"/>
      <c r="V904" s="299"/>
    </row>
    <row r="905" spans="1:22" ht="15.75" customHeight="1">
      <c r="A905" s="298"/>
      <c r="E905" s="251"/>
      <c r="F905" s="251"/>
      <c r="V905" s="299"/>
    </row>
    <row r="906" spans="1:22" ht="15.75" customHeight="1">
      <c r="A906" s="298"/>
      <c r="E906" s="251"/>
      <c r="F906" s="251"/>
      <c r="V906" s="299"/>
    </row>
    <row r="907" spans="1:22" ht="15.75" customHeight="1">
      <c r="A907" s="298"/>
      <c r="E907" s="251"/>
      <c r="F907" s="251"/>
      <c r="V907" s="299"/>
    </row>
    <row r="908" spans="1:22" ht="15.75" customHeight="1">
      <c r="A908" s="298"/>
      <c r="E908" s="251"/>
      <c r="F908" s="251"/>
      <c r="V908" s="299"/>
    </row>
    <row r="909" spans="1:22" ht="15.75" customHeight="1">
      <c r="A909" s="298"/>
      <c r="E909" s="251"/>
      <c r="F909" s="251"/>
      <c r="V909" s="299"/>
    </row>
    <row r="910" spans="1:22" ht="15.75" customHeight="1">
      <c r="A910" s="298"/>
      <c r="E910" s="251"/>
      <c r="F910" s="251"/>
      <c r="V910" s="299"/>
    </row>
    <row r="911" spans="1:22" ht="15.75" customHeight="1">
      <c r="A911" s="298"/>
      <c r="E911" s="251"/>
      <c r="F911" s="251"/>
      <c r="V911" s="299"/>
    </row>
    <row r="912" spans="1:22" ht="15.75" customHeight="1">
      <c r="A912" s="298"/>
      <c r="E912" s="251"/>
      <c r="F912" s="251"/>
      <c r="V912" s="299"/>
    </row>
    <row r="913" spans="1:22" ht="15.75" customHeight="1">
      <c r="A913" s="298"/>
      <c r="E913" s="251"/>
      <c r="F913" s="251"/>
      <c r="V913" s="299"/>
    </row>
    <row r="914" spans="1:22" ht="15.75" customHeight="1">
      <c r="A914" s="298"/>
      <c r="E914" s="251"/>
      <c r="F914" s="251"/>
      <c r="V914" s="299"/>
    </row>
    <row r="915" spans="1:22" ht="15.75" customHeight="1">
      <c r="A915" s="298"/>
      <c r="E915" s="251"/>
      <c r="F915" s="251"/>
      <c r="V915" s="299"/>
    </row>
    <row r="916" spans="1:22" ht="15.75" customHeight="1">
      <c r="A916" s="298"/>
      <c r="E916" s="251"/>
      <c r="F916" s="251"/>
      <c r="V916" s="299"/>
    </row>
    <row r="917" spans="1:22" ht="15.75" customHeight="1">
      <c r="A917" s="298"/>
      <c r="E917" s="251"/>
      <c r="F917" s="251"/>
      <c r="V917" s="299"/>
    </row>
    <row r="918" spans="1:22" ht="15.75" customHeight="1">
      <c r="A918" s="298"/>
      <c r="E918" s="251"/>
      <c r="F918" s="251"/>
      <c r="V918" s="299"/>
    </row>
    <row r="919" spans="1:22" ht="15.75" customHeight="1">
      <c r="A919" s="298"/>
      <c r="E919" s="251"/>
      <c r="F919" s="251"/>
      <c r="V919" s="299"/>
    </row>
    <row r="920" spans="1:22" ht="15.75" customHeight="1">
      <c r="A920" s="298"/>
      <c r="E920" s="251"/>
      <c r="F920" s="251"/>
      <c r="V920" s="299"/>
    </row>
    <row r="921" spans="1:22" ht="15.75" customHeight="1">
      <c r="A921" s="298"/>
      <c r="E921" s="251"/>
      <c r="F921" s="251"/>
      <c r="V921" s="299"/>
    </row>
    <row r="922" spans="1:22" ht="15.75" customHeight="1">
      <c r="A922" s="298"/>
      <c r="E922" s="251"/>
      <c r="F922" s="251"/>
      <c r="V922" s="299"/>
    </row>
    <row r="923" spans="1:22" ht="15.75" customHeight="1">
      <c r="A923" s="298"/>
      <c r="E923" s="251"/>
      <c r="F923" s="251"/>
      <c r="V923" s="299"/>
    </row>
    <row r="924" spans="1:22" ht="15.75" customHeight="1">
      <c r="A924" s="298"/>
      <c r="E924" s="251"/>
      <c r="F924" s="251"/>
      <c r="V924" s="299"/>
    </row>
    <row r="925" spans="1:22" ht="15.75" customHeight="1">
      <c r="A925" s="298"/>
      <c r="E925" s="251"/>
      <c r="F925" s="251"/>
      <c r="V925" s="299"/>
    </row>
    <row r="926" spans="1:22" ht="15.75" customHeight="1">
      <c r="A926" s="298"/>
      <c r="E926" s="251"/>
      <c r="F926" s="251"/>
      <c r="V926" s="299"/>
    </row>
    <row r="927" spans="1:22" ht="15.75" customHeight="1">
      <c r="A927" s="298"/>
      <c r="E927" s="251"/>
      <c r="F927" s="251"/>
      <c r="V927" s="299"/>
    </row>
    <row r="928" spans="1:22" ht="15.75" customHeight="1">
      <c r="A928" s="298"/>
      <c r="E928" s="251"/>
      <c r="F928" s="251"/>
      <c r="V928" s="299"/>
    </row>
    <row r="929" spans="1:22" ht="15.75" customHeight="1">
      <c r="A929" s="298"/>
      <c r="E929" s="251"/>
      <c r="F929" s="251"/>
      <c r="V929" s="299"/>
    </row>
    <row r="930" spans="1:22" ht="15.75" customHeight="1">
      <c r="A930" s="298"/>
      <c r="E930" s="251"/>
      <c r="F930" s="251"/>
      <c r="V930" s="299"/>
    </row>
    <row r="931" spans="1:22" ht="15.75" customHeight="1">
      <c r="A931" s="298"/>
      <c r="E931" s="251"/>
      <c r="F931" s="251"/>
      <c r="V931" s="299"/>
    </row>
    <row r="932" spans="1:22" ht="15.75" customHeight="1">
      <c r="A932" s="298"/>
      <c r="E932" s="251"/>
      <c r="F932" s="251"/>
      <c r="V932" s="299"/>
    </row>
    <row r="933" spans="1:22" ht="15.75" customHeight="1">
      <c r="A933" s="298"/>
      <c r="E933" s="251"/>
      <c r="F933" s="251"/>
      <c r="V933" s="299"/>
    </row>
    <row r="934" spans="1:22" ht="15.75" customHeight="1">
      <c r="A934" s="298"/>
      <c r="E934" s="251"/>
      <c r="F934" s="251"/>
      <c r="V934" s="299"/>
    </row>
    <row r="935" spans="1:22" ht="15.75" customHeight="1">
      <c r="A935" s="298"/>
      <c r="E935" s="251"/>
      <c r="F935" s="251"/>
      <c r="V935" s="299"/>
    </row>
    <row r="936" spans="1:22" ht="15.75" customHeight="1">
      <c r="A936" s="298"/>
      <c r="E936" s="251"/>
      <c r="F936" s="251"/>
      <c r="V936" s="299"/>
    </row>
    <row r="937" spans="1:22" ht="15.75" customHeight="1">
      <c r="A937" s="298"/>
      <c r="E937" s="251"/>
      <c r="F937" s="251"/>
      <c r="V937" s="299"/>
    </row>
    <row r="938" spans="1:22" ht="15.75" customHeight="1">
      <c r="A938" s="298"/>
      <c r="E938" s="251"/>
      <c r="F938" s="251"/>
      <c r="V938" s="299"/>
    </row>
    <row r="939" spans="1:22" ht="15.75" customHeight="1">
      <c r="A939" s="298"/>
      <c r="E939" s="251"/>
      <c r="F939" s="251"/>
      <c r="V939" s="299"/>
    </row>
    <row r="940" spans="1:22" ht="15.75" customHeight="1">
      <c r="A940" s="298"/>
      <c r="E940" s="251"/>
      <c r="F940" s="251"/>
      <c r="V940" s="299"/>
    </row>
    <row r="941" spans="1:22" ht="15.75" customHeight="1">
      <c r="A941" s="298"/>
      <c r="E941" s="251"/>
      <c r="F941" s="251"/>
      <c r="V941" s="299"/>
    </row>
    <row r="942" spans="1:22" ht="15.75" customHeight="1">
      <c r="A942" s="298"/>
      <c r="E942" s="251"/>
      <c r="F942" s="251"/>
      <c r="V942" s="299"/>
    </row>
    <row r="943" spans="1:22" ht="15.75" customHeight="1">
      <c r="A943" s="298"/>
      <c r="E943" s="251"/>
      <c r="F943" s="251"/>
      <c r="V943" s="299"/>
    </row>
    <row r="944" spans="1:22" ht="15.75" customHeight="1">
      <c r="A944" s="298"/>
      <c r="E944" s="251"/>
      <c r="F944" s="251"/>
      <c r="V944" s="299"/>
    </row>
    <row r="945" spans="1:22" ht="15.75" customHeight="1">
      <c r="A945" s="298"/>
      <c r="E945" s="251"/>
      <c r="F945" s="251"/>
      <c r="V945" s="299"/>
    </row>
    <row r="946" spans="1:22" ht="15.75" customHeight="1">
      <c r="A946" s="298"/>
      <c r="E946" s="251"/>
      <c r="F946" s="251"/>
      <c r="V946" s="299"/>
    </row>
    <row r="947" spans="1:22" ht="15.75" customHeight="1">
      <c r="A947" s="298"/>
      <c r="E947" s="251"/>
      <c r="F947" s="251"/>
      <c r="V947" s="299"/>
    </row>
    <row r="948" spans="1:22" ht="15.75" customHeight="1">
      <c r="A948" s="298"/>
      <c r="E948" s="251"/>
      <c r="F948" s="251"/>
      <c r="V948" s="299"/>
    </row>
    <row r="949" spans="1:22" ht="15.75" customHeight="1">
      <c r="A949" s="298"/>
      <c r="E949" s="251"/>
      <c r="F949" s="251"/>
      <c r="V949" s="299"/>
    </row>
    <row r="950" spans="1:22" ht="15.75" customHeight="1">
      <c r="A950" s="298"/>
      <c r="E950" s="251"/>
      <c r="F950" s="251"/>
      <c r="V950" s="299"/>
    </row>
    <row r="951" spans="1:22" ht="15.75" customHeight="1">
      <c r="A951" s="298"/>
      <c r="E951" s="251"/>
      <c r="F951" s="251"/>
      <c r="V951" s="299"/>
    </row>
    <row r="952" spans="1:22" ht="15.75" customHeight="1">
      <c r="A952" s="298"/>
      <c r="E952" s="251"/>
      <c r="F952" s="251"/>
      <c r="V952" s="299"/>
    </row>
    <row r="953" spans="1:22" ht="15.75" customHeight="1">
      <c r="A953" s="298"/>
      <c r="E953" s="251"/>
      <c r="F953" s="251"/>
      <c r="V953" s="299"/>
    </row>
    <row r="954" spans="1:22" ht="15.75" customHeight="1">
      <c r="A954" s="298"/>
      <c r="E954" s="251"/>
      <c r="F954" s="251"/>
      <c r="V954" s="299"/>
    </row>
    <row r="955" spans="1:22" ht="15.75" customHeight="1">
      <c r="A955" s="298"/>
      <c r="E955" s="251"/>
      <c r="F955" s="251"/>
      <c r="V955" s="299"/>
    </row>
    <row r="956" spans="1:22" ht="15.75" customHeight="1">
      <c r="A956" s="298"/>
      <c r="E956" s="251"/>
      <c r="F956" s="251"/>
      <c r="V956" s="299"/>
    </row>
    <row r="957" spans="1:22" ht="15.75" customHeight="1">
      <c r="A957" s="298"/>
      <c r="E957" s="251"/>
      <c r="F957" s="251"/>
      <c r="V957" s="299"/>
    </row>
    <row r="958" spans="1:22" ht="15.75" customHeight="1">
      <c r="A958" s="298"/>
      <c r="E958" s="251"/>
      <c r="F958" s="251"/>
      <c r="V958" s="299"/>
    </row>
    <row r="959" spans="1:22" ht="15.75" customHeight="1">
      <c r="A959" s="298"/>
      <c r="E959" s="251"/>
      <c r="F959" s="251"/>
      <c r="V959" s="299"/>
    </row>
    <row r="960" spans="1:22" ht="15.75" customHeight="1">
      <c r="A960" s="298"/>
      <c r="E960" s="251"/>
      <c r="F960" s="251"/>
      <c r="V960" s="299"/>
    </row>
    <row r="961" spans="1:22" ht="15.75" customHeight="1">
      <c r="A961" s="298"/>
      <c r="E961" s="251"/>
      <c r="F961" s="251"/>
      <c r="V961" s="299"/>
    </row>
    <row r="962" spans="1:22" ht="15.75" customHeight="1">
      <c r="A962" s="298"/>
      <c r="E962" s="251"/>
      <c r="F962" s="251"/>
      <c r="V962" s="299"/>
    </row>
    <row r="963" spans="1:22" ht="15.75" customHeight="1">
      <c r="A963" s="298"/>
      <c r="E963" s="251"/>
      <c r="F963" s="251"/>
      <c r="V963" s="299"/>
    </row>
    <row r="964" spans="1:22" ht="15.75" customHeight="1">
      <c r="A964" s="298"/>
      <c r="E964" s="251"/>
      <c r="F964" s="251"/>
      <c r="V964" s="299"/>
    </row>
    <row r="965" spans="1:22" ht="15.75" customHeight="1">
      <c r="A965" s="298"/>
      <c r="E965" s="251"/>
      <c r="F965" s="251"/>
      <c r="V965" s="299"/>
    </row>
    <row r="966" spans="1:22" ht="15.75" customHeight="1">
      <c r="A966" s="298"/>
      <c r="E966" s="251"/>
      <c r="F966" s="251"/>
      <c r="V966" s="299"/>
    </row>
    <row r="967" spans="1:22" ht="15.75" customHeight="1">
      <c r="A967" s="298"/>
      <c r="E967" s="251"/>
      <c r="F967" s="251"/>
      <c r="V967" s="299"/>
    </row>
    <row r="968" spans="1:22" ht="15.75" customHeight="1">
      <c r="A968" s="298"/>
      <c r="E968" s="251"/>
      <c r="F968" s="251"/>
      <c r="V968" s="299"/>
    </row>
    <row r="969" spans="1:22" ht="15.75" customHeight="1">
      <c r="A969" s="298"/>
      <c r="E969" s="251"/>
      <c r="F969" s="251"/>
      <c r="V969" s="299"/>
    </row>
    <row r="970" spans="1:22" ht="15.75" customHeight="1">
      <c r="A970" s="298"/>
      <c r="E970" s="251"/>
      <c r="F970" s="251"/>
      <c r="V970" s="299"/>
    </row>
    <row r="971" spans="1:22" ht="15.75" customHeight="1">
      <c r="A971" s="298"/>
      <c r="E971" s="251"/>
      <c r="F971" s="251"/>
      <c r="V971" s="299"/>
    </row>
    <row r="972" spans="1:22" ht="15.75" customHeight="1">
      <c r="A972" s="298"/>
      <c r="E972" s="251"/>
      <c r="F972" s="251"/>
      <c r="V972" s="299"/>
    </row>
    <row r="973" spans="1:22" ht="15.75" customHeight="1">
      <c r="A973" s="298"/>
      <c r="E973" s="251"/>
      <c r="F973" s="251"/>
      <c r="V973" s="299"/>
    </row>
    <row r="974" spans="1:22" ht="15.75" customHeight="1">
      <c r="A974" s="298"/>
      <c r="E974" s="251"/>
      <c r="F974" s="251"/>
      <c r="V974" s="299"/>
    </row>
    <row r="975" spans="1:22" ht="15.75" customHeight="1">
      <c r="A975" s="298"/>
      <c r="E975" s="251"/>
      <c r="F975" s="251"/>
      <c r="V975" s="299"/>
    </row>
    <row r="976" spans="1:22" ht="15.75" customHeight="1">
      <c r="A976" s="298"/>
      <c r="E976" s="251"/>
      <c r="F976" s="251"/>
      <c r="V976" s="299"/>
    </row>
    <row r="977" spans="1:22" ht="15.75" customHeight="1">
      <c r="A977" s="298"/>
      <c r="E977" s="251"/>
      <c r="F977" s="251"/>
      <c r="V977" s="299"/>
    </row>
    <row r="978" spans="1:22" ht="15.75" customHeight="1">
      <c r="A978" s="298"/>
      <c r="E978" s="251"/>
      <c r="F978" s="251"/>
      <c r="V978" s="299"/>
    </row>
    <row r="979" spans="1:22" ht="15.75" customHeight="1">
      <c r="A979" s="298"/>
      <c r="E979" s="251"/>
      <c r="F979" s="251"/>
      <c r="V979" s="299"/>
    </row>
    <row r="980" spans="1:22" ht="15.75" customHeight="1">
      <c r="A980" s="298"/>
      <c r="E980" s="251"/>
      <c r="F980" s="251"/>
      <c r="V980" s="299"/>
    </row>
    <row r="981" spans="1:22" ht="15.75" customHeight="1">
      <c r="A981" s="298"/>
      <c r="E981" s="251"/>
      <c r="F981" s="251"/>
      <c r="V981" s="299"/>
    </row>
    <row r="982" spans="1:22" ht="15.75" customHeight="1">
      <c r="A982" s="298"/>
      <c r="E982" s="251"/>
      <c r="F982" s="251"/>
      <c r="V982" s="299"/>
    </row>
    <row r="983" spans="1:22" ht="15.75" customHeight="1">
      <c r="A983" s="298"/>
      <c r="E983" s="251"/>
      <c r="F983" s="251"/>
      <c r="V983" s="299"/>
    </row>
    <row r="984" spans="1:22" ht="15.75" customHeight="1">
      <c r="A984" s="298"/>
      <c r="E984" s="251"/>
      <c r="F984" s="251"/>
      <c r="V984" s="299"/>
    </row>
    <row r="985" spans="1:22" ht="15.75" customHeight="1">
      <c r="A985" s="298"/>
      <c r="E985" s="251"/>
      <c r="F985" s="251"/>
      <c r="V985" s="299"/>
    </row>
    <row r="986" spans="1:22" ht="15.75" customHeight="1">
      <c r="A986" s="298"/>
      <c r="E986" s="251"/>
      <c r="F986" s="251"/>
      <c r="V986" s="299"/>
    </row>
    <row r="987" spans="1:22" ht="15.75" customHeight="1">
      <c r="A987" s="298"/>
      <c r="E987" s="251"/>
      <c r="F987" s="251"/>
      <c r="V987" s="299"/>
    </row>
    <row r="988" spans="1:22" ht="15.75" customHeight="1">
      <c r="A988" s="298"/>
      <c r="E988" s="251"/>
      <c r="F988" s="251"/>
      <c r="V988" s="299"/>
    </row>
    <row r="989" spans="1:22" ht="15.75" customHeight="1">
      <c r="A989" s="298"/>
      <c r="E989" s="251"/>
      <c r="F989" s="251"/>
      <c r="V989" s="299"/>
    </row>
    <row r="990" spans="1:22" ht="15.75" customHeight="1">
      <c r="A990" s="298"/>
      <c r="E990" s="251"/>
      <c r="F990" s="251"/>
      <c r="V990" s="299"/>
    </row>
    <row r="991" spans="1:22" ht="15.75" customHeight="1">
      <c r="A991" s="298"/>
      <c r="E991" s="251"/>
      <c r="F991" s="251"/>
      <c r="V991" s="299"/>
    </row>
    <row r="992" spans="1:22" ht="15.75" customHeight="1">
      <c r="A992" s="298"/>
      <c r="E992" s="251"/>
      <c r="F992" s="251"/>
      <c r="V992" s="299"/>
    </row>
    <row r="993" spans="1:22" ht="15.75" customHeight="1">
      <c r="A993" s="298"/>
      <c r="E993" s="251"/>
      <c r="F993" s="251"/>
      <c r="V993" s="299"/>
    </row>
    <row r="994" spans="1:22" ht="15.75" customHeight="1">
      <c r="A994" s="298"/>
      <c r="E994" s="251"/>
      <c r="F994" s="251"/>
      <c r="V994" s="299"/>
    </row>
    <row r="995" spans="1:22" ht="15.75" customHeight="1">
      <c r="A995" s="298"/>
      <c r="E995" s="251"/>
      <c r="F995" s="251"/>
      <c r="V995" s="299"/>
    </row>
    <row r="996" spans="1:22" ht="15.75" customHeight="1">
      <c r="A996" s="298"/>
      <c r="E996" s="251"/>
      <c r="F996" s="251"/>
      <c r="V996" s="299"/>
    </row>
    <row r="997" spans="1:22" ht="15.75" customHeight="1">
      <c r="A997" s="298"/>
      <c r="E997" s="251"/>
      <c r="F997" s="251"/>
      <c r="V997" s="299"/>
    </row>
    <row r="998" spans="1:22" ht="15.75" customHeight="1">
      <c r="A998" s="298"/>
      <c r="E998" s="251"/>
      <c r="F998" s="251"/>
      <c r="V998" s="299"/>
    </row>
    <row r="999" spans="1:22" ht="15.75" customHeight="1">
      <c r="A999" s="298"/>
      <c r="E999" s="251"/>
      <c r="F999" s="251"/>
      <c r="V999" s="299"/>
    </row>
    <row r="1000" spans="1:22" ht="15.75" customHeight="1">
      <c r="A1000" s="298"/>
      <c r="E1000" s="251"/>
      <c r="F1000" s="251"/>
      <c r="V1000" s="299"/>
    </row>
    <row r="1001" spans="1:22" ht="15.75" customHeight="1">
      <c r="A1001" s="298"/>
      <c r="E1001" s="251"/>
      <c r="F1001" s="251"/>
      <c r="V1001" s="299"/>
    </row>
    <row r="1002" spans="1:22" ht="15.75" customHeight="1">
      <c r="A1002" s="298"/>
      <c r="E1002" s="251"/>
      <c r="F1002" s="251"/>
      <c r="V1002" s="299"/>
    </row>
    <row r="1003" spans="1:22" ht="15.75" customHeight="1">
      <c r="A1003" s="298"/>
      <c r="E1003" s="251"/>
      <c r="F1003" s="251"/>
      <c r="V1003" s="299"/>
    </row>
    <row r="1004" spans="1:22" ht="15.75" customHeight="1">
      <c r="A1004" s="298"/>
      <c r="E1004" s="251"/>
      <c r="F1004" s="251"/>
      <c r="V1004" s="299"/>
    </row>
    <row r="1005" spans="1:22" ht="15.75" customHeight="1">
      <c r="A1005" s="298"/>
      <c r="E1005" s="251"/>
      <c r="F1005" s="251"/>
      <c r="V1005" s="299"/>
    </row>
    <row r="1006" spans="1:22" ht="15.75" customHeight="1">
      <c r="A1006" s="298"/>
      <c r="E1006" s="251"/>
      <c r="F1006" s="251"/>
      <c r="V1006" s="299"/>
    </row>
    <row r="1007" spans="1:22" ht="15.75" customHeight="1">
      <c r="A1007" s="298"/>
      <c r="E1007" s="251"/>
      <c r="F1007" s="251"/>
      <c r="V1007" s="299"/>
    </row>
    <row r="1008" spans="1:22" ht="15.75" customHeight="1">
      <c r="A1008" s="298"/>
      <c r="E1008" s="251"/>
      <c r="F1008" s="251"/>
      <c r="V1008" s="299"/>
    </row>
    <row r="1009" spans="1:22" ht="15.75" customHeight="1">
      <c r="A1009" s="298"/>
      <c r="E1009" s="251"/>
      <c r="F1009" s="251"/>
      <c r="V1009" s="299"/>
    </row>
    <row r="1010" spans="1:22" ht="15.75" customHeight="1">
      <c r="A1010" s="298"/>
      <c r="E1010" s="251"/>
      <c r="F1010" s="251"/>
      <c r="V1010" s="299"/>
    </row>
    <row r="1011" spans="1:22" ht="15.75" customHeight="1">
      <c r="A1011" s="298"/>
      <c r="E1011" s="251"/>
      <c r="F1011" s="251"/>
      <c r="V1011" s="299"/>
    </row>
    <row r="1012" spans="1:22" ht="15.75" customHeight="1">
      <c r="A1012" s="298"/>
      <c r="E1012" s="251"/>
      <c r="F1012" s="251"/>
      <c r="V1012" s="299"/>
    </row>
    <row r="1013" spans="1:22" ht="15.75" customHeight="1">
      <c r="A1013" s="298"/>
      <c r="E1013" s="251"/>
      <c r="F1013" s="251"/>
      <c r="V1013" s="299"/>
    </row>
    <row r="1014" spans="1:22" ht="15.75" customHeight="1">
      <c r="A1014" s="298"/>
      <c r="E1014" s="251"/>
      <c r="F1014" s="251"/>
      <c r="V1014" s="299"/>
    </row>
    <row r="1015" spans="1:22" ht="15.75" customHeight="1">
      <c r="A1015" s="298"/>
      <c r="E1015" s="251"/>
      <c r="F1015" s="251"/>
      <c r="V1015" s="299"/>
    </row>
    <row r="1016" spans="1:22" ht="15.75" customHeight="1">
      <c r="A1016" s="298"/>
      <c r="E1016" s="251"/>
      <c r="F1016" s="251"/>
      <c r="V1016" s="299"/>
    </row>
    <row r="1017" spans="1:22" ht="15.75" customHeight="1">
      <c r="A1017" s="298"/>
      <c r="E1017" s="251"/>
      <c r="F1017" s="251"/>
      <c r="V1017" s="299"/>
    </row>
    <row r="1018" spans="1:22" ht="15.75" customHeight="1">
      <c r="A1018" s="298"/>
      <c r="E1018" s="251"/>
      <c r="F1018" s="251"/>
      <c r="V1018" s="299"/>
    </row>
    <row r="1019" spans="1:22" ht="15.75" customHeight="1">
      <c r="A1019" s="298"/>
      <c r="E1019" s="251"/>
      <c r="F1019" s="251"/>
      <c r="V1019" s="299"/>
    </row>
    <row r="1020" spans="1:22" ht="15.75" customHeight="1">
      <c r="A1020" s="298"/>
      <c r="E1020" s="251"/>
      <c r="F1020" s="251"/>
      <c r="V1020" s="299"/>
    </row>
    <row r="1021" spans="1:22" ht="15.75" customHeight="1">
      <c r="A1021" s="298"/>
      <c r="E1021" s="251"/>
      <c r="F1021" s="251"/>
      <c r="V1021" s="299"/>
    </row>
    <row r="1022" spans="1:22" ht="15.75" customHeight="1">
      <c r="A1022" s="298"/>
      <c r="E1022" s="251"/>
      <c r="F1022" s="251"/>
      <c r="V1022" s="299"/>
    </row>
    <row r="1023" spans="1:22" ht="15.75" customHeight="1">
      <c r="A1023" s="298"/>
      <c r="E1023" s="251"/>
      <c r="F1023" s="251"/>
      <c r="V1023" s="299"/>
    </row>
    <row r="1024" spans="1:22" ht="15.75" customHeight="1">
      <c r="A1024" s="298"/>
      <c r="E1024" s="251"/>
      <c r="F1024" s="251"/>
      <c r="V1024" s="299"/>
    </row>
    <row r="1025" spans="1:22" ht="15.75" customHeight="1">
      <c r="A1025" s="298"/>
      <c r="E1025" s="251"/>
      <c r="F1025" s="251"/>
      <c r="V1025" s="299"/>
    </row>
    <row r="1026" spans="1:22" ht="15.75" customHeight="1">
      <c r="A1026" s="298"/>
      <c r="E1026" s="251"/>
      <c r="F1026" s="251"/>
      <c r="V1026" s="299"/>
    </row>
    <row r="1027" spans="1:22" ht="15.75" customHeight="1">
      <c r="A1027" s="298"/>
      <c r="E1027" s="251"/>
      <c r="F1027" s="251"/>
      <c r="V1027" s="299"/>
    </row>
    <row r="1028" spans="1:22" ht="15.75" customHeight="1">
      <c r="A1028" s="298"/>
      <c r="E1028" s="251"/>
      <c r="F1028" s="251"/>
      <c r="V1028" s="299"/>
    </row>
    <row r="1029" spans="1:22" ht="15.75" customHeight="1">
      <c r="A1029" s="298"/>
      <c r="E1029" s="251"/>
      <c r="F1029" s="251"/>
      <c r="V1029" s="299"/>
    </row>
    <row r="1030" spans="1:22" ht="15.75" customHeight="1">
      <c r="A1030" s="298"/>
      <c r="E1030" s="251"/>
      <c r="F1030" s="251"/>
      <c r="V1030" s="299"/>
    </row>
    <row r="1031" spans="1:22" ht="15.75" customHeight="1">
      <c r="A1031" s="298"/>
      <c r="E1031" s="251"/>
      <c r="F1031" s="251"/>
      <c r="V1031" s="299"/>
    </row>
    <row r="1032" spans="1:22" ht="15.75" customHeight="1">
      <c r="A1032" s="298"/>
      <c r="E1032" s="251"/>
      <c r="F1032" s="251"/>
      <c r="V1032" s="299"/>
    </row>
    <row r="1033" spans="1:22" ht="15.75" customHeight="1">
      <c r="A1033" s="298"/>
      <c r="E1033" s="251"/>
      <c r="F1033" s="251"/>
      <c r="V1033" s="299"/>
    </row>
    <row r="1034" spans="1:22" ht="15.75" customHeight="1">
      <c r="A1034" s="298"/>
      <c r="E1034" s="251"/>
      <c r="F1034" s="251"/>
      <c r="V1034" s="299"/>
    </row>
    <row r="1035" spans="1:22" ht="15.75" customHeight="1">
      <c r="A1035" s="298"/>
      <c r="E1035" s="251"/>
      <c r="F1035" s="251"/>
      <c r="V1035" s="299"/>
    </row>
    <row r="1036" spans="1:22" ht="15.75" customHeight="1">
      <c r="A1036" s="298"/>
      <c r="E1036" s="251"/>
      <c r="F1036" s="251"/>
      <c r="V1036" s="299"/>
    </row>
    <row r="1037" spans="1:22" ht="15.75" customHeight="1">
      <c r="A1037" s="298"/>
      <c r="E1037" s="251"/>
      <c r="F1037" s="251"/>
      <c r="V1037" s="299"/>
    </row>
    <row r="1038" spans="1:22" ht="15.75" customHeight="1">
      <c r="A1038" s="298"/>
      <c r="E1038" s="251"/>
      <c r="F1038" s="251"/>
      <c r="V1038" s="299"/>
    </row>
    <row r="1039" spans="1:22" ht="15.75" customHeight="1">
      <c r="A1039" s="298"/>
      <c r="E1039" s="251"/>
      <c r="F1039" s="251"/>
      <c r="V1039" s="299"/>
    </row>
    <row r="1040" spans="1:22" ht="15.75" customHeight="1">
      <c r="A1040" s="298"/>
      <c r="E1040" s="251"/>
      <c r="F1040" s="251"/>
      <c r="V1040" s="299"/>
    </row>
    <row r="1041" spans="1:22" ht="15.75" customHeight="1">
      <c r="A1041" s="298"/>
      <c r="E1041" s="251"/>
      <c r="F1041" s="251"/>
      <c r="V1041" s="299"/>
    </row>
    <row r="1042" spans="1:22" ht="15.75" customHeight="1">
      <c r="A1042" s="298"/>
      <c r="E1042" s="251"/>
      <c r="F1042" s="251"/>
      <c r="V1042" s="299"/>
    </row>
    <row r="1043" spans="1:22" ht="15.75" customHeight="1">
      <c r="A1043" s="298"/>
      <c r="E1043" s="251"/>
      <c r="F1043" s="251"/>
      <c r="V1043" s="299"/>
    </row>
    <row r="1044" spans="1:22" ht="15.75" customHeight="1">
      <c r="A1044" s="298"/>
      <c r="E1044" s="251"/>
      <c r="F1044" s="251"/>
      <c r="V1044" s="299"/>
    </row>
    <row r="1045" spans="1:22" ht="15.75" customHeight="1">
      <c r="A1045" s="298"/>
      <c r="E1045" s="251"/>
      <c r="F1045" s="251"/>
      <c r="V1045" s="299"/>
    </row>
    <row r="1046" spans="1:22" ht="15.75" customHeight="1">
      <c r="A1046" s="298"/>
      <c r="E1046" s="251"/>
      <c r="F1046" s="251"/>
      <c r="V1046" s="299"/>
    </row>
    <row r="1047" spans="1:22" ht="15.75" customHeight="1">
      <c r="A1047" s="298"/>
      <c r="E1047" s="251"/>
      <c r="F1047" s="251"/>
      <c r="V1047" s="299"/>
    </row>
    <row r="1048" spans="1:22" ht="15.75" customHeight="1">
      <c r="A1048" s="298"/>
      <c r="E1048" s="251"/>
      <c r="F1048" s="251"/>
      <c r="V1048" s="299"/>
    </row>
    <row r="1049" spans="1:22" ht="15.75" customHeight="1">
      <c r="A1049" s="298"/>
      <c r="E1049" s="251"/>
      <c r="F1049" s="251"/>
      <c r="V1049" s="299"/>
    </row>
    <row r="1050" spans="1:22" ht="15.75" customHeight="1">
      <c r="A1050" s="298"/>
      <c r="E1050" s="251"/>
      <c r="F1050" s="251"/>
      <c r="V1050" s="299"/>
    </row>
    <row r="1051" spans="1:22" ht="15.75" customHeight="1">
      <c r="A1051" s="298"/>
      <c r="E1051" s="251"/>
      <c r="F1051" s="251"/>
      <c r="V1051" s="299"/>
    </row>
    <row r="1052" spans="1:22" ht="15.75" customHeight="1">
      <c r="A1052" s="298"/>
      <c r="E1052" s="251"/>
      <c r="F1052" s="251"/>
      <c r="V1052" s="299"/>
    </row>
    <row r="1053" spans="1:22" ht="15.75" customHeight="1">
      <c r="A1053" s="298"/>
      <c r="E1053" s="251"/>
      <c r="F1053" s="251"/>
      <c r="V1053" s="299"/>
    </row>
    <row r="1054" spans="1:22" ht="15.75" customHeight="1">
      <c r="A1054" s="298"/>
      <c r="E1054" s="251"/>
      <c r="F1054" s="251"/>
      <c r="V1054" s="299"/>
    </row>
    <row r="1055" spans="1:22" ht="15.75" customHeight="1">
      <c r="A1055" s="298"/>
      <c r="E1055" s="251"/>
      <c r="F1055" s="251"/>
      <c r="V1055" s="299"/>
    </row>
    <row r="1056" spans="1:22" ht="15.75" customHeight="1">
      <c r="A1056" s="298"/>
      <c r="E1056" s="251"/>
      <c r="F1056" s="251"/>
      <c r="V1056" s="299"/>
    </row>
    <row r="1057" spans="1:22" ht="15.75" customHeight="1">
      <c r="A1057" s="298"/>
      <c r="E1057" s="251"/>
      <c r="F1057" s="251"/>
      <c r="V1057" s="299"/>
    </row>
    <row r="1058" spans="1:22" ht="15.75" customHeight="1">
      <c r="A1058" s="298"/>
      <c r="E1058" s="251"/>
      <c r="F1058" s="251"/>
      <c r="V1058" s="299"/>
    </row>
    <row r="1059" spans="1:22" ht="15.75" customHeight="1">
      <c r="A1059" s="298"/>
      <c r="E1059" s="251"/>
      <c r="F1059" s="251"/>
      <c r="V1059" s="299"/>
    </row>
    <row r="1060" spans="1:22" ht="15.75" customHeight="1">
      <c r="A1060" s="298"/>
      <c r="E1060" s="251"/>
      <c r="F1060" s="251"/>
      <c r="V1060" s="299"/>
    </row>
    <row r="1061" spans="1:22" ht="15.75" customHeight="1">
      <c r="A1061" s="298"/>
      <c r="E1061" s="251"/>
      <c r="F1061" s="251"/>
      <c r="V1061" s="299"/>
    </row>
    <row r="1062" spans="1:22" ht="15.75" customHeight="1">
      <c r="A1062" s="298"/>
      <c r="E1062" s="251"/>
      <c r="F1062" s="251"/>
      <c r="V1062" s="299"/>
    </row>
    <row r="1063" spans="1:22" ht="15.75" customHeight="1">
      <c r="A1063" s="298"/>
      <c r="E1063" s="251"/>
      <c r="F1063" s="251"/>
      <c r="V1063" s="299"/>
    </row>
    <row r="1064" spans="1:22" ht="15.75" customHeight="1">
      <c r="A1064" s="298"/>
      <c r="E1064" s="251"/>
      <c r="F1064" s="251"/>
      <c r="V1064" s="299"/>
    </row>
    <row r="1065" spans="1:22" ht="15.75" customHeight="1">
      <c r="A1065" s="298"/>
      <c r="E1065" s="251"/>
      <c r="F1065" s="251"/>
      <c r="V1065" s="299"/>
    </row>
    <row r="1066" spans="1:22" ht="15.75" customHeight="1">
      <c r="A1066" s="298"/>
      <c r="E1066" s="251"/>
      <c r="F1066" s="251"/>
      <c r="V1066" s="299"/>
    </row>
    <row r="1067" spans="1:22" ht="15.75" customHeight="1">
      <c r="A1067" s="298"/>
      <c r="E1067" s="251"/>
      <c r="F1067" s="251"/>
      <c r="V1067" s="299"/>
    </row>
    <row r="1068" spans="1:22" ht="15.75" customHeight="1">
      <c r="A1068" s="298"/>
      <c r="E1068" s="251"/>
      <c r="F1068" s="251"/>
      <c r="V1068" s="299"/>
    </row>
    <row r="1069" spans="1:22" ht="15.75" customHeight="1">
      <c r="A1069" s="298"/>
      <c r="E1069" s="251"/>
      <c r="F1069" s="251"/>
      <c r="V1069" s="299"/>
    </row>
    <row r="1070" spans="1:22" ht="15.75" customHeight="1">
      <c r="A1070" s="298"/>
      <c r="E1070" s="251"/>
      <c r="F1070" s="251"/>
      <c r="V1070" s="299"/>
    </row>
    <row r="1071" spans="1:22" ht="15.75" customHeight="1">
      <c r="A1071" s="298"/>
      <c r="E1071" s="251"/>
      <c r="F1071" s="251"/>
      <c r="V1071" s="299"/>
    </row>
    <row r="1072" spans="1:22" ht="15.75" customHeight="1">
      <c r="A1072" s="298"/>
      <c r="E1072" s="251"/>
      <c r="F1072" s="251"/>
      <c r="V1072" s="299"/>
    </row>
    <row r="1073" spans="1:22" ht="15.75" customHeight="1">
      <c r="A1073" s="298"/>
      <c r="E1073" s="251"/>
      <c r="F1073" s="251"/>
      <c r="V1073" s="299"/>
    </row>
    <row r="1074" spans="1:22" ht="15.75" customHeight="1">
      <c r="A1074" s="298"/>
      <c r="E1074" s="251"/>
      <c r="F1074" s="251"/>
      <c r="V1074" s="299"/>
    </row>
    <row r="1075" spans="1:22" ht="15.75" customHeight="1">
      <c r="A1075" s="298"/>
      <c r="E1075" s="251"/>
      <c r="F1075" s="251"/>
      <c r="V1075" s="299"/>
    </row>
    <row r="1076" spans="1:22" ht="15.75" customHeight="1">
      <c r="A1076" s="298"/>
      <c r="E1076" s="251"/>
      <c r="F1076" s="251"/>
      <c r="V1076" s="299"/>
    </row>
    <row r="1077" spans="1:22" ht="15.75" customHeight="1">
      <c r="A1077" s="298"/>
      <c r="E1077" s="251"/>
      <c r="F1077" s="251"/>
      <c r="V1077" s="299"/>
    </row>
    <row r="1078" spans="1:22" ht="15.75" customHeight="1">
      <c r="A1078" s="298"/>
      <c r="E1078" s="251"/>
      <c r="F1078" s="251"/>
      <c r="V1078" s="299"/>
    </row>
    <row r="1079" spans="1:22" ht="15.75" customHeight="1">
      <c r="A1079" s="298"/>
      <c r="E1079" s="251"/>
      <c r="F1079" s="251"/>
      <c r="V1079" s="299"/>
    </row>
    <row r="1080" spans="1:22" ht="15.75" customHeight="1">
      <c r="A1080" s="298"/>
      <c r="E1080" s="251"/>
      <c r="F1080" s="251"/>
      <c r="V1080" s="299"/>
    </row>
    <row r="1081" spans="1:22" ht="15.75" customHeight="1">
      <c r="A1081" s="298"/>
      <c r="E1081" s="251"/>
      <c r="F1081" s="251"/>
      <c r="V1081" s="299"/>
    </row>
    <row r="1082" spans="1:22" ht="15.75" customHeight="1">
      <c r="A1082" s="298"/>
      <c r="E1082" s="251"/>
      <c r="F1082" s="251"/>
      <c r="V1082" s="299"/>
    </row>
    <row r="1083" spans="1:22" ht="15.75" customHeight="1">
      <c r="A1083" s="298"/>
      <c r="E1083" s="251"/>
      <c r="F1083" s="251"/>
      <c r="V1083" s="299"/>
    </row>
    <row r="1084" spans="1:22" ht="15.75" customHeight="1">
      <c r="A1084" s="298"/>
      <c r="E1084" s="251"/>
      <c r="F1084" s="251"/>
      <c r="V1084" s="299"/>
    </row>
    <row r="1085" spans="1:22" ht="15.75" customHeight="1">
      <c r="A1085" s="298"/>
      <c r="E1085" s="251"/>
      <c r="F1085" s="251"/>
      <c r="V1085" s="299"/>
    </row>
    <row r="1086" spans="1:22" ht="15.75" customHeight="1">
      <c r="A1086" s="298"/>
      <c r="E1086" s="251"/>
      <c r="F1086" s="251"/>
      <c r="V1086" s="299"/>
    </row>
    <row r="1087" spans="1:22" ht="15.75" customHeight="1">
      <c r="A1087" s="298"/>
      <c r="E1087" s="251"/>
      <c r="F1087" s="251"/>
      <c r="V1087" s="299"/>
    </row>
    <row r="1088" spans="1:22" ht="15.75" customHeight="1">
      <c r="A1088" s="298"/>
      <c r="E1088" s="251"/>
      <c r="F1088" s="251"/>
      <c r="V1088" s="299"/>
    </row>
    <row r="1089" spans="1:22" ht="15.75" customHeight="1">
      <c r="A1089" s="298"/>
      <c r="E1089" s="251"/>
      <c r="F1089" s="251"/>
      <c r="V1089" s="299"/>
    </row>
    <row r="1090" spans="1:22" ht="15.75" customHeight="1">
      <c r="A1090" s="298"/>
      <c r="E1090" s="251"/>
      <c r="F1090" s="251"/>
      <c r="V1090" s="299"/>
    </row>
    <row r="1091" spans="1:22" ht="15.75" customHeight="1">
      <c r="A1091" s="298"/>
      <c r="E1091" s="251"/>
      <c r="F1091" s="251"/>
      <c r="V1091" s="299"/>
    </row>
    <row r="1092" spans="1:22" ht="15.75" customHeight="1">
      <c r="A1092" s="298"/>
      <c r="E1092" s="251"/>
      <c r="F1092" s="251"/>
      <c r="V1092" s="299"/>
    </row>
    <row r="1093" spans="1:22" ht="15.75" customHeight="1">
      <c r="A1093" s="298"/>
      <c r="E1093" s="251"/>
      <c r="F1093" s="251"/>
      <c r="V1093" s="299"/>
    </row>
    <row r="1094" spans="1:22" ht="15.75" customHeight="1">
      <c r="A1094" s="298"/>
      <c r="E1094" s="251"/>
      <c r="F1094" s="251"/>
      <c r="V1094" s="299"/>
    </row>
    <row r="1095" spans="1:22" ht="15.75" customHeight="1">
      <c r="A1095" s="298"/>
      <c r="E1095" s="251"/>
      <c r="F1095" s="251"/>
      <c r="V1095" s="299"/>
    </row>
    <row r="1096" spans="1:22" ht="15.75" customHeight="1">
      <c r="A1096" s="298"/>
      <c r="E1096" s="251"/>
      <c r="F1096" s="251"/>
      <c r="V1096" s="299"/>
    </row>
    <row r="1097" spans="1:22" ht="15.75" customHeight="1">
      <c r="A1097" s="298"/>
      <c r="E1097" s="251"/>
      <c r="F1097" s="251"/>
      <c r="V1097" s="299"/>
    </row>
    <row r="1098" spans="1:22" ht="15.75" customHeight="1">
      <c r="A1098" s="298"/>
      <c r="E1098" s="251"/>
      <c r="F1098" s="251"/>
      <c r="V1098" s="299"/>
    </row>
    <row r="1099" spans="1:22" ht="15.75" customHeight="1">
      <c r="A1099" s="298"/>
      <c r="E1099" s="251"/>
      <c r="F1099" s="251"/>
      <c r="V1099" s="299"/>
    </row>
    <row r="1100" spans="1:22" ht="15.75" customHeight="1">
      <c r="A1100" s="298"/>
      <c r="E1100" s="251"/>
      <c r="F1100" s="251"/>
      <c r="V1100" s="299"/>
    </row>
    <row r="1101" spans="1:22" ht="15.75" customHeight="1">
      <c r="A1101" s="298"/>
      <c r="E1101" s="251"/>
      <c r="F1101" s="251"/>
      <c r="V1101" s="299"/>
    </row>
    <row r="1102" spans="1:22" ht="15.75" customHeight="1">
      <c r="A1102" s="298"/>
      <c r="E1102" s="251"/>
      <c r="F1102" s="251"/>
      <c r="V1102" s="299"/>
    </row>
    <row r="1103" spans="1:22" ht="15.75" customHeight="1">
      <c r="A1103" s="298"/>
      <c r="E1103" s="251"/>
      <c r="F1103" s="251"/>
      <c r="V1103" s="299"/>
    </row>
    <row r="1104" spans="1:22" ht="15.75" customHeight="1">
      <c r="A1104" s="298"/>
      <c r="E1104" s="251"/>
      <c r="F1104" s="251"/>
      <c r="V1104" s="299"/>
    </row>
    <row r="1105" spans="1:22" ht="15.75" customHeight="1">
      <c r="A1105" s="298"/>
      <c r="E1105" s="251"/>
      <c r="F1105" s="251"/>
      <c r="V1105" s="299"/>
    </row>
    <row r="1106" spans="1:22" ht="15.75" customHeight="1">
      <c r="A1106" s="298"/>
      <c r="E1106" s="251"/>
      <c r="F1106" s="251"/>
      <c r="V1106" s="299"/>
    </row>
    <row r="1107" spans="1:22" ht="15.75" customHeight="1">
      <c r="A1107" s="298"/>
      <c r="E1107" s="251"/>
      <c r="F1107" s="251"/>
      <c r="V1107" s="299"/>
    </row>
    <row r="1108" spans="1:22" ht="15.75" customHeight="1">
      <c r="A1108" s="298"/>
      <c r="E1108" s="251"/>
      <c r="F1108" s="251"/>
      <c r="V1108" s="299"/>
    </row>
    <row r="1109" spans="1:22" ht="15.75" customHeight="1">
      <c r="A1109" s="298"/>
      <c r="E1109" s="251"/>
      <c r="F1109" s="251"/>
      <c r="V1109" s="299"/>
    </row>
    <row r="1110" spans="1:22" ht="15.75" customHeight="1">
      <c r="A1110" s="298"/>
      <c r="E1110" s="251"/>
      <c r="F1110" s="251"/>
      <c r="V1110" s="299"/>
    </row>
    <row r="1111" spans="1:22" ht="15.75" customHeight="1">
      <c r="A1111" s="298"/>
      <c r="E1111" s="251"/>
      <c r="F1111" s="251"/>
      <c r="V1111" s="299"/>
    </row>
    <row r="1112" spans="1:22" ht="15.75" customHeight="1">
      <c r="A1112" s="298"/>
      <c r="E1112" s="251"/>
      <c r="F1112" s="251"/>
      <c r="V1112" s="299"/>
    </row>
    <row r="1113" spans="1:22" ht="15.75" customHeight="1">
      <c r="A1113" s="298"/>
      <c r="E1113" s="251"/>
      <c r="F1113" s="251"/>
      <c r="V1113" s="299"/>
    </row>
    <row r="1114" spans="1:22" ht="15.75" customHeight="1">
      <c r="A1114" s="298"/>
      <c r="E1114" s="251"/>
      <c r="F1114" s="251"/>
      <c r="V1114" s="299"/>
    </row>
    <row r="1115" spans="1:22" ht="15.75" customHeight="1">
      <c r="A1115" s="298"/>
      <c r="E1115" s="251"/>
      <c r="F1115" s="251"/>
      <c r="V1115" s="299"/>
    </row>
    <row r="1116" spans="1:22" ht="15.75" customHeight="1">
      <c r="A1116" s="298"/>
      <c r="E1116" s="251"/>
      <c r="F1116" s="251"/>
      <c r="V1116" s="299"/>
    </row>
    <row r="1117" spans="1:22" ht="15.75" customHeight="1">
      <c r="A1117" s="298"/>
      <c r="E1117" s="251"/>
      <c r="F1117" s="251"/>
      <c r="V1117" s="299"/>
    </row>
    <row r="1118" spans="1:22" ht="15.75" customHeight="1">
      <c r="A1118" s="298"/>
      <c r="E1118" s="251"/>
      <c r="F1118" s="251"/>
      <c r="V1118" s="299"/>
    </row>
    <row r="1119" spans="1:22" ht="15.75" customHeight="1">
      <c r="A1119" s="298"/>
      <c r="E1119" s="251"/>
      <c r="F1119" s="251"/>
      <c r="V1119" s="299"/>
    </row>
    <row r="1120" spans="1:22" ht="15.75" customHeight="1">
      <c r="A1120" s="298"/>
      <c r="E1120" s="251"/>
      <c r="F1120" s="251"/>
      <c r="V1120" s="299"/>
    </row>
    <row r="1121" spans="1:22" ht="15.75" customHeight="1">
      <c r="A1121" s="298"/>
      <c r="E1121" s="251"/>
      <c r="F1121" s="251"/>
      <c r="V1121" s="299"/>
    </row>
    <row r="1122" spans="1:22" ht="15.75" customHeight="1">
      <c r="A1122" s="298"/>
      <c r="E1122" s="251"/>
      <c r="F1122" s="251"/>
      <c r="V1122" s="299"/>
    </row>
    <row r="1123" spans="1:22" ht="15.75" customHeight="1">
      <c r="A1123" s="298"/>
      <c r="E1123" s="251"/>
      <c r="F1123" s="251"/>
      <c r="V1123" s="299"/>
    </row>
    <row r="1124" spans="1:22" ht="15.75" customHeight="1">
      <c r="A1124" s="298"/>
      <c r="E1124" s="251"/>
      <c r="F1124" s="251"/>
      <c r="V1124" s="299"/>
    </row>
    <row r="1125" spans="1:22" ht="15.75" customHeight="1">
      <c r="A1125" s="298"/>
      <c r="E1125" s="251"/>
      <c r="F1125" s="251"/>
      <c r="V1125" s="299"/>
    </row>
    <row r="1126" spans="1:22" ht="15.75" customHeight="1">
      <c r="A1126" s="298"/>
      <c r="E1126" s="251"/>
      <c r="F1126" s="251"/>
      <c r="V1126" s="299"/>
    </row>
    <row r="1127" spans="1:22" ht="15.75" customHeight="1">
      <c r="A1127" s="298"/>
      <c r="E1127" s="251"/>
      <c r="F1127" s="251"/>
      <c r="V1127" s="299"/>
    </row>
    <row r="1128" spans="1:22" ht="15.75" customHeight="1">
      <c r="A1128" s="298"/>
      <c r="E1128" s="251"/>
      <c r="F1128" s="251"/>
      <c r="V1128" s="299"/>
    </row>
    <row r="1129" spans="1:22" ht="15.75" customHeight="1">
      <c r="A1129" s="298"/>
      <c r="E1129" s="251"/>
      <c r="F1129" s="251"/>
      <c r="V1129" s="299"/>
    </row>
    <row r="1130" spans="1:22" ht="15.75" customHeight="1">
      <c r="A1130" s="298"/>
      <c r="E1130" s="251"/>
      <c r="F1130" s="251"/>
      <c r="V1130" s="299"/>
    </row>
    <row r="1131" spans="1:22" ht="15.75" customHeight="1">
      <c r="A1131" s="298"/>
      <c r="E1131" s="251"/>
      <c r="F1131" s="251"/>
      <c r="V1131" s="299"/>
    </row>
    <row r="1132" spans="1:22" ht="15.75" customHeight="1">
      <c r="A1132" s="298"/>
      <c r="E1132" s="251"/>
      <c r="F1132" s="251"/>
      <c r="V1132" s="299"/>
    </row>
    <row r="1133" spans="1:22" ht="15.75" customHeight="1">
      <c r="A1133" s="298"/>
      <c r="E1133" s="251"/>
      <c r="F1133" s="251"/>
      <c r="V1133" s="299"/>
    </row>
    <row r="1134" spans="1:22" ht="15.75" customHeight="1">
      <c r="A1134" s="298"/>
      <c r="E1134" s="251"/>
      <c r="F1134" s="251"/>
      <c r="V1134" s="299"/>
    </row>
    <row r="1135" spans="1:22" ht="15.75" customHeight="1">
      <c r="A1135" s="298"/>
      <c r="E1135" s="251"/>
      <c r="F1135" s="251"/>
      <c r="V1135" s="299"/>
    </row>
    <row r="1136" spans="1:22" ht="15.75" customHeight="1">
      <c r="A1136" s="298"/>
      <c r="E1136" s="251"/>
      <c r="F1136" s="251"/>
      <c r="V1136" s="299"/>
    </row>
    <row r="1137" spans="1:22" ht="15.75" customHeight="1">
      <c r="A1137" s="298"/>
      <c r="E1137" s="251"/>
      <c r="F1137" s="251"/>
      <c r="V1137" s="299"/>
    </row>
    <row r="1138" spans="1:22" ht="15.75" customHeight="1">
      <c r="A1138" s="298"/>
      <c r="E1138" s="251"/>
      <c r="F1138" s="251"/>
      <c r="V1138" s="299"/>
    </row>
    <row r="1139" spans="1:22" ht="15.75" customHeight="1">
      <c r="A1139" s="298"/>
      <c r="E1139" s="251"/>
      <c r="F1139" s="251"/>
      <c r="V1139" s="299"/>
    </row>
    <row r="1140" spans="1:22" ht="15.75" customHeight="1">
      <c r="A1140" s="298"/>
      <c r="E1140" s="251"/>
      <c r="F1140" s="251"/>
      <c r="V1140" s="299"/>
    </row>
    <row r="1141" spans="1:22" ht="15.75" customHeight="1">
      <c r="A1141" s="298"/>
      <c r="E1141" s="251"/>
      <c r="F1141" s="251"/>
      <c r="V1141" s="299"/>
    </row>
    <row r="1142" spans="1:22" ht="15.75" customHeight="1">
      <c r="A1142" s="298"/>
      <c r="E1142" s="251"/>
      <c r="F1142" s="251"/>
      <c r="V1142" s="299"/>
    </row>
    <row r="1143" spans="1:22" ht="15.75" customHeight="1">
      <c r="A1143" s="298"/>
      <c r="E1143" s="251"/>
      <c r="F1143" s="251"/>
      <c r="V1143" s="299"/>
    </row>
  </sheetData>
  <mergeCells count="28">
    <mergeCell ref="AM1:AO1"/>
    <mergeCell ref="AP1:AR1"/>
    <mergeCell ref="Y298:Z298"/>
    <mergeCell ref="X1:Z1"/>
    <mergeCell ref="AA1:AC1"/>
    <mergeCell ref="AD1:AF1"/>
    <mergeCell ref="AG1:AI1"/>
    <mergeCell ref="BH1:BJ1"/>
    <mergeCell ref="E1:H1"/>
    <mergeCell ref="G292:H292"/>
    <mergeCell ref="A1:D1"/>
    <mergeCell ref="I1:K1"/>
    <mergeCell ref="L1:N1"/>
    <mergeCell ref="O1:Q1"/>
    <mergeCell ref="R1:T1"/>
    <mergeCell ref="U1:W1"/>
    <mergeCell ref="A2:C2"/>
    <mergeCell ref="X292:AC292"/>
    <mergeCell ref="AD292:AI292"/>
    <mergeCell ref="AJ292:AO292"/>
    <mergeCell ref="AP292:AU292"/>
    <mergeCell ref="AV292:BA292"/>
    <mergeCell ref="AJ1:AL1"/>
    <mergeCell ref="AS1:AU1"/>
    <mergeCell ref="AV1:AX1"/>
    <mergeCell ref="AY1:BA1"/>
    <mergeCell ref="BB1:BD1"/>
    <mergeCell ref="BE1:BG1"/>
  </mergeCells>
  <conditionalFormatting sqref="G3:G186 H3:H234 G188:G234 G236:H290">
    <cfRule type="cellIs" dxfId="44" priority="1" operator="between">
      <formula>"0%"</formula>
      <formula>"25%"</formula>
    </cfRule>
  </conditionalFormatting>
  <conditionalFormatting sqref="G3:G186 H3:H234 G188:G234 G236:H290">
    <cfRule type="cellIs" dxfId="43" priority="2" operator="between">
      <formula>"25.01%"</formula>
      <formula>"50%"</formula>
    </cfRule>
  </conditionalFormatting>
  <conditionalFormatting sqref="G3:G186 H3:H234 G188:G234 G236:H290">
    <cfRule type="cellIs" dxfId="42" priority="3" operator="between">
      <formula>"50.01%"</formula>
      <formula>"75%"</formula>
    </cfRule>
  </conditionalFormatting>
  <conditionalFormatting sqref="G3:G186 H3:H234 G188:G234 G236:H290">
    <cfRule type="cellIs" dxfId="41" priority="4" operator="between">
      <formula>"75.01%"</formula>
      <formula>"99.99%"</formula>
    </cfRule>
  </conditionalFormatting>
  <conditionalFormatting sqref="G3:G186 H3:H234 G188:G234 G236:H290">
    <cfRule type="cellIs" dxfId="40" priority="5" operator="greaterThanOrEqual">
      <formula>"100%"</formula>
    </cfRule>
  </conditionalFormatting>
  <conditionalFormatting sqref="U3:W17 U21:W159 U163:W193 U195:W200 U202:W204 U206:W234 U236:W290">
    <cfRule type="cellIs" dxfId="39" priority="6" operator="between">
      <formula>"0%"</formula>
      <formula>"25%"</formula>
    </cfRule>
  </conditionalFormatting>
  <conditionalFormatting sqref="U3:W17 U21:W159 U163:W193 U195:W200 U202:W204 U206:W234 U236:W290">
    <cfRule type="cellIs" dxfId="38" priority="7" operator="between">
      <formula>"25.01%"</formula>
      <formula>"50%"</formula>
    </cfRule>
  </conditionalFormatting>
  <conditionalFormatting sqref="U3:W17 U21:W159 U163:W193 U195:W200 U202:W204 U206:W234 U236:W290">
    <cfRule type="cellIs" dxfId="37" priority="8" operator="between">
      <formula>"50.01%"</formula>
      <formula>"75%"</formula>
    </cfRule>
  </conditionalFormatting>
  <conditionalFormatting sqref="U3:W17 U21:W159 U163:W193 U195:W200 U202:W204 U206:W234 U236:W290">
    <cfRule type="cellIs" dxfId="36" priority="9" operator="between">
      <formula>"75.01%"</formula>
      <formula>"99.99%"</formula>
    </cfRule>
  </conditionalFormatting>
  <conditionalFormatting sqref="U3:W17 U21:W159 U163:W193 U195:W200 U202:W204 U206:W234 U236:W290">
    <cfRule type="cellIs" dxfId="35" priority="10" operator="greaterThanOrEqual">
      <formula>"100%"</formula>
    </cfRule>
  </conditionalFormatting>
  <conditionalFormatting sqref="U160:W161">
    <cfRule type="cellIs" dxfId="34" priority="11" operator="between">
      <formula>"0%"</formula>
      <formula>"25%"</formula>
    </cfRule>
  </conditionalFormatting>
  <conditionalFormatting sqref="U160:W161">
    <cfRule type="cellIs" dxfId="33" priority="12" operator="between">
      <formula>"25.01%"</formula>
      <formula>"50%"</formula>
    </cfRule>
  </conditionalFormatting>
  <conditionalFormatting sqref="U160:W161">
    <cfRule type="cellIs" dxfId="32" priority="13" operator="between">
      <formula>"50.01%"</formula>
      <formula>"75%"</formula>
    </cfRule>
  </conditionalFormatting>
  <conditionalFormatting sqref="U160:W161">
    <cfRule type="cellIs" dxfId="31" priority="14" operator="between">
      <formula>"75.01%"</formula>
      <formula>"99.99%"</formula>
    </cfRule>
  </conditionalFormatting>
  <conditionalFormatting sqref="U160:W161">
    <cfRule type="cellIs" dxfId="30" priority="15" operator="greaterThanOrEqual">
      <formula>"100%"</formula>
    </cfRule>
  </conditionalFormatting>
  <conditionalFormatting sqref="U161:W162">
    <cfRule type="cellIs" dxfId="29" priority="16" operator="between">
      <formula>"0%"</formula>
      <formula>"25%"</formula>
    </cfRule>
  </conditionalFormatting>
  <conditionalFormatting sqref="U161:W162">
    <cfRule type="cellIs" dxfId="28" priority="17" operator="between">
      <formula>"25.01%"</formula>
      <formula>"50%"</formula>
    </cfRule>
  </conditionalFormatting>
  <conditionalFormatting sqref="U161:W162">
    <cfRule type="cellIs" dxfId="27" priority="18" operator="between">
      <formula>"50.01%"</formula>
      <formula>"75%"</formula>
    </cfRule>
  </conditionalFormatting>
  <conditionalFormatting sqref="U161:W162">
    <cfRule type="cellIs" dxfId="26" priority="19" operator="between">
      <formula>"75.01%"</formula>
      <formula>"99.99%"</formula>
    </cfRule>
  </conditionalFormatting>
  <conditionalFormatting sqref="U161:W162">
    <cfRule type="cellIs" dxfId="25" priority="20" operator="greaterThanOrEqual">
      <formula>"100%"</formula>
    </cfRule>
  </conditionalFormatting>
  <conditionalFormatting sqref="U17:W19">
    <cfRule type="cellIs" dxfId="24" priority="21" operator="between">
      <formula>"0%"</formula>
      <formula>"25%"</formula>
    </cfRule>
  </conditionalFormatting>
  <conditionalFormatting sqref="U17:W19">
    <cfRule type="cellIs" dxfId="23" priority="22" operator="between">
      <formula>"25.01%"</formula>
      <formula>"50%"</formula>
    </cfRule>
  </conditionalFormatting>
  <conditionalFormatting sqref="U17:W19">
    <cfRule type="cellIs" dxfId="22" priority="23" operator="between">
      <formula>"50.01%"</formula>
      <formula>"75%"</formula>
    </cfRule>
  </conditionalFormatting>
  <conditionalFormatting sqref="U17:W19">
    <cfRule type="cellIs" dxfId="21" priority="24" operator="between">
      <formula>"75.01%"</formula>
      <formula>"99.99%"</formula>
    </cfRule>
  </conditionalFormatting>
  <conditionalFormatting sqref="U17:W19">
    <cfRule type="cellIs" dxfId="20" priority="25" operator="greaterThanOrEqual">
      <formula>"100%"</formula>
    </cfRule>
  </conditionalFormatting>
  <conditionalFormatting sqref="G235:H237">
    <cfRule type="cellIs" dxfId="19" priority="26" operator="between">
      <formula>"0%"</formula>
      <formula>"25%"</formula>
    </cfRule>
  </conditionalFormatting>
  <conditionalFormatting sqref="G235:H237">
    <cfRule type="cellIs" dxfId="18" priority="27" operator="between">
      <formula>"25.01%"</formula>
      <formula>"50%"</formula>
    </cfRule>
  </conditionalFormatting>
  <conditionalFormatting sqref="G235:H237">
    <cfRule type="cellIs" dxfId="17" priority="28" operator="between">
      <formula>"50.01%"</formula>
      <formula>"75%"</formula>
    </cfRule>
  </conditionalFormatting>
  <conditionalFormatting sqref="G235:H237">
    <cfRule type="cellIs" dxfId="16" priority="29" operator="between">
      <formula>"75.01%"</formula>
      <formula>"99.99%"</formula>
    </cfRule>
  </conditionalFormatting>
  <conditionalFormatting sqref="G235:H237">
    <cfRule type="cellIs" dxfId="15" priority="30" operator="greaterThanOrEqual">
      <formula>"100%"</formula>
    </cfRule>
  </conditionalFormatting>
  <conditionalFormatting sqref="U235:W263">
    <cfRule type="cellIs" dxfId="14" priority="31" operator="between">
      <formula>"0%"</formula>
      <formula>"25%"</formula>
    </cfRule>
  </conditionalFormatting>
  <conditionalFormatting sqref="U235:W263">
    <cfRule type="cellIs" dxfId="13" priority="32" operator="between">
      <formula>"25.01%"</formula>
      <formula>"50%"</formula>
    </cfRule>
  </conditionalFormatting>
  <conditionalFormatting sqref="U235:W263">
    <cfRule type="cellIs" dxfId="12" priority="33" operator="between">
      <formula>"50.01%"</formula>
      <formula>"75%"</formula>
    </cfRule>
  </conditionalFormatting>
  <conditionalFormatting sqref="U235:W263">
    <cfRule type="cellIs" dxfId="11" priority="34" operator="between">
      <formula>"75.01%"</formula>
      <formula>"99.99%"</formula>
    </cfRule>
  </conditionalFormatting>
  <conditionalFormatting sqref="U235:W263">
    <cfRule type="cellIs" dxfId="10" priority="35" operator="greaterThanOrEqual">
      <formula>"100%"</formula>
    </cfRule>
  </conditionalFormatting>
  <conditionalFormatting sqref="U19:W24">
    <cfRule type="cellIs" dxfId="9" priority="36" operator="between">
      <formula>"0%"</formula>
      <formula>"25%"</formula>
    </cfRule>
  </conditionalFormatting>
  <conditionalFormatting sqref="U19:W24">
    <cfRule type="cellIs" dxfId="8" priority="37" operator="between">
      <formula>"25.01%"</formula>
      <formula>"50%"</formula>
    </cfRule>
  </conditionalFormatting>
  <conditionalFormatting sqref="U19:W24">
    <cfRule type="cellIs" dxfId="7" priority="38" operator="between">
      <formula>"50.01%"</formula>
      <formula>"75%"</formula>
    </cfRule>
  </conditionalFormatting>
  <conditionalFormatting sqref="U19:W24">
    <cfRule type="cellIs" dxfId="6" priority="39" operator="between">
      <formula>"75.01%"</formula>
      <formula>"99.99%"</formula>
    </cfRule>
  </conditionalFormatting>
  <conditionalFormatting sqref="U19:W24">
    <cfRule type="cellIs" dxfId="5" priority="40" operator="greaterThanOrEqual">
      <formula>"100%"</formula>
    </cfRule>
  </conditionalFormatting>
  <conditionalFormatting sqref="U26:W28">
    <cfRule type="cellIs" dxfId="4" priority="41" operator="between">
      <formula>"0%"</formula>
      <formula>"25%"</formula>
    </cfRule>
  </conditionalFormatting>
  <conditionalFormatting sqref="U26:W28">
    <cfRule type="cellIs" dxfId="3" priority="42" operator="between">
      <formula>"25.01%"</formula>
      <formula>"50%"</formula>
    </cfRule>
  </conditionalFormatting>
  <conditionalFormatting sqref="U26:W28">
    <cfRule type="cellIs" dxfId="2" priority="43" operator="between">
      <formula>"50.01%"</formula>
      <formula>"75%"</formula>
    </cfRule>
  </conditionalFormatting>
  <conditionalFormatting sqref="U26:W28">
    <cfRule type="cellIs" dxfId="1" priority="44" operator="between">
      <formula>"75.01%"</formula>
      <formula>"99.99%"</formula>
    </cfRule>
  </conditionalFormatting>
  <conditionalFormatting sqref="U26:W28">
    <cfRule type="cellIs" dxfId="0" priority="45" operator="greaterThanOrEqual">
      <formula>"100%"</formula>
    </cfRule>
  </conditionalFormatting>
  <pageMargins left="0.46" right="0.19" top="0.51180555555555496" bottom="0.51180555555555496" header="0" footer="0"/>
  <pageSetup paperSize="9" scale="34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M85"/>
  <sheetViews>
    <sheetView showGridLines="0" workbookViewId="0"/>
  </sheetViews>
  <sheetFormatPr defaultColWidth="14.42578125" defaultRowHeight="15" customHeight="1"/>
  <cols>
    <col min="1" max="1" width="7.28515625" customWidth="1"/>
    <col min="2" max="2" width="57.28515625" customWidth="1"/>
    <col min="3" max="3" width="17.28515625" customWidth="1"/>
    <col min="4" max="4" width="5.7109375" customWidth="1"/>
    <col min="5" max="5" width="57.28515625" customWidth="1"/>
    <col min="6" max="6" width="17.28515625" customWidth="1"/>
    <col min="7" max="7" width="5.7109375" customWidth="1"/>
    <col min="8" max="8" width="57.28515625" customWidth="1"/>
    <col min="9" max="9" width="17.28515625" customWidth="1"/>
    <col min="10" max="10" width="5.7109375" customWidth="1"/>
    <col min="11" max="11" width="40.140625" customWidth="1"/>
    <col min="12" max="13" width="17.28515625" customWidth="1"/>
    <col min="14" max="14" width="5.7109375" customWidth="1"/>
  </cols>
  <sheetData>
    <row r="3" spans="2:9">
      <c r="B3" s="42" t="s">
        <v>539</v>
      </c>
      <c r="C3" s="38"/>
      <c r="E3" s="42" t="s">
        <v>540</v>
      </c>
      <c r="F3" s="38"/>
      <c r="H3" s="42" t="s">
        <v>541</v>
      </c>
      <c r="I3" s="38"/>
    </row>
    <row r="4" spans="2:9">
      <c r="B4" s="20"/>
      <c r="C4" s="20"/>
      <c r="E4" s="21" t="s">
        <v>542</v>
      </c>
      <c r="F4" s="22" t="e">
        <f>'2022'!E3-(SUM(F5:F13))</f>
        <v>#REF!</v>
      </c>
      <c r="H4" s="21" t="str">
        <f>'2022'!D188</f>
        <v xml:space="preserve">5% CUSTEIO DO CAMPUS </v>
      </c>
      <c r="I4" s="22">
        <f>'2022'!E188</f>
        <v>0</v>
      </c>
    </row>
    <row r="5" spans="2:9">
      <c r="B5" s="23" t="str">
        <f>'2022'!E2</f>
        <v>MATRIZ ORÇAMENTÁRIA</v>
      </c>
      <c r="C5" s="24">
        <f>'2022'!E3</f>
        <v>0</v>
      </c>
      <c r="E5" s="25" t="str">
        <f>'2022'!D112</f>
        <v xml:space="preserve"> PIQP </v>
      </c>
      <c r="F5" s="22">
        <f>'2022'!E112</f>
        <v>0</v>
      </c>
      <c r="H5" s="25" t="str">
        <f>'2022'!D194</f>
        <v>PNAES</v>
      </c>
      <c r="I5" s="22">
        <f>'2022'!F194</f>
        <v>0</v>
      </c>
    </row>
    <row r="6" spans="2:9">
      <c r="B6" s="25" t="str">
        <f>'2022'!D194</f>
        <v>PNAES</v>
      </c>
      <c r="C6" s="22">
        <f>'2022'!F194</f>
        <v>0</v>
      </c>
      <c r="E6" s="25" t="e">
        <f t="shared" ref="E6:F6" si="0">#REF!</f>
        <v>#REF!</v>
      </c>
      <c r="F6" s="22" t="e">
        <f t="shared" si="0"/>
        <v>#REF!</v>
      </c>
      <c r="H6" s="25" t="str">
        <f>'2022'!D201</f>
        <v>RIP</v>
      </c>
      <c r="I6" s="22">
        <f>'2022'!F201</f>
        <v>0</v>
      </c>
    </row>
    <row r="7" spans="2:9">
      <c r="B7" s="25" t="str">
        <f>'2022'!D205</f>
        <v>FNDE</v>
      </c>
      <c r="C7" s="22">
        <f>'2022'!F205</f>
        <v>0</v>
      </c>
      <c r="E7" s="25" t="str">
        <f>'2022'!D114</f>
        <v xml:space="preserve">FUNDO DE TI </v>
      </c>
      <c r="F7" s="22">
        <f>'2022'!E114</f>
        <v>0</v>
      </c>
      <c r="H7" s="25" t="str">
        <f>'2022'!D205</f>
        <v>FNDE</v>
      </c>
      <c r="I7" s="22">
        <f>'2022'!F205</f>
        <v>0</v>
      </c>
    </row>
    <row r="8" spans="2:9">
      <c r="B8" s="23" t="str">
        <f>'2022'!F2</f>
        <v>OUTROS</v>
      </c>
      <c r="C8" s="24" t="e">
        <f>'2022'!F3-'2022'!F194-'2022'!F205</f>
        <v>#REF!</v>
      </c>
      <c r="E8" s="25" t="str">
        <f>'2022'!D116</f>
        <v>PID</v>
      </c>
      <c r="F8" s="22">
        <f>'2022'!E116</f>
        <v>0</v>
      </c>
      <c r="H8" s="23" t="str">
        <f>'2022'!F2</f>
        <v>OUTROS</v>
      </c>
      <c r="I8" s="22">
        <f>(('2022'!F187)+('2022'!E187))-(SUM(I4:I7))</f>
        <v>0</v>
      </c>
    </row>
    <row r="9" spans="2:9">
      <c r="B9" s="21"/>
      <c r="C9" s="21"/>
      <c r="E9" s="21" t="str">
        <f>'2022'!D169</f>
        <v xml:space="preserve">PROJETOS DE ENSINO </v>
      </c>
      <c r="F9" s="22">
        <f>'2022'!E169</f>
        <v>0</v>
      </c>
      <c r="H9" s="21"/>
      <c r="I9" s="22"/>
    </row>
    <row r="10" spans="2:9">
      <c r="B10" s="20"/>
      <c r="C10" s="20"/>
      <c r="E10" s="21" t="str">
        <f>'2022'!D187</f>
        <v>ASSISTÊNCIA ESTUDANTIL</v>
      </c>
      <c r="F10" s="22">
        <f>'2022'!E188</f>
        <v>0</v>
      </c>
      <c r="H10" s="21"/>
      <c r="I10" s="22"/>
    </row>
    <row r="11" spans="2:9">
      <c r="B11" s="20"/>
      <c r="C11" s="20"/>
      <c r="E11" s="21" t="str">
        <f>'2022'!D209</f>
        <v xml:space="preserve">AÇÕES INCLUSIVAS </v>
      </c>
      <c r="F11" s="22">
        <f>'2022'!E209</f>
        <v>0</v>
      </c>
      <c r="H11" s="21"/>
      <c r="I11" s="22"/>
    </row>
    <row r="12" spans="2:9">
      <c r="B12" s="20"/>
      <c r="C12" s="20"/>
      <c r="E12" s="21" t="str">
        <f>'2022'!D222</f>
        <v>PROJETOS DE PESQUISA</v>
      </c>
      <c r="F12" s="22">
        <f>'2022'!E222</f>
        <v>0</v>
      </c>
      <c r="H12" s="21"/>
      <c r="I12" s="22"/>
    </row>
    <row r="13" spans="2:9">
      <c r="B13" s="20"/>
      <c r="C13" s="20"/>
      <c r="E13" s="21" t="str">
        <f>'2022'!D266</f>
        <v>PROJETOS DE EXTENSÃO</v>
      </c>
      <c r="F13" s="22">
        <f>'2022'!E266</f>
        <v>0</v>
      </c>
      <c r="H13" s="21"/>
      <c r="I13" s="22"/>
    </row>
    <row r="14" spans="2:9">
      <c r="B14" s="20"/>
      <c r="C14" s="20"/>
      <c r="E14" s="20"/>
      <c r="F14" s="20"/>
      <c r="H14" s="20"/>
      <c r="I14" s="20"/>
    </row>
    <row r="15" spans="2:9">
      <c r="B15" s="20"/>
      <c r="C15" s="20"/>
      <c r="E15" s="20"/>
      <c r="F15" s="20"/>
      <c r="H15" s="20"/>
      <c r="I15" s="20"/>
    </row>
    <row r="16" spans="2:9">
      <c r="B16" s="20"/>
      <c r="C16" s="20"/>
      <c r="E16" s="20"/>
      <c r="F16" s="20"/>
      <c r="H16" s="20"/>
      <c r="I16" s="20"/>
    </row>
    <row r="17" spans="2:13">
      <c r="B17" s="20"/>
      <c r="C17" s="20"/>
      <c r="E17" s="20"/>
      <c r="F17" s="20"/>
      <c r="H17" s="20"/>
      <c r="I17" s="20"/>
    </row>
    <row r="18" spans="2:13">
      <c r="B18" s="20"/>
      <c r="C18" s="20"/>
      <c r="E18" s="20"/>
      <c r="F18" s="20"/>
      <c r="H18" s="20"/>
      <c r="I18" s="20"/>
    </row>
    <row r="19" spans="2:13">
      <c r="B19" s="20"/>
      <c r="C19" s="20"/>
      <c r="E19" s="20"/>
      <c r="F19" s="20"/>
      <c r="H19" s="20"/>
      <c r="I19" s="20"/>
    </row>
    <row r="20" spans="2:13">
      <c r="B20" s="20"/>
      <c r="C20" s="20"/>
      <c r="E20" s="20"/>
      <c r="F20" s="20"/>
      <c r="H20" s="20"/>
      <c r="I20" s="20"/>
    </row>
    <row r="21" spans="2:13">
      <c r="B21" s="20"/>
      <c r="C21" s="20"/>
      <c r="E21" s="20"/>
      <c r="F21" s="20"/>
      <c r="H21" s="20"/>
      <c r="I21" s="20"/>
    </row>
    <row r="22" spans="2:13">
      <c r="B22" s="20"/>
      <c r="C22" s="20"/>
      <c r="E22" s="20"/>
      <c r="F22" s="20"/>
      <c r="H22" s="20"/>
      <c r="I22" s="20"/>
    </row>
    <row r="23" spans="2:13">
      <c r="B23" s="20"/>
      <c r="C23" s="20"/>
      <c r="E23" s="20"/>
      <c r="F23" s="20"/>
      <c r="H23" s="20"/>
      <c r="I23" s="20"/>
    </row>
    <row r="24" spans="2:13">
      <c r="B24" s="20"/>
      <c r="C24" s="20"/>
      <c r="E24" s="20"/>
      <c r="F24" s="20"/>
      <c r="H24" s="20"/>
      <c r="I24" s="20"/>
    </row>
    <row r="25" spans="2:13">
      <c r="B25" s="20"/>
      <c r="C25" s="20"/>
      <c r="E25" s="20"/>
      <c r="F25" s="20"/>
      <c r="H25" s="20"/>
      <c r="I25" s="20"/>
    </row>
    <row r="26" spans="2:13">
      <c r="B26" s="20"/>
      <c r="C26" s="20"/>
      <c r="E26" s="20"/>
      <c r="F26" s="20"/>
      <c r="H26" s="20"/>
      <c r="I26" s="20"/>
    </row>
    <row r="27" spans="2:13">
      <c r="B27" s="20"/>
      <c r="C27" s="20"/>
      <c r="E27" s="20"/>
      <c r="F27" s="20"/>
      <c r="H27" s="20"/>
      <c r="I27" s="20"/>
    </row>
    <row r="28" spans="2:13">
      <c r="B28" s="20"/>
      <c r="C28" s="20"/>
      <c r="E28" s="20"/>
      <c r="F28" s="20"/>
      <c r="H28" s="20"/>
      <c r="I28" s="20"/>
    </row>
    <row r="29" spans="2:13">
      <c r="B29" s="20"/>
      <c r="C29" s="20"/>
      <c r="E29" s="20"/>
      <c r="F29" s="20"/>
      <c r="H29" s="20"/>
      <c r="I29" s="20"/>
    </row>
    <row r="32" spans="2:13">
      <c r="B32" s="42" t="s">
        <v>543</v>
      </c>
      <c r="C32" s="38"/>
      <c r="E32" s="42" t="s">
        <v>544</v>
      </c>
      <c r="F32" s="38"/>
      <c r="H32" s="42" t="s">
        <v>545</v>
      </c>
      <c r="I32" s="38"/>
      <c r="K32" s="42" t="s">
        <v>546</v>
      </c>
      <c r="L32" s="37"/>
      <c r="M32" s="38"/>
    </row>
    <row r="33" spans="2:13">
      <c r="B33" s="20"/>
      <c r="C33" s="20"/>
      <c r="E33" s="20"/>
      <c r="F33" s="20"/>
      <c r="H33" s="20"/>
      <c r="I33" s="20"/>
      <c r="K33" s="26" t="s">
        <v>547</v>
      </c>
      <c r="L33" s="27" t="s">
        <v>548</v>
      </c>
      <c r="M33" s="27" t="s">
        <v>549</v>
      </c>
    </row>
    <row r="34" spans="2:13">
      <c r="B34" s="21" t="str">
        <f>'2022'!B4</f>
        <v>GABINETE</v>
      </c>
      <c r="C34" s="28">
        <f>'2022'!E4</f>
        <v>0</v>
      </c>
      <c r="E34" s="21" t="str">
        <f>'2022'!B4</f>
        <v>GABINETE</v>
      </c>
      <c r="F34" s="28">
        <f>'2022'!I4</f>
        <v>10000</v>
      </c>
      <c r="H34" s="21" t="str">
        <f>'2022'!B4</f>
        <v>GABINETE</v>
      </c>
      <c r="I34" s="28">
        <f>'2022'!L4</f>
        <v>8394.64</v>
      </c>
      <c r="K34" s="26" t="s">
        <v>58</v>
      </c>
      <c r="L34" s="29">
        <f>'2022'!$E$293/12</f>
        <v>0</v>
      </c>
      <c r="M34" s="30">
        <f>'2022'!X294</f>
        <v>0</v>
      </c>
    </row>
    <row r="35" spans="2:13">
      <c r="B35" s="31" t="str">
        <f>'2022'!B16</f>
        <v>PROAD - PRO REITORIA DE ADMINISTRAÇÃO</v>
      </c>
      <c r="C35" s="31">
        <f>'2022'!E16</f>
        <v>0</v>
      </c>
      <c r="E35" s="31" t="str">
        <f>'2022'!B16</f>
        <v>PROAD - PRO REITORIA DE ADMINISTRAÇÃO</v>
      </c>
      <c r="F35" s="31">
        <f>'2022'!I16</f>
        <v>1420499.8800000001</v>
      </c>
      <c r="H35" s="31" t="str">
        <f>'2022'!B16</f>
        <v>PROAD - PRO REITORIA DE ADMINISTRAÇÃO</v>
      </c>
      <c r="I35" s="31">
        <f>'2022'!L16</f>
        <v>420306.09</v>
      </c>
      <c r="K35" s="26" t="s">
        <v>59</v>
      </c>
      <c r="L35" s="29">
        <f>'2022'!$E$293/12</f>
        <v>0</v>
      </c>
      <c r="M35" s="30">
        <f>'2022'!Y294</f>
        <v>0</v>
      </c>
    </row>
    <row r="36" spans="2:13">
      <c r="B36" s="21" t="str">
        <f>'2022'!B104</f>
        <v>PRDI - PRÓ-REITORIA DE DESENVOLVIMENTO INSTITUCIONAL</v>
      </c>
      <c r="C36" s="28">
        <f>'2022'!E104</f>
        <v>0</v>
      </c>
      <c r="E36" s="21" t="str">
        <f>'2022'!B104</f>
        <v>PRDI - PRÓ-REITORIA DE DESENVOLVIMENTO INSTITUCIONAL</v>
      </c>
      <c r="F36" s="28" t="e">
        <f>'2022'!I104</f>
        <v>#REF!</v>
      </c>
      <c r="H36" s="21" t="str">
        <f>'2022'!B104</f>
        <v>PRDI - PRÓ-REITORIA DE DESENVOLVIMENTO INSTITUCIONAL</v>
      </c>
      <c r="I36" s="28" t="e">
        <f>'2022'!L104</f>
        <v>#REF!</v>
      </c>
      <c r="K36" s="26" t="s">
        <v>60</v>
      </c>
      <c r="L36" s="29">
        <f>'2022'!$E$293/12</f>
        <v>0</v>
      </c>
      <c r="M36" s="30">
        <f>'2022'!Z294</f>
        <v>0</v>
      </c>
    </row>
    <row r="37" spans="2:13">
      <c r="B37" s="21" t="str">
        <f>'2022'!B141</f>
        <v>PROEN - PRÓ REITORIA DE ENSINO</v>
      </c>
      <c r="C37" s="28">
        <f>'2022'!E141</f>
        <v>0</v>
      </c>
      <c r="E37" s="21" t="str">
        <f>'2022'!B141</f>
        <v>PROEN - PRÓ REITORIA DE ENSINO</v>
      </c>
      <c r="F37" s="28">
        <f>'2022'!I141</f>
        <v>213378.40000000002</v>
      </c>
      <c r="H37" s="21" t="str">
        <f>'2022'!B141</f>
        <v>PROEN - PRÓ REITORIA DE ENSINO</v>
      </c>
      <c r="I37" s="28">
        <f>'2022'!L141</f>
        <v>53343.97</v>
      </c>
      <c r="K37" s="26" t="s">
        <v>61</v>
      </c>
      <c r="L37" s="29">
        <f>'2022'!$E$293/12</f>
        <v>0</v>
      </c>
      <c r="M37" s="32">
        <f>'2022'!AA294</f>
        <v>0</v>
      </c>
    </row>
    <row r="38" spans="2:13">
      <c r="B38" s="21" t="str">
        <f>'2022'!B220</f>
        <v>PRPPGI -PRO REITORIA DE PESQUISA POS GRADUAÇÃO E INOVAÇÃO</v>
      </c>
      <c r="C38" s="28">
        <f>'2022'!E220</f>
        <v>0</v>
      </c>
      <c r="E38" s="21" t="str">
        <f>'2022'!B220</f>
        <v>PRPPGI -PRO REITORIA DE PESQUISA POS GRADUAÇÃO E INOVAÇÃO</v>
      </c>
      <c r="F38" s="28">
        <f>'2022'!I220</f>
        <v>106391.14</v>
      </c>
      <c r="H38" s="21" t="str">
        <f>'2022'!B220</f>
        <v>PRPPGI -PRO REITORIA DE PESQUISA POS GRADUAÇÃO E INOVAÇÃO</v>
      </c>
      <c r="I38" s="28">
        <f>'2022'!L220</f>
        <v>25923.66</v>
      </c>
      <c r="K38" s="26" t="s">
        <v>62</v>
      </c>
      <c r="L38" s="29">
        <f>'2022'!$E$293/12</f>
        <v>0</v>
      </c>
      <c r="M38" s="32">
        <f>'2022'!AB294</f>
        <v>0</v>
      </c>
    </row>
    <row r="39" spans="2:13">
      <c r="B39" s="20"/>
      <c r="C39" s="20"/>
      <c r="E39" s="20"/>
      <c r="F39" s="20"/>
      <c r="H39" s="20"/>
      <c r="I39" s="20"/>
      <c r="K39" s="26" t="s">
        <v>63</v>
      </c>
      <c r="L39" s="29">
        <f>'2022'!$E$293/12</f>
        <v>0</v>
      </c>
      <c r="M39" s="32">
        <f>'2022'!AC294</f>
        <v>0</v>
      </c>
    </row>
    <row r="40" spans="2:13">
      <c r="B40" s="20"/>
      <c r="C40" s="20"/>
      <c r="E40" s="20"/>
      <c r="F40" s="20"/>
      <c r="H40" s="20"/>
      <c r="I40" s="20"/>
      <c r="K40" s="26" t="s">
        <v>64</v>
      </c>
      <c r="L40" s="29">
        <f>'2022'!$E$293/12</f>
        <v>0</v>
      </c>
      <c r="M40" s="30">
        <f>'2022'!X296</f>
        <v>0</v>
      </c>
    </row>
    <row r="41" spans="2:13">
      <c r="B41" s="20"/>
      <c r="C41" s="20"/>
      <c r="E41" s="20"/>
      <c r="F41" s="20"/>
      <c r="H41" s="20"/>
      <c r="I41" s="20"/>
      <c r="K41" s="26" t="s">
        <v>65</v>
      </c>
      <c r="L41" s="29">
        <f>'2022'!$E$293/12</f>
        <v>0</v>
      </c>
      <c r="M41" s="30">
        <f>'2022'!Y296</f>
        <v>0</v>
      </c>
    </row>
    <row r="42" spans="2:13">
      <c r="B42" s="20"/>
      <c r="C42" s="20"/>
      <c r="E42" s="20"/>
      <c r="F42" s="20"/>
      <c r="H42" s="20"/>
      <c r="I42" s="20"/>
      <c r="K42" s="26" t="s">
        <v>66</v>
      </c>
      <c r="L42" s="29">
        <f>'2022'!$E$293/12</f>
        <v>0</v>
      </c>
      <c r="M42" s="30">
        <f>'2022'!Z296</f>
        <v>0</v>
      </c>
    </row>
    <row r="43" spans="2:13">
      <c r="B43" s="20"/>
      <c r="C43" s="20"/>
      <c r="E43" s="20"/>
      <c r="F43" s="20"/>
      <c r="H43" s="20"/>
      <c r="I43" s="20"/>
      <c r="K43" s="26" t="s">
        <v>67</v>
      </c>
      <c r="L43" s="29">
        <f>'2022'!$E$293/12</f>
        <v>0</v>
      </c>
      <c r="M43" s="32">
        <f>'2022'!AA296</f>
        <v>0</v>
      </c>
    </row>
    <row r="44" spans="2:13">
      <c r="B44" s="20"/>
      <c r="C44" s="20"/>
      <c r="E44" s="20"/>
      <c r="F44" s="20"/>
      <c r="H44" s="20"/>
      <c r="I44" s="20"/>
      <c r="K44" s="26" t="s">
        <v>68</v>
      </c>
      <c r="L44" s="29">
        <f>'2022'!$E$293/12</f>
        <v>0</v>
      </c>
      <c r="M44" s="32">
        <f>'2022'!AB296</f>
        <v>0</v>
      </c>
    </row>
    <row r="45" spans="2:13">
      <c r="B45" s="20"/>
      <c r="C45" s="20"/>
      <c r="E45" s="20"/>
      <c r="F45" s="20"/>
      <c r="H45" s="20"/>
      <c r="I45" s="20"/>
      <c r="K45" s="26" t="s">
        <v>69</v>
      </c>
      <c r="L45" s="29">
        <f>'2022'!$E$293/12</f>
        <v>0</v>
      </c>
      <c r="M45" s="32">
        <f>'2022'!AC296</f>
        <v>0</v>
      </c>
    </row>
    <row r="46" spans="2:13">
      <c r="B46" s="20"/>
      <c r="C46" s="20"/>
      <c r="E46" s="20"/>
      <c r="F46" s="20"/>
      <c r="H46" s="20"/>
      <c r="I46" s="20"/>
      <c r="K46" s="26"/>
      <c r="L46" s="26"/>
      <c r="M46" s="26"/>
    </row>
    <row r="47" spans="2:13">
      <c r="B47" s="20"/>
      <c r="C47" s="20"/>
      <c r="E47" s="20"/>
      <c r="F47" s="20"/>
      <c r="H47" s="20"/>
      <c r="I47" s="20"/>
      <c r="K47" s="26"/>
      <c r="L47" s="26"/>
      <c r="M47" s="26"/>
    </row>
    <row r="48" spans="2:13">
      <c r="B48" s="20"/>
      <c r="C48" s="20"/>
      <c r="E48" s="20"/>
      <c r="F48" s="20"/>
      <c r="H48" s="20"/>
      <c r="I48" s="20"/>
      <c r="K48" s="26"/>
      <c r="L48" s="26"/>
      <c r="M48" s="26"/>
    </row>
    <row r="49" spans="2:13">
      <c r="B49" s="20"/>
      <c r="C49" s="20"/>
      <c r="E49" s="20"/>
      <c r="F49" s="20"/>
      <c r="H49" s="20"/>
      <c r="I49" s="20"/>
      <c r="K49" s="26"/>
      <c r="L49" s="26"/>
      <c r="M49" s="26"/>
    </row>
    <row r="50" spans="2:13">
      <c r="B50" s="20"/>
      <c r="C50" s="20"/>
      <c r="E50" s="20"/>
      <c r="F50" s="20"/>
      <c r="H50" s="20"/>
      <c r="I50" s="20"/>
      <c r="K50" s="26"/>
      <c r="L50" s="26"/>
      <c r="M50" s="26"/>
    </row>
    <row r="51" spans="2:13">
      <c r="B51" s="20"/>
      <c r="C51" s="20"/>
      <c r="E51" s="20"/>
      <c r="F51" s="20"/>
      <c r="H51" s="20"/>
      <c r="I51" s="20"/>
      <c r="K51" s="26"/>
      <c r="L51" s="26"/>
      <c r="M51" s="26"/>
    </row>
    <row r="52" spans="2:13">
      <c r="B52" s="20"/>
      <c r="C52" s="20"/>
      <c r="E52" s="20"/>
      <c r="F52" s="20"/>
      <c r="H52" s="20"/>
      <c r="I52" s="20"/>
      <c r="K52" s="26"/>
      <c r="L52" s="26"/>
      <c r="M52" s="26"/>
    </row>
    <row r="53" spans="2:13">
      <c r="B53" s="20"/>
      <c r="C53" s="20"/>
      <c r="E53" s="20"/>
      <c r="F53" s="20"/>
      <c r="H53" s="20"/>
      <c r="I53" s="20"/>
      <c r="K53" s="26"/>
      <c r="L53" s="26"/>
      <c r="M53" s="26"/>
    </row>
    <row r="54" spans="2:13">
      <c r="B54" s="20"/>
      <c r="C54" s="20"/>
      <c r="E54" s="20"/>
      <c r="F54" s="20"/>
      <c r="H54" s="20"/>
      <c r="I54" s="20"/>
      <c r="K54" s="26"/>
      <c r="L54" s="26"/>
      <c r="M54" s="26"/>
    </row>
    <row r="55" spans="2:13">
      <c r="B55" s="20"/>
      <c r="C55" s="20"/>
      <c r="E55" s="20"/>
      <c r="F55" s="20"/>
      <c r="H55" s="20"/>
      <c r="I55" s="20"/>
      <c r="K55" s="26"/>
      <c r="L55" s="26"/>
      <c r="M55" s="26"/>
    </row>
    <row r="56" spans="2:13">
      <c r="B56" s="20"/>
      <c r="C56" s="20"/>
      <c r="E56" s="20"/>
      <c r="F56" s="20"/>
      <c r="H56" s="20"/>
      <c r="I56" s="20"/>
      <c r="K56" s="26"/>
      <c r="L56" s="26"/>
      <c r="M56" s="26"/>
    </row>
    <row r="57" spans="2:13">
      <c r="B57" s="20"/>
      <c r="C57" s="20"/>
      <c r="E57" s="20"/>
      <c r="F57" s="20"/>
      <c r="H57" s="20"/>
      <c r="I57" s="20"/>
      <c r="K57" s="26"/>
      <c r="L57" s="26"/>
      <c r="M57" s="26"/>
    </row>
    <row r="58" spans="2:13">
      <c r="B58" s="20"/>
      <c r="C58" s="20"/>
      <c r="E58" s="20"/>
      <c r="F58" s="20"/>
      <c r="H58" s="20"/>
      <c r="I58" s="20"/>
      <c r="K58" s="26"/>
      <c r="L58" s="26"/>
      <c r="M58" s="26"/>
    </row>
    <row r="61" spans="2:13">
      <c r="B61" s="41" t="s">
        <v>550</v>
      </c>
      <c r="C61" s="38"/>
      <c r="E61" s="41" t="s">
        <v>551</v>
      </c>
      <c r="F61" s="38"/>
      <c r="H61" s="41" t="s">
        <v>552</v>
      </c>
      <c r="I61" s="38"/>
    </row>
    <row r="62" spans="2:13">
      <c r="B62" s="41" t="s">
        <v>553</v>
      </c>
      <c r="C62" s="38"/>
      <c r="E62" s="41" t="s">
        <v>554</v>
      </c>
      <c r="F62" s="38"/>
      <c r="H62" s="41"/>
      <c r="I62" s="38"/>
    </row>
    <row r="63" spans="2:13">
      <c r="B63" s="33"/>
      <c r="C63" s="33"/>
      <c r="E63" s="33" t="str">
        <f>'2022'!D294</f>
        <v>ORÇAMENTO LIBERADO</v>
      </c>
      <c r="F63" s="34">
        <f>'2022'!E294</f>
        <v>0</v>
      </c>
      <c r="H63" s="33" t="s">
        <v>555</v>
      </c>
      <c r="I63" s="34" t="e">
        <f>'2022'!J295</f>
        <v>#REF!</v>
      </c>
    </row>
    <row r="64" spans="2:13">
      <c r="B64" s="33" t="str">
        <f>'2022'!D293</f>
        <v>ORÇAMENTO PLANEJADO</v>
      </c>
      <c r="C64" s="35">
        <f>'2022'!E293</f>
        <v>0</v>
      </c>
      <c r="E64" s="33" t="str">
        <f>'2022'!D295</f>
        <v>ORÇAMENTO EMPENHADO</v>
      </c>
      <c r="F64" s="35" t="e">
        <f>'2022'!E295</f>
        <v>#REF!</v>
      </c>
      <c r="H64" s="33" t="s">
        <v>556</v>
      </c>
      <c r="I64" s="34" t="e">
        <f>'2022'!M296</f>
        <v>#REF!</v>
      </c>
    </row>
    <row r="65" spans="2:9">
      <c r="B65" s="33" t="str">
        <f>'2022'!D294</f>
        <v>ORÇAMENTO LIBERADO</v>
      </c>
      <c r="C65" s="34">
        <f>'2022'!E294</f>
        <v>0</v>
      </c>
      <c r="E65" s="33" t="str">
        <f>'2022'!D296</f>
        <v>ORÇAMENTO EXECUTADO</v>
      </c>
      <c r="F65" s="35" t="e">
        <f>'2022'!E296</f>
        <v>#REF!</v>
      </c>
      <c r="H65" s="33" t="s">
        <v>557</v>
      </c>
      <c r="I65" s="34" t="e">
        <f>'2022'!E302</f>
        <v>#REF!</v>
      </c>
    </row>
    <row r="66" spans="2:9">
      <c r="B66" s="6"/>
      <c r="C66" s="6"/>
      <c r="E66" s="33" t="str">
        <f>'2022'!D297</f>
        <v>ORÇAMENTO PAGO</v>
      </c>
      <c r="F66" s="35" t="e">
        <f>'2022'!E297</f>
        <v>#REF!</v>
      </c>
      <c r="H66" s="6"/>
      <c r="I66" s="6"/>
    </row>
    <row r="67" spans="2:9">
      <c r="B67" s="6"/>
      <c r="C67" s="6"/>
      <c r="E67" s="6"/>
      <c r="F67" s="6"/>
      <c r="H67" s="6"/>
      <c r="I67" s="6"/>
    </row>
    <row r="68" spans="2:9">
      <c r="B68" s="6"/>
      <c r="C68" s="6"/>
      <c r="E68" s="6"/>
      <c r="F68" s="6"/>
      <c r="H68" s="6"/>
      <c r="I68" s="6"/>
    </row>
    <row r="69" spans="2:9">
      <c r="B69" s="6"/>
      <c r="C69" s="6"/>
      <c r="E69" s="6"/>
      <c r="F69" s="6"/>
      <c r="H69" s="6"/>
      <c r="I69" s="6"/>
    </row>
    <row r="70" spans="2:9">
      <c r="B70" s="6"/>
      <c r="C70" s="6"/>
      <c r="E70" s="6"/>
      <c r="F70" s="6"/>
      <c r="H70" s="6"/>
      <c r="I70" s="6"/>
    </row>
    <row r="71" spans="2:9">
      <c r="B71" s="6"/>
      <c r="C71" s="6"/>
      <c r="E71" s="6"/>
      <c r="F71" s="6"/>
      <c r="H71" s="6"/>
      <c r="I71" s="6"/>
    </row>
    <row r="72" spans="2:9">
      <c r="B72" s="6"/>
      <c r="C72" s="6"/>
      <c r="E72" s="6"/>
      <c r="F72" s="6"/>
      <c r="H72" s="6"/>
      <c r="I72" s="6"/>
    </row>
    <row r="73" spans="2:9">
      <c r="B73" s="6"/>
      <c r="C73" s="6"/>
      <c r="E73" s="6"/>
      <c r="F73" s="6"/>
      <c r="H73" s="6"/>
      <c r="I73" s="6"/>
    </row>
    <row r="74" spans="2:9">
      <c r="B74" s="6"/>
      <c r="C74" s="6"/>
      <c r="E74" s="6"/>
      <c r="F74" s="6"/>
      <c r="H74" s="6"/>
      <c r="I74" s="6"/>
    </row>
    <row r="75" spans="2:9">
      <c r="B75" s="6"/>
      <c r="C75" s="6"/>
      <c r="E75" s="6"/>
      <c r="F75" s="6"/>
      <c r="H75" s="6"/>
      <c r="I75" s="6"/>
    </row>
    <row r="76" spans="2:9">
      <c r="B76" s="6"/>
      <c r="C76" s="6"/>
      <c r="E76" s="6"/>
      <c r="F76" s="6"/>
      <c r="H76" s="6"/>
      <c r="I76" s="6"/>
    </row>
    <row r="77" spans="2:9">
      <c r="B77" s="6"/>
      <c r="C77" s="6"/>
      <c r="E77" s="6"/>
      <c r="F77" s="6"/>
      <c r="H77" s="6"/>
      <c r="I77" s="6"/>
    </row>
    <row r="78" spans="2:9">
      <c r="B78" s="6"/>
      <c r="C78" s="6"/>
      <c r="E78" s="6"/>
      <c r="F78" s="6"/>
      <c r="H78" s="6"/>
      <c r="I78" s="6"/>
    </row>
    <row r="79" spans="2:9">
      <c r="B79" s="6"/>
      <c r="C79" s="6"/>
      <c r="E79" s="6"/>
      <c r="F79" s="6"/>
      <c r="H79" s="6"/>
      <c r="I79" s="6"/>
    </row>
    <row r="80" spans="2:9">
      <c r="B80" s="6"/>
      <c r="C80" s="6"/>
      <c r="E80" s="6"/>
      <c r="F80" s="6"/>
      <c r="H80" s="6"/>
      <c r="I80" s="6"/>
    </row>
    <row r="81" spans="2:9">
      <c r="B81" s="6"/>
      <c r="C81" s="6"/>
      <c r="E81" s="6"/>
      <c r="F81" s="6"/>
      <c r="H81" s="6"/>
      <c r="I81" s="6"/>
    </row>
    <row r="82" spans="2:9">
      <c r="B82" s="6"/>
      <c r="C82" s="6"/>
      <c r="E82" s="6"/>
      <c r="F82" s="6"/>
      <c r="H82" s="6"/>
      <c r="I82" s="6"/>
    </row>
    <row r="83" spans="2:9">
      <c r="B83" s="6"/>
      <c r="C83" s="6"/>
      <c r="E83" s="6"/>
      <c r="F83" s="6"/>
      <c r="H83" s="6"/>
      <c r="I83" s="6"/>
    </row>
    <row r="84" spans="2:9">
      <c r="B84" s="6"/>
      <c r="C84" s="6"/>
      <c r="E84" s="6"/>
      <c r="F84" s="6"/>
      <c r="H84" s="6"/>
      <c r="I84" s="6"/>
    </row>
    <row r="85" spans="2:9">
      <c r="B85" s="6"/>
      <c r="C85" s="6"/>
      <c r="E85" s="6"/>
      <c r="F85" s="6"/>
      <c r="H85" s="6"/>
      <c r="I85" s="6"/>
    </row>
  </sheetData>
  <mergeCells count="13">
    <mergeCell ref="K32:M32"/>
    <mergeCell ref="B3:C3"/>
    <mergeCell ref="E3:F3"/>
    <mergeCell ref="H3:I3"/>
    <mergeCell ref="B32:C32"/>
    <mergeCell ref="E32:F32"/>
    <mergeCell ref="H32:I32"/>
    <mergeCell ref="B61:C61"/>
    <mergeCell ref="E61:F61"/>
    <mergeCell ref="H61:I61"/>
    <mergeCell ref="B62:C62"/>
    <mergeCell ref="E62:F62"/>
    <mergeCell ref="H62:I62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Instruções</vt:lpstr>
      <vt:lpstr>2022</vt:lpstr>
      <vt:lpstr>Gráficos </vt:lpstr>
      <vt:lpstr>'2022'!Area_de_impressao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Kasper</dc:creator>
  <cp:lastModifiedBy>Elisandra</cp:lastModifiedBy>
  <cp:lastPrinted>2022-05-06T11:25:40Z</cp:lastPrinted>
  <dcterms:created xsi:type="dcterms:W3CDTF">2020-01-10T15:57:46Z</dcterms:created>
  <dcterms:modified xsi:type="dcterms:W3CDTF">2022-05-06T11:36:50Z</dcterms:modified>
</cp:coreProperties>
</file>