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 activeTab="2"/>
  </bookViews>
  <sheets>
    <sheet name="DADOS-CADASTRAIS" sheetId="1" r:id="rId1"/>
    <sheet name="CAMPUS.CONTRATANTE" sheetId="2" r:id="rId2"/>
    <sheet name="1-ABA-DE-CARREGAMENTO" sheetId="3" r:id="rId3"/>
    <sheet name="PROPOSTA DO SERVIÇO" sheetId="4" r:id="rId4"/>
    <sheet name="Uniformes - EPIs_TODOS" sheetId="5" r:id="rId5"/>
    <sheet name="5173-30_VIGILANTE_12×36_diurn" sheetId="6" r:id="rId6"/>
    <sheet name="5173-30_VIGILANTE_12×36_notur" sheetId="7" r:id="rId7"/>
    <sheet name="AUX.S.BUC_CBO.3224-15_40hs" sheetId="8" state="hidden" r:id="rId8"/>
    <sheet name="INT.LIBRA_CBO.2614-25_20.hs" sheetId="9" state="hidden" r:id="rId9"/>
    <sheet name="INT.LIBRA_CBO.2614-25_40.hs" sheetId="10" state="hidden" r:id="rId10"/>
    <sheet name="MONITOR_CBO.3341-10_20hs" sheetId="11" state="hidden" r:id="rId11"/>
    <sheet name="MONITOR_CBO.3341-10_40hs" sheetId="12" state="hidden" r:id="rId12"/>
    <sheet name="PSICOPED_CBO.2394-25_20hs" sheetId="13" state="hidden" r:id="rId13"/>
    <sheet name="PSICOPED_CBO.2394-25_40hs" sheetId="14" state="hidden" r:id="rId14"/>
    <sheet name="AUX.S.BUC_CBO.3224-15_20hs" sheetId="15" state="hidden" r:id="rId15"/>
    <sheet name="A NÃO TEM MAIS POSTOS-88" sheetId="16" state="hidden" r:id="rId16"/>
    <sheet name="A NÃO TEM MAIS POSTOS-99" sheetId="17" state="hidden" r:id="rId17"/>
    <sheet name="TOTALIZADORES_IFFar" sheetId="18" r:id="rId18"/>
  </sheets>
  <calcPr calcId="125725"/>
  <extLst>
    <ext uri="GoogleSheetsCustomDataVersion1">
      <go:sheetsCustomData xmlns:go="http://customooxmlschemas.google.com/" r:id="rId22" roundtripDataSignature="AMtx7mh4Sh50wtpCJsMdnIVyQI7DibMfpA=="/>
    </ext>
  </extLst>
</workbook>
</file>

<file path=xl/calcChain.xml><?xml version="1.0" encoding="utf-8"?>
<calcChain xmlns="http://schemas.openxmlformats.org/spreadsheetml/2006/main">
  <c r="D4" i="4"/>
  <c r="D180" i="18"/>
  <c r="F179"/>
  <c r="F178"/>
  <c r="F177"/>
  <c r="F176"/>
  <c r="F175"/>
  <c r="F174"/>
  <c r="F173"/>
  <c r="F172"/>
  <c r="F171"/>
  <c r="F170"/>
  <c r="F169"/>
  <c r="F168"/>
  <c r="B168"/>
  <c r="B169" s="1"/>
  <c r="B170" s="1"/>
  <c r="B171" s="1"/>
  <c r="B172" s="1"/>
  <c r="B173" s="1"/>
  <c r="B174" s="1"/>
  <c r="B175" s="1"/>
  <c r="B176" s="1"/>
  <c r="B177" s="1"/>
  <c r="B178" s="1"/>
  <c r="B179" s="1"/>
  <c r="B180" s="1"/>
  <c r="D166"/>
  <c r="F165"/>
  <c r="F164"/>
  <c r="F163"/>
  <c r="F162"/>
  <c r="F161"/>
  <c r="B161"/>
  <c r="B162" s="1"/>
  <c r="B163" s="1"/>
  <c r="B164" s="1"/>
  <c r="B165" s="1"/>
  <c r="B166" s="1"/>
  <c r="F160"/>
  <c r="F159"/>
  <c r="F158"/>
  <c r="F157"/>
  <c r="B157"/>
  <c r="B158" s="1"/>
  <c r="B159" s="1"/>
  <c r="B160" s="1"/>
  <c r="F156"/>
  <c r="F155"/>
  <c r="F154"/>
  <c r="F166" s="1"/>
  <c r="B154"/>
  <c r="B155" s="1"/>
  <c r="B156" s="1"/>
  <c r="E152"/>
  <c r="D152"/>
  <c r="F151"/>
  <c r="F150"/>
  <c r="F149"/>
  <c r="F148"/>
  <c r="F147"/>
  <c r="F146"/>
  <c r="F145"/>
  <c r="F144"/>
  <c r="F143"/>
  <c r="F142"/>
  <c r="F141"/>
  <c r="F140"/>
  <c r="B140"/>
  <c r="B141" s="1"/>
  <c r="B142" s="1"/>
  <c r="B143" s="1"/>
  <c r="B144" s="1"/>
  <c r="B145" s="1"/>
  <c r="B146" s="1"/>
  <c r="B147" s="1"/>
  <c r="B148" s="1"/>
  <c r="B149" s="1"/>
  <c r="B150" s="1"/>
  <c r="B151" s="1"/>
  <c r="B152" s="1"/>
  <c r="D138"/>
  <c r="F137"/>
  <c r="F136"/>
  <c r="F135"/>
  <c r="F134"/>
  <c r="F133"/>
  <c r="F132"/>
  <c r="F131"/>
  <c r="F130"/>
  <c r="F129"/>
  <c r="F128"/>
  <c r="F127"/>
  <c r="B127"/>
  <c r="B128" s="1"/>
  <c r="B129" s="1"/>
  <c r="B130" s="1"/>
  <c r="B131" s="1"/>
  <c r="B132" s="1"/>
  <c r="B133" s="1"/>
  <c r="B134" s="1"/>
  <c r="B135" s="1"/>
  <c r="B136" s="1"/>
  <c r="B137" s="1"/>
  <c r="B138" s="1"/>
  <c r="F126"/>
  <c r="B126"/>
  <c r="E124"/>
  <c r="D124"/>
  <c r="F123"/>
  <c r="F122"/>
  <c r="F121"/>
  <c r="F120"/>
  <c r="F119"/>
  <c r="F124" s="1"/>
  <c r="F118"/>
  <c r="F117"/>
  <c r="F116"/>
  <c r="F115"/>
  <c r="F114"/>
  <c r="F113"/>
  <c r="B113"/>
  <c r="B114" s="1"/>
  <c r="B115" s="1"/>
  <c r="B116" s="1"/>
  <c r="B117" s="1"/>
  <c r="B118" s="1"/>
  <c r="B119" s="1"/>
  <c r="B120" s="1"/>
  <c r="B121" s="1"/>
  <c r="B122" s="1"/>
  <c r="B123" s="1"/>
  <c r="B124" s="1"/>
  <c r="F112"/>
  <c r="B112"/>
  <c r="E110"/>
  <c r="D110"/>
  <c r="F109"/>
  <c r="F108"/>
  <c r="F107"/>
  <c r="F106"/>
  <c r="F105"/>
  <c r="F110" s="1"/>
  <c r="F104"/>
  <c r="F103"/>
  <c r="F102"/>
  <c r="F101"/>
  <c r="F100"/>
  <c r="F99"/>
  <c r="B99"/>
  <c r="B100" s="1"/>
  <c r="B101" s="1"/>
  <c r="B102" s="1"/>
  <c r="B103" s="1"/>
  <c r="B104" s="1"/>
  <c r="B105" s="1"/>
  <c r="B106" s="1"/>
  <c r="B107" s="1"/>
  <c r="B108" s="1"/>
  <c r="B109" s="1"/>
  <c r="B110" s="1"/>
  <c r="F98"/>
  <c r="B98"/>
  <c r="E96"/>
  <c r="D96"/>
  <c r="F95"/>
  <c r="F94"/>
  <c r="F93"/>
  <c r="F92"/>
  <c r="F91"/>
  <c r="F96" s="1"/>
  <c r="F90"/>
  <c r="F89"/>
  <c r="F88"/>
  <c r="F87"/>
  <c r="F86"/>
  <c r="F85"/>
  <c r="B85"/>
  <c r="B86" s="1"/>
  <c r="B87" s="1"/>
  <c r="B88" s="1"/>
  <c r="B89" s="1"/>
  <c r="B90" s="1"/>
  <c r="B91" s="1"/>
  <c r="B92" s="1"/>
  <c r="B93" s="1"/>
  <c r="B94" s="1"/>
  <c r="B95" s="1"/>
  <c r="B96" s="1"/>
  <c r="F84"/>
  <c r="B84"/>
  <c r="E83"/>
  <c r="E82"/>
  <c r="D82"/>
  <c r="F81"/>
  <c r="F80"/>
  <c r="F79"/>
  <c r="F78"/>
  <c r="F77"/>
  <c r="F76"/>
  <c r="F75"/>
  <c r="F74"/>
  <c r="F73"/>
  <c r="B73"/>
  <c r="B74" s="1"/>
  <c r="B75" s="1"/>
  <c r="B76" s="1"/>
  <c r="B77" s="1"/>
  <c r="B78" s="1"/>
  <c r="B79" s="1"/>
  <c r="B80" s="1"/>
  <c r="B81" s="1"/>
  <c r="B82" s="1"/>
  <c r="F72"/>
  <c r="F71"/>
  <c r="F70"/>
  <c r="B70"/>
  <c r="B71" s="1"/>
  <c r="B72" s="1"/>
  <c r="D68"/>
  <c r="F67"/>
  <c r="F66"/>
  <c r="F65"/>
  <c r="F64"/>
  <c r="F63"/>
  <c r="F62"/>
  <c r="F61"/>
  <c r="F60"/>
  <c r="F59"/>
  <c r="F58"/>
  <c r="F57"/>
  <c r="F56"/>
  <c r="F68" s="1"/>
  <c r="B56"/>
  <c r="B57" s="1"/>
  <c r="B58" s="1"/>
  <c r="B59" s="1"/>
  <c r="B60" s="1"/>
  <c r="B61" s="1"/>
  <c r="B62" s="1"/>
  <c r="B63" s="1"/>
  <c r="B64" s="1"/>
  <c r="B65" s="1"/>
  <c r="B66" s="1"/>
  <c r="B67" s="1"/>
  <c r="B68" s="1"/>
  <c r="E54"/>
  <c r="D54"/>
  <c r="F53"/>
  <c r="F52"/>
  <c r="F51"/>
  <c r="F50"/>
  <c r="F49"/>
  <c r="F48"/>
  <c r="F47"/>
  <c r="F46"/>
  <c r="F45"/>
  <c r="F54" s="1"/>
  <c r="F44"/>
  <c r="F43"/>
  <c r="F42"/>
  <c r="B42"/>
  <c r="B43" s="1"/>
  <c r="B44" s="1"/>
  <c r="B45" s="1"/>
  <c r="B46" s="1"/>
  <c r="B47" s="1"/>
  <c r="B48" s="1"/>
  <c r="B49" s="1"/>
  <c r="B50" s="1"/>
  <c r="B51" s="1"/>
  <c r="B52" s="1"/>
  <c r="B53" s="1"/>
  <c r="B54" s="1"/>
  <c r="E40"/>
  <c r="D40"/>
  <c r="F39"/>
  <c r="F38"/>
  <c r="F37"/>
  <c r="F36"/>
  <c r="F35"/>
  <c r="F34"/>
  <c r="F33"/>
  <c r="F32"/>
  <c r="F31"/>
  <c r="F40" s="1"/>
  <c r="F30"/>
  <c r="F29"/>
  <c r="F28"/>
  <c r="B28"/>
  <c r="B29" s="1"/>
  <c r="B30" s="1"/>
  <c r="B31" s="1"/>
  <c r="B32" s="1"/>
  <c r="B33" s="1"/>
  <c r="B34" s="1"/>
  <c r="B35" s="1"/>
  <c r="B36" s="1"/>
  <c r="B37" s="1"/>
  <c r="B38" s="1"/>
  <c r="B39" s="1"/>
  <c r="B40" s="1"/>
  <c r="D26"/>
  <c r="F25"/>
  <c r="F24"/>
  <c r="F23"/>
  <c r="F22"/>
  <c r="F21"/>
  <c r="F20"/>
  <c r="F19"/>
  <c r="F18"/>
  <c r="F17"/>
  <c r="F26" s="1"/>
  <c r="F16"/>
  <c r="B16"/>
  <c r="B17" s="1"/>
  <c r="B18" s="1"/>
  <c r="B19" s="1"/>
  <c r="B20" s="1"/>
  <c r="B21" s="1"/>
  <c r="B22" s="1"/>
  <c r="B23" s="1"/>
  <c r="B24" s="1"/>
  <c r="B25" s="1"/>
  <c r="B26" s="1"/>
  <c r="F15"/>
  <c r="B15"/>
  <c r="F14"/>
  <c r="B14"/>
  <c r="I206" i="17"/>
  <c r="H206"/>
  <c r="H205"/>
  <c r="I205" s="1"/>
  <c r="I204"/>
  <c r="H204"/>
  <c r="I202"/>
  <c r="H202"/>
  <c r="I201"/>
  <c r="H201"/>
  <c r="I171"/>
  <c r="I170"/>
  <c r="I166"/>
  <c r="I164"/>
  <c r="J157"/>
  <c r="J192" s="1"/>
  <c r="J154"/>
  <c r="J149"/>
  <c r="I49"/>
  <c r="I48"/>
  <c r="H47"/>
  <c r="I40"/>
  <c r="H29"/>
  <c r="I9"/>
  <c r="I8"/>
  <c r="B6"/>
  <c r="G5"/>
  <c r="G4"/>
  <c r="I206" i="16"/>
  <c r="H206"/>
  <c r="I205"/>
  <c r="H205"/>
  <c r="I204"/>
  <c r="H204"/>
  <c r="I202"/>
  <c r="H202"/>
  <c r="I201"/>
  <c r="H201"/>
  <c r="J192"/>
  <c r="I171"/>
  <c r="I170"/>
  <c r="I166"/>
  <c r="I164"/>
  <c r="J157"/>
  <c r="J154"/>
  <c r="J149"/>
  <c r="I49"/>
  <c r="I48"/>
  <c r="H47"/>
  <c r="I40"/>
  <c r="H29"/>
  <c r="I9"/>
  <c r="I8"/>
  <c r="B6"/>
  <c r="G5"/>
  <c r="G4"/>
  <c r="I206" i="15"/>
  <c r="H206"/>
  <c r="I205"/>
  <c r="H205"/>
  <c r="I204"/>
  <c r="H204"/>
  <c r="I202"/>
  <c r="H202"/>
  <c r="I201"/>
  <c r="H201"/>
  <c r="I171"/>
  <c r="I170"/>
  <c r="I166"/>
  <c r="I164"/>
  <c r="J154"/>
  <c r="J157" s="1"/>
  <c r="J192" s="1"/>
  <c r="J149"/>
  <c r="I49"/>
  <c r="I48"/>
  <c r="H47"/>
  <c r="I40"/>
  <c r="H29"/>
  <c r="I9"/>
  <c r="I8"/>
  <c r="B6"/>
  <c r="G5"/>
  <c r="G4"/>
  <c r="H206" i="14"/>
  <c r="I206" s="1"/>
  <c r="I205"/>
  <c r="H205"/>
  <c r="H204"/>
  <c r="I204" s="1"/>
  <c r="I202"/>
  <c r="H202"/>
  <c r="H201"/>
  <c r="I201" s="1"/>
  <c r="J192"/>
  <c r="I171"/>
  <c r="I170"/>
  <c r="I166"/>
  <c r="I164"/>
  <c r="J157"/>
  <c r="J154"/>
  <c r="J149"/>
  <c r="I49"/>
  <c r="I48"/>
  <c r="H47"/>
  <c r="I40"/>
  <c r="H29"/>
  <c r="I9"/>
  <c r="I8"/>
  <c r="B6"/>
  <c r="G5"/>
  <c r="G4"/>
  <c r="I206" i="13"/>
  <c r="H206"/>
  <c r="H205"/>
  <c r="I205" s="1"/>
  <c r="I204"/>
  <c r="H204"/>
  <c r="H202"/>
  <c r="I201"/>
  <c r="H201"/>
  <c r="I171"/>
  <c r="I170"/>
  <c r="I166"/>
  <c r="I164"/>
  <c r="J157"/>
  <c r="J192" s="1"/>
  <c r="J154"/>
  <c r="J149"/>
  <c r="I49"/>
  <c r="I48"/>
  <c r="H47"/>
  <c r="I40"/>
  <c r="H29"/>
  <c r="I9"/>
  <c r="I8"/>
  <c r="B6"/>
  <c r="G5"/>
  <c r="G4"/>
  <c r="I206" i="12"/>
  <c r="H206"/>
  <c r="I205"/>
  <c r="H205"/>
  <c r="I204"/>
  <c r="H204"/>
  <c r="I202"/>
  <c r="H202"/>
  <c r="I201"/>
  <c r="H201"/>
  <c r="I171"/>
  <c r="I170"/>
  <c r="I166"/>
  <c r="I164"/>
  <c r="J157"/>
  <c r="J192" s="1"/>
  <c r="J154"/>
  <c r="J149"/>
  <c r="I49"/>
  <c r="I48"/>
  <c r="H47"/>
  <c r="I40"/>
  <c r="H29"/>
  <c r="I9"/>
  <c r="I8"/>
  <c r="B6"/>
  <c r="G5"/>
  <c r="G4"/>
  <c r="H206" i="11"/>
  <c r="I206" s="1"/>
  <c r="H205"/>
  <c r="I205" s="1"/>
  <c r="H204"/>
  <c r="I204" s="1"/>
  <c r="H202"/>
  <c r="I202" s="1"/>
  <c r="H201"/>
  <c r="I201" s="1"/>
  <c r="I171"/>
  <c r="I170"/>
  <c r="I166"/>
  <c r="I164"/>
  <c r="J154"/>
  <c r="J157" s="1"/>
  <c r="J192" s="1"/>
  <c r="J149"/>
  <c r="I49"/>
  <c r="H47"/>
  <c r="I40"/>
  <c r="H29"/>
  <c r="I9"/>
  <c r="I8"/>
  <c r="B6"/>
  <c r="G5"/>
  <c r="G4"/>
  <c r="H206" i="10"/>
  <c r="I206" s="1"/>
  <c r="H205"/>
  <c r="I205" s="1"/>
  <c r="H204"/>
  <c r="I204" s="1"/>
  <c r="H202"/>
  <c r="I202" s="1"/>
  <c r="H201"/>
  <c r="I171"/>
  <c r="I170"/>
  <c r="I166"/>
  <c r="I164"/>
  <c r="J154"/>
  <c r="J157" s="1"/>
  <c r="J192" s="1"/>
  <c r="J149"/>
  <c r="I49"/>
  <c r="H47"/>
  <c r="I40"/>
  <c r="H29" s="1"/>
  <c r="I9"/>
  <c r="I8"/>
  <c r="B6"/>
  <c r="G5"/>
  <c r="G4"/>
  <c r="I206" i="9"/>
  <c r="H206"/>
  <c r="I205"/>
  <c r="H205"/>
  <c r="I204"/>
  <c r="H204"/>
  <c r="I202"/>
  <c r="H202"/>
  <c r="I201"/>
  <c r="H201"/>
  <c r="I171"/>
  <c r="I170"/>
  <c r="I166"/>
  <c r="I164"/>
  <c r="J157"/>
  <c r="J192" s="1"/>
  <c r="J154"/>
  <c r="J149"/>
  <c r="I49"/>
  <c r="H47"/>
  <c r="I40"/>
  <c r="H29"/>
  <c r="I9"/>
  <c r="I8"/>
  <c r="B6"/>
  <c r="G5"/>
  <c r="G4"/>
  <c r="H206" i="8"/>
  <c r="I206" s="1"/>
  <c r="H205"/>
  <c r="I205" s="1"/>
  <c r="H204"/>
  <c r="I204" s="1"/>
  <c r="H202"/>
  <c r="I202" s="1"/>
  <c r="H201"/>
  <c r="I201" s="1"/>
  <c r="I171"/>
  <c r="I170"/>
  <c r="I166"/>
  <c r="I164"/>
  <c r="J154"/>
  <c r="J157" s="1"/>
  <c r="J192" s="1"/>
  <c r="J149"/>
  <c r="H47"/>
  <c r="I40"/>
  <c r="H29"/>
  <c r="I9"/>
  <c r="I8"/>
  <c r="B6"/>
  <c r="G5"/>
  <c r="G4"/>
  <c r="I206" i="7"/>
  <c r="H206"/>
  <c r="H205"/>
  <c r="I205" s="1"/>
  <c r="H204"/>
  <c r="I204" s="1"/>
  <c r="H202"/>
  <c r="I202" s="1"/>
  <c r="H201"/>
  <c r="I201" s="1"/>
  <c r="I171"/>
  <c r="I170"/>
  <c r="I166"/>
  <c r="I164"/>
  <c r="J149"/>
  <c r="H47"/>
  <c r="I40"/>
  <c r="H29"/>
  <c r="I9"/>
  <c r="I8"/>
  <c r="B6"/>
  <c r="G5"/>
  <c r="G4"/>
  <c r="H206" i="6"/>
  <c r="I206" s="1"/>
  <c r="H205"/>
  <c r="I205" s="1"/>
  <c r="H204"/>
  <c r="I204" s="1"/>
  <c r="H202"/>
  <c r="I202" s="1"/>
  <c r="H201"/>
  <c r="I201" s="1"/>
  <c r="I171"/>
  <c r="I170"/>
  <c r="I166"/>
  <c r="I164"/>
  <c r="J149"/>
  <c r="I94"/>
  <c r="H80"/>
  <c r="I80" s="1"/>
  <c r="I86" s="1"/>
  <c r="F80"/>
  <c r="H47"/>
  <c r="I41"/>
  <c r="I40"/>
  <c r="H29"/>
  <c r="I11"/>
  <c r="H213" s="1"/>
  <c r="I9"/>
  <c r="I8"/>
  <c r="B6"/>
  <c r="G5"/>
  <c r="G4"/>
  <c r="H40" i="5"/>
  <c r="I40" s="1"/>
  <c r="I41" s="1"/>
  <c r="F34"/>
  <c r="H34" s="1"/>
  <c r="I34" s="1"/>
  <c r="F33"/>
  <c r="H33" s="1"/>
  <c r="I33" s="1"/>
  <c r="F32"/>
  <c r="H32" s="1"/>
  <c r="I32" s="1"/>
  <c r="F31"/>
  <c r="H31" s="1"/>
  <c r="I31" s="1"/>
  <c r="F30"/>
  <c r="H30" s="1"/>
  <c r="I30" s="1"/>
  <c r="F29"/>
  <c r="H29" s="1"/>
  <c r="I29" s="1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H23" s="1"/>
  <c r="H24" s="1"/>
  <c r="G4"/>
  <c r="F25" i="4"/>
  <c r="H25" s="1"/>
  <c r="D25"/>
  <c r="F24"/>
  <c r="H24" s="1"/>
  <c r="D24"/>
  <c r="F23"/>
  <c r="H23" s="1"/>
  <c r="D23"/>
  <c r="F22"/>
  <c r="H22" s="1"/>
  <c r="D22"/>
  <c r="F21"/>
  <c r="H21" s="1"/>
  <c r="D21"/>
  <c r="F20"/>
  <c r="H20" s="1"/>
  <c r="D20"/>
  <c r="F19"/>
  <c r="H19" s="1"/>
  <c r="D19"/>
  <c r="F18"/>
  <c r="H18" s="1"/>
  <c r="D18"/>
  <c r="F17"/>
  <c r="H17" s="1"/>
  <c r="D17"/>
  <c r="F16"/>
  <c r="H16" s="1"/>
  <c r="D16"/>
  <c r="F15"/>
  <c r="D15"/>
  <c r="J14"/>
  <c r="F14"/>
  <c r="D14"/>
  <c r="D10"/>
  <c r="J9"/>
  <c r="D9"/>
  <c r="D8"/>
  <c r="D7"/>
  <c r="J6"/>
  <c r="D6"/>
  <c r="E94" i="3"/>
  <c r="I11" i="8" s="1"/>
  <c r="D94" i="3"/>
  <c r="I11" i="7" s="1"/>
  <c r="N92" i="3"/>
  <c r="I17" i="17" s="1"/>
  <c r="I20" s="1"/>
  <c r="M92" i="3"/>
  <c r="I17" i="16" s="1"/>
  <c r="L92" i="3"/>
  <c r="I17" i="15" s="1"/>
  <c r="K92" i="3"/>
  <c r="I17" i="14" s="1"/>
  <c r="J92" i="3"/>
  <c r="I17" i="13" s="1"/>
  <c r="I92" i="3"/>
  <c r="E20" i="4" s="1"/>
  <c r="H92" i="3"/>
  <c r="I17" i="11" s="1"/>
  <c r="I20" s="1"/>
  <c r="G92" i="3"/>
  <c r="I17" i="10" s="1"/>
  <c r="H203" s="1"/>
  <c r="F92" i="3"/>
  <c r="I17" i="9" s="1"/>
  <c r="E92" i="3"/>
  <c r="E16" i="4" s="1"/>
  <c r="D92" i="3"/>
  <c r="E15" i="4" s="1"/>
  <c r="C92" i="3"/>
  <c r="I17" i="6" s="1"/>
  <c r="C87" i="3"/>
  <c r="D87" s="1"/>
  <c r="N74"/>
  <c r="I95" i="17" s="1"/>
  <c r="M74" i="3"/>
  <c r="I95" i="16" s="1"/>
  <c r="L74" i="3"/>
  <c r="I95" i="15" s="1"/>
  <c r="K74" i="3"/>
  <c r="I95" i="14" s="1"/>
  <c r="J74" i="3"/>
  <c r="I95" i="13" s="1"/>
  <c r="I74" i="3"/>
  <c r="I95" i="12" s="1"/>
  <c r="H74" i="3"/>
  <c r="I95" i="11" s="1"/>
  <c r="G74" i="3"/>
  <c r="I95" i="10" s="1"/>
  <c r="F74" i="3"/>
  <c r="I95" i="9" s="1"/>
  <c r="E74" i="3"/>
  <c r="I95" i="8" s="1"/>
  <c r="D74" i="3"/>
  <c r="I95" i="7" s="1"/>
  <c r="C74" i="3"/>
  <c r="I95" i="6" s="1"/>
  <c r="D73" i="3"/>
  <c r="E73" s="1"/>
  <c r="C72"/>
  <c r="I93" i="6" s="1"/>
  <c r="N70" i="3"/>
  <c r="M70"/>
  <c r="L70"/>
  <c r="K70"/>
  <c r="J70"/>
  <c r="I70"/>
  <c r="H70"/>
  <c r="G70"/>
  <c r="F70"/>
  <c r="E70"/>
  <c r="D70"/>
  <c r="C70"/>
  <c r="K63"/>
  <c r="I63"/>
  <c r="G63"/>
  <c r="E63"/>
  <c r="D63"/>
  <c r="C63"/>
  <c r="E62"/>
  <c r="I99" i="8" s="1"/>
  <c r="D62" i="3"/>
  <c r="I99" i="7" s="1"/>
  <c r="C62" i="3"/>
  <c r="I99" i="6" s="1"/>
  <c r="N60" i="3"/>
  <c r="M60"/>
  <c r="L60"/>
  <c r="J60"/>
  <c r="H60"/>
  <c r="F60"/>
  <c r="E58"/>
  <c r="H80" i="8" s="1"/>
  <c r="D58" i="3"/>
  <c r="H80" i="7" s="1"/>
  <c r="D57" i="3"/>
  <c r="F80" i="7" s="1"/>
  <c r="M49" i="3"/>
  <c r="M56" s="1"/>
  <c r="M84" s="1"/>
  <c r="M91" s="1"/>
  <c r="I49"/>
  <c r="I56" s="1"/>
  <c r="I84" s="1"/>
  <c r="I91" s="1"/>
  <c r="E49"/>
  <c r="E56" s="1"/>
  <c r="E84" s="1"/>
  <c r="E91" s="1"/>
  <c r="E43"/>
  <c r="D43"/>
  <c r="C43"/>
  <c r="E42"/>
  <c r="I41" i="8" s="1"/>
  <c r="D42" i="3"/>
  <c r="I41" i="7" s="1"/>
  <c r="N40" i="3"/>
  <c r="G50" i="17" s="1"/>
  <c r="M40" i="3"/>
  <c r="G50" i="16" s="1"/>
  <c r="L40" i="3"/>
  <c r="G50" i="15" s="1"/>
  <c r="K40" i="3"/>
  <c r="G50" i="14" s="1"/>
  <c r="J40" i="3"/>
  <c r="G50" i="13" s="1"/>
  <c r="I40" i="3"/>
  <c r="G50" i="12" s="1"/>
  <c r="H40" i="3"/>
  <c r="G50" i="11" s="1"/>
  <c r="G40" i="3"/>
  <c r="G50" i="10" s="1"/>
  <c r="F40" i="3"/>
  <c r="E40"/>
  <c r="G50" i="8" s="1"/>
  <c r="D40" i="3"/>
  <c r="G50" i="7" s="1"/>
  <c r="C40" i="3"/>
  <c r="G50" i="6" s="1"/>
  <c r="N38" i="3"/>
  <c r="F48" i="17" s="1"/>
  <c r="M38" i="3"/>
  <c r="F48" i="16" s="1"/>
  <c r="L38" i="3"/>
  <c r="F48" i="15" s="1"/>
  <c r="K38" i="3"/>
  <c r="F48" i="14" s="1"/>
  <c r="J38" i="3"/>
  <c r="F48" i="13" s="1"/>
  <c r="I38" i="3"/>
  <c r="F48" i="12" s="1"/>
  <c r="H38" i="3"/>
  <c r="F48" i="11" s="1"/>
  <c r="G38" i="3"/>
  <c r="F48" i="10" s="1"/>
  <c r="F38" i="3"/>
  <c r="F48" i="9" s="1"/>
  <c r="E38" i="3"/>
  <c r="E39" s="1"/>
  <c r="I48" i="8" s="1"/>
  <c r="D38" i="3"/>
  <c r="D39" s="1"/>
  <c r="I48" i="7" s="1"/>
  <c r="C38" i="3"/>
  <c r="F48" i="6" s="1"/>
  <c r="N37" i="3"/>
  <c r="F29" i="17" s="1"/>
  <c r="I29" s="1"/>
  <c r="M37" i="3"/>
  <c r="F29" i="16" s="1"/>
  <c r="I29" s="1"/>
  <c r="L37" i="3"/>
  <c r="F29" i="15" s="1"/>
  <c r="I29" s="1"/>
  <c r="I32" s="1"/>
  <c r="K37" i="3"/>
  <c r="F29" i="14" s="1"/>
  <c r="I29" s="1"/>
  <c r="J37" i="3"/>
  <c r="F29" i="13" s="1"/>
  <c r="I29" s="1"/>
  <c r="I37" i="3"/>
  <c r="F29" i="12" s="1"/>
  <c r="I29" s="1"/>
  <c r="H37" i="3"/>
  <c r="F29" i="11" s="1"/>
  <c r="I29" s="1"/>
  <c r="G37" i="3"/>
  <c r="F29" i="10" s="1"/>
  <c r="I32" s="1"/>
  <c r="F37" i="3"/>
  <c r="F29" i="9" s="1"/>
  <c r="E37" i="3"/>
  <c r="F29" i="8" s="1"/>
  <c r="I29" s="1"/>
  <c r="D37" i="3"/>
  <c r="F29" i="7" s="1"/>
  <c r="I29" s="1"/>
  <c r="C37" i="3"/>
  <c r="F29" i="6" s="1"/>
  <c r="I29" s="1"/>
  <c r="N35" i="3"/>
  <c r="I10" i="17" s="1"/>
  <c r="M35" i="3"/>
  <c r="M78" s="1"/>
  <c r="J103" i="16" s="1"/>
  <c r="L35" i="3"/>
  <c r="I10" i="15" s="1"/>
  <c r="K35" i="3"/>
  <c r="I10" i="14" s="1"/>
  <c r="J35" i="3"/>
  <c r="I10" i="13" s="1"/>
  <c r="I35" i="3"/>
  <c r="I10" i="12" s="1"/>
  <c r="H35" i="3"/>
  <c r="I10" i="11" s="1"/>
  <c r="G35" i="3"/>
  <c r="G78" s="1"/>
  <c r="J103" i="10" s="1"/>
  <c r="F35" i="3"/>
  <c r="I10" i="10" s="1"/>
  <c r="E35" i="3"/>
  <c r="I10" i="9" s="1"/>
  <c r="D35" i="3"/>
  <c r="I10" i="8" s="1"/>
  <c r="C35" i="3"/>
  <c r="C60" s="1"/>
  <c r="I98" i="6" s="1"/>
  <c r="N33" i="3"/>
  <c r="M33"/>
  <c r="C66" i="18" s="1"/>
  <c r="L33" i="3"/>
  <c r="I27" i="15" s="1"/>
  <c r="K33" i="3"/>
  <c r="J33"/>
  <c r="I33"/>
  <c r="C20" i="4" s="1"/>
  <c r="H33" i="3"/>
  <c r="I27" i="11" s="1"/>
  <c r="G33" i="3"/>
  <c r="F33"/>
  <c r="E33"/>
  <c r="C44" i="18" s="1"/>
  <c r="D33" i="3"/>
  <c r="C127" i="18" s="1"/>
  <c r="C33" i="3"/>
  <c r="C11"/>
  <c r="C12" i="4" s="1"/>
  <c r="O29" i="2"/>
  <c r="B28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HM25"/>
  <c r="HL25"/>
  <c r="HK25"/>
  <c r="HJ25"/>
  <c r="HI25"/>
  <c r="HH25"/>
  <c r="HG25"/>
  <c r="HF25"/>
  <c r="HE25"/>
  <c r="HD25"/>
  <c r="HC25"/>
  <c r="HB25"/>
  <c r="HA25"/>
  <c r="GZ25"/>
  <c r="GY25"/>
  <c r="GX25"/>
  <c r="GW25"/>
  <c r="GV25"/>
  <c r="GU25"/>
  <c r="GT25"/>
  <c r="GS25"/>
  <c r="GR25"/>
  <c r="GQ25"/>
  <c r="GP25"/>
  <c r="GO25"/>
  <c r="GN25"/>
  <c r="GM25"/>
  <c r="AI23"/>
  <c r="GL22"/>
  <c r="FU22"/>
  <c r="FD22"/>
  <c r="EM22"/>
  <c r="DV22"/>
  <c r="DE22"/>
  <c r="CN22"/>
  <c r="BW22"/>
  <c r="BF22"/>
  <c r="AO22"/>
  <c r="X22"/>
  <c r="G22"/>
  <c r="HN21"/>
  <c r="GW21"/>
  <c r="N68" i="3" s="1"/>
  <c r="I55" i="17" s="1"/>
  <c r="GV21" i="2"/>
  <c r="GF21"/>
  <c r="M68" i="3" s="1"/>
  <c r="I55" i="16" s="1"/>
  <c r="GE21" i="2"/>
  <c r="M65" i="3" s="1"/>
  <c r="I54" i="16" s="1"/>
  <c r="FO21" i="2"/>
  <c r="L68" i="3" s="1"/>
  <c r="I55" i="15" s="1"/>
  <c r="FN21" i="2"/>
  <c r="L65" i="3" s="1"/>
  <c r="I54" i="15" s="1"/>
  <c r="EX21" i="2"/>
  <c r="K68" i="3" s="1"/>
  <c r="I55" i="14" s="1"/>
  <c r="EW21" i="2"/>
  <c r="K65" i="3" s="1"/>
  <c r="I54" i="14" s="1"/>
  <c r="EG21" i="2"/>
  <c r="J68" i="3" s="1"/>
  <c r="I55" i="13" s="1"/>
  <c r="EF21" i="2"/>
  <c r="J65" i="3" s="1"/>
  <c r="I54" i="13" s="1"/>
  <c r="DP21" i="2"/>
  <c r="I68" i="3" s="1"/>
  <c r="I55" i="12" s="1"/>
  <c r="DO21" i="2"/>
  <c r="I65" i="3" s="1"/>
  <c r="I54" i="12" s="1"/>
  <c r="CY21" i="2"/>
  <c r="H68" i="3" s="1"/>
  <c r="I55" i="11" s="1"/>
  <c r="CX21" i="2"/>
  <c r="H65" i="3" s="1"/>
  <c r="I54" i="11" s="1"/>
  <c r="CH21" i="2"/>
  <c r="G68" i="3" s="1"/>
  <c r="CG21" i="2"/>
  <c r="G65" i="3" s="1"/>
  <c r="BQ21" i="2"/>
  <c r="F68" i="3" s="1"/>
  <c r="BP21" i="2"/>
  <c r="F65" i="3" s="1"/>
  <c r="AZ21" i="2"/>
  <c r="E68" i="3" s="1"/>
  <c r="I55" i="8" s="1"/>
  <c r="AY21" i="2"/>
  <c r="E65" i="3" s="1"/>
  <c r="I54" i="8" s="1"/>
  <c r="AI21" i="2"/>
  <c r="D68" i="3" s="1"/>
  <c r="I55" i="7" s="1"/>
  <c r="AH21" i="2"/>
  <c r="D65" i="3" s="1"/>
  <c r="I54" i="7" s="1"/>
  <c r="R21" i="2"/>
  <c r="C68" i="3" s="1"/>
  <c r="I55" i="6" s="1"/>
  <c r="Q21" i="2"/>
  <c r="C65" i="3" s="1"/>
  <c r="I54" i="6" s="1"/>
  <c r="HN20" i="2"/>
  <c r="GW20"/>
  <c r="GV20"/>
  <c r="GF20"/>
  <c r="GE20"/>
  <c r="FO20"/>
  <c r="FN20"/>
  <c r="EX20"/>
  <c r="EW20"/>
  <c r="EG20"/>
  <c r="EF20"/>
  <c r="DP20"/>
  <c r="DO20"/>
  <c r="CY20"/>
  <c r="CX20"/>
  <c r="CH20"/>
  <c r="CG20"/>
  <c r="BQ20"/>
  <c r="BP20"/>
  <c r="AZ20"/>
  <c r="AY20"/>
  <c r="AI20"/>
  <c r="AH20"/>
  <c r="R20"/>
  <c r="Q20"/>
  <c r="HN19"/>
  <c r="GW19"/>
  <c r="GV19"/>
  <c r="GF19"/>
  <c r="GE19"/>
  <c r="FO19"/>
  <c r="FN19"/>
  <c r="EX19"/>
  <c r="EW19"/>
  <c r="EG19"/>
  <c r="EF19"/>
  <c r="DP19"/>
  <c r="DO19"/>
  <c r="CY19"/>
  <c r="CX19"/>
  <c r="CH19"/>
  <c r="CG19"/>
  <c r="BQ19"/>
  <c r="BP19"/>
  <c r="AZ19"/>
  <c r="AY19"/>
  <c r="AI19"/>
  <c r="AH19"/>
  <c r="R19"/>
  <c r="Q19"/>
  <c r="J19"/>
  <c r="HN18"/>
  <c r="GW18"/>
  <c r="GV18"/>
  <c r="GF18"/>
  <c r="GE18"/>
  <c r="FO18"/>
  <c r="FN18"/>
  <c r="EX18"/>
  <c r="EW18"/>
  <c r="EG18"/>
  <c r="EF18"/>
  <c r="DP18"/>
  <c r="DO18"/>
  <c r="CY18"/>
  <c r="CX18"/>
  <c r="CH18"/>
  <c r="CG18"/>
  <c r="BQ18"/>
  <c r="BP18"/>
  <c r="AZ18"/>
  <c r="AY18"/>
  <c r="AI18"/>
  <c r="AH18"/>
  <c r="R18"/>
  <c r="Q18"/>
  <c r="HN17"/>
  <c r="GW17"/>
  <c r="GV17"/>
  <c r="GF17"/>
  <c r="GE17"/>
  <c r="FO17"/>
  <c r="FN17"/>
  <c r="EX17"/>
  <c r="EW17"/>
  <c r="EG17"/>
  <c r="EF17"/>
  <c r="DP17"/>
  <c r="DO17"/>
  <c r="CY17"/>
  <c r="CX17"/>
  <c r="CH17"/>
  <c r="CG17"/>
  <c r="BQ17"/>
  <c r="BP17"/>
  <c r="AZ17"/>
  <c r="AY17"/>
  <c r="AI17"/>
  <c r="AH17"/>
  <c r="R17"/>
  <c r="Q17"/>
  <c r="J17"/>
  <c r="HN16"/>
  <c r="GW16"/>
  <c r="GV16"/>
  <c r="GF16"/>
  <c r="GE16"/>
  <c r="FO16"/>
  <c r="FN16"/>
  <c r="EX16"/>
  <c r="EW16"/>
  <c r="EG16"/>
  <c r="EF16"/>
  <c r="DP16"/>
  <c r="DO16"/>
  <c r="CY16"/>
  <c r="CX16"/>
  <c r="CH16"/>
  <c r="CG16"/>
  <c r="BQ16"/>
  <c r="BP16"/>
  <c r="AZ16"/>
  <c r="AY16"/>
  <c r="AI16"/>
  <c r="AH16"/>
  <c r="R16"/>
  <c r="Q16"/>
  <c r="HN15"/>
  <c r="GW15"/>
  <c r="GV15"/>
  <c r="GF15"/>
  <c r="GE15"/>
  <c r="FO15"/>
  <c r="FN15"/>
  <c r="EX15"/>
  <c r="EW15"/>
  <c r="EG15"/>
  <c r="EF15"/>
  <c r="DP15"/>
  <c r="DO15"/>
  <c r="CY15"/>
  <c r="CX15"/>
  <c r="CH15"/>
  <c r="CG15"/>
  <c r="BQ15"/>
  <c r="BP15"/>
  <c r="AZ15"/>
  <c r="AY15"/>
  <c r="AI15"/>
  <c r="AH15"/>
  <c r="R15"/>
  <c r="Q15"/>
  <c r="HN14"/>
  <c r="GW14"/>
  <c r="GV14"/>
  <c r="GF14"/>
  <c r="GE14"/>
  <c r="FO14"/>
  <c r="FN14"/>
  <c r="EX14"/>
  <c r="EW14"/>
  <c r="EG14"/>
  <c r="EF14"/>
  <c r="DP14"/>
  <c r="DO14"/>
  <c r="CY14"/>
  <c r="CX14"/>
  <c r="CH14"/>
  <c r="CG14"/>
  <c r="BQ14"/>
  <c r="BP14"/>
  <c r="AZ14"/>
  <c r="AY14"/>
  <c r="AI14"/>
  <c r="AH14"/>
  <c r="R14"/>
  <c r="Q14"/>
  <c r="HN13"/>
  <c r="GW13"/>
  <c r="GV13"/>
  <c r="GF13"/>
  <c r="GE13"/>
  <c r="FO13"/>
  <c r="FN13"/>
  <c r="EX13"/>
  <c r="EW13"/>
  <c r="EG13"/>
  <c r="EF13"/>
  <c r="DP13"/>
  <c r="DO13"/>
  <c r="CY13"/>
  <c r="CX13"/>
  <c r="CH13"/>
  <c r="CG13"/>
  <c r="BQ13"/>
  <c r="BP13"/>
  <c r="AZ13"/>
  <c r="AY13"/>
  <c r="AI13"/>
  <c r="AH13"/>
  <c r="R13"/>
  <c r="Q13"/>
  <c r="HN12"/>
  <c r="GW12"/>
  <c r="GV12"/>
  <c r="GF12"/>
  <c r="GE12"/>
  <c r="FO12"/>
  <c r="FN12"/>
  <c r="EX12"/>
  <c r="EW12"/>
  <c r="EG12"/>
  <c r="EF12"/>
  <c r="DP12"/>
  <c r="DO12"/>
  <c r="CY12"/>
  <c r="CX12"/>
  <c r="CH12"/>
  <c r="CG12"/>
  <c r="BQ12"/>
  <c r="BP12"/>
  <c r="AZ12"/>
  <c r="AY12"/>
  <c r="AI12"/>
  <c r="AH12"/>
  <c r="R12"/>
  <c r="Q12"/>
  <c r="HN11"/>
  <c r="GW11"/>
  <c r="GV11"/>
  <c r="GF11"/>
  <c r="GE11"/>
  <c r="FO11"/>
  <c r="FN11"/>
  <c r="EX11"/>
  <c r="EW11"/>
  <c r="EG11"/>
  <c r="EF11"/>
  <c r="DP11"/>
  <c r="DO11"/>
  <c r="CY11"/>
  <c r="CX11"/>
  <c r="CH11"/>
  <c r="CG11"/>
  <c r="BQ11"/>
  <c r="BP11"/>
  <c r="AZ11"/>
  <c r="AY11"/>
  <c r="AI11"/>
  <c r="AH11"/>
  <c r="R11"/>
  <c r="Q11"/>
  <c r="J11"/>
  <c r="J12" s="1"/>
  <c r="HN10"/>
  <c r="GW10"/>
  <c r="GV10"/>
  <c r="GF10"/>
  <c r="GE10"/>
  <c r="FO10"/>
  <c r="FN10"/>
  <c r="EX10"/>
  <c r="EW10"/>
  <c r="EG10"/>
  <c r="EF10"/>
  <c r="DP10"/>
  <c r="DO10"/>
  <c r="CY10"/>
  <c r="CX10"/>
  <c r="CH10"/>
  <c r="CG10"/>
  <c r="BQ10"/>
  <c r="BP10"/>
  <c r="AZ10"/>
  <c r="AY10"/>
  <c r="AI10"/>
  <c r="R10"/>
  <c r="Q10"/>
  <c r="AO5"/>
  <c r="FU5" s="1"/>
  <c r="X5"/>
  <c r="F4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BE4" s="1"/>
  <c r="BF4" s="1"/>
  <c r="BG4" s="1"/>
  <c r="BH4" s="1"/>
  <c r="BI4" s="1"/>
  <c r="BJ4" s="1"/>
  <c r="BK4" s="1"/>
  <c r="BL4" s="1"/>
  <c r="BM4" s="1"/>
  <c r="BN4" s="1"/>
  <c r="BO4" s="1"/>
  <c r="BP4" s="1"/>
  <c r="BQ4" s="1"/>
  <c r="BR4" s="1"/>
  <c r="BS4" s="1"/>
  <c r="BT4" s="1"/>
  <c r="BU4" s="1"/>
  <c r="BV4" s="1"/>
  <c r="BW4" s="1"/>
  <c r="BX4" s="1"/>
  <c r="BY4" s="1"/>
  <c r="BZ4" s="1"/>
  <c r="CA4" s="1"/>
  <c r="CB4" s="1"/>
  <c r="CC4" s="1"/>
  <c r="CD4" s="1"/>
  <c r="CE4" s="1"/>
  <c r="CF4" s="1"/>
  <c r="CG4" s="1"/>
  <c r="CH4" s="1"/>
  <c r="CI4" s="1"/>
  <c r="CJ4" s="1"/>
  <c r="CK4" s="1"/>
  <c r="CL4" s="1"/>
  <c r="CM4" s="1"/>
  <c r="CN4" s="1"/>
  <c r="CO4" s="1"/>
  <c r="CP4" s="1"/>
  <c r="CQ4" s="1"/>
  <c r="CR4" s="1"/>
  <c r="CS4" s="1"/>
  <c r="CT4" s="1"/>
  <c r="CU4" s="1"/>
  <c r="CV4" s="1"/>
  <c r="CW4" s="1"/>
  <c r="CX4" s="1"/>
  <c r="CY4" s="1"/>
  <c r="CZ4" s="1"/>
  <c r="DA4" s="1"/>
  <c r="DB4" s="1"/>
  <c r="DC4" s="1"/>
  <c r="DD4" s="1"/>
  <c r="DE4" s="1"/>
  <c r="DF4" s="1"/>
  <c r="DG4" s="1"/>
  <c r="DH4" s="1"/>
  <c r="DI4" s="1"/>
  <c r="DJ4" s="1"/>
  <c r="DK4" s="1"/>
  <c r="DL4" s="1"/>
  <c r="DM4" s="1"/>
  <c r="DN4" s="1"/>
  <c r="DO4" s="1"/>
  <c r="DP4" s="1"/>
  <c r="DQ4" s="1"/>
  <c r="DR4" s="1"/>
  <c r="DS4" s="1"/>
  <c r="DT4" s="1"/>
  <c r="DU4" s="1"/>
  <c r="DV4" s="1"/>
  <c r="DW4" s="1"/>
  <c r="DX4" s="1"/>
  <c r="DY4" s="1"/>
  <c r="DZ4" s="1"/>
  <c r="EA4" s="1"/>
  <c r="EB4" s="1"/>
  <c r="EC4" s="1"/>
  <c r="ED4" s="1"/>
  <c r="EE4" s="1"/>
  <c r="EF4" s="1"/>
  <c r="EG4" s="1"/>
  <c r="EH4" s="1"/>
  <c r="EI4" s="1"/>
  <c r="EJ4" s="1"/>
  <c r="EK4" s="1"/>
  <c r="EL4" s="1"/>
  <c r="EM4" s="1"/>
  <c r="EN4" s="1"/>
  <c r="EO4" s="1"/>
  <c r="EP4" s="1"/>
  <c r="EQ4" s="1"/>
  <c r="ER4" s="1"/>
  <c r="ES4" s="1"/>
  <c r="ET4" s="1"/>
  <c r="EU4" s="1"/>
  <c r="EV4" s="1"/>
  <c r="EW4" s="1"/>
  <c r="EX4" s="1"/>
  <c r="EY4" s="1"/>
  <c r="EZ4" s="1"/>
  <c r="FA4" s="1"/>
  <c r="FB4" s="1"/>
  <c r="FC4" s="1"/>
  <c r="FD4" s="1"/>
  <c r="FE4" s="1"/>
  <c r="FF4" s="1"/>
  <c r="FG4" s="1"/>
  <c r="FH4" s="1"/>
  <c r="FI4" s="1"/>
  <c r="FJ4" s="1"/>
  <c r="FK4" s="1"/>
  <c r="FL4" s="1"/>
  <c r="FM4" s="1"/>
  <c r="FN4" s="1"/>
  <c r="FO4" s="1"/>
  <c r="FP4" s="1"/>
  <c r="FQ4" s="1"/>
  <c r="FR4" s="1"/>
  <c r="FS4" s="1"/>
  <c r="FT4" s="1"/>
  <c r="FU4" s="1"/>
  <c r="FV4" s="1"/>
  <c r="FW4" s="1"/>
  <c r="FX4" s="1"/>
  <c r="FY4" s="1"/>
  <c r="FZ4" s="1"/>
  <c r="GA4" s="1"/>
  <c r="GB4" s="1"/>
  <c r="GC4" s="1"/>
  <c r="GD4" s="1"/>
  <c r="GE4" s="1"/>
  <c r="GF4" s="1"/>
  <c r="GG4" s="1"/>
  <c r="GH4" s="1"/>
  <c r="GI4" s="1"/>
  <c r="GJ4" s="1"/>
  <c r="GK4" s="1"/>
  <c r="GL4" s="1"/>
  <c r="GM4" s="1"/>
  <c r="GN4" s="1"/>
  <c r="GO4" s="1"/>
  <c r="GP4" s="1"/>
  <c r="GQ4" s="1"/>
  <c r="GR4" s="1"/>
  <c r="GS4" s="1"/>
  <c r="GT4" s="1"/>
  <c r="GU4" s="1"/>
  <c r="GV4" s="1"/>
  <c r="GW4" s="1"/>
  <c r="GX4" s="1"/>
  <c r="GY4" s="1"/>
  <c r="GZ4" s="1"/>
  <c r="HA4" s="1"/>
  <c r="HB4" s="1"/>
  <c r="HC4" s="1"/>
  <c r="BG3"/>
  <c r="I3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H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AR1" s="1"/>
  <c r="AS1" s="1"/>
  <c r="AT1" s="1"/>
  <c r="AU1" s="1"/>
  <c r="AV1" s="1"/>
  <c r="AW1" s="1"/>
  <c r="AX1" s="1"/>
  <c r="AY1" s="1"/>
  <c r="AZ1" s="1"/>
  <c r="BA1" s="1"/>
  <c r="BB1" s="1"/>
  <c r="BC1" s="1"/>
  <c r="BD1" s="1"/>
  <c r="BE1" s="1"/>
  <c r="BF1" s="1"/>
  <c r="BG1" s="1"/>
  <c r="BH1" s="1"/>
  <c r="BI1" s="1"/>
  <c r="BJ1" s="1"/>
  <c r="BK1" s="1"/>
  <c r="BL1" s="1"/>
  <c r="BM1" s="1"/>
  <c r="BN1" s="1"/>
  <c r="BO1" s="1"/>
  <c r="BP1" s="1"/>
  <c r="BQ1" s="1"/>
  <c r="BR1" s="1"/>
  <c r="BS1" s="1"/>
  <c r="BT1" s="1"/>
  <c r="BU1" s="1"/>
  <c r="BV1" s="1"/>
  <c r="BW1" s="1"/>
  <c r="BX1" s="1"/>
  <c r="BY1" s="1"/>
  <c r="BZ1" s="1"/>
  <c r="CA1" s="1"/>
  <c r="CB1" s="1"/>
  <c r="CC1" s="1"/>
  <c r="CD1" s="1"/>
  <c r="CE1" s="1"/>
  <c r="CF1" s="1"/>
  <c r="CG1" s="1"/>
  <c r="CH1" s="1"/>
  <c r="CI1" s="1"/>
  <c r="CJ1" s="1"/>
  <c r="CK1" s="1"/>
  <c r="CL1" s="1"/>
  <c r="CM1" s="1"/>
  <c r="CN1" s="1"/>
  <c r="CO1" s="1"/>
  <c r="CP1" s="1"/>
  <c r="CQ1" s="1"/>
  <c r="CR1" s="1"/>
  <c r="CS1" s="1"/>
  <c r="CT1" s="1"/>
  <c r="CU1" s="1"/>
  <c r="CV1" s="1"/>
  <c r="CW1" s="1"/>
  <c r="CX1" s="1"/>
  <c r="CY1" s="1"/>
  <c r="CZ1" s="1"/>
  <c r="DA1" s="1"/>
  <c r="DB1" s="1"/>
  <c r="DC1" s="1"/>
  <c r="DD1" s="1"/>
  <c r="DE1" s="1"/>
  <c r="DF1" s="1"/>
  <c r="DG1" s="1"/>
  <c r="DH1" s="1"/>
  <c r="DI1" s="1"/>
  <c r="DJ1" s="1"/>
  <c r="DK1" s="1"/>
  <c r="DL1" s="1"/>
  <c r="DM1" s="1"/>
  <c r="DN1" s="1"/>
  <c r="DO1" s="1"/>
  <c r="DP1" s="1"/>
  <c r="DQ1" s="1"/>
  <c r="DR1" s="1"/>
  <c r="DS1" s="1"/>
  <c r="DT1" s="1"/>
  <c r="DU1" s="1"/>
  <c r="DV1" s="1"/>
  <c r="DW1" s="1"/>
  <c r="DX1" s="1"/>
  <c r="DY1" s="1"/>
  <c r="DZ1" s="1"/>
  <c r="EA1" s="1"/>
  <c r="EB1" s="1"/>
  <c r="EC1" s="1"/>
  <c r="ED1" s="1"/>
  <c r="EE1" s="1"/>
  <c r="EF1" s="1"/>
  <c r="EG1" s="1"/>
  <c r="EH1" s="1"/>
  <c r="EI1" s="1"/>
  <c r="EJ1" s="1"/>
  <c r="EK1" s="1"/>
  <c r="EL1" s="1"/>
  <c r="EM1" s="1"/>
  <c r="EN1" s="1"/>
  <c r="EO1" s="1"/>
  <c r="EP1" s="1"/>
  <c r="EQ1" s="1"/>
  <c r="ER1" s="1"/>
  <c r="ES1" s="1"/>
  <c r="ET1" s="1"/>
  <c r="EU1" s="1"/>
  <c r="EV1" s="1"/>
  <c r="EW1" s="1"/>
  <c r="EX1" s="1"/>
  <c r="EY1" s="1"/>
  <c r="EZ1" s="1"/>
  <c r="FA1" s="1"/>
  <c r="FB1" s="1"/>
  <c r="FC1" s="1"/>
  <c r="FD1" s="1"/>
  <c r="FE1" s="1"/>
  <c r="FF1" s="1"/>
  <c r="FG1" s="1"/>
  <c r="FH1" s="1"/>
  <c r="FI1" s="1"/>
  <c r="FJ1" s="1"/>
  <c r="FK1" s="1"/>
  <c r="FL1" s="1"/>
  <c r="FM1" s="1"/>
  <c r="FN1" s="1"/>
  <c r="FO1" s="1"/>
  <c r="FP1" s="1"/>
  <c r="FQ1" s="1"/>
  <c r="FR1" s="1"/>
  <c r="FS1" s="1"/>
  <c r="FT1" s="1"/>
  <c r="FU1" s="1"/>
  <c r="FV1" s="1"/>
  <c r="FW1" s="1"/>
  <c r="FX1" s="1"/>
  <c r="FY1" s="1"/>
  <c r="FZ1" s="1"/>
  <c r="GA1" s="1"/>
  <c r="GB1" s="1"/>
  <c r="GC1" s="1"/>
  <c r="GD1" s="1"/>
  <c r="GE1" s="1"/>
  <c r="GF1" s="1"/>
  <c r="GG1" s="1"/>
  <c r="GH1" s="1"/>
  <c r="GI1" s="1"/>
  <c r="GJ1" s="1"/>
  <c r="GK1" s="1"/>
  <c r="GL1" s="1"/>
  <c r="GM1" s="1"/>
  <c r="GN1" s="1"/>
  <c r="GO1" s="1"/>
  <c r="GP1" s="1"/>
  <c r="GQ1" s="1"/>
  <c r="GR1" s="1"/>
  <c r="GS1" s="1"/>
  <c r="GT1" s="1"/>
  <c r="GU1" s="1"/>
  <c r="GV1" s="1"/>
  <c r="GW1" s="1"/>
  <c r="GX1" s="1"/>
  <c r="GY1" s="1"/>
  <c r="GZ1" s="1"/>
  <c r="HA1" s="1"/>
  <c r="HB1" s="1"/>
  <c r="HC1" s="1"/>
  <c r="G1"/>
  <c r="F1"/>
  <c r="E4" i="1"/>
  <c r="F4" s="1"/>
  <c r="G4" s="1"/>
  <c r="H4" s="1"/>
  <c r="I4" s="1"/>
  <c r="J4" s="1"/>
  <c r="D4"/>
  <c r="C44" i="2"/>
  <c r="D44"/>
  <c r="D27"/>
  <c r="D43"/>
  <c r="D41"/>
  <c r="D39"/>
  <c r="D37"/>
  <c r="D35"/>
  <c r="D33"/>
  <c r="D31"/>
  <c r="D30"/>
  <c r="D29"/>
  <c r="D36"/>
  <c r="D40"/>
  <c r="D32"/>
  <c r="D34"/>
  <c r="D38"/>
  <c r="D42"/>
  <c r="D28"/>
  <c r="I35" i="5" l="1"/>
  <c r="F41" i="3"/>
  <c r="I50" i="9" s="1"/>
  <c r="G60" i="3"/>
  <c r="I98" i="10" s="1"/>
  <c r="G61" i="3"/>
  <c r="I100" i="10" s="1"/>
  <c r="D44" i="3"/>
  <c r="I49" i="7" s="1"/>
  <c r="K60" i="3"/>
  <c r="I98" i="14" s="1"/>
  <c r="C61" i="3"/>
  <c r="I100" i="6" s="1"/>
  <c r="K61" i="3"/>
  <c r="I100" i="14" s="1"/>
  <c r="C28" i="2"/>
  <c r="C29"/>
  <c r="C30"/>
  <c r="C31"/>
  <c r="C27"/>
  <c r="I38" i="8"/>
  <c r="I32"/>
  <c r="J47"/>
  <c r="F73" i="3"/>
  <c r="I94" i="8"/>
  <c r="I133" i="6"/>
  <c r="J47"/>
  <c r="I32"/>
  <c r="J47" i="14"/>
  <c r="I32"/>
  <c r="I38"/>
  <c r="I20" i="6"/>
  <c r="H203"/>
  <c r="H213" i="7"/>
  <c r="J154"/>
  <c r="J154" i="6"/>
  <c r="DV5" i="2"/>
  <c r="I80" i="7"/>
  <c r="I86" s="1"/>
  <c r="BW5" i="2"/>
  <c r="HN22"/>
  <c r="J97" i="6"/>
  <c r="I16" i="4"/>
  <c r="I20"/>
  <c r="FD5" i="2"/>
  <c r="CN5"/>
  <c r="I38" i="7"/>
  <c r="J47"/>
  <c r="I32"/>
  <c r="I36" i="15"/>
  <c r="J51" s="1"/>
  <c r="I39"/>
  <c r="J53" s="1"/>
  <c r="I38" i="13"/>
  <c r="J47"/>
  <c r="I32"/>
  <c r="I176" i="16"/>
  <c r="I176" i="14"/>
  <c r="I179" s="1"/>
  <c r="I176" i="17"/>
  <c r="I176" i="11"/>
  <c r="I179" s="1"/>
  <c r="I176" i="8"/>
  <c r="I179" s="1"/>
  <c r="I176" i="13"/>
  <c r="I179" s="1"/>
  <c r="I176" i="10"/>
  <c r="I179" s="1"/>
  <c r="I176" i="7"/>
  <c r="I179" s="1"/>
  <c r="I176" i="15"/>
  <c r="I176" i="12"/>
  <c r="I179" s="1"/>
  <c r="I176" i="9"/>
  <c r="I176" i="6"/>
  <c r="I179" s="1"/>
  <c r="E87" i="3"/>
  <c r="F87" s="1"/>
  <c r="G87" s="1"/>
  <c r="H87" s="1"/>
  <c r="I87" s="1"/>
  <c r="J87" s="1"/>
  <c r="K87" s="1"/>
  <c r="L87" s="1"/>
  <c r="M87" s="1"/>
  <c r="N87" s="1"/>
  <c r="I20" i="9"/>
  <c r="H203"/>
  <c r="DE5" i="2"/>
  <c r="GL5"/>
  <c r="BF5"/>
  <c r="EM5"/>
  <c r="J50" i="9"/>
  <c r="C126" i="18"/>
  <c r="C112"/>
  <c r="C98"/>
  <c r="C84"/>
  <c r="C56"/>
  <c r="C42"/>
  <c r="C28"/>
  <c r="C14"/>
  <c r="C168"/>
  <c r="C70"/>
  <c r="C154"/>
  <c r="C130"/>
  <c r="C116"/>
  <c r="C102"/>
  <c r="C88"/>
  <c r="C60"/>
  <c r="C46"/>
  <c r="C32"/>
  <c r="C18"/>
  <c r="C172"/>
  <c r="I27" i="10"/>
  <c r="B3"/>
  <c r="C74" i="18"/>
  <c r="C158"/>
  <c r="C134"/>
  <c r="C120"/>
  <c r="C106"/>
  <c r="C92"/>
  <c r="C64"/>
  <c r="C50"/>
  <c r="C36"/>
  <c r="I27" i="14"/>
  <c r="B3"/>
  <c r="C22" i="18"/>
  <c r="C176"/>
  <c r="C78"/>
  <c r="C162"/>
  <c r="I39" i="10"/>
  <c r="J53" s="1"/>
  <c r="I35"/>
  <c r="I36"/>
  <c r="I51" s="1"/>
  <c r="J51" s="1"/>
  <c r="I37"/>
  <c r="I54" s="1"/>
  <c r="J54" s="1"/>
  <c r="I20" i="13"/>
  <c r="H203"/>
  <c r="H207" s="1"/>
  <c r="I201" i="10"/>
  <c r="H207"/>
  <c r="C36" i="3"/>
  <c r="I31" i="6" s="1"/>
  <c r="G36" i="3"/>
  <c r="I31" i="10" s="1"/>
  <c r="K36" i="3"/>
  <c r="I31" i="14" s="1"/>
  <c r="C39" i="3"/>
  <c r="I48" i="6" s="1"/>
  <c r="G39" i="3"/>
  <c r="I48" i="10" s="1"/>
  <c r="E41" i="3"/>
  <c r="I50" i="8" s="1"/>
  <c r="J50" s="1"/>
  <c r="I41" i="3"/>
  <c r="I50" i="12" s="1"/>
  <c r="M41" i="3"/>
  <c r="I50" i="16" s="1"/>
  <c r="F42" i="3"/>
  <c r="G42" s="1"/>
  <c r="H42" s="1"/>
  <c r="I42" s="1"/>
  <c r="J42" s="1"/>
  <c r="K42" s="1"/>
  <c r="L42" s="1"/>
  <c r="M42" s="1"/>
  <c r="N42" s="1"/>
  <c r="C44"/>
  <c r="I49" i="6" s="1"/>
  <c r="D49" i="3"/>
  <c r="D56" s="1"/>
  <c r="D84" s="1"/>
  <c r="D91" s="1"/>
  <c r="H49"/>
  <c r="H56" s="1"/>
  <c r="H84" s="1"/>
  <c r="H91" s="1"/>
  <c r="L49"/>
  <c r="L56" s="1"/>
  <c r="L84" s="1"/>
  <c r="L91" s="1"/>
  <c r="E57"/>
  <c r="F58"/>
  <c r="F61"/>
  <c r="I100" i="9" s="1"/>
  <c r="J61" i="3"/>
  <c r="I100" i="13" s="1"/>
  <c r="N61" i="3"/>
  <c r="I100" i="17" s="1"/>
  <c r="F62" i="3"/>
  <c r="F63"/>
  <c r="I98" i="9" s="1"/>
  <c r="J63" i="3"/>
  <c r="I98" i="13" s="1"/>
  <c r="N63" i="3"/>
  <c r="I98" i="17" s="1"/>
  <c r="N65" i="3"/>
  <c r="I54" i="17" s="1"/>
  <c r="C75" i="3"/>
  <c r="I96" i="6" s="1"/>
  <c r="J92" s="1"/>
  <c r="G75" i="3"/>
  <c r="I96" i="10" s="1"/>
  <c r="K75" i="3"/>
  <c r="I96" i="14" s="1"/>
  <c r="C76" i="3"/>
  <c r="J104" i="6" s="1"/>
  <c r="G76" i="3"/>
  <c r="J104" i="10" s="1"/>
  <c r="K76" i="3"/>
  <c r="J104" i="14" s="1"/>
  <c r="G77" i="3"/>
  <c r="J102" i="10" s="1"/>
  <c r="K77" i="3"/>
  <c r="J102" i="14" s="1"/>
  <c r="C78" i="3"/>
  <c r="J103" i="6" s="1"/>
  <c r="K78" i="3"/>
  <c r="J103" i="14" s="1"/>
  <c r="B83" i="3"/>
  <c r="C15" i="4"/>
  <c r="H207" i="6"/>
  <c r="I10" i="7"/>
  <c r="I17"/>
  <c r="F48"/>
  <c r="I17" i="8"/>
  <c r="I20" i="10"/>
  <c r="B3" i="15"/>
  <c r="I10" i="16"/>
  <c r="C48" i="18"/>
  <c r="C79"/>
  <c r="C93"/>
  <c r="C107"/>
  <c r="C121"/>
  <c r="C135"/>
  <c r="C148"/>
  <c r="B13" i="16"/>
  <c r="B13" i="14"/>
  <c r="B2" i="17"/>
  <c r="B2" i="15"/>
  <c r="B2" i="13"/>
  <c r="B2" i="14"/>
  <c r="B13" i="13"/>
  <c r="B2" i="12"/>
  <c r="B13" i="10"/>
  <c r="B2" i="9"/>
  <c r="B2" i="16"/>
  <c r="B13" i="15"/>
  <c r="B13" i="12"/>
  <c r="B13" i="9"/>
  <c r="B12" i="18"/>
  <c r="B13" i="17"/>
  <c r="B2" i="11"/>
  <c r="B2" i="8"/>
  <c r="C157" i="18"/>
  <c r="C143"/>
  <c r="C73"/>
  <c r="C129"/>
  <c r="C115"/>
  <c r="C101"/>
  <c r="C87"/>
  <c r="C59"/>
  <c r="C45"/>
  <c r="C31"/>
  <c r="I27" i="9"/>
  <c r="B3"/>
  <c r="C171" i="18"/>
  <c r="C17"/>
  <c r="C161"/>
  <c r="C147"/>
  <c r="C77"/>
  <c r="C133"/>
  <c r="C119"/>
  <c r="C105"/>
  <c r="C91"/>
  <c r="C63"/>
  <c r="C49"/>
  <c r="C35"/>
  <c r="C175"/>
  <c r="C21"/>
  <c r="I27" i="13"/>
  <c r="B3"/>
  <c r="C165" i="18"/>
  <c r="C151"/>
  <c r="C81"/>
  <c r="C137"/>
  <c r="C123"/>
  <c r="C109"/>
  <c r="C95"/>
  <c r="C67"/>
  <c r="C53"/>
  <c r="C39"/>
  <c r="I27" i="17"/>
  <c r="B3"/>
  <c r="C179" i="18"/>
  <c r="C25"/>
  <c r="I29" i="9"/>
  <c r="J47" s="1"/>
  <c r="I32"/>
  <c r="I38" i="17"/>
  <c r="I32"/>
  <c r="J47"/>
  <c r="I41"/>
  <c r="I41" i="15"/>
  <c r="I41" i="13"/>
  <c r="I41" i="14"/>
  <c r="I41" i="12"/>
  <c r="I41" i="11"/>
  <c r="I41" i="16"/>
  <c r="I41" i="10"/>
  <c r="H203" i="16"/>
  <c r="H207" s="1"/>
  <c r="I20"/>
  <c r="F36" i="3"/>
  <c r="I31" i="9" s="1"/>
  <c r="J36" i="3"/>
  <c r="I31" i="13" s="1"/>
  <c r="N36" i="3"/>
  <c r="I31" i="17" s="1"/>
  <c r="F39" i="3"/>
  <c r="I48" i="9" s="1"/>
  <c r="D41" i="3"/>
  <c r="I50" i="7" s="1"/>
  <c r="J50" s="1"/>
  <c r="H41" i="3"/>
  <c r="I50" i="11" s="1"/>
  <c r="J50" s="1"/>
  <c r="L41" i="3"/>
  <c r="I50" i="15" s="1"/>
  <c r="J50" s="1"/>
  <c r="C49" i="3"/>
  <c r="C56" s="1"/>
  <c r="C84" s="1"/>
  <c r="C91" s="1"/>
  <c r="G49"/>
  <c r="G56" s="1"/>
  <c r="G84" s="1"/>
  <c r="G91" s="1"/>
  <c r="K49"/>
  <c r="K56" s="1"/>
  <c r="K84" s="1"/>
  <c r="K91" s="1"/>
  <c r="E60"/>
  <c r="I98" i="8" s="1"/>
  <c r="J97" s="1"/>
  <c r="I60" i="3"/>
  <c r="I98" i="12" s="1"/>
  <c r="E61" i="3"/>
  <c r="I100" i="8" s="1"/>
  <c r="I61" i="3"/>
  <c r="I100" i="12" s="1"/>
  <c r="M61" i="3"/>
  <c r="I100" i="16" s="1"/>
  <c r="M63" i="3"/>
  <c r="I98" i="16" s="1"/>
  <c r="F75" i="3"/>
  <c r="I96" i="9" s="1"/>
  <c r="J75" i="3"/>
  <c r="I96" i="13" s="1"/>
  <c r="N75" i="3"/>
  <c r="I96" i="17" s="1"/>
  <c r="F76" i="3"/>
  <c r="J104" i="9" s="1"/>
  <c r="J76" i="3"/>
  <c r="J104" i="13" s="1"/>
  <c r="N76" i="3"/>
  <c r="J104" i="17" s="1"/>
  <c r="F77" i="3"/>
  <c r="J102" i="9" s="1"/>
  <c r="J77" i="3"/>
  <c r="J102" i="13" s="1"/>
  <c r="N77" i="3"/>
  <c r="J102" i="17" s="1"/>
  <c r="F78" i="3"/>
  <c r="J103" i="9" s="1"/>
  <c r="J78" i="3"/>
  <c r="J103" i="13" s="1"/>
  <c r="N78" i="3"/>
  <c r="J103" i="17" s="1"/>
  <c r="F94" i="3"/>
  <c r="E14" i="4"/>
  <c r="J15"/>
  <c r="K15" s="1"/>
  <c r="C16"/>
  <c r="E17"/>
  <c r="I17" s="1"/>
  <c r="C18"/>
  <c r="E19"/>
  <c r="I19" s="1"/>
  <c r="E21"/>
  <c r="I21" s="1"/>
  <c r="C22"/>
  <c r="E23"/>
  <c r="I23" s="1"/>
  <c r="C24"/>
  <c r="E25"/>
  <c r="I25" s="1"/>
  <c r="H46" i="5"/>
  <c r="I46" s="1"/>
  <c r="B3" i="6"/>
  <c r="B13"/>
  <c r="I27"/>
  <c r="I94" i="7"/>
  <c r="B3" i="8"/>
  <c r="F48"/>
  <c r="I41" i="9"/>
  <c r="G50"/>
  <c r="I179"/>
  <c r="I38" i="10"/>
  <c r="B3" i="11"/>
  <c r="I179" i="15"/>
  <c r="C38" i="18"/>
  <c r="C75"/>
  <c r="C89"/>
  <c r="C103"/>
  <c r="C117"/>
  <c r="C131"/>
  <c r="C144"/>
  <c r="C170"/>
  <c r="C156"/>
  <c r="C142"/>
  <c r="C72"/>
  <c r="C16"/>
  <c r="C128"/>
  <c r="C114"/>
  <c r="C100"/>
  <c r="C86"/>
  <c r="C174"/>
  <c r="C160"/>
  <c r="C146"/>
  <c r="C76"/>
  <c r="C20"/>
  <c r="C132"/>
  <c r="C118"/>
  <c r="C104"/>
  <c r="C90"/>
  <c r="I27" i="12"/>
  <c r="B3"/>
  <c r="C178" i="18"/>
  <c r="I27" i="16"/>
  <c r="B3"/>
  <c r="C164" i="18"/>
  <c r="C150"/>
  <c r="C80"/>
  <c r="C24"/>
  <c r="C136"/>
  <c r="C122"/>
  <c r="C108"/>
  <c r="C94"/>
  <c r="J47" i="12"/>
  <c r="I32"/>
  <c r="J47" i="16"/>
  <c r="I32"/>
  <c r="I38"/>
  <c r="I20" i="15"/>
  <c r="H203"/>
  <c r="H207" s="1"/>
  <c r="H213" i="8"/>
  <c r="I202" i="13"/>
  <c r="E36" i="3"/>
  <c r="I31" i="8" s="1"/>
  <c r="I36" i="3"/>
  <c r="I31" i="12" s="1"/>
  <c r="M36" i="3"/>
  <c r="I31" i="16" s="1"/>
  <c r="C41" i="3"/>
  <c r="I50" i="6" s="1"/>
  <c r="J50" s="1"/>
  <c r="G41" i="3"/>
  <c r="I50" i="10" s="1"/>
  <c r="J50" s="1"/>
  <c r="K41" i="3"/>
  <c r="I50" i="14" s="1"/>
  <c r="J50" s="1"/>
  <c r="E44" i="3"/>
  <c r="I49" i="8" s="1"/>
  <c r="F49" i="3"/>
  <c r="F56" s="1"/>
  <c r="F84" s="1"/>
  <c r="F91" s="1"/>
  <c r="J49"/>
  <c r="J56" s="1"/>
  <c r="J84" s="1"/>
  <c r="J91" s="1"/>
  <c r="N49"/>
  <c r="N56" s="1"/>
  <c r="N84" s="1"/>
  <c r="N91" s="1"/>
  <c r="D60"/>
  <c r="I98" i="7" s="1"/>
  <c r="D61" i="3"/>
  <c r="I100" i="7" s="1"/>
  <c r="H61" i="3"/>
  <c r="I100" i="11" s="1"/>
  <c r="L61" i="3"/>
  <c r="I100" i="15" s="1"/>
  <c r="H63" i="3"/>
  <c r="I98" i="11" s="1"/>
  <c r="L63" i="3"/>
  <c r="I98" i="15" s="1"/>
  <c r="D72" i="3"/>
  <c r="E75"/>
  <c r="I96" i="8" s="1"/>
  <c r="I75" i="3"/>
  <c r="I96" i="12" s="1"/>
  <c r="M75" i="3"/>
  <c r="I96" i="16" s="1"/>
  <c r="E76" i="3"/>
  <c r="J104" i="8" s="1"/>
  <c r="I76" i="3"/>
  <c r="J104" i="12" s="1"/>
  <c r="M76" i="3"/>
  <c r="J104" i="16" s="1"/>
  <c r="E77" i="3"/>
  <c r="J102" i="8" s="1"/>
  <c r="I77" i="3"/>
  <c r="J102" i="12" s="1"/>
  <c r="M77" i="3"/>
  <c r="J102" i="16" s="1"/>
  <c r="E78" i="3"/>
  <c r="J103" i="8" s="1"/>
  <c r="I78" i="3"/>
  <c r="J103" i="12" s="1"/>
  <c r="B2" i="6"/>
  <c r="B3" i="7"/>
  <c r="B13"/>
  <c r="I27"/>
  <c r="B13" i="8"/>
  <c r="I34" i="10"/>
  <c r="J60" s="1"/>
  <c r="J61" s="1"/>
  <c r="H203" i="11"/>
  <c r="H207" s="1"/>
  <c r="I17" i="12"/>
  <c r="C34" i="18"/>
  <c r="C62"/>
  <c r="C85"/>
  <c r="C99"/>
  <c r="C113"/>
  <c r="C140"/>
  <c r="C15"/>
  <c r="C169"/>
  <c r="C155"/>
  <c r="C141"/>
  <c r="C57"/>
  <c r="C43"/>
  <c r="C29"/>
  <c r="C19"/>
  <c r="C173"/>
  <c r="C159"/>
  <c r="C145"/>
  <c r="C61"/>
  <c r="C47"/>
  <c r="C33"/>
  <c r="C23"/>
  <c r="C177"/>
  <c r="C163"/>
  <c r="C149"/>
  <c r="C65"/>
  <c r="C51"/>
  <c r="C37"/>
  <c r="I32" i="11"/>
  <c r="I38"/>
  <c r="I38" i="15"/>
  <c r="J47"/>
  <c r="H203" i="14"/>
  <c r="I20"/>
  <c r="D36" i="3"/>
  <c r="I31" i="7" s="1"/>
  <c r="H36" i="3"/>
  <c r="I31" i="11" s="1"/>
  <c r="L36" i="3"/>
  <c r="I31" i="15" s="1"/>
  <c r="H39" i="3"/>
  <c r="I48" i="11" s="1"/>
  <c r="J41" i="3"/>
  <c r="I50" i="13" s="1"/>
  <c r="J50" s="1"/>
  <c r="N41" i="3"/>
  <c r="I50" i="17" s="1"/>
  <c r="D75" i="3"/>
  <c r="I96" i="7" s="1"/>
  <c r="H75" i="3"/>
  <c r="I96" i="11" s="1"/>
  <c r="L75" i="3"/>
  <c r="I96" i="15" s="1"/>
  <c r="D76" i="3"/>
  <c r="J104" i="7" s="1"/>
  <c r="H76" i="3"/>
  <c r="J104" i="11" s="1"/>
  <c r="L76" i="3"/>
  <c r="J104" i="15" s="1"/>
  <c r="H77" i="3"/>
  <c r="J102" i="11" s="1"/>
  <c r="L77" i="3"/>
  <c r="J102" i="15" s="1"/>
  <c r="H78" i="3"/>
  <c r="J103" i="11" s="1"/>
  <c r="L78" i="3"/>
  <c r="J103" i="15" s="1"/>
  <c r="C14" i="4"/>
  <c r="J16"/>
  <c r="K16" s="1"/>
  <c r="C17"/>
  <c r="E18"/>
  <c r="I18" s="1"/>
  <c r="C19"/>
  <c r="C21"/>
  <c r="E22"/>
  <c r="I22" s="1"/>
  <c r="C23"/>
  <c r="E24"/>
  <c r="I24" s="1"/>
  <c r="C25"/>
  <c r="H45" i="5"/>
  <c r="I45" s="1"/>
  <c r="I47" s="1"/>
  <c r="J155" i="6" s="1"/>
  <c r="I10"/>
  <c r="B2" i="7"/>
  <c r="I27" i="8"/>
  <c r="H207" i="9"/>
  <c r="B2" i="10"/>
  <c r="I29"/>
  <c r="J47" s="1"/>
  <c r="B13" i="11"/>
  <c r="J47"/>
  <c r="I38" i="12"/>
  <c r="I179" i="17"/>
  <c r="H203"/>
  <c r="H207" s="1"/>
  <c r="C30" i="18"/>
  <c r="C52"/>
  <c r="C58"/>
  <c r="C71"/>
  <c r="F152"/>
  <c r="D182"/>
  <c r="H207" i="14"/>
  <c r="I179" i="16"/>
  <c r="F138" i="18"/>
  <c r="F180"/>
  <c r="F82"/>
  <c r="J97" i="7" l="1"/>
  <c r="I38" i="6"/>
  <c r="L25" i="4"/>
  <c r="L21"/>
  <c r="L17"/>
  <c r="M17"/>
  <c r="L24"/>
  <c r="L23"/>
  <c r="L22"/>
  <c r="B203" i="6"/>
  <c r="B17"/>
  <c r="B203" i="9"/>
  <c r="B17"/>
  <c r="B203" i="15"/>
  <c r="B17"/>
  <c r="J48" i="7"/>
  <c r="I92"/>
  <c r="J49"/>
  <c r="L18" i="4"/>
  <c r="I39" i="14"/>
  <c r="J53" s="1"/>
  <c r="I36"/>
  <c r="J51" s="1"/>
  <c r="I94" i="9"/>
  <c r="G73" i="3"/>
  <c r="I92" i="16"/>
  <c r="J49"/>
  <c r="J48"/>
  <c r="B203" i="8"/>
  <c r="B17"/>
  <c r="I20"/>
  <c r="H203"/>
  <c r="H207" s="1"/>
  <c r="H80" i="9"/>
  <c r="G58" i="3"/>
  <c r="I33" i="13"/>
  <c r="J48"/>
  <c r="I92"/>
  <c r="J49"/>
  <c r="J54" s="1"/>
  <c r="I34" i="7"/>
  <c r="J60" s="1"/>
  <c r="J61" s="1"/>
  <c r="I39"/>
  <c r="J53" s="1"/>
  <c r="I36"/>
  <c r="J51" s="1"/>
  <c r="L20" i="4"/>
  <c r="J48" i="6"/>
  <c r="I92"/>
  <c r="J49"/>
  <c r="E26" i="4"/>
  <c r="F182" i="18"/>
  <c r="J50" i="12"/>
  <c r="J49" i="10"/>
  <c r="I92"/>
  <c r="I33"/>
  <c r="J48"/>
  <c r="I39" i="12"/>
  <c r="J53" s="1"/>
  <c r="I36"/>
  <c r="J51" s="1"/>
  <c r="I38" i="9"/>
  <c r="I34"/>
  <c r="J60" s="1"/>
  <c r="J61" s="1"/>
  <c r="I39"/>
  <c r="J53" s="1"/>
  <c r="I35"/>
  <c r="I36"/>
  <c r="I51" s="1"/>
  <c r="J51" s="1"/>
  <c r="I37"/>
  <c r="I54" s="1"/>
  <c r="J54" s="1"/>
  <c r="F57" i="3"/>
  <c r="F80" i="8"/>
  <c r="I80" s="1"/>
  <c r="I86" s="1"/>
  <c r="J48" i="15"/>
  <c r="I92"/>
  <c r="J49"/>
  <c r="I33" s="1"/>
  <c r="H203" i="12"/>
  <c r="H207" s="1"/>
  <c r="I20"/>
  <c r="I39" i="16"/>
  <c r="J53" s="1"/>
  <c r="I36"/>
  <c r="J51" s="1"/>
  <c r="B17"/>
  <c r="B203"/>
  <c r="J52" i="10"/>
  <c r="I55"/>
  <c r="J55" s="1"/>
  <c r="J56" s="1"/>
  <c r="I36" i="17"/>
  <c r="J51" s="1"/>
  <c r="I39"/>
  <c r="J53" s="1"/>
  <c r="B17" i="14"/>
  <c r="B203"/>
  <c r="I36" i="13"/>
  <c r="J51" s="1"/>
  <c r="I39"/>
  <c r="J53" s="1"/>
  <c r="I133" i="7"/>
  <c r="I33" i="6"/>
  <c r="I34"/>
  <c r="J60" s="1"/>
  <c r="J61" s="1"/>
  <c r="I39"/>
  <c r="J53" s="1"/>
  <c r="I36"/>
  <c r="J51" s="1"/>
  <c r="I39" i="8"/>
  <c r="J53" s="1"/>
  <c r="I36"/>
  <c r="J51" s="1"/>
  <c r="J50" i="17"/>
  <c r="J50" i="16"/>
  <c r="J55" i="7"/>
  <c r="K14" i="4"/>
  <c r="B203" i="7"/>
  <c r="B17"/>
  <c r="B203" i="17"/>
  <c r="B17"/>
  <c r="B203" i="13"/>
  <c r="B17"/>
  <c r="L19" i="4"/>
  <c r="I92" i="11"/>
  <c r="J49"/>
  <c r="J48"/>
  <c r="J55" s="1"/>
  <c r="I36"/>
  <c r="J51" s="1"/>
  <c r="I39"/>
  <c r="J53" s="1"/>
  <c r="I93" i="7"/>
  <c r="J92" s="1"/>
  <c r="E72" i="3"/>
  <c r="J48" i="12"/>
  <c r="I92"/>
  <c r="J49"/>
  <c r="B203"/>
  <c r="B17"/>
  <c r="B17" i="11"/>
  <c r="B203"/>
  <c r="I11" i="9"/>
  <c r="J17" i="4"/>
  <c r="K17" s="1"/>
  <c r="G94" i="3"/>
  <c r="J48" i="17"/>
  <c r="I92"/>
  <c r="J49"/>
  <c r="J48" i="9"/>
  <c r="I33" s="1"/>
  <c r="J49"/>
  <c r="I92"/>
  <c r="H203" i="7"/>
  <c r="H207" s="1"/>
  <c r="I20"/>
  <c r="I99" i="9"/>
  <c r="J97" s="1"/>
  <c r="G62" i="3"/>
  <c r="B17" i="10"/>
  <c r="B203"/>
  <c r="E38" i="7"/>
  <c r="I33" s="1"/>
  <c r="L16" i="4"/>
  <c r="M16"/>
  <c r="I92" i="14"/>
  <c r="J49"/>
  <c r="I33" s="1"/>
  <c r="J48"/>
  <c r="J48" i="8"/>
  <c r="I92"/>
  <c r="J49"/>
  <c r="J54" i="16"/>
  <c r="J54" i="15"/>
  <c r="J155" i="7"/>
  <c r="J157" s="1"/>
  <c r="J192" s="1"/>
  <c r="D78" i="3"/>
  <c r="J103" i="7" s="1"/>
  <c r="J55" i="12"/>
  <c r="J54" i="7"/>
  <c r="J157" i="6"/>
  <c r="J192" s="1"/>
  <c r="J54" i="12" l="1"/>
  <c r="I33" i="8"/>
  <c r="J55" i="17"/>
  <c r="I33" i="11"/>
  <c r="J56" i="12"/>
  <c r="I35" i="7"/>
  <c r="J52" s="1"/>
  <c r="J56" s="1"/>
  <c r="J58" s="1"/>
  <c r="I37"/>
  <c r="J58" i="10"/>
  <c r="I34" i="8"/>
  <c r="J60" s="1"/>
  <c r="J61" s="1"/>
  <c r="I37"/>
  <c r="I35"/>
  <c r="J52" s="1"/>
  <c r="I37" i="11"/>
  <c r="I34"/>
  <c r="J60" s="1"/>
  <c r="J61" s="1"/>
  <c r="I35"/>
  <c r="J52" s="1"/>
  <c r="H213" i="9"/>
  <c r="I37" i="15"/>
  <c r="I34"/>
  <c r="J60" s="1"/>
  <c r="J61" s="1"/>
  <c r="I35"/>
  <c r="J52" s="1"/>
  <c r="I94" i="10"/>
  <c r="H73" i="3"/>
  <c r="I35" i="14"/>
  <c r="J52" s="1"/>
  <c r="I34"/>
  <c r="J60" s="1"/>
  <c r="J61" s="1"/>
  <c r="I37"/>
  <c r="I133" i="8"/>
  <c r="J54" i="6"/>
  <c r="J55"/>
  <c r="H80" i="10"/>
  <c r="H58" i="3"/>
  <c r="J54" i="17"/>
  <c r="J56" s="1"/>
  <c r="I33"/>
  <c r="I33" i="12"/>
  <c r="J55" i="8"/>
  <c r="J54"/>
  <c r="I99" i="10"/>
  <c r="J97" s="1"/>
  <c r="H62" i="3"/>
  <c r="I37" i="13"/>
  <c r="I34"/>
  <c r="J60" s="1"/>
  <c r="J61" s="1"/>
  <c r="I35"/>
  <c r="J52" s="1"/>
  <c r="I37" i="6"/>
  <c r="I35"/>
  <c r="J52" s="1"/>
  <c r="J56" i="15"/>
  <c r="J55"/>
  <c r="J55" i="16"/>
  <c r="J56" s="1"/>
  <c r="J55" i="13"/>
  <c r="J56" s="1"/>
  <c r="I33" i="16"/>
  <c r="I55" i="9"/>
  <c r="J55" s="1"/>
  <c r="J56" s="1"/>
  <c r="J52"/>
  <c r="J54" i="14"/>
  <c r="J55"/>
  <c r="J18" i="4"/>
  <c r="H94" i="3"/>
  <c r="I11" i="10"/>
  <c r="I93" i="8"/>
  <c r="J92" s="1"/>
  <c r="J106" s="1"/>
  <c r="J114" s="1"/>
  <c r="F72" i="3"/>
  <c r="F80" i="9"/>
  <c r="I80" s="1"/>
  <c r="I86" s="1"/>
  <c r="G57" i="3"/>
  <c r="J56" i="6"/>
  <c r="J54" i="11"/>
  <c r="J56" s="1"/>
  <c r="J58" i="6" l="1"/>
  <c r="J123" s="1"/>
  <c r="J58" i="9"/>
  <c r="J71" s="1"/>
  <c r="J56" i="8"/>
  <c r="J63" i="9"/>
  <c r="J121"/>
  <c r="C129" i="6"/>
  <c r="J121"/>
  <c r="J122" s="1"/>
  <c r="C77" i="3"/>
  <c r="J102" i="6" s="1"/>
  <c r="J106" s="1"/>
  <c r="J114" s="1"/>
  <c r="J133" i="7"/>
  <c r="J71"/>
  <c r="J123"/>
  <c r="J63"/>
  <c r="C129"/>
  <c r="J70"/>
  <c r="J119" s="1"/>
  <c r="D77" i="3"/>
  <c r="J102" i="7" s="1"/>
  <c r="J106" s="1"/>
  <c r="J114" s="1"/>
  <c r="J121"/>
  <c r="J122" s="1"/>
  <c r="F80" i="10"/>
  <c r="I80" s="1"/>
  <c r="I86" s="1"/>
  <c r="H57" i="3"/>
  <c r="H213" i="10"/>
  <c r="J121"/>
  <c r="I35" i="12"/>
  <c r="J52" s="1"/>
  <c r="J58" s="1"/>
  <c r="I34"/>
  <c r="J60" s="1"/>
  <c r="J61" s="1"/>
  <c r="I37"/>
  <c r="H80" i="11"/>
  <c r="I58" i="3"/>
  <c r="J56" i="14"/>
  <c r="J58" s="1"/>
  <c r="I93" i="9"/>
  <c r="J92" s="1"/>
  <c r="J106" s="1"/>
  <c r="J114" s="1"/>
  <c r="G72" i="3"/>
  <c r="K18" i="4"/>
  <c r="M18"/>
  <c r="J123" i="10"/>
  <c r="J63"/>
  <c r="C129"/>
  <c r="J70"/>
  <c r="J71"/>
  <c r="J58" i="13"/>
  <c r="J58" i="11"/>
  <c r="I35" i="16"/>
  <c r="J52" s="1"/>
  <c r="J58" s="1"/>
  <c r="I34"/>
  <c r="J60" s="1"/>
  <c r="J61" s="1"/>
  <c r="I37"/>
  <c r="J122" i="9"/>
  <c r="I133"/>
  <c r="J133" s="1"/>
  <c r="I11" i="11"/>
  <c r="I94" i="3"/>
  <c r="J19" i="4"/>
  <c r="I99" i="11"/>
  <c r="J97" s="1"/>
  <c r="I62" i="3"/>
  <c r="I37" i="17"/>
  <c r="I34"/>
  <c r="J60" s="1"/>
  <c r="J61" s="1"/>
  <c r="I35"/>
  <c r="J52" s="1"/>
  <c r="J58" s="1"/>
  <c r="I73" i="3"/>
  <c r="I94" i="11"/>
  <c r="J58" i="15"/>
  <c r="J58" i="8"/>
  <c r="J133" i="6" l="1"/>
  <c r="J63"/>
  <c r="J123" i="9"/>
  <c r="J71" i="6"/>
  <c r="C129" i="9"/>
  <c r="J119" i="10"/>
  <c r="J70" i="6"/>
  <c r="J70" i="9"/>
  <c r="J72" s="1"/>
  <c r="J112" s="1"/>
  <c r="J120" i="10"/>
  <c r="J124" s="1"/>
  <c r="J120" i="7"/>
  <c r="J124" s="1"/>
  <c r="J137" s="1"/>
  <c r="I11" i="12"/>
  <c r="J20" i="4"/>
  <c r="J94" i="3"/>
  <c r="J71" i="13"/>
  <c r="J123"/>
  <c r="C129"/>
  <c r="J70"/>
  <c r="J63"/>
  <c r="J63" i="14"/>
  <c r="C129"/>
  <c r="J70"/>
  <c r="J123"/>
  <c r="J71"/>
  <c r="J84" i="9"/>
  <c r="J71" i="15"/>
  <c r="J123"/>
  <c r="J63"/>
  <c r="C129"/>
  <c r="J70"/>
  <c r="J72" s="1"/>
  <c r="J112" s="1"/>
  <c r="K19" i="4"/>
  <c r="M19"/>
  <c r="C129" i="11"/>
  <c r="J70"/>
  <c r="J71"/>
  <c r="J123"/>
  <c r="J63"/>
  <c r="J188" i="6"/>
  <c r="J188" i="9"/>
  <c r="J119" i="6"/>
  <c r="J119" i="9"/>
  <c r="J85"/>
  <c r="C129" i="8"/>
  <c r="J123"/>
  <c r="J133"/>
  <c r="J63"/>
  <c r="J70"/>
  <c r="J71"/>
  <c r="J121"/>
  <c r="J122" s="1"/>
  <c r="J71" i="17"/>
  <c r="J123"/>
  <c r="J63"/>
  <c r="C129"/>
  <c r="J70"/>
  <c r="J72" s="1"/>
  <c r="J112" s="1"/>
  <c r="J63" i="16"/>
  <c r="C129"/>
  <c r="J70"/>
  <c r="J123"/>
  <c r="J71"/>
  <c r="J188" i="10"/>
  <c r="I93"/>
  <c r="J92" s="1"/>
  <c r="J106" s="1"/>
  <c r="J114" s="1"/>
  <c r="H72" i="3"/>
  <c r="H80" i="12"/>
  <c r="J58" i="3"/>
  <c r="J63" i="12"/>
  <c r="J123"/>
  <c r="J71"/>
  <c r="C129"/>
  <c r="J70"/>
  <c r="J119" s="1"/>
  <c r="I133" i="10"/>
  <c r="J133" s="1"/>
  <c r="J122"/>
  <c r="J188" i="7"/>
  <c r="J79" i="9"/>
  <c r="J82"/>
  <c r="J81"/>
  <c r="I94" i="12"/>
  <c r="J73" i="3"/>
  <c r="I99" i="12"/>
  <c r="J97" s="1"/>
  <c r="J62" i="3"/>
  <c r="J121" i="11"/>
  <c r="H213"/>
  <c r="F80"/>
  <c r="I80" s="1"/>
  <c r="I86" s="1"/>
  <c r="I57" i="3"/>
  <c r="J72" i="10"/>
  <c r="J72" i="7"/>
  <c r="J80" i="9"/>
  <c r="J83"/>
  <c r="J78" l="1"/>
  <c r="J72" i="13"/>
  <c r="J112" s="1"/>
  <c r="J72" i="6"/>
  <c r="J85" i="15"/>
  <c r="J72" i="14"/>
  <c r="J72" i="12"/>
  <c r="J72" i="8"/>
  <c r="J119" i="11"/>
  <c r="J79" i="15"/>
  <c r="J119"/>
  <c r="J119" i="14"/>
  <c r="J120" i="11"/>
  <c r="J112" i="7"/>
  <c r="J81"/>
  <c r="J82"/>
  <c r="J85"/>
  <c r="J79"/>
  <c r="J78"/>
  <c r="J80"/>
  <c r="J83"/>
  <c r="J84"/>
  <c r="H80" i="13"/>
  <c r="K58" i="3"/>
  <c r="J120" i="15"/>
  <c r="I129" i="10"/>
  <c r="J190"/>
  <c r="J120" i="12"/>
  <c r="J188" i="11"/>
  <c r="J120" i="14"/>
  <c r="J120" i="9"/>
  <c r="J124" s="1"/>
  <c r="J188" i="15"/>
  <c r="J188" i="13"/>
  <c r="K20" i="4"/>
  <c r="M20"/>
  <c r="I129" i="7"/>
  <c r="J190"/>
  <c r="J78" i="17"/>
  <c r="J81" i="8"/>
  <c r="J78"/>
  <c r="J79"/>
  <c r="J83" i="15"/>
  <c r="J86" i="9"/>
  <c r="J113" s="1"/>
  <c r="J115" s="1"/>
  <c r="J83" i="13"/>
  <c r="J82"/>
  <c r="J81"/>
  <c r="J57" i="3"/>
  <c r="F80" i="12"/>
  <c r="I80" s="1"/>
  <c r="I86" s="1"/>
  <c r="I94" i="13"/>
  <c r="K73" i="3"/>
  <c r="J188" i="16"/>
  <c r="J188" i="17"/>
  <c r="J188" i="14"/>
  <c r="H213" i="12"/>
  <c r="J121"/>
  <c r="I99" i="13"/>
  <c r="J97" s="1"/>
  <c r="K62" i="3"/>
  <c r="I93" i="11"/>
  <c r="J92" s="1"/>
  <c r="J106" s="1"/>
  <c r="J114" s="1"/>
  <c r="I72" i="3"/>
  <c r="J112" i="10"/>
  <c r="J82"/>
  <c r="J79"/>
  <c r="J85"/>
  <c r="J78"/>
  <c r="J80"/>
  <c r="J83"/>
  <c r="J84"/>
  <c r="J81"/>
  <c r="I133" i="11"/>
  <c r="J133" s="1"/>
  <c r="J122"/>
  <c r="J188" i="12"/>
  <c r="J188" i="8"/>
  <c r="J120" i="6"/>
  <c r="J124" s="1"/>
  <c r="I11" i="13"/>
  <c r="J21" i="4"/>
  <c r="K94" i="3"/>
  <c r="J79" i="17"/>
  <c r="J72" i="11"/>
  <c r="J119" i="17"/>
  <c r="J85"/>
  <c r="J80" i="8"/>
  <c r="J84" i="15"/>
  <c r="J82"/>
  <c r="J81"/>
  <c r="J79" i="13"/>
  <c r="J119"/>
  <c r="J85"/>
  <c r="J137" i="10"/>
  <c r="J85" i="12"/>
  <c r="J78"/>
  <c r="J72" i="16"/>
  <c r="J83" i="17"/>
  <c r="J82"/>
  <c r="J81"/>
  <c r="J84" i="8"/>
  <c r="J119"/>
  <c r="J82" i="12"/>
  <c r="J119" i="16"/>
  <c r="J84" i="17"/>
  <c r="J82" i="8"/>
  <c r="J78" i="15"/>
  <c r="J84" i="14"/>
  <c r="J83"/>
  <c r="J78" i="13"/>
  <c r="J84" l="1"/>
  <c r="J124" i="11"/>
  <c r="J112" i="6"/>
  <c r="J78"/>
  <c r="J84"/>
  <c r="J85"/>
  <c r="J83"/>
  <c r="J79"/>
  <c r="J81"/>
  <c r="J82"/>
  <c r="J80"/>
  <c r="J112" i="14"/>
  <c r="J85"/>
  <c r="J82"/>
  <c r="J78"/>
  <c r="J79"/>
  <c r="J81"/>
  <c r="J112" i="12"/>
  <c r="J83"/>
  <c r="J79"/>
  <c r="J84"/>
  <c r="J81"/>
  <c r="J112" i="8"/>
  <c r="J83"/>
  <c r="J85"/>
  <c r="I129" i="11"/>
  <c r="J190"/>
  <c r="I129" i="6"/>
  <c r="J190"/>
  <c r="J137"/>
  <c r="J112" i="16"/>
  <c r="J83"/>
  <c r="J84"/>
  <c r="J85"/>
  <c r="J79"/>
  <c r="J81"/>
  <c r="J78"/>
  <c r="J82"/>
  <c r="J120" i="17"/>
  <c r="I133" i="12"/>
  <c r="J133" s="1"/>
  <c r="J122"/>
  <c r="J124" s="1"/>
  <c r="J120" i="16"/>
  <c r="J120" i="8"/>
  <c r="J124" s="1"/>
  <c r="H213" i="13"/>
  <c r="J121"/>
  <c r="I99" i="14"/>
  <c r="J97" s="1"/>
  <c r="L62" i="3"/>
  <c r="K21" i="4"/>
  <c r="M21"/>
  <c r="I94" i="14"/>
  <c r="L73" i="3"/>
  <c r="F129" i="9"/>
  <c r="J189"/>
  <c r="I129"/>
  <c r="J190"/>
  <c r="J137"/>
  <c r="H80" i="14"/>
  <c r="L58" i="3"/>
  <c r="J120" i="13"/>
  <c r="J112" i="11"/>
  <c r="J79"/>
  <c r="J81"/>
  <c r="J82"/>
  <c r="J84"/>
  <c r="J83"/>
  <c r="J80"/>
  <c r="J85"/>
  <c r="J78"/>
  <c r="J22" i="4"/>
  <c r="L94" i="3"/>
  <c r="I11" i="14"/>
  <c r="I93" i="12"/>
  <c r="J92" s="1"/>
  <c r="J106" s="1"/>
  <c r="J114" s="1"/>
  <c r="J72" i="3"/>
  <c r="F80" i="13"/>
  <c r="I80" s="1"/>
  <c r="K57" i="3"/>
  <c r="J86" i="10"/>
  <c r="J113" s="1"/>
  <c r="J115" s="1"/>
  <c r="J86" i="8"/>
  <c r="J113" s="1"/>
  <c r="J115" s="1"/>
  <c r="J80" i="12"/>
  <c r="J86" s="1"/>
  <c r="J113" s="1"/>
  <c r="J137" i="11"/>
  <c r="J86" i="7"/>
  <c r="J113" s="1"/>
  <c r="J115" s="1"/>
  <c r="J137" i="12" l="1"/>
  <c r="J86" i="6"/>
  <c r="J113" s="1"/>
  <c r="J115" s="1"/>
  <c r="J115" i="12"/>
  <c r="F129" s="1"/>
  <c r="J189" i="10"/>
  <c r="F129"/>
  <c r="J129" s="1"/>
  <c r="F129" i="7"/>
  <c r="J129" s="1"/>
  <c r="J189"/>
  <c r="J121" i="14"/>
  <c r="H213"/>
  <c r="I129" i="8"/>
  <c r="J190"/>
  <c r="J137"/>
  <c r="I94" i="15"/>
  <c r="M73" i="3"/>
  <c r="I99" i="15"/>
  <c r="J97" s="1"/>
  <c r="M62" i="3"/>
  <c r="J190" i="12"/>
  <c r="I129"/>
  <c r="J86" i="11"/>
  <c r="J113" s="1"/>
  <c r="J115" s="1"/>
  <c r="F80" i="14"/>
  <c r="I80" s="1"/>
  <c r="L57" i="3"/>
  <c r="I93" i="13"/>
  <c r="J92" s="1"/>
  <c r="J106" s="1"/>
  <c r="J114" s="1"/>
  <c r="K72" i="3"/>
  <c r="H80" i="15"/>
  <c r="M58" i="3"/>
  <c r="J129" i="9"/>
  <c r="J189" i="8"/>
  <c r="F129"/>
  <c r="K22" i="4"/>
  <c r="M22"/>
  <c r="I86" i="13"/>
  <c r="J80"/>
  <c r="J86" s="1"/>
  <c r="J113" s="1"/>
  <c r="I11" i="15"/>
  <c r="M94" i="3"/>
  <c r="J23" i="4"/>
  <c r="F129" i="6" l="1"/>
  <c r="J129" s="1"/>
  <c r="J189"/>
  <c r="J189" i="12"/>
  <c r="J129" i="8"/>
  <c r="F129" i="11"/>
  <c r="J129" s="1"/>
  <c r="J189"/>
  <c r="J138" i="7"/>
  <c r="J134"/>
  <c r="J135"/>
  <c r="J136"/>
  <c r="J122" i="13"/>
  <c r="J124" s="1"/>
  <c r="J137" s="1"/>
  <c r="I133"/>
  <c r="J133" s="1"/>
  <c r="J138" i="9"/>
  <c r="J134"/>
  <c r="J135"/>
  <c r="J136"/>
  <c r="I93" i="14"/>
  <c r="J92" s="1"/>
  <c r="J106" s="1"/>
  <c r="J114" s="1"/>
  <c r="L72" i="3"/>
  <c r="J138" i="10"/>
  <c r="J134"/>
  <c r="J135"/>
  <c r="J136"/>
  <c r="J129" i="12"/>
  <c r="I99" i="16"/>
  <c r="J97" s="1"/>
  <c r="N62" i="3"/>
  <c r="I99" i="17" s="1"/>
  <c r="J97" s="1"/>
  <c r="H213" i="15"/>
  <c r="J121"/>
  <c r="I86" i="14"/>
  <c r="J80"/>
  <c r="J86" s="1"/>
  <c r="J113" s="1"/>
  <c r="I94" i="16"/>
  <c r="N73" i="3"/>
  <c r="I94" i="17" s="1"/>
  <c r="K23" i="4"/>
  <c r="M23"/>
  <c r="I11" i="16"/>
  <c r="J24" i="4"/>
  <c r="N94" i="3"/>
  <c r="J136" i="8"/>
  <c r="J138"/>
  <c r="J134"/>
  <c r="J135"/>
  <c r="H80" i="16"/>
  <c r="N58" i="3"/>
  <c r="H80" i="17" s="1"/>
  <c r="F80" i="15"/>
  <c r="I80" s="1"/>
  <c r="M57" i="3"/>
  <c r="J115" i="13"/>
  <c r="J135" i="6" l="1"/>
  <c r="J134"/>
  <c r="J138"/>
  <c r="J136"/>
  <c r="J115" i="14"/>
  <c r="J189" s="1"/>
  <c r="J136" i="11"/>
  <c r="J138"/>
  <c r="J134"/>
  <c r="J135"/>
  <c r="F129" i="13"/>
  <c r="J189"/>
  <c r="J139" i="10"/>
  <c r="J148" s="1"/>
  <c r="J150" s="1"/>
  <c r="J139" i="7"/>
  <c r="J148" s="1"/>
  <c r="J150" s="1"/>
  <c r="J135" i="12"/>
  <c r="J138"/>
  <c r="J134"/>
  <c r="J136"/>
  <c r="F80" i="16"/>
  <c r="I80" s="1"/>
  <c r="N57" i="3"/>
  <c r="F80" i="17" s="1"/>
  <c r="I80" s="1"/>
  <c r="I11"/>
  <c r="J25" i="4"/>
  <c r="J121" i="16"/>
  <c r="H213"/>
  <c r="I86" i="15"/>
  <c r="J80"/>
  <c r="J86" s="1"/>
  <c r="J113" s="1"/>
  <c r="K24" i="4"/>
  <c r="M24"/>
  <c r="I133" i="14"/>
  <c r="J133" s="1"/>
  <c r="J122"/>
  <c r="J124" s="1"/>
  <c r="J137" s="1"/>
  <c r="I93" i="15"/>
  <c r="J92" s="1"/>
  <c r="J106" s="1"/>
  <c r="J114" s="1"/>
  <c r="M72" i="3"/>
  <c r="I129" i="13"/>
  <c r="J190"/>
  <c r="J139" i="8"/>
  <c r="J148" s="1"/>
  <c r="J150" s="1"/>
  <c r="J139" i="9"/>
  <c r="J148" s="1"/>
  <c r="J150" s="1"/>
  <c r="J139" i="6" l="1"/>
  <c r="J148" s="1"/>
  <c r="J150" s="1"/>
  <c r="F129" i="14"/>
  <c r="J139" i="12"/>
  <c r="J148" s="1"/>
  <c r="J150" s="1"/>
  <c r="J163" s="1"/>
  <c r="I86" i="16"/>
  <c r="J80"/>
  <c r="J86" s="1"/>
  <c r="J113" s="1"/>
  <c r="J139" i="11"/>
  <c r="J148" s="1"/>
  <c r="J150" s="1"/>
  <c r="J191" i="8"/>
  <c r="J193" s="1"/>
  <c r="J163"/>
  <c r="J191" i="7"/>
  <c r="J193" s="1"/>
  <c r="J163"/>
  <c r="I86" i="17"/>
  <c r="J80"/>
  <c r="J86" s="1"/>
  <c r="J113" s="1"/>
  <c r="J191" i="9"/>
  <c r="J193" s="1"/>
  <c r="J163"/>
  <c r="I93" i="16"/>
  <c r="J92" s="1"/>
  <c r="J106" s="1"/>
  <c r="J114" s="1"/>
  <c r="N72" i="3"/>
  <c r="I93" i="17" s="1"/>
  <c r="J92" s="1"/>
  <c r="J106" s="1"/>
  <c r="J114" s="1"/>
  <c r="J122" i="15"/>
  <c r="J124" s="1"/>
  <c r="J137" s="1"/>
  <c r="I133"/>
  <c r="J133" s="1"/>
  <c r="H213" i="17"/>
  <c r="J121"/>
  <c r="J190" i="14"/>
  <c r="I129"/>
  <c r="J129" s="1"/>
  <c r="K25" i="4"/>
  <c r="M25"/>
  <c r="J191" i="10"/>
  <c r="J193" s="1"/>
  <c r="J163"/>
  <c r="J115" i="15"/>
  <c r="J129" i="13"/>
  <c r="J163" i="6" l="1"/>
  <c r="J164" s="1"/>
  <c r="J191"/>
  <c r="J193" s="1"/>
  <c r="J191" i="12"/>
  <c r="J193" s="1"/>
  <c r="J115" i="16"/>
  <c r="J135" i="14"/>
  <c r="J136"/>
  <c r="J134"/>
  <c r="J138"/>
  <c r="J138" i="13"/>
  <c r="J134"/>
  <c r="J136"/>
  <c r="J135"/>
  <c r="I129" i="15"/>
  <c r="J190"/>
  <c r="J164" i="7"/>
  <c r="J164" i="12"/>
  <c r="I133" i="16"/>
  <c r="J133" s="1"/>
  <c r="J122"/>
  <c r="J124" s="1"/>
  <c r="J137" s="1"/>
  <c r="J122" i="17"/>
  <c r="J124" s="1"/>
  <c r="I133"/>
  <c r="J133" s="1"/>
  <c r="J191" i="11"/>
  <c r="J193" s="1"/>
  <c r="J163"/>
  <c r="F129" i="15"/>
  <c r="J189"/>
  <c r="J115" i="17"/>
  <c r="J164" i="9"/>
  <c r="F129" i="16"/>
  <c r="J189"/>
  <c r="J164" i="10"/>
  <c r="J164" i="8"/>
  <c r="J165" i="6"/>
  <c r="J166" s="1"/>
  <c r="J167" s="1"/>
  <c r="J129" i="15" l="1"/>
  <c r="J135" s="1"/>
  <c r="J139" i="13"/>
  <c r="J148" s="1"/>
  <c r="J150" s="1"/>
  <c r="J163" s="1"/>
  <c r="I129" i="17"/>
  <c r="J190"/>
  <c r="J137"/>
  <c r="J176" i="6"/>
  <c r="J170"/>
  <c r="J171"/>
  <c r="J165" i="10"/>
  <c r="J166" s="1"/>
  <c r="J167" s="1"/>
  <c r="J138" i="15"/>
  <c r="J136"/>
  <c r="J191" i="13"/>
  <c r="J193" s="1"/>
  <c r="J139" i="14"/>
  <c r="J148" s="1"/>
  <c r="J150" s="1"/>
  <c r="J165" i="12"/>
  <c r="J166" s="1"/>
  <c r="J167" s="1"/>
  <c r="J165" i="8"/>
  <c r="J166" s="1"/>
  <c r="J167" s="1"/>
  <c r="J165" i="9"/>
  <c r="J166" s="1"/>
  <c r="J167" s="1"/>
  <c r="F129" i="17"/>
  <c r="J129" s="1"/>
  <c r="J189"/>
  <c r="J164" i="11"/>
  <c r="J190" i="16"/>
  <c r="I129"/>
  <c r="J129" s="1"/>
  <c r="J165" i="7"/>
  <c r="J166" s="1"/>
  <c r="J167" s="1"/>
  <c r="J134" i="15" l="1"/>
  <c r="J177" i="6"/>
  <c r="J194" s="1"/>
  <c r="J195" s="1"/>
  <c r="F203" s="1"/>
  <c r="I203" s="1"/>
  <c r="I207" s="1"/>
  <c r="H211" s="1"/>
  <c r="H215" s="1"/>
  <c r="J176" i="8"/>
  <c r="J170"/>
  <c r="J179" s="1"/>
  <c r="J171"/>
  <c r="J135" i="16"/>
  <c r="J136"/>
  <c r="J138"/>
  <c r="J134"/>
  <c r="J171" i="12"/>
  <c r="J176"/>
  <c r="J170"/>
  <c r="J179" s="1"/>
  <c r="J171" i="10"/>
  <c r="J176"/>
  <c r="J170"/>
  <c r="J176" i="9"/>
  <c r="J170"/>
  <c r="J179" s="1"/>
  <c r="J171"/>
  <c r="J138" i="17"/>
  <c r="J134"/>
  <c r="J135"/>
  <c r="J136"/>
  <c r="J164" i="13"/>
  <c r="J139" i="15"/>
  <c r="J148" s="1"/>
  <c r="J150" s="1"/>
  <c r="J179" i="6"/>
  <c r="J165" i="11"/>
  <c r="J166" s="1"/>
  <c r="J167" s="1"/>
  <c r="J191" i="14"/>
  <c r="J193" s="1"/>
  <c r="J163"/>
  <c r="J171" i="7"/>
  <c r="J176"/>
  <c r="J170"/>
  <c r="J139" i="16" l="1"/>
  <c r="J148" s="1"/>
  <c r="J150" s="1"/>
  <c r="J177" i="12"/>
  <c r="J194" s="1"/>
  <c r="J195" s="1"/>
  <c r="F203" s="1"/>
  <c r="I203" s="1"/>
  <c r="I207" s="1"/>
  <c r="H211" s="1"/>
  <c r="H215" s="1"/>
  <c r="J177" i="7"/>
  <c r="J194" s="1"/>
  <c r="J195" s="1"/>
  <c r="J177" i="9"/>
  <c r="J194" s="1"/>
  <c r="J195" s="1"/>
  <c r="F203" s="1"/>
  <c r="I203" s="1"/>
  <c r="I207" s="1"/>
  <c r="H211" s="1"/>
  <c r="H215" s="1"/>
  <c r="G14" i="4"/>
  <c r="H14" s="1"/>
  <c r="I14" s="1"/>
  <c r="M14" s="1"/>
  <c r="J177" i="8"/>
  <c r="J194" s="1"/>
  <c r="J195" s="1"/>
  <c r="F203" s="1"/>
  <c r="I203" s="1"/>
  <c r="I207" s="1"/>
  <c r="H211" s="1"/>
  <c r="H215" s="1"/>
  <c r="F203" i="7"/>
  <c r="I203" s="1"/>
  <c r="I207" s="1"/>
  <c r="H211" s="1"/>
  <c r="H215" s="1"/>
  <c r="G15" i="4"/>
  <c r="H15" s="1"/>
  <c r="I15" s="1"/>
  <c r="J176" i="11"/>
  <c r="J170"/>
  <c r="J171"/>
  <c r="J164" i="14"/>
  <c r="J165" i="13"/>
  <c r="J166" s="1"/>
  <c r="J167" s="1"/>
  <c r="L14" i="4"/>
  <c r="I26"/>
  <c r="J139" i="17"/>
  <c r="J148" s="1"/>
  <c r="J150" s="1"/>
  <c r="J191" i="15"/>
  <c r="J193" s="1"/>
  <c r="J163"/>
  <c r="J191" i="16"/>
  <c r="J193" s="1"/>
  <c r="J163"/>
  <c r="J179" i="10"/>
  <c r="J177"/>
  <c r="J194" s="1"/>
  <c r="J195" s="1"/>
  <c r="F203" s="1"/>
  <c r="I203" s="1"/>
  <c r="I207" s="1"/>
  <c r="H211" s="1"/>
  <c r="H215" s="1"/>
  <c r="J179" i="7"/>
  <c r="L15" i="4" l="1"/>
  <c r="L26" s="1"/>
  <c r="M15"/>
  <c r="M26" s="1"/>
  <c r="J176" i="13"/>
  <c r="J170"/>
  <c r="J179" s="1"/>
  <c r="J171"/>
  <c r="J165" i="14"/>
  <c r="J166" s="1"/>
  <c r="J167" s="1"/>
  <c r="J191" i="17"/>
  <c r="J193" s="1"/>
  <c r="J163"/>
  <c r="J164" i="16"/>
  <c r="J164" i="15"/>
  <c r="J179" i="11"/>
  <c r="J177"/>
  <c r="J194" s="1"/>
  <c r="J195" s="1"/>
  <c r="F203" s="1"/>
  <c r="I203" s="1"/>
  <c r="I207" s="1"/>
  <c r="H211" s="1"/>
  <c r="H215" s="1"/>
  <c r="J177" i="13" l="1"/>
  <c r="J194" s="1"/>
  <c r="J195" s="1"/>
  <c r="F203" s="1"/>
  <c r="I203" s="1"/>
  <c r="I207" s="1"/>
  <c r="H211" s="1"/>
  <c r="H215" s="1"/>
  <c r="J171" i="14"/>
  <c r="J170"/>
  <c r="J176"/>
  <c r="J165" i="16"/>
  <c r="J166" s="1"/>
  <c r="J164" i="17"/>
  <c r="J165" i="15"/>
  <c r="J166" s="1"/>
  <c r="J167" s="1"/>
  <c r="J176" l="1"/>
  <c r="J170"/>
  <c r="J179" s="1"/>
  <c r="J171"/>
  <c r="J179" i="14"/>
  <c r="J177"/>
  <c r="J194" s="1"/>
  <c r="J195" s="1"/>
  <c r="F203" s="1"/>
  <c r="I203" s="1"/>
  <c r="I207" s="1"/>
  <c r="H211" s="1"/>
  <c r="H215" s="1"/>
  <c r="J165" i="17"/>
  <c r="J166" s="1"/>
  <c r="J167" s="1"/>
  <c r="J167" i="16"/>
  <c r="J177" i="15" l="1"/>
  <c r="J194" s="1"/>
  <c r="J195" s="1"/>
  <c r="F203" s="1"/>
  <c r="I203" s="1"/>
  <c r="I207" s="1"/>
  <c r="H211" s="1"/>
  <c r="H215" s="1"/>
  <c r="J171" i="16"/>
  <c r="J176"/>
  <c r="J170"/>
  <c r="J176" i="17"/>
  <c r="J170"/>
  <c r="J179" s="1"/>
  <c r="J171"/>
  <c r="J179" i="16" l="1"/>
  <c r="J177"/>
  <c r="J194" s="1"/>
  <c r="J195" s="1"/>
  <c r="F203" s="1"/>
  <c r="I203" s="1"/>
  <c r="I207" s="1"/>
  <c r="H211" s="1"/>
  <c r="H215" s="1"/>
  <c r="J177" i="17"/>
  <c r="J194" s="1"/>
  <c r="J195" s="1"/>
  <c r="F203" s="1"/>
  <c r="I203" s="1"/>
  <c r="I207" s="1"/>
  <c r="H211" s="1"/>
  <c r="H215" s="1"/>
</calcChain>
</file>

<file path=xl/sharedStrings.xml><?xml version="1.0" encoding="utf-8"?>
<sst xmlns="http://schemas.openxmlformats.org/spreadsheetml/2006/main" count="5292" uniqueCount="1211">
  <si>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</si>
  <si>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</si>
  <si>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</si>
  <si>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</si>
  <si>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</si>
  <si>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</si>
  <si>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</si>
  <si>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</si>
  <si>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</si>
  <si>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</si>
  <si>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</si>
  <si>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</si>
  <si>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outro</t>
  </si>
  <si>
    <t>outros d</t>
  </si>
  <si>
    <r>
      <rPr>
        <b/>
        <sz val="18"/>
        <color rgb="FF000000"/>
        <rFont val="Calibri"/>
      </rPr>
      <t xml:space="preserve">CBO_FUNCAO </t>
    </r>
    <r>
      <rPr>
        <sz val="18"/>
        <color rgb="FFFABF8F"/>
        <rFont val="Calibri"/>
      </rPr>
      <t>(espaço 31 carcteres na aba)</t>
    </r>
  </si>
  <si>
    <t>RS000947/2019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</si>
  <si>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</si>
  <si>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</si>
  <si>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2394-25_Psicopedagogo</t>
  </si>
  <si>
    <t>RS000800/2019</t>
  </si>
  <si>
    <t>SIND DOS FULANOS</t>
  </si>
  <si>
    <t>0</t>
  </si>
  <si>
    <t>2614-25_Interp.Ling.Sinais</t>
  </si>
  <si>
    <t>RS000900/2019</t>
  </si>
  <si>
    <t>SINDICATO DOS OUTROS</t>
  </si>
  <si>
    <t>3222-30_Aux.Enfermag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</si>
  <si>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</si>
  <si>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</si>
  <si>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</si>
  <si>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3224-15_Aux.Saude.bucal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</si>
  <si>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</si>
  <si>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</si>
  <si>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</si>
  <si>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</si>
  <si>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</si>
  <si>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3341-10_Insp.de.Alunos</t>
  </si>
  <si>
    <t>F.W.</t>
  </si>
  <si>
    <t xml:space="preserve">FREDERICO-WESTFALEN </t>
  </si>
  <si>
    <t>RS003993/2021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</si>
  <si>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</si>
  <si>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4110-05_Aux.Administ.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</si>
  <si>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</si>
  <si>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</si>
  <si>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</si>
  <si>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</si>
  <si>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</si>
  <si>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4110-10_Assist.Administ.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</si>
  <si>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</si>
  <si>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</si>
  <si>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</si>
  <si>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</si>
  <si>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5134-25_Copeiro</t>
  </si>
  <si>
    <t>S.M.</t>
  </si>
  <si>
    <t>SANTA-MARIA</t>
  </si>
  <si>
    <t>RS000690/2022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</si>
  <si>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</si>
  <si>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</si>
  <si>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>5143-20_Aux.de.Limpeza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</si>
  <si>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</si>
  <si>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</si>
  <si>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</si>
  <si>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</si>
  <si>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5143-25_Trab.Manut.Edific.</t>
  </si>
  <si>
    <t>S.A.N</t>
  </si>
  <si>
    <t xml:space="preserve">SANTO-ANGELO </t>
  </si>
  <si>
    <t>RS000281/2022</t>
  </si>
  <si>
    <r>
      <rPr>
        <b/>
        <sz val="13"/>
        <color rgb="FFA61C00"/>
        <rFont val="Arial Narrow"/>
      </rPr>
      <t>ALEGRETE</t>
    </r>
    <r>
      <rPr>
        <sz val="13"/>
        <color rgb="FFA61C00"/>
        <rFont val="Arial Narrow"/>
      </rPr>
      <t xml:space="preserve">-SIND EMPRES DE SEGUR E </t>
    </r>
    <r>
      <rPr>
        <b/>
        <sz val="13"/>
        <color rgb="FFA61C00"/>
        <rFont val="Arial Narrow"/>
      </rPr>
      <t>VIGIL</t>
    </r>
    <r>
      <rPr>
        <sz val="13"/>
        <color rgb="FFA61C00"/>
        <rFont val="Arial Narrow"/>
      </rPr>
      <t xml:space="preserve"> DO RGS, CNPJ n. 87.004.982/0001-78, e
SIND EMPREG SEGUR VIG TRANSP VAL TRAB SERV SEG VIG SEG - ALEGRETE , CNPJ n. 91.551.036/0001-19</t>
    </r>
  </si>
  <si>
    <t>S</t>
  </si>
  <si>
    <t>5162-20_Cuidad.Alun.Saude</t>
  </si>
  <si>
    <t>S.A.</t>
  </si>
  <si>
    <t xml:space="preserve">SANTO-AUGUSTO </t>
  </si>
  <si>
    <t>RS001152/2022</t>
  </si>
  <si>
    <r>
      <rPr>
        <b/>
        <sz val="13"/>
        <color rgb="FFA61C00"/>
        <rFont val="Arial Narrow"/>
      </rPr>
      <t xml:space="preserve">URUGUAIANA </t>
    </r>
    <r>
      <rPr>
        <sz val="13"/>
        <color rgb="FFA61C00"/>
        <rFont val="Arial Narrow"/>
      </rPr>
      <t xml:space="preserve">SIND DAS EMPRES SEG </t>
    </r>
    <r>
      <rPr>
        <b/>
        <sz val="13"/>
        <color rgb="FFA61C00"/>
        <rFont val="Arial Narrow"/>
      </rPr>
      <t>VIGIL</t>
    </r>
    <r>
      <rPr>
        <sz val="13"/>
        <color rgb="FFA61C00"/>
        <rFont val="Arial Narrow"/>
      </rPr>
      <t xml:space="preserve">  DO RGS, CNPJ n. 87.004.982/0001-78, e SIND EMPREG SEGUR E VIGIL DE URUGUAIANA, CNPJ n. 92.463.421/0001-77, </t>
    </r>
  </si>
  <si>
    <t>5162-20_Cuidad.Alun.Educ.</t>
  </si>
  <si>
    <t>S.B.</t>
  </si>
  <si>
    <t xml:space="preserve">SAO-BORJA </t>
  </si>
  <si>
    <t>RS000847/2022</t>
  </si>
  <si>
    <r>
      <rPr>
        <b/>
        <sz val="13"/>
        <color rgb="FF980000"/>
        <rFont val="Arial Narrow"/>
      </rPr>
      <t xml:space="preserve">JULIO- SVS-StoAUG </t>
    </r>
    <r>
      <rPr>
        <sz val="13"/>
        <color rgb="FF980000"/>
        <rFont val="Arial Narrow"/>
      </rPr>
      <t xml:space="preserve">SIND DAS EMPR SEG. </t>
    </r>
    <r>
      <rPr>
        <b/>
        <sz val="13"/>
        <color rgb="FF980000"/>
        <rFont val="Arial Narrow"/>
      </rPr>
      <t>VIGILANCIA</t>
    </r>
    <r>
      <rPr>
        <sz val="13"/>
        <color rgb="FF980000"/>
        <rFont val="Arial Narrow"/>
      </rPr>
      <t xml:space="preserve"> DO RGS, CNPJ n. 87.004.982/0001-78, e  SIND EMPREG SEG E VIGIL DE PORTO ALEGRE E REGIAO METROPOLITANA DO RGS, CNPJ n. 91.343.293/0001-65, </t>
    </r>
  </si>
  <si>
    <t>5173-30 _Vigilante</t>
  </si>
  <si>
    <t>S.V.</t>
  </si>
  <si>
    <t>SAO-VICENTE-DO-SUL</t>
  </si>
  <si>
    <t>minimo regional</t>
  </si>
  <si>
    <t>5174-10_Porteiro.de.Edific.</t>
  </si>
  <si>
    <t>U.R.</t>
  </si>
  <si>
    <t>URUGUAIANA</t>
  </si>
  <si>
    <t>5174-20_Vigia</t>
  </si>
  <si>
    <t>6210-05_Peao</t>
  </si>
  <si>
    <t>6210-05_Capataz</t>
  </si>
  <si>
    <t>6210-05_Trabalh.Agropec.Geral</t>
  </si>
  <si>
    <t>6220-10_Jardineiro</t>
  </si>
  <si>
    <t>6410-10_Oper.Máq.B.Prod.Agríc.</t>
  </si>
  <si>
    <t>6410-15_Tratorista</t>
  </si>
  <si>
    <t>6410-15_Tratorista.Agríc.</t>
  </si>
  <si>
    <t>7152-10_Pedreiro</t>
  </si>
  <si>
    <t>7156-15_Eletricist.de.Instal.</t>
  </si>
  <si>
    <t>7244-40_Serralheiro</t>
  </si>
  <si>
    <t>7711-05_Marceneiro</t>
  </si>
  <si>
    <t>7823-05_Motor.Carro.Passeio</t>
  </si>
  <si>
    <t>7825-10_Motor.Geral</t>
  </si>
  <si>
    <t>9511-05_Eletr.Man.Eletroeletr.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</si>
  <si>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</si>
  <si>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</si>
  <si>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</si>
  <si>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</si>
  <si>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</si>
  <si>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</si>
  <si>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</si>
  <si>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</si>
  <si>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</si>
  <si>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</si>
  <si>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</si>
  <si>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</si>
  <si>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</si>
  <si>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</si>
  <si>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</si>
  <si>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CLIQUE NA RESPECTIVA CAIXA 
PARA  APLICAR FILTROS AS COLUNAS</t>
  </si>
  <si>
    <t>UNIDADES CONTRATANTES</t>
  </si>
  <si>
    <t xml:space="preserve"> MUNICIPIO Vlr</t>
  </si>
  <si>
    <t xml:space="preserve"> S E R V I Ç O S   de VIGILANCIA,  DESARMADA-diruna __ ARMADA-noturna</t>
  </si>
  <si>
    <t>UG</t>
  </si>
  <si>
    <t>CNPJ</t>
  </si>
  <si>
    <t>NOME</t>
  </si>
  <si>
    <t>R$ 
Vlr Passagem
 Urbana - VT</t>
  </si>
  <si>
    <t>Indice
 ISS</t>
  </si>
  <si>
    <t>5173-30_VIGILANTE_12×36_diurn</t>
  </si>
  <si>
    <t>5173-30_VIGILANTE_12×36_notur</t>
  </si>
  <si>
    <t>A NÃO TEM MAIS POSTOS-00</t>
  </si>
  <si>
    <t>A NÃO TEM MAIS POSTOS-22</t>
  </si>
  <si>
    <t>A NÃO TEM MAIS POSTOS-33</t>
  </si>
  <si>
    <t>A NÃO TEM MAIS POSTOS-44</t>
  </si>
  <si>
    <t>A NÃO TEM MAIS POSTOS-55</t>
  </si>
  <si>
    <t>A NÃO TEM MAIS POSTOS-66</t>
  </si>
  <si>
    <t>A NÃO TEM MAIS POSTOS-77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</si>
  <si>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</si>
  <si>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</si>
  <si>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</si>
  <si>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</si>
  <si>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</si>
  <si>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</si>
  <si>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</si>
  <si>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r>
      <rPr>
        <b/>
        <sz val="10"/>
        <color theme="1"/>
        <rFont val="Arial Narrow"/>
      </rPr>
      <t xml:space="preserve">% BASE ADICIONAL 
INSALUBRIDADE
</t>
    </r>
    <r>
      <rPr>
        <b/>
        <sz val="10"/>
        <color rgb="FFFF0000"/>
        <rFont val="Arial Narrow"/>
      </rPr>
      <t>OU</t>
    </r>
    <r>
      <rPr>
        <b/>
        <sz val="10"/>
        <color theme="1"/>
        <rFont val="Arial Narrow"/>
      </rPr>
      <t xml:space="preserve">
PERICULOSIDADE</t>
    </r>
  </si>
  <si>
    <t>QUANTIDADE
DE PLANTOES
pelos 54
SABADOS
no ano
para hs a 50%</t>
  </si>
  <si>
    <t>QUANTIDADE
DE PLANTOES
pelos 54
DOMINGOS 
+ 12 FERIADOS
no ano
para hs a 100%</t>
  </si>
  <si>
    <t>DIAS
VALE
TRANSP.</t>
  </si>
  <si>
    <t>DIAS
DE
VALE
ALIMENT</t>
  </si>
  <si>
    <t>ADICIONAL 
NOTURNO</t>
  </si>
  <si>
    <t>outros</t>
  </si>
  <si>
    <r>
      <rPr>
        <b/>
        <sz val="10"/>
        <color rgb="FF000000"/>
        <rFont val="Arial Narrow"/>
      </rPr>
      <t xml:space="preserve">% BASE ADICIONAL 
INSALUBRIDADE
</t>
    </r>
    <r>
      <rPr>
        <b/>
        <sz val="10"/>
        <color rgb="FF000000"/>
        <rFont val="Arial Narrow"/>
      </rPr>
      <t>OU</t>
    </r>
    <r>
      <rPr>
        <b/>
        <sz val="10"/>
        <color rgb="FF000000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</si>
  <si>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</si>
  <si>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</si>
  <si>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t>SALARIO
BASE</t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</si>
  <si>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</si>
  <si>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</si>
  <si>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</si>
  <si>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</si>
  <si>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</si>
  <si>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</si>
  <si>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</si>
  <si>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r>
      <rPr>
        <b/>
        <sz val="10"/>
        <color rgb="FFD6E3BC"/>
        <rFont val="Arial Narrow"/>
      </rPr>
      <t xml:space="preserve">% BASE ADICIONAL 
INSALUBRIDADE
</t>
    </r>
    <r>
      <rPr>
        <b/>
        <sz val="10"/>
        <color rgb="FFD6E3BC"/>
        <rFont val="Arial Narrow"/>
      </rPr>
      <t>OU</t>
    </r>
    <r>
      <rPr>
        <b/>
        <sz val="10"/>
        <color rgb="FFD6E3BC"/>
        <rFont val="Arial Narrow"/>
      </rPr>
      <t xml:space="preserve">
PERICULOSIDADE</t>
    </r>
  </si>
  <si>
    <t>QUANTIDADE
DE PANTOES
pelos 54
SABADOS
no ano
para hs a 50%</t>
  </si>
  <si>
    <t>SEM</t>
  </si>
  <si>
    <t>MINIMO NACIONAL</t>
  </si>
  <si>
    <t>SALARIO NORMATIVO</t>
  </si>
  <si>
    <t>%</t>
  </si>
  <si>
    <t>INSALUBR.</t>
  </si>
  <si>
    <t>OUTRO DADO</t>
  </si>
  <si>
    <t>N</t>
  </si>
  <si>
    <t>ADICIONAL</t>
  </si>
  <si>
    <t>PERCENTUAL</t>
  </si>
  <si>
    <t>10-662-072-0004-09</t>
  </si>
  <si>
    <t>SEM ADICIONAL DE FUNÇÃO</t>
  </si>
  <si>
    <t>PERICULOSIDADE</t>
  </si>
  <si>
    <t>INSALUB S/MINIMO</t>
  </si>
  <si>
    <t>SEM ADICIONAL DE RISCO</t>
  </si>
  <si>
    <t>22-968-289-0001-70</t>
  </si>
  <si>
    <t>sem cct</t>
  </si>
  <si>
    <t>10-662-072-0009-05</t>
  </si>
  <si>
    <t>10-662-072-0002-39</t>
  </si>
  <si>
    <t>10-662-072-0007-43</t>
  </si>
  <si>
    <t xml:space="preserve">PANAMBI </t>
  </si>
  <si>
    <t>10-662-072-0001-58</t>
  </si>
  <si>
    <t>10-662-072-0008-24</t>
  </si>
  <si>
    <t>10-662-072-0010-49</t>
  </si>
  <si>
    <t>10-662-072-0005-81</t>
  </si>
  <si>
    <t>10-662-072-0006-62</t>
  </si>
  <si>
    <t>10-662-072-0003-10</t>
  </si>
  <si>
    <t>CBO_FUNCAO ( 31 carcteres aba) A CONTRATAR</t>
  </si>
  <si>
    <t>dia</t>
  </si>
  <si>
    <t>ADIC. FUNÇÃO S/MINIMO</t>
  </si>
  <si>
    <t>noite</t>
  </si>
  <si>
    <t>.52./.2./.12</t>
  </si>
  <si>
    <t>ADIC. FUNÇÃO S/NORMATIVO</t>
  </si>
  <si>
    <t>INSALUB S/NORMATIVO</t>
  </si>
  <si>
    <t xml:space="preserve">nomes das abas </t>
  </si>
  <si>
    <t>FUNCAO() ABAS ()</t>
  </si>
  <si>
    <t xml:space="preserve">TABELA BASE </t>
  </si>
  <si>
    <t xml:space="preserve">TESTE 1 </t>
  </si>
  <si>
    <t>TESTE 2</t>
  </si>
  <si>
    <t>TESTE 3</t>
  </si>
  <si>
    <t>TESTE 4</t>
  </si>
  <si>
    <t>TESTE 5</t>
  </si>
  <si>
    <t>TESTE 6</t>
  </si>
  <si>
    <t>TESTE 7</t>
  </si>
  <si>
    <t>TESTE 8</t>
  </si>
  <si>
    <t>TESTE 9</t>
  </si>
  <si>
    <t>TESTE 10</t>
  </si>
  <si>
    <t>TESTE 11</t>
  </si>
  <si>
    <t>TESTE 12</t>
  </si>
  <si>
    <t>SAO-BORJA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</si>
  <si>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</si>
  <si>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</si>
  <si>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</si>
  <si>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</si>
  <si>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</si>
  <si>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</si>
  <si>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</si>
  <si>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</si>
  <si>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« 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</si>
  <si>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</si>
  <si>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</si>
  <si>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</si>
  <si>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</si>
  <si>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</si>
  <si>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</si>
  <si>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</si>
  <si>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</si>
  <si>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</si>
  <si>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</si>
  <si>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</si>
  <si>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</si>
  <si>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</si>
  <si>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</si>
  <si>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</si>
  <si>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</si>
  <si>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</si>
  <si>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</si>
  <si>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</si>
  <si>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0"/>
        <color theme="1"/>
        <rFont val="Arial"/>
      </rPr>
      <t>Salário base Nomartivo /categoria</t>
    </r>
    <r>
      <rPr>
        <b/>
        <sz val="12"/>
        <color rgb="FFC00000"/>
        <rFont val="Arial"/>
      </rPr>
      <t xml:space="preserve"> (220 h)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</si>
  <si>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</si>
  <si>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</si>
  <si>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</si>
  <si>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</si>
  <si>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2022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</si>
  <si>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</si>
  <si>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</si>
  <si>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</si>
  <si>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</si>
  <si>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</si>
  <si>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NENSAL contratada (h)</t>
  </si>
  <si>
    <t xml:space="preserve">     E N C A R G O S   E   B E N E F Í C I O S  </t>
  </si>
  <si>
    <t>RAT</t>
  </si>
  <si>
    <t>FAP</t>
  </si>
  <si>
    <t>Valor - Auxílio alimentação(VA)/Refeicao POR DIA</t>
  </si>
  <si>
    <t>Percentual desc parte trabalhador - VA</t>
  </si>
  <si>
    <t>Qtd dias/mês recebimento aux. alim</t>
  </si>
  <si>
    <t>Vlr - Aux. Alimentação LANCHE (VA)/ POR DIA</t>
  </si>
  <si>
    <t>Média Mensal hs a 50%</t>
  </si>
  <si>
    <t>nº de HS a 50% No plantao por SABADO</t>
  </si>
  <si>
    <t>Média Mensal hs a 100%</t>
  </si>
  <si>
    <t>nº HS a 100% Plantao por DOM/FERIADO</t>
  </si>
  <si>
    <t>TRABALHADOR faz PLANTOES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</si>
  <si>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</si>
  <si>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</si>
  <si>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</si>
  <si>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</si>
  <si>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</si>
  <si>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</si>
  <si>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</si>
  <si>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</si>
  <si>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</si>
  <si>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</si>
  <si>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</si>
  <si>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</si>
  <si>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</si>
  <si>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</si>
  <si>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</si>
  <si>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.</t>
  </si>
  <si>
    <t xml:space="preserve">QUADRO RESUMO DA PROPOSTA 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</si>
  <si>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</si>
  <si>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</si>
  <si>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</si>
  <si>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</si>
  <si>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</si>
  <si>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</si>
  <si>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</si>
  <si>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</si>
  <si>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</si>
  <si>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</si>
  <si>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</si>
  <si>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</si>
  <si>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</si>
  <si>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</si>
  <si>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</si>
  <si>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
ITEM
EM MESES</t>
  </si>
  <si>
    <t>TOTAL ESTIMADO
PARA
12 MESES</t>
  </si>
  <si>
    <r>
      <rPr>
        <b/>
        <sz val="11"/>
        <color rgb="FF000000"/>
        <rFont val="Arial"/>
      </rPr>
      <t xml:space="preserve">TOTAL ESTIMADO
durante a
</t>
    </r>
    <r>
      <rPr>
        <b/>
        <sz val="11"/>
        <color rgb="FFC00000"/>
        <rFont val="Arial"/>
      </rPr>
      <t>VIGENCIA</t>
    </r>
  </si>
  <si>
    <t>INICIAL</t>
  </si>
  <si>
    <t>TOTAL CONTRATO (INICIAL)</t>
  </si>
  <si>
    <t>UNIFORMES E MATERIAIS POR POSTO (02 VIGILANTES TITULARES) - POSTO DIURNO E POSTO NOTURNO</t>
  </si>
  <si>
    <t>DESCRIÇÃO</t>
  </si>
  <si>
    <t>MARCA / FABRICANTE</t>
  </si>
  <si>
    <t>UNIDADE</t>
  </si>
  <si>
    <t>Valor unitário</t>
  </si>
  <si>
    <t>Período de Amortização (meses)</t>
  </si>
  <si>
    <t>Quantidade por Vigilante</t>
  </si>
  <si>
    <t>Custo Total
 (Valor Unitário X Qtd por vigilante)</t>
  </si>
  <si>
    <t>Custo Mensal (Custo Total/30)</t>
  </si>
  <si>
    <t>Forma de utilização</t>
  </si>
  <si>
    <t>Boné - uniforme</t>
  </si>
  <si>
    <t>Pesquisa de Preço</t>
  </si>
  <si>
    <t>Unidade</t>
  </si>
  <si>
    <t>Uso individual</t>
  </si>
  <si>
    <t>Calça social - uniforme</t>
  </si>
  <si>
    <t>Jaqueta de Inverno - uniforme</t>
  </si>
  <si>
    <t>Camisa social manga curta - uniforme</t>
  </si>
  <si>
    <t>Camisa social manga longa - uniforme</t>
  </si>
  <si>
    <t>Blusão de lã - uniforme</t>
  </si>
  <si>
    <t>Toca de lã na cor preta</t>
  </si>
  <si>
    <t>Luva de lã na cor preta</t>
  </si>
  <si>
    <t>Camisa térmica manga longa na cor preta</t>
  </si>
  <si>
    <t>Cinto de nylon com fivela, uniforme</t>
  </si>
  <si>
    <t>Sapatos/coturno na cor preto</t>
  </si>
  <si>
    <t>Par</t>
  </si>
  <si>
    <t>Meia social na cor preto</t>
  </si>
  <si>
    <t>Crachá de Identificação e cordão uniforme</t>
  </si>
  <si>
    <t>Botas de Borracha na cor preto</t>
  </si>
  <si>
    <t>Livro de Ocorrência tipo caderno Brochurão, costurado, capa dura, 96 folhas, formato 200x275mm</t>
  </si>
  <si>
    <t>Uso compartilhado</t>
  </si>
  <si>
    <t>Cassetete</t>
  </si>
  <si>
    <t>0,5 x 2 = 1 Cassetete por posto</t>
  </si>
  <si>
    <t>Porta Cassetete</t>
  </si>
  <si>
    <t>0,5 x 2 = 1 Porta Cassetete por posto</t>
  </si>
  <si>
    <t>Apito + Cordão</t>
  </si>
  <si>
    <t>0,5 x 2 = 1 apito + cordão por posto</t>
  </si>
  <si>
    <t>Capa de Chuva, 100% impermeável, produzida em policloreto de vinila ou PVC</t>
  </si>
  <si>
    <t>0,5 x 2 = 1 Capa de Chuva por posto</t>
  </si>
  <si>
    <t>Valor total mensal por Vigilante</t>
  </si>
  <si>
    <t>Valor total por posto ((1 posto= 2 vigilantes) valor mensal por vigilante x 2)</t>
  </si>
  <si>
    <t>EQUIPAMENTOS ALOCADOS NA EXECUÇÃO CONTRATUAL POR POSTO (inciso VI do art. 21 da IN SLTI nº 2/2008) - POSTO  ARMADO</t>
  </si>
  <si>
    <t>Quantidade por Posto</t>
  </si>
  <si>
    <t>Custo Total (R$ Unit x Qtd total)</t>
  </si>
  <si>
    <t>Revólver calibre 38*, cano de 4 polegadas, tambor para 5 munições, novo, primeiro uso.</t>
  </si>
  <si>
    <t>Coldre com porta municação para Revólver calibre 38 cano 4 polegadas, novo, primeiro uso.</t>
  </si>
  <si>
    <t>Cartuchos de Munição calibre 38* (blister com 10 unidades), novo , primeiro uso.</t>
  </si>
  <si>
    <t>Blister com 10 unidades</t>
  </si>
  <si>
    <t>Speed loader 5 munições, calibre 38, novo, primeiro uso.</t>
  </si>
  <si>
    <t>Colete balístico Nível II-A*, com registro, novo, primeiro uso.</t>
  </si>
  <si>
    <t>Capa de colete a prova de balas, novo, primeiro uso.</t>
  </si>
  <si>
    <t>Valor total mensal por Posto</t>
  </si>
  <si>
    <t>EQUIPAMENTOS ALOCADOS NA EXECUÇÃO CONTRATUAL POR POSTO (inciso VI do art. 21 da IN SLTI nº 2/2008) - POSTO NOTURNO</t>
  </si>
  <si>
    <t>Quantidade Total para todos os postos</t>
  </si>
  <si>
    <t>Custo Total (R$ Unit x Qtd total) / (Qtd total posto)</t>
  </si>
  <si>
    <t>Lanterna profissional, tipo holofote, 10W, longo alcance, recarregável, primeiro uso.</t>
  </si>
  <si>
    <t>EQUIPAMENTOS ALOCADOS NA EXECUÇÃO CONTRATUAL POR CONTRATO (inciso VI do art. 21 da IN SLTI nº 2/2008) - TODOS OS POSTOS</t>
  </si>
  <si>
    <t>Kit Controlador de Ronda com Bastão (caneta), com 06 buttons, e sistema (software)</t>
  </si>
  <si>
    <t>kit</t>
  </si>
  <si>
    <t>Valor total dividio pelo número de postos</t>
  </si>
  <si>
    <t>Cofre para armazenamento dos materiais pertencentes ao posto</t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</si>
  <si>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</si>
  <si>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</si>
  <si>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</si>
  <si>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</si>
  <si>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</si>
  <si>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</si>
  <si>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</si>
  <si>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</si>
  <si>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</si>
  <si>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</si>
  <si>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</si>
  <si>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</si>
  <si>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</si>
  <si>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</si>
  <si>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</si>
  <si>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</si>
  <si>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</si>
  <si>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</si>
  <si>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</si>
  <si>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</si>
  <si>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</si>
  <si>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</si>
  <si>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</si>
  <si>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</si>
  <si>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</si>
  <si>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</si>
  <si>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</si>
  <si>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</si>
  <si>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t>JORNADA
CONTRATADA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</si>
  <si>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</si>
  <si>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</si>
  <si>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</si>
  <si>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</si>
  <si>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</si>
  <si>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</si>
  <si>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</si>
  <si>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</si>
  <si>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</si>
  <si>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</si>
  <si>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SEM periculosidade</t>
  </si>
  <si>
    <t>Quantidade de pessoas por posto de serviço</t>
  </si>
  <si>
    <t>VALOR SALARIO MÍNIMO NACIONAL (2022)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</si>
  <si>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</si>
  <si>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</si>
  <si>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</si>
  <si>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</si>
  <si>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</si>
  <si>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</si>
  <si>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t>JORNADA</t>
  </si>
  <si>
    <t xml:space="preserve">Adicional de função 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</si>
  <si>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</si>
  <si>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</si>
  <si>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t>E</t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</si>
  <si>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</si>
  <si>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t>F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</si>
  <si>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</si>
  <si>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t>G</t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</si>
  <si>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</si>
  <si>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>H</t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</si>
  <si>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</si>
  <si>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</si>
  <si>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>I</t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</si>
  <si>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</si>
  <si>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</si>
  <si>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t>J</t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</si>
  <si>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</si>
  <si>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</si>
  <si>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</si>
  <si>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</si>
  <si>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</si>
  <si>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</si>
  <si>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</si>
  <si>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Nota1:  O Módulo 1 refere-se ao valor mensal devido ao empregado pela prestação do serviço no período de 12 meses.</t>
  </si>
  <si>
    <t>Módulo 2 : Encargos e Benefícios Anuais, Mensais e Diários</t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</si>
  <si>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</si>
  <si>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2.1</t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</si>
  <si>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</si>
  <si>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</si>
  <si>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</si>
  <si>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</si>
  <si>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Total</t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</si>
  <si>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</si>
  <si>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</si>
  <si>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</si>
  <si>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</si>
  <si>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</si>
  <si>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</si>
  <si>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</si>
  <si>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</si>
  <si>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</si>
  <si>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</si>
  <si>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</si>
  <si>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</si>
  <si>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</si>
  <si>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</si>
  <si>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</si>
  <si>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</si>
  <si>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</si>
  <si>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</si>
  <si>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</si>
  <si>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</si>
  <si>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</si>
  <si>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</si>
  <si>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</si>
  <si>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</si>
  <si>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</si>
  <si>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</si>
  <si>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</si>
  <si>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</si>
  <si>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</si>
  <si>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</si>
  <si>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</si>
  <si>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</si>
  <si>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</si>
  <si>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</si>
  <si>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>Outros (especificar)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</si>
  <si>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</si>
  <si>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</si>
  <si>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</si>
  <si>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</si>
  <si>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</si>
  <si>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</si>
  <si>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</si>
  <si>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</si>
  <si>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</si>
  <si>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</si>
  <si>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</si>
  <si>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</si>
  <si>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</si>
  <si>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</si>
  <si>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</si>
  <si>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</si>
  <si>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</si>
  <si>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</si>
  <si>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</si>
  <si>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</si>
  <si>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</si>
  <si>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</si>
  <si>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</si>
  <si>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</si>
  <si>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</si>
  <si>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</si>
  <si>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</si>
  <si>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</si>
  <si>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</si>
  <si>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</si>
  <si>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</si>
  <si>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</si>
  <si>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</si>
  <si>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</si>
  <si>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</si>
  <si>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</si>
  <si>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</si>
  <si>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</si>
  <si>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>Equipamentos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</si>
  <si>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</si>
  <si>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</si>
  <si>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</si>
  <si>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</si>
  <si>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</si>
  <si>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</si>
  <si>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</si>
  <si>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</si>
  <si>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</si>
  <si>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</si>
  <si>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</si>
  <si>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</si>
  <si>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</si>
  <si>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</si>
  <si>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</si>
  <si>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</si>
  <si>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</si>
  <si>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</si>
  <si>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</si>
  <si>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</si>
  <si>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</si>
  <si>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</si>
  <si>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</si>
  <si>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</si>
  <si>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</si>
  <si>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</si>
  <si>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</si>
  <si>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</si>
  <si>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</si>
  <si>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</si>
  <si>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</si>
  <si>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</si>
  <si>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t>Valor Total por Posto</t>
  </si>
  <si>
    <t xml:space="preserve">O complemento abaixo é uma planilha auxiliar que consolida as várias planilhas com os diferentes tipos de postos </t>
  </si>
  <si>
    <t>3.  COMPLEMENTO DOS SERVIÇOS DE VIGILÂNCIA – VALOR MENSAL DOS SERVIÇOS</t>
  </si>
  <si>
    <t>ESCALA DE TRABALHO</t>
  </si>
  <si>
    <t>PREÇO MENSAL DO POSTO  
(R$)</t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</si>
  <si>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</si>
  <si>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</si>
  <si>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</si>
  <si>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</si>
  <si>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</si>
  <si>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</si>
  <si>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</si>
  <si>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</si>
  <si>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</si>
  <si>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</si>
  <si>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</si>
  <si>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</si>
  <si>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</si>
  <si>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</si>
  <si>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</si>
  <si>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</si>
  <si>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</si>
  <si>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</si>
  <si>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</si>
  <si>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</si>
  <si>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</si>
  <si>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</si>
  <si>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</si>
  <si>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</si>
  <si>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</si>
  <si>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</si>
  <si>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</si>
  <si>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</si>
  <si>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</si>
  <si>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</si>
  <si>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</si>
  <si>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</si>
  <si>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</si>
  <si>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</si>
  <si>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</si>
  <si>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</si>
  <si>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</si>
  <si>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</si>
  <si>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</si>
  <si>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</si>
  <si>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</si>
  <si>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</si>
  <si>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</si>
  <si>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</si>
  <si>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</si>
  <si>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</si>
  <si>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</si>
  <si>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</si>
  <si>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</si>
  <si>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</si>
  <si>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</si>
  <si>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</si>
  <si>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</si>
  <si>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</si>
  <si>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</si>
  <si>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</si>
  <si>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</si>
  <si>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</si>
  <si>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</si>
  <si>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</si>
  <si>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</si>
  <si>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</si>
  <si>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</si>
  <si>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</si>
  <si>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</si>
  <si>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</si>
  <si>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</si>
  <si>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</si>
  <si>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</si>
  <si>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</si>
  <si>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</si>
  <si>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</si>
  <si>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</si>
  <si>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</si>
  <si>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</t>
    </r>
    <r>
      <rPr>
        <b/>
        <sz val="10"/>
        <color rgb="FFC00000"/>
        <rFont val="Arial"/>
      </rPr>
      <t>(PESQUISA MERCADO 200hs)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</si>
  <si>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</si>
  <si>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</si>
  <si>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</si>
  <si>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</si>
  <si>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</si>
  <si>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</si>
  <si>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</si>
  <si>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</si>
  <si>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</si>
  <si>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</si>
  <si>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</si>
  <si>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</si>
  <si>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</si>
  <si>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</si>
  <si>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</si>
  <si>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</si>
  <si>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</si>
  <si>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</si>
  <si>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</si>
  <si>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</si>
  <si>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</si>
  <si>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</si>
  <si>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</si>
  <si>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</si>
  <si>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</si>
  <si>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</si>
  <si>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</si>
  <si>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</si>
  <si>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</si>
  <si>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</si>
  <si>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</si>
  <si>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</si>
  <si>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</si>
  <si>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</si>
  <si>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</si>
  <si>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</si>
  <si>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</si>
  <si>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</si>
  <si>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</si>
  <si>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</si>
  <si>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</si>
  <si>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</si>
  <si>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</si>
  <si>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</si>
  <si>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</si>
  <si>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</si>
  <si>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</si>
  <si>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</si>
  <si>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</si>
  <si>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</si>
  <si>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</si>
  <si>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</si>
  <si>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</si>
  <si>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</si>
  <si>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</si>
  <si>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</si>
  <si>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</si>
  <si>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</si>
  <si>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</si>
  <si>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</si>
  <si>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R$ 2.016,00</t>
    </r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</si>
  <si>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</si>
  <si>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</si>
  <si>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</si>
  <si>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</si>
  <si>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25%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</si>
  <si>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50% com ADIC 25% SÁBADOS (febrabpils)
</t>
    </r>
    <r>
      <rPr>
        <b/>
        <sz val="10"/>
        <color rgb="FF0070C0"/>
        <rFont val="Arial"/>
      </rPr>
      <t>salar hora × 1,75</t>
    </r>
  </si>
  <si>
    <r>
      <rPr>
        <b/>
        <sz val="10"/>
        <color rgb="FFFF0000"/>
        <rFont val="Arial"/>
      </rPr>
      <t xml:space="preserve">Valor da hora EXTRA A 100% com ADIC 50% DOMINGOS E FERIADOS (febrabpils)
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</si>
  <si>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</si>
  <si>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</si>
  <si>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</si>
  <si>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t>QUANT. hs NOTURNAS</t>
  </si>
  <si>
    <t>Vlr da Hora
NOTURNA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</si>
  <si>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</si>
  <si>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</si>
  <si>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</si>
  <si>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t>QUANT. hs 50%</t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</si>
  <si>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</si>
  <si>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</si>
  <si>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t>QUANT. hs 100%</t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</si>
  <si>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</si>
  <si>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</si>
  <si>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</si>
  <si>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</si>
  <si>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</si>
  <si>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</si>
  <si>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</si>
  <si>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</si>
  <si>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</si>
  <si>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</si>
  <si>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</si>
  <si>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</si>
  <si>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</si>
  <si>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</si>
  <si>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</si>
  <si>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</si>
  <si>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</si>
  <si>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</si>
  <si>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</si>
  <si>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</si>
  <si>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</si>
  <si>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</si>
  <si>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</si>
  <si>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</si>
  <si>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</si>
  <si>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</si>
  <si>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</si>
  <si>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</si>
  <si>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</si>
  <si>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</si>
  <si>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</si>
  <si>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</si>
  <si>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</si>
  <si>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</si>
  <si>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</si>
  <si>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</si>
  <si>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</si>
  <si>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</si>
  <si>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</si>
  <si>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</si>
  <si>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</si>
  <si>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</si>
  <si>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</si>
  <si>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</si>
  <si>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</si>
  <si>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 R$ 2.016,00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</si>
  <si>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</si>
  <si>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</si>
  <si>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</si>
  <si>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</si>
  <si>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</si>
  <si>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</si>
  <si>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</si>
  <si>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</si>
  <si>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</si>
  <si>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</si>
  <si>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</si>
  <si>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</si>
  <si>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</si>
  <si>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</si>
  <si>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</si>
  <si>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</si>
  <si>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</si>
  <si>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</si>
  <si>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</si>
  <si>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</si>
  <si>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</si>
  <si>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</si>
  <si>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</si>
  <si>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</si>
  <si>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</si>
  <si>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</si>
  <si>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</si>
  <si>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</si>
  <si>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</si>
  <si>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</si>
  <si>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</si>
  <si>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</si>
  <si>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</si>
  <si>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</si>
  <si>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</si>
  <si>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</si>
  <si>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</si>
  <si>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</si>
  <si>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</si>
  <si>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</si>
  <si>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</si>
  <si>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</si>
  <si>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</si>
  <si>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</si>
  <si>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</si>
  <si>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</si>
  <si>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</si>
  <si>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</si>
  <si>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</si>
  <si>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</si>
  <si>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</si>
  <si>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</si>
  <si>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</si>
  <si>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</si>
  <si>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</si>
  <si>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</si>
  <si>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</si>
  <si>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</si>
  <si>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</si>
  <si>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</si>
  <si>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</si>
  <si>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</si>
  <si>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</si>
  <si>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</si>
  <si>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</si>
  <si>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</si>
  <si>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</si>
  <si>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</si>
  <si>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</si>
  <si>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</si>
  <si>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</si>
  <si>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</si>
  <si>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</si>
  <si>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</si>
  <si>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</si>
  <si>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</si>
  <si>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</si>
  <si>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</si>
  <si>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</si>
  <si>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</si>
  <si>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</si>
  <si>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</si>
  <si>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</si>
  <si>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</si>
  <si>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</si>
  <si>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</si>
  <si>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</si>
  <si>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</si>
  <si>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</si>
  <si>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</si>
  <si>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</si>
  <si>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</si>
  <si>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</si>
  <si>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</si>
  <si>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</si>
  <si>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</si>
  <si>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</si>
  <si>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</si>
  <si>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</si>
  <si>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</si>
  <si>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</si>
  <si>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</si>
  <si>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</si>
  <si>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</si>
  <si>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</si>
  <si>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</si>
  <si>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</si>
  <si>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</si>
  <si>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</si>
  <si>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</si>
  <si>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</si>
  <si>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</si>
  <si>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</si>
  <si>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</si>
  <si>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</si>
  <si>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</si>
  <si>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</si>
  <si>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</si>
  <si>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</si>
  <si>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</si>
  <si>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</si>
  <si>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</si>
  <si>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</si>
  <si>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</si>
  <si>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</si>
  <si>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</si>
  <si>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</si>
  <si>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</si>
  <si>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</si>
  <si>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</si>
  <si>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</si>
  <si>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</si>
  <si>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</si>
  <si>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</si>
  <si>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</si>
  <si>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</si>
  <si>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</si>
  <si>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</si>
  <si>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</si>
  <si>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</si>
  <si>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</si>
  <si>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</si>
  <si>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</si>
  <si>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</si>
  <si>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</si>
  <si>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</si>
  <si>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</si>
  <si>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</si>
  <si>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</si>
  <si>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</si>
  <si>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</si>
  <si>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</si>
  <si>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</si>
  <si>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</si>
  <si>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</si>
  <si>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</si>
  <si>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</si>
  <si>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</si>
  <si>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</si>
  <si>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</si>
  <si>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</si>
  <si>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</si>
  <si>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</si>
  <si>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</si>
  <si>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</si>
  <si>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</si>
  <si>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</si>
  <si>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</si>
  <si>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</si>
  <si>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</si>
  <si>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</si>
  <si>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</si>
  <si>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</si>
  <si>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</si>
  <si>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</si>
  <si>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</si>
  <si>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</si>
  <si>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</si>
  <si>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</si>
  <si>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</si>
  <si>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</si>
  <si>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</si>
  <si>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</si>
  <si>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</si>
  <si>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</si>
  <si>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</si>
  <si>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</si>
  <si>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</si>
  <si>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</si>
  <si>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</si>
  <si>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</si>
  <si>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</si>
  <si>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</si>
  <si>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</si>
  <si>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</si>
  <si>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</si>
  <si>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</si>
  <si>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</si>
  <si>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</si>
  <si>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</si>
  <si>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</si>
  <si>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</si>
  <si>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</si>
  <si>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</si>
  <si>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</si>
  <si>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</si>
  <si>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</si>
  <si>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</si>
  <si>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</si>
  <si>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</si>
  <si>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</si>
  <si>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</si>
  <si>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</si>
  <si>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</si>
  <si>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</si>
  <si>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</si>
  <si>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</si>
  <si>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</si>
  <si>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</si>
  <si>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</si>
  <si>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</si>
  <si>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</si>
  <si>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</si>
  <si>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</si>
  <si>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</si>
  <si>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</si>
  <si>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</si>
  <si>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</si>
  <si>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</si>
  <si>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</si>
  <si>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</si>
  <si>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</si>
  <si>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</si>
  <si>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</si>
  <si>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</si>
  <si>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</si>
  <si>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</si>
  <si>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</si>
  <si>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</si>
  <si>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</si>
  <si>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</si>
  <si>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</si>
  <si>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</si>
  <si>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</si>
  <si>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</si>
  <si>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</si>
  <si>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</si>
  <si>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</si>
  <si>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</si>
  <si>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</si>
  <si>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</si>
  <si>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</si>
  <si>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</si>
  <si>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</si>
  <si>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</si>
  <si>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</si>
  <si>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</si>
  <si>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</si>
  <si>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</si>
  <si>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</si>
  <si>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</si>
  <si>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</si>
  <si>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</si>
  <si>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</si>
  <si>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</si>
  <si>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</si>
  <si>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</si>
  <si>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</si>
  <si>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</si>
  <si>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</si>
  <si>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</si>
  <si>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</si>
  <si>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</si>
  <si>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</si>
  <si>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</si>
  <si>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</si>
  <si>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</si>
  <si>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</si>
  <si>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</si>
  <si>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</si>
  <si>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</si>
  <si>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</si>
  <si>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</si>
  <si>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</si>
  <si>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</si>
  <si>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</si>
  <si>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</si>
  <si>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</si>
  <si>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</si>
  <si>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</si>
  <si>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</si>
  <si>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</si>
  <si>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</si>
  <si>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</si>
  <si>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</si>
  <si>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</si>
  <si>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</si>
  <si>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</si>
  <si>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</si>
  <si>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</si>
  <si>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</si>
  <si>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</si>
  <si>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</si>
  <si>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</si>
  <si>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</si>
  <si>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</si>
  <si>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</si>
  <si>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</si>
  <si>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</si>
  <si>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</si>
  <si>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</si>
  <si>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</si>
  <si>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</si>
  <si>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</si>
  <si>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</si>
  <si>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</si>
  <si>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</si>
  <si>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</si>
  <si>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</si>
  <si>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</si>
  <si>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</si>
  <si>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</si>
  <si>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</si>
  <si>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</si>
  <si>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</si>
  <si>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</si>
  <si>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</si>
  <si>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</si>
  <si>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</si>
  <si>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</si>
  <si>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</si>
  <si>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</si>
  <si>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</si>
  <si>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</si>
  <si>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</si>
  <si>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</si>
  <si>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</si>
  <si>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</si>
  <si>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</si>
  <si>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</si>
  <si>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</si>
  <si>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</si>
  <si>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</si>
  <si>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</si>
  <si>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</si>
  <si>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</si>
  <si>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</si>
  <si>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</si>
  <si>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</si>
  <si>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</si>
  <si>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</si>
  <si>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</si>
  <si>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</si>
  <si>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</si>
  <si>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</si>
  <si>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</si>
  <si>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</si>
  <si>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</si>
  <si>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</si>
  <si>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</si>
  <si>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</si>
  <si>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</si>
  <si>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</si>
  <si>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</si>
  <si>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</si>
  <si>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</si>
  <si>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</si>
  <si>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</si>
  <si>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</si>
  <si>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</si>
  <si>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</si>
  <si>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</si>
  <si>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</si>
  <si>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</si>
  <si>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</si>
  <si>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</si>
  <si>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</si>
  <si>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</si>
  <si>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</si>
  <si>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</si>
  <si>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</si>
  <si>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</si>
  <si>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</si>
  <si>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</si>
  <si>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</si>
  <si>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</si>
  <si>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</si>
  <si>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</si>
  <si>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</si>
  <si>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</si>
  <si>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</si>
  <si>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</si>
  <si>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</si>
  <si>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</si>
  <si>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</si>
  <si>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</si>
  <si>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</si>
  <si>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</si>
  <si>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</si>
  <si>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</si>
  <si>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</si>
  <si>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</si>
  <si>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</si>
  <si>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</si>
  <si>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</si>
  <si>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</si>
  <si>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</si>
  <si>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</si>
  <si>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</si>
  <si>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</si>
  <si>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</si>
  <si>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</si>
  <si>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</si>
  <si>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</si>
  <si>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</si>
  <si>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</si>
  <si>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</si>
  <si>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</si>
  <si>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</si>
  <si>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</si>
  <si>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</si>
  <si>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</si>
  <si>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</si>
  <si>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</si>
  <si>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</si>
  <si>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</si>
  <si>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</si>
  <si>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</si>
  <si>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</si>
  <si>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</si>
  <si>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</si>
  <si>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</si>
  <si>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</si>
  <si>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</si>
  <si>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</si>
  <si>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</si>
  <si>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</si>
  <si>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</si>
  <si>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</si>
  <si>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</si>
  <si>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</si>
  <si>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</si>
  <si>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</si>
  <si>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</si>
  <si>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</si>
  <si>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</si>
  <si>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</si>
  <si>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</si>
  <si>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</si>
  <si>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</si>
  <si>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</si>
  <si>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</si>
  <si>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</si>
  <si>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</si>
  <si>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</si>
  <si>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</si>
  <si>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 xml:space="preserve">TOTALIZADORES GERAL - IFFar </t>
  </si>
  <si>
    <t>CAMPUS
UG</t>
  </si>
  <si>
    <t>VALOR por 
POSTO</t>
  </si>
  <si>
    <t xml:space="preserve">TOTAL GERAL </t>
  </si>
</sst>
</file>

<file path=xl/styles.xml><?xml version="1.0" encoding="utf-8"?>
<styleSheet xmlns="http://schemas.openxmlformats.org/spreadsheetml/2006/main">
  <numFmts count="13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_-* #,##0.00_-;\-* #,##0.00_-;_-* &quot;-&quot;??_-;_-@"/>
    <numFmt numFmtId="170" formatCode="_-&quot;R$&quot;\ * #,##0.00_-;\-&quot;R$&quot;\ * #,##0.00_-;_-&quot;R$&quot;\ * &quot;-&quot;??_-;_-@"/>
    <numFmt numFmtId="171" formatCode="[$R$ -416]#,##0.00"/>
    <numFmt numFmtId="172" formatCode="&quot;R$ &quot;#,##0.00"/>
    <numFmt numFmtId="173" formatCode="0.000%"/>
    <numFmt numFmtId="174" formatCode="0.0000"/>
    <numFmt numFmtId="175" formatCode="0.0000%"/>
    <numFmt numFmtId="176" formatCode="_(* #,##0.00_);_(* \(#,##0.00\);_(* \-??_);_(@_)"/>
  </numFmts>
  <fonts count="170">
    <font>
      <sz val="11"/>
      <color rgb="FF000000"/>
      <name val="Calibri"/>
      <scheme val="minor"/>
    </font>
    <font>
      <sz val="11"/>
      <color rgb="FF000000"/>
      <name val="Calibri"/>
    </font>
    <font>
      <sz val="18"/>
      <color rgb="FF000000"/>
      <name val="Calibri"/>
    </font>
    <font>
      <b/>
      <sz val="12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sz val="11"/>
      <color theme="1"/>
      <name val="Calibri"/>
    </font>
    <font>
      <b/>
      <sz val="18"/>
      <color rgb="FF0070C0"/>
      <name val="Arial Narrow"/>
    </font>
    <font>
      <b/>
      <sz val="13"/>
      <color rgb="FFFF0000"/>
      <name val="Arial Narrow"/>
    </font>
    <font>
      <b/>
      <sz val="13"/>
      <color theme="1"/>
      <name val="Arial Narrow"/>
    </font>
    <font>
      <b/>
      <sz val="13"/>
      <color rgb="FFA61C00"/>
      <name val="Arial Narrow"/>
    </font>
    <font>
      <sz val="13"/>
      <color rgb="FFA61C00"/>
      <name val="Arial Narrow"/>
    </font>
    <font>
      <sz val="13"/>
      <color rgb="FF4F81BD"/>
      <name val="Arial Narrow"/>
    </font>
    <font>
      <b/>
      <sz val="13"/>
      <color rgb="FF980000"/>
      <name val="Arial Narrow"/>
    </font>
    <font>
      <sz val="13"/>
      <color rgb="FF980000"/>
      <name val="Arial Narrow"/>
    </font>
    <font>
      <sz val="18"/>
      <color rgb="FF000000"/>
      <name val="Arial Narrow"/>
    </font>
    <font>
      <b/>
      <u/>
      <sz val="14"/>
      <color rgb="FFFFFFFF"/>
      <name val="Calibri"/>
    </font>
    <font>
      <sz val="26"/>
      <color rgb="FF000000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b/>
      <sz val="15"/>
      <color rgb="FF000000"/>
      <name val="Book Antiqua"/>
    </font>
    <font>
      <b/>
      <sz val="15"/>
      <color rgb="FF00B050"/>
      <name val="Book Antiqua"/>
    </font>
    <font>
      <sz val="11"/>
      <name val="Calibri"/>
    </font>
    <font>
      <sz val="11"/>
      <color theme="1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rgb="FFD6E3BC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2"/>
      <color rgb="FFD6E3BC"/>
      <name val="Arial Narrow"/>
    </font>
    <font>
      <b/>
      <sz val="10"/>
      <color rgb="FFD6E3BC"/>
      <name val="Arial Narrow"/>
    </font>
    <font>
      <sz val="11"/>
      <color rgb="FFD6E3BC"/>
      <name val="Calibri"/>
    </font>
    <font>
      <b/>
      <sz val="11"/>
      <color rgb="FF00B0F0"/>
      <name val="Calibri"/>
    </font>
    <font>
      <b/>
      <sz val="11"/>
      <color rgb="FF00B050"/>
      <name val="Calibri"/>
    </font>
    <font>
      <sz val="11"/>
      <color rgb="FFD6E3BC"/>
      <name val="Calibri"/>
    </font>
    <font>
      <b/>
      <sz val="11"/>
      <color rgb="FFD6E3BC"/>
      <name val="Calibri"/>
    </font>
    <font>
      <b/>
      <sz val="11"/>
      <color rgb="FFE36C09"/>
      <name val="Calibri"/>
    </font>
    <font>
      <b/>
      <sz val="14"/>
      <color rgb="FF00B050"/>
      <name val="Calibri"/>
    </font>
    <font>
      <b/>
      <sz val="11"/>
      <color rgb="FFFF0000"/>
      <name val="Calibri"/>
    </font>
    <font>
      <b/>
      <sz val="12"/>
      <color theme="1"/>
      <name val="Merriweather"/>
    </font>
    <font>
      <sz val="11"/>
      <color rgb="FF0070C0"/>
      <name val="Calibri"/>
    </font>
    <font>
      <sz val="11"/>
      <color rgb="FFFF0000"/>
      <name val="Calibri"/>
    </font>
    <font>
      <sz val="14"/>
      <color rgb="FF000000"/>
      <name val="Calibri"/>
    </font>
    <font>
      <sz val="12"/>
      <color rgb="FF0070C0"/>
      <name val="Merriweather"/>
    </font>
    <font>
      <b/>
      <sz val="12"/>
      <color rgb="FFFFFF99"/>
      <name val="Merriweather"/>
    </font>
    <font>
      <sz val="11"/>
      <color rgb="FF00B050"/>
      <name val="Calibri"/>
    </font>
    <font>
      <b/>
      <sz val="11"/>
      <color theme="1"/>
      <name val="Calibri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0"/>
      <color theme="1"/>
      <name val="Corrier"/>
    </font>
    <font>
      <b/>
      <sz val="14"/>
      <color rgb="FFC00000"/>
      <name val="Arial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1"/>
      <color theme="1"/>
      <name val="Arial Narrow"/>
    </font>
    <font>
      <b/>
      <sz val="11"/>
      <color theme="0"/>
      <name val="Arial Narrow"/>
    </font>
    <font>
      <b/>
      <sz val="12"/>
      <color theme="1"/>
      <name val="Arial"/>
    </font>
    <font>
      <b/>
      <sz val="12"/>
      <color theme="0"/>
      <name val="Arial"/>
    </font>
    <font>
      <b/>
      <sz val="10"/>
      <color theme="0"/>
      <name val="Arial"/>
    </font>
    <font>
      <sz val="10"/>
      <color theme="0"/>
      <name val="Arial"/>
    </font>
    <font>
      <b/>
      <sz val="14"/>
      <color theme="1"/>
      <name val="Arial"/>
    </font>
    <font>
      <b/>
      <sz val="14"/>
      <color theme="0"/>
      <name val="Arial"/>
    </font>
    <font>
      <sz val="11"/>
      <color theme="0"/>
      <name val="Calibri"/>
    </font>
    <font>
      <sz val="12"/>
      <color theme="1"/>
      <name val="Arial"/>
    </font>
    <font>
      <sz val="12"/>
      <color theme="0"/>
      <name val="Arial"/>
    </font>
    <font>
      <sz val="18"/>
      <color theme="1"/>
      <name val="Arial"/>
    </font>
    <font>
      <b/>
      <sz val="18"/>
      <color theme="0"/>
      <name val="Arial"/>
    </font>
    <font>
      <sz val="11"/>
      <color theme="1"/>
      <name val="Corrier"/>
    </font>
    <font>
      <sz val="11"/>
      <color theme="0"/>
      <name val="Corrier"/>
    </font>
    <font>
      <b/>
      <sz val="12"/>
      <color rgb="FF000000"/>
      <name val="Arial"/>
    </font>
    <font>
      <b/>
      <sz val="14"/>
      <color rgb="FFFF0000"/>
      <name val="Arial"/>
    </font>
    <font>
      <b/>
      <sz val="10"/>
      <color theme="0"/>
      <name val="Corrier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b/>
      <sz val="20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b/>
      <sz val="14"/>
      <color rgb="FF000000"/>
      <name val="Arial"/>
    </font>
    <font>
      <sz val="16"/>
      <color rgb="FF000000"/>
      <name val="Arial"/>
    </font>
    <font>
      <b/>
      <sz val="11"/>
      <color theme="1"/>
      <name val="Arial"/>
    </font>
    <font>
      <b/>
      <sz val="14"/>
      <color rgb="FF000000"/>
      <name val="Calibri"/>
    </font>
    <font>
      <sz val="14"/>
      <color rgb="FF000000"/>
      <name val="Arial"/>
    </font>
    <font>
      <b/>
      <sz val="16"/>
      <color theme="1"/>
      <name val="Arial"/>
    </font>
    <font>
      <b/>
      <sz val="18"/>
      <color rgb="FFC00000"/>
      <name val="Arial"/>
    </font>
    <font>
      <b/>
      <sz val="16"/>
      <color rgb="FFA5A5A5"/>
      <name val="Arial"/>
    </font>
    <font>
      <b/>
      <sz val="9"/>
      <color rgb="FFFFFFFF"/>
      <name val="Calibri"/>
    </font>
    <font>
      <b/>
      <sz val="9"/>
      <color rgb="FF000000"/>
      <name val="Calibri"/>
    </font>
    <font>
      <sz val="9"/>
      <color rgb="FF000000"/>
      <name val="Calibri"/>
    </font>
    <font>
      <b/>
      <i/>
      <sz val="12"/>
      <color rgb="FFFF0000"/>
      <name val="Calibri"/>
    </font>
    <font>
      <b/>
      <sz val="9"/>
      <color rgb="FFFFFFFF"/>
      <name val="Arial"/>
    </font>
    <font>
      <sz val="9"/>
      <color theme="1"/>
      <name val="Arial"/>
    </font>
    <font>
      <b/>
      <sz val="15"/>
      <color rgb="FF80008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sz val="9"/>
      <color rgb="FF000000"/>
      <name val="Arial"/>
    </font>
    <font>
      <sz val="10"/>
      <color rgb="FF000000"/>
      <name val="Arial"/>
    </font>
    <font>
      <b/>
      <strike/>
      <sz val="10"/>
      <color rgb="FFFF0000"/>
      <name val="Arial"/>
    </font>
    <font>
      <b/>
      <sz val="9"/>
      <color rgb="FFFF0000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b/>
      <sz val="11"/>
      <color rgb="FF00B050"/>
      <name val="Arial"/>
    </font>
    <font>
      <sz val="9"/>
      <color rgb="FF808000"/>
      <name val="Arial"/>
    </font>
    <font>
      <sz val="10"/>
      <color rgb="FFFF0000"/>
      <name val="Arial"/>
    </font>
    <font>
      <b/>
      <sz val="16"/>
      <color rgb="FF0000FF"/>
      <name val="Arial"/>
    </font>
    <font>
      <sz val="11"/>
      <color rgb="FF999999"/>
      <name val="Calibri"/>
    </font>
    <font>
      <b/>
      <sz val="12"/>
      <color theme="1"/>
      <name val="Calibri"/>
    </font>
    <font>
      <sz val="11"/>
      <color rgb="FF999999"/>
      <name val="Calibri"/>
    </font>
    <font>
      <sz val="11"/>
      <color theme="9"/>
      <name val="Calibri"/>
    </font>
    <font>
      <b/>
      <sz val="16"/>
      <color theme="9"/>
      <name val="Calibri"/>
    </font>
    <font>
      <b/>
      <sz val="20"/>
      <color theme="9"/>
      <name val="Calibri"/>
    </font>
    <font>
      <sz val="11"/>
      <color theme="9"/>
      <name val="Calibri"/>
    </font>
    <font>
      <sz val="14"/>
      <color theme="9"/>
      <name val="Calibri"/>
    </font>
    <font>
      <sz val="14"/>
      <color rgb="FF999999"/>
      <name val="Calibri"/>
    </font>
    <font>
      <sz val="11"/>
      <color theme="9"/>
      <name val="Arial"/>
    </font>
    <font>
      <b/>
      <sz val="16"/>
      <color theme="9"/>
      <name val="Arial"/>
    </font>
    <font>
      <b/>
      <sz val="11"/>
      <color theme="9"/>
      <name val="Arial"/>
    </font>
    <font>
      <sz val="11"/>
      <color rgb="FF999999"/>
      <name val="Arial"/>
    </font>
    <font>
      <sz val="16"/>
      <color theme="1"/>
      <name val="Arial"/>
    </font>
    <font>
      <sz val="16"/>
      <color rgb="FF999999"/>
      <name val="Arial"/>
    </font>
    <font>
      <b/>
      <sz val="16"/>
      <color rgb="FF999999"/>
      <name val="Arial"/>
    </font>
    <font>
      <sz val="18"/>
      <color rgb="FFFABF8F"/>
      <name val="Calibri"/>
    </font>
    <font>
      <b/>
      <sz val="10"/>
      <color rgb="FFFF0000"/>
      <name val="Arial Narrow"/>
    </font>
    <font>
      <b/>
      <sz val="12"/>
      <color rgb="FFC00000"/>
      <name val="Arial"/>
    </font>
    <font>
      <b/>
      <sz val="11"/>
      <color rgb="FFC00000"/>
      <name val="Arial"/>
    </font>
    <font>
      <b/>
      <sz val="12"/>
      <color rgb="FF00B0F0"/>
      <name val="Arial"/>
    </font>
    <font>
      <b/>
      <sz val="10"/>
      <color rgb="FFC00000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sz val="11"/>
      <color rgb="FFFF0000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9"/>
      <color theme="1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b/>
      <sz val="10"/>
      <color rgb="FF0070C0"/>
      <name val="Arial"/>
    </font>
  </fonts>
  <fills count="2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  <fill>
      <patternFill patternType="solid">
        <fgColor rgb="FFFFF2CC"/>
        <bgColor rgb="FFFFF2CC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C3FB25"/>
        <bgColor rgb="FFC3FB25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99594"/>
        <bgColor rgb="FFD99594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0070C0"/>
        <bgColor rgb="FF0070C0"/>
      </patternFill>
    </fill>
    <fill>
      <patternFill patternType="solid">
        <fgColor rgb="FFD9D9D9"/>
        <bgColor rgb="FFD9D9D9"/>
      </patternFill>
    </fill>
    <fill>
      <patternFill patternType="solid">
        <fgColor rgb="FFC00000"/>
        <bgColor rgb="FFC00000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</fills>
  <borders count="10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0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1" fillId="2" borderId="0" xfId="0" applyFont="1" applyFill="1"/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4" fontId="13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49" fontId="16" fillId="0" borderId="0" xfId="0" applyNumberFormat="1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10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2" fillId="4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" fillId="4" borderId="0" xfId="0" applyFont="1" applyFill="1"/>
    <xf numFmtId="0" fontId="26" fillId="0" borderId="0" xfId="0" applyFont="1" applyAlignment="1">
      <alignment horizontal="center"/>
    </xf>
    <xf numFmtId="0" fontId="26" fillId="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3" fillId="6" borderId="7" xfId="0" applyFont="1" applyFill="1" applyBorder="1" applyAlignment="1">
      <alignment vertical="center"/>
    </xf>
    <xf numFmtId="0" fontId="29" fillId="0" borderId="8" xfId="0" applyFont="1" applyBorder="1"/>
    <xf numFmtId="0" fontId="3" fillId="0" borderId="0" xfId="0" applyFont="1" applyAlignment="1">
      <alignment vertical="center"/>
    </xf>
    <xf numFmtId="0" fontId="35" fillId="10" borderId="0" xfId="0" applyFont="1" applyFill="1" applyAlignment="1">
      <alignment vertical="center"/>
    </xf>
    <xf numFmtId="0" fontId="36" fillId="8" borderId="19" xfId="0" applyFont="1" applyFill="1" applyBorder="1" applyAlignment="1">
      <alignment horizontal="center" vertical="center" textRotation="90" wrapText="1"/>
    </xf>
    <xf numFmtId="0" fontId="37" fillId="8" borderId="3" xfId="0" applyFont="1" applyFill="1" applyBorder="1" applyAlignment="1">
      <alignment horizontal="center" vertical="center" wrapText="1"/>
    </xf>
    <xf numFmtId="0" fontId="38" fillId="9" borderId="19" xfId="0" applyFont="1" applyFill="1" applyBorder="1" applyAlignment="1">
      <alignment horizontal="center" vertical="center" textRotation="90" wrapText="1"/>
    </xf>
    <xf numFmtId="0" fontId="39" fillId="9" borderId="3" xfId="0" applyFont="1" applyFill="1" applyBorder="1" applyAlignment="1">
      <alignment horizontal="center" vertical="center" wrapText="1"/>
    </xf>
    <xf numFmtId="0" fontId="40" fillId="10" borderId="19" xfId="0" applyFont="1" applyFill="1" applyBorder="1" applyAlignment="1">
      <alignment horizontal="center" vertical="center" textRotation="90" wrapText="1"/>
    </xf>
    <xf numFmtId="0" fontId="41" fillId="10" borderId="3" xfId="0" applyFont="1" applyFill="1" applyBorder="1" applyAlignment="1">
      <alignment horizontal="center" vertical="center" wrapText="1"/>
    </xf>
    <xf numFmtId="0" fontId="42" fillId="10" borderId="0" xfId="0" applyFont="1" applyFill="1"/>
    <xf numFmtId="0" fontId="25" fillId="8" borderId="34" xfId="0" applyFont="1" applyFill="1" applyBorder="1" applyAlignment="1">
      <alignment horizontal="center" vertical="center"/>
    </xf>
    <xf numFmtId="0" fontId="5" fillId="8" borderId="37" xfId="0" applyFont="1" applyFill="1" applyBorder="1" applyAlignment="1">
      <alignment wrapText="1"/>
    </xf>
    <xf numFmtId="0" fontId="1" fillId="8" borderId="38" xfId="0" applyFont="1" applyFill="1" applyBorder="1" applyAlignment="1">
      <alignment horizontal="center"/>
    </xf>
    <xf numFmtId="0" fontId="44" fillId="8" borderId="37" xfId="0" applyFont="1" applyFill="1" applyBorder="1" applyAlignment="1">
      <alignment horizontal="center" wrapText="1"/>
    </xf>
    <xf numFmtId="0" fontId="1" fillId="8" borderId="3" xfId="0" applyFont="1" applyFill="1" applyBorder="1"/>
    <xf numFmtId="0" fontId="3" fillId="9" borderId="34" xfId="0" applyFont="1" applyFill="1" applyBorder="1" applyAlignment="1">
      <alignment horizontal="center" vertical="center"/>
    </xf>
    <xf numFmtId="0" fontId="1" fillId="9" borderId="37" xfId="0" applyFont="1" applyFill="1" applyBorder="1"/>
    <xf numFmtId="0" fontId="1" fillId="9" borderId="38" xfId="0" applyFont="1" applyFill="1" applyBorder="1" applyAlignment="1">
      <alignment horizontal="center"/>
    </xf>
    <xf numFmtId="0" fontId="5" fillId="9" borderId="37" xfId="0" applyFont="1" applyFill="1" applyBorder="1" applyAlignment="1">
      <alignment horizontal="center" wrapText="1"/>
    </xf>
    <xf numFmtId="0" fontId="1" fillId="9" borderId="3" xfId="0" applyFont="1" applyFill="1" applyBorder="1"/>
    <xf numFmtId="0" fontId="35" fillId="10" borderId="34" xfId="0" applyFont="1" applyFill="1" applyBorder="1" applyAlignment="1">
      <alignment horizontal="center" vertical="center"/>
    </xf>
    <xf numFmtId="0" fontId="45" fillId="10" borderId="37" xfId="0" applyFont="1" applyFill="1" applyBorder="1"/>
    <xf numFmtId="0" fontId="45" fillId="10" borderId="38" xfId="0" applyFont="1" applyFill="1" applyBorder="1" applyAlignment="1">
      <alignment horizontal="center"/>
    </xf>
    <xf numFmtId="0" fontId="46" fillId="10" borderId="37" xfId="0" applyFont="1" applyFill="1" applyBorder="1" applyAlignment="1">
      <alignment horizontal="center" wrapText="1"/>
    </xf>
    <xf numFmtId="0" fontId="45" fillId="10" borderId="3" xfId="0" applyFont="1" applyFill="1" applyBorder="1"/>
    <xf numFmtId="0" fontId="25" fillId="8" borderId="44" xfId="0" applyFont="1" applyFill="1" applyBorder="1" applyAlignment="1">
      <alignment horizontal="center" vertical="center"/>
    </xf>
    <xf numFmtId="0" fontId="5" fillId="8" borderId="44" xfId="0" applyFont="1" applyFill="1" applyBorder="1"/>
    <xf numFmtId="0" fontId="1" fillId="8" borderId="47" xfId="0" applyFont="1" applyFill="1" applyBorder="1" applyAlignment="1">
      <alignment horizontal="center"/>
    </xf>
    <xf numFmtId="0" fontId="44" fillId="8" borderId="44" xfId="0" applyFont="1" applyFill="1" applyBorder="1" applyAlignment="1">
      <alignment horizontal="center" wrapText="1"/>
    </xf>
    <xf numFmtId="0" fontId="1" fillId="8" borderId="49" xfId="0" applyFont="1" applyFill="1" applyBorder="1"/>
    <xf numFmtId="0" fontId="3" fillId="9" borderId="44" xfId="0" applyFont="1" applyFill="1" applyBorder="1" applyAlignment="1">
      <alignment horizontal="center" vertical="center"/>
    </xf>
    <xf numFmtId="0" fontId="1" fillId="9" borderId="52" xfId="0" applyFont="1" applyFill="1" applyBorder="1"/>
    <xf numFmtId="0" fontId="1" fillId="9" borderId="47" xfId="0" applyFont="1" applyFill="1" applyBorder="1" applyAlignment="1">
      <alignment horizontal="center"/>
    </xf>
    <xf numFmtId="0" fontId="5" fillId="9" borderId="44" xfId="0" applyFont="1" applyFill="1" applyBorder="1" applyAlignment="1">
      <alignment horizontal="center" wrapText="1"/>
    </xf>
    <xf numFmtId="0" fontId="1" fillId="9" borderId="49" xfId="0" applyFont="1" applyFill="1" applyBorder="1"/>
    <xf numFmtId="0" fontId="35" fillId="10" borderId="52" xfId="0" applyFont="1" applyFill="1" applyBorder="1" applyAlignment="1">
      <alignment horizontal="center" vertical="center"/>
    </xf>
    <xf numFmtId="0" fontId="45" fillId="10" borderId="52" xfId="0" applyFont="1" applyFill="1" applyBorder="1"/>
    <xf numFmtId="0" fontId="45" fillId="10" borderId="47" xfId="0" applyFont="1" applyFill="1" applyBorder="1" applyAlignment="1">
      <alignment horizontal="center"/>
    </xf>
    <xf numFmtId="0" fontId="46" fillId="10" borderId="44" xfId="0" applyFont="1" applyFill="1" applyBorder="1" applyAlignment="1">
      <alignment horizontal="center" wrapText="1"/>
    </xf>
    <xf numFmtId="0" fontId="45" fillId="10" borderId="49" xfId="0" applyFont="1" applyFill="1" applyBorder="1"/>
    <xf numFmtId="0" fontId="35" fillId="10" borderId="44" xfId="0" applyFont="1" applyFill="1" applyBorder="1" applyAlignment="1">
      <alignment horizontal="center" vertical="center"/>
    </xf>
    <xf numFmtId="0" fontId="45" fillId="10" borderId="54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4" fontId="47" fillId="0" borderId="56" xfId="0" applyNumberFormat="1" applyFont="1" applyBorder="1" applyAlignment="1">
      <alignment horizontal="center"/>
    </xf>
    <xf numFmtId="0" fontId="25" fillId="8" borderId="57" xfId="0" applyFont="1" applyFill="1" applyBorder="1" applyAlignment="1">
      <alignment horizontal="center" vertical="center"/>
    </xf>
    <xf numFmtId="0" fontId="1" fillId="8" borderId="49" xfId="0" applyFont="1" applyFill="1" applyBorder="1" applyAlignment="1">
      <alignment horizontal="center"/>
    </xf>
    <xf numFmtId="4" fontId="1" fillId="8" borderId="44" xfId="0" applyNumberFormat="1" applyFont="1" applyFill="1" applyBorder="1" applyAlignment="1">
      <alignment horizontal="center"/>
    </xf>
    <xf numFmtId="10" fontId="1" fillId="8" borderId="44" xfId="0" applyNumberFormat="1" applyFont="1" applyFill="1" applyBorder="1" applyAlignment="1">
      <alignment horizontal="center"/>
    </xf>
    <xf numFmtId="49" fontId="1" fillId="8" borderId="47" xfId="0" applyNumberFormat="1" applyFont="1" applyFill="1" applyBorder="1" applyAlignment="1">
      <alignment horizontal="center" wrapText="1"/>
    </xf>
    <xf numFmtId="49" fontId="1" fillId="8" borderId="57" xfId="0" applyNumberFormat="1" applyFont="1" applyFill="1" applyBorder="1" applyAlignment="1">
      <alignment horizontal="center" wrapText="1"/>
    </xf>
    <xf numFmtId="2" fontId="1" fillId="8" borderId="49" xfId="0" applyNumberFormat="1" applyFont="1" applyFill="1" applyBorder="1" applyAlignment="1">
      <alignment horizontal="center"/>
    </xf>
    <xf numFmtId="0" fontId="44" fillId="8" borderId="60" xfId="0" applyFont="1" applyFill="1" applyBorder="1" applyAlignment="1">
      <alignment horizontal="center"/>
    </xf>
    <xf numFmtId="0" fontId="3" fillId="9" borderId="61" xfId="0" applyFont="1" applyFill="1" applyBorder="1" applyAlignment="1">
      <alignment horizontal="center" vertical="center"/>
    </xf>
    <xf numFmtId="0" fontId="3" fillId="9" borderId="57" xfId="0" applyFont="1" applyFill="1" applyBorder="1" applyAlignment="1">
      <alignment horizontal="center" vertical="center"/>
    </xf>
    <xf numFmtId="0" fontId="1" fillId="9" borderId="49" xfId="0" applyFont="1" applyFill="1" applyBorder="1" applyAlignment="1">
      <alignment horizontal="center"/>
    </xf>
    <xf numFmtId="4" fontId="1" fillId="9" borderId="44" xfId="0" applyNumberFormat="1" applyFont="1" applyFill="1" applyBorder="1" applyAlignment="1">
      <alignment horizontal="center"/>
    </xf>
    <xf numFmtId="10" fontId="1" fillId="9" borderId="44" xfId="0" applyNumberFormat="1" applyFont="1" applyFill="1" applyBorder="1" applyAlignment="1">
      <alignment horizontal="center"/>
    </xf>
    <xf numFmtId="49" fontId="1" fillId="9" borderId="47" xfId="0" applyNumberFormat="1" applyFont="1" applyFill="1" applyBorder="1" applyAlignment="1">
      <alignment horizontal="center" wrapText="1"/>
    </xf>
    <xf numFmtId="49" fontId="1" fillId="9" borderId="57" xfId="0" applyNumberFormat="1" applyFont="1" applyFill="1" applyBorder="1" applyAlignment="1">
      <alignment horizontal="center" wrapText="1"/>
    </xf>
    <xf numFmtId="2" fontId="1" fillId="9" borderId="49" xfId="0" applyNumberFormat="1" applyFont="1" applyFill="1" applyBorder="1" applyAlignment="1">
      <alignment horizontal="center"/>
    </xf>
    <xf numFmtId="0" fontId="35" fillId="10" borderId="61" xfId="0" applyFont="1" applyFill="1" applyBorder="1" applyAlignment="1">
      <alignment horizontal="center" vertical="center"/>
    </xf>
    <xf numFmtId="0" fontId="35" fillId="10" borderId="57" xfId="0" applyFont="1" applyFill="1" applyBorder="1" applyAlignment="1">
      <alignment horizontal="center" vertical="center"/>
    </xf>
    <xf numFmtId="0" fontId="45" fillId="10" borderId="49" xfId="0" applyFont="1" applyFill="1" applyBorder="1" applyAlignment="1">
      <alignment horizontal="center"/>
    </xf>
    <xf numFmtId="4" fontId="45" fillId="10" borderId="49" xfId="0" applyNumberFormat="1" applyFont="1" applyFill="1" applyBorder="1" applyAlignment="1">
      <alignment horizontal="center"/>
    </xf>
    <xf numFmtId="10" fontId="45" fillId="10" borderId="44" xfId="0" applyNumberFormat="1" applyFont="1" applyFill="1" applyBorder="1" applyAlignment="1">
      <alignment horizontal="center"/>
    </xf>
    <xf numFmtId="49" fontId="45" fillId="10" borderId="47" xfId="0" applyNumberFormat="1" applyFont="1" applyFill="1" applyBorder="1" applyAlignment="1">
      <alignment horizontal="center" wrapText="1"/>
    </xf>
    <xf numFmtId="49" fontId="45" fillId="10" borderId="57" xfId="0" applyNumberFormat="1" applyFont="1" applyFill="1" applyBorder="1" applyAlignment="1">
      <alignment horizontal="center" wrapText="1"/>
    </xf>
    <xf numFmtId="2" fontId="45" fillId="10" borderId="49" xfId="0" applyNumberFormat="1" applyFont="1" applyFill="1" applyBorder="1" applyAlignment="1">
      <alignment horizontal="center"/>
    </xf>
    <xf numFmtId="0" fontId="45" fillId="10" borderId="62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4" fontId="47" fillId="0" borderId="4" xfId="0" applyNumberFormat="1" applyFont="1" applyBorder="1" applyAlignment="1">
      <alignment horizontal="center"/>
    </xf>
    <xf numFmtId="0" fontId="25" fillId="8" borderId="63" xfId="0" applyFont="1" applyFill="1" applyBorder="1" applyAlignment="1">
      <alignment horizontal="center" vertical="center"/>
    </xf>
    <xf numFmtId="4" fontId="1" fillId="8" borderId="64" xfId="0" applyNumberFormat="1" applyFont="1" applyFill="1" applyBorder="1" applyAlignment="1">
      <alignment horizontal="center"/>
    </xf>
    <xf numFmtId="10" fontId="1" fillId="8" borderId="64" xfId="0" applyNumberFormat="1" applyFont="1" applyFill="1" applyBorder="1" applyAlignment="1">
      <alignment horizontal="center"/>
    </xf>
    <xf numFmtId="0" fontId="1" fillId="8" borderId="65" xfId="0" applyFont="1" applyFill="1" applyBorder="1" applyAlignment="1">
      <alignment horizontal="center"/>
    </xf>
    <xf numFmtId="0" fontId="44" fillId="8" borderId="66" xfId="0" applyFont="1" applyFill="1" applyBorder="1" applyAlignment="1">
      <alignment horizontal="center"/>
    </xf>
    <xf numFmtId="0" fontId="3" fillId="9" borderId="67" xfId="0" applyFont="1" applyFill="1" applyBorder="1" applyAlignment="1">
      <alignment horizontal="center" vertical="center"/>
    </xf>
    <xf numFmtId="0" fontId="3" fillId="9" borderId="63" xfId="0" applyFont="1" applyFill="1" applyBorder="1" applyAlignment="1">
      <alignment horizontal="center" vertical="center"/>
    </xf>
    <xf numFmtId="4" fontId="1" fillId="9" borderId="64" xfId="0" applyNumberFormat="1" applyFont="1" applyFill="1" applyBorder="1" applyAlignment="1">
      <alignment horizontal="center"/>
    </xf>
    <xf numFmtId="10" fontId="1" fillId="9" borderId="64" xfId="0" applyNumberFormat="1" applyFont="1" applyFill="1" applyBorder="1" applyAlignment="1">
      <alignment horizontal="center"/>
    </xf>
    <xf numFmtId="0" fontId="1" fillId="9" borderId="65" xfId="0" applyFont="1" applyFill="1" applyBorder="1" applyAlignment="1">
      <alignment horizontal="center"/>
    </xf>
    <xf numFmtId="0" fontId="35" fillId="10" borderId="67" xfId="0" applyFont="1" applyFill="1" applyBorder="1" applyAlignment="1">
      <alignment horizontal="center" vertical="center"/>
    </xf>
    <xf numFmtId="0" fontId="35" fillId="10" borderId="63" xfId="0" applyFont="1" applyFill="1" applyBorder="1" applyAlignment="1">
      <alignment horizontal="center" vertical="center"/>
    </xf>
    <xf numFmtId="4" fontId="45" fillId="10" borderId="65" xfId="0" applyNumberFormat="1" applyFont="1" applyFill="1" applyBorder="1" applyAlignment="1">
      <alignment horizontal="center"/>
    </xf>
    <xf numFmtId="10" fontId="45" fillId="10" borderId="64" xfId="0" applyNumberFormat="1" applyFont="1" applyFill="1" applyBorder="1" applyAlignment="1">
      <alignment horizontal="center"/>
    </xf>
    <xf numFmtId="0" fontId="45" fillId="10" borderId="65" xfId="0" applyFont="1" applyFill="1" applyBorder="1" applyAlignment="1">
      <alignment horizontal="center"/>
    </xf>
    <xf numFmtId="0" fontId="45" fillId="10" borderId="68" xfId="0" applyFont="1" applyFill="1" applyBorder="1" applyAlignment="1">
      <alignment horizontal="center"/>
    </xf>
    <xf numFmtId="0" fontId="5" fillId="0" borderId="0" xfId="0" applyFont="1"/>
    <xf numFmtId="10" fontId="5" fillId="8" borderId="64" xfId="0" applyNumberFormat="1" applyFont="1" applyFill="1" applyBorder="1" applyAlignment="1">
      <alignment horizontal="center"/>
    </xf>
    <xf numFmtId="2" fontId="5" fillId="8" borderId="49" xfId="0" applyNumberFormat="1" applyFont="1" applyFill="1" applyBorder="1" applyAlignment="1">
      <alignment horizontal="center"/>
    </xf>
    <xf numFmtId="0" fontId="5" fillId="8" borderId="65" xfId="0" applyFont="1" applyFill="1" applyBorder="1" applyAlignment="1">
      <alignment horizontal="center"/>
    </xf>
    <xf numFmtId="0" fontId="49" fillId="8" borderId="65" xfId="0" applyFont="1" applyFill="1" applyBorder="1" applyAlignment="1">
      <alignment horizontal="center"/>
    </xf>
    <xf numFmtId="0" fontId="5" fillId="8" borderId="49" xfId="0" applyFont="1" applyFill="1" applyBorder="1" applyAlignment="1">
      <alignment horizontal="center"/>
    </xf>
    <xf numFmtId="10" fontId="5" fillId="9" borderId="64" xfId="0" applyNumberFormat="1" applyFont="1" applyFill="1" applyBorder="1" applyAlignment="1">
      <alignment horizontal="center"/>
    </xf>
    <xf numFmtId="2" fontId="5" fillId="9" borderId="49" xfId="0" applyNumberFormat="1" applyFont="1" applyFill="1" applyBorder="1" applyAlignment="1">
      <alignment horizontal="center"/>
    </xf>
    <xf numFmtId="0" fontId="5" fillId="9" borderId="65" xfId="0" applyFont="1" applyFill="1" applyBorder="1" applyAlignment="1">
      <alignment horizontal="center"/>
    </xf>
    <xf numFmtId="4" fontId="46" fillId="10" borderId="65" xfId="0" applyNumberFormat="1" applyFont="1" applyFill="1" applyBorder="1" applyAlignment="1">
      <alignment horizontal="center"/>
    </xf>
    <xf numFmtId="10" fontId="46" fillId="10" borderId="64" xfId="0" applyNumberFormat="1" applyFont="1" applyFill="1" applyBorder="1" applyAlignment="1">
      <alignment horizontal="center"/>
    </xf>
    <xf numFmtId="2" fontId="46" fillId="10" borderId="49" xfId="0" applyNumberFormat="1" applyFont="1" applyFill="1" applyBorder="1" applyAlignment="1">
      <alignment horizontal="center"/>
    </xf>
    <xf numFmtId="0" fontId="46" fillId="10" borderId="65" xfId="0" applyFont="1" applyFill="1" applyBorder="1" applyAlignment="1">
      <alignment horizontal="center"/>
    </xf>
    <xf numFmtId="0" fontId="46" fillId="10" borderId="68" xfId="0" applyFont="1" applyFill="1" applyBorder="1" applyAlignment="1">
      <alignment horizontal="center"/>
    </xf>
    <xf numFmtId="0" fontId="46" fillId="10" borderId="0" xfId="0" applyFont="1" applyFill="1"/>
    <xf numFmtId="0" fontId="6" fillId="0" borderId="1" xfId="0" applyFont="1" applyBorder="1"/>
    <xf numFmtId="0" fontId="1" fillId="0" borderId="0" xfId="0" applyFont="1" applyAlignment="1">
      <alignment horizontal="center"/>
    </xf>
    <xf numFmtId="0" fontId="35" fillId="10" borderId="0" xfId="0" applyFont="1" applyFill="1" applyAlignment="1">
      <alignment horizontal="center" vertical="center"/>
    </xf>
    <xf numFmtId="0" fontId="45" fillId="10" borderId="0" xfId="0" applyFont="1" applyFill="1"/>
    <xf numFmtId="0" fontId="50" fillId="11" borderId="4" xfId="0" applyFont="1" applyFill="1" applyBorder="1" applyAlignment="1">
      <alignment horizontal="left" vertical="center"/>
    </xf>
    <xf numFmtId="0" fontId="1" fillId="11" borderId="6" xfId="0" applyFont="1" applyFill="1" applyBorder="1"/>
    <xf numFmtId="49" fontId="44" fillId="12" borderId="3" xfId="0" applyNumberFormat="1" applyFont="1" applyFill="1" applyBorder="1"/>
    <xf numFmtId="49" fontId="1" fillId="12" borderId="3" xfId="0" applyNumberFormat="1" applyFont="1" applyFill="1" applyBorder="1"/>
    <xf numFmtId="49" fontId="1" fillId="0" borderId="0" xfId="0" applyNumberFormat="1" applyFont="1"/>
    <xf numFmtId="49" fontId="6" fillId="13" borderId="3" xfId="0" applyNumberFormat="1" applyFont="1" applyFill="1" applyBorder="1"/>
    <xf numFmtId="0" fontId="51" fillId="13" borderId="3" xfId="0" applyFont="1" applyFill="1" applyBorder="1"/>
    <xf numFmtId="0" fontId="52" fillId="0" borderId="0" xfId="0" applyFont="1"/>
    <xf numFmtId="2" fontId="52" fillId="6" borderId="3" xfId="0" applyNumberFormat="1" applyFont="1" applyFill="1" applyBorder="1" applyAlignment="1">
      <alignment horizontal="center"/>
    </xf>
    <xf numFmtId="0" fontId="53" fillId="0" borderId="0" xfId="0" applyFont="1"/>
    <xf numFmtId="0" fontId="54" fillId="0" borderId="0" xfId="0" applyFont="1" applyAlignment="1">
      <alignment horizontal="left" vertical="center"/>
    </xf>
    <xf numFmtId="0" fontId="1" fillId="0" borderId="0" xfId="0" applyFont="1" applyAlignment="1">
      <alignment textRotation="90"/>
    </xf>
    <xf numFmtId="0" fontId="1" fillId="12" borderId="3" xfId="0" applyFont="1" applyFill="1" applyBorder="1"/>
    <xf numFmtId="0" fontId="6" fillId="13" borderId="3" xfId="0" applyFont="1" applyFill="1" applyBorder="1"/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textRotation="90"/>
    </xf>
    <xf numFmtId="0" fontId="44" fillId="12" borderId="3" xfId="0" applyFont="1" applyFill="1" applyBorder="1"/>
    <xf numFmtId="0" fontId="1" fillId="12" borderId="3" xfId="0" applyFont="1" applyFill="1" applyBorder="1" applyAlignment="1">
      <alignment horizontal="center" vertical="center"/>
    </xf>
    <xf numFmtId="49" fontId="51" fillId="13" borderId="3" xfId="0" applyNumberFormat="1" applyFont="1" applyFill="1" applyBorder="1" applyAlignment="1">
      <alignment horizontal="center" vertical="center"/>
    </xf>
    <xf numFmtId="0" fontId="55" fillId="4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6" fillId="12" borderId="3" xfId="0" applyFont="1" applyFill="1" applyBorder="1"/>
    <xf numFmtId="0" fontId="5" fillId="12" borderId="3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56" fillId="0" borderId="0" xfId="0" applyNumberFormat="1" applyFont="1"/>
    <xf numFmtId="0" fontId="57" fillId="9" borderId="0" xfId="0" applyFont="1" applyFill="1" applyAlignment="1">
      <alignment horizontal="center"/>
    </xf>
    <xf numFmtId="0" fontId="58" fillId="0" borderId="0" xfId="0" applyFont="1" applyAlignment="1">
      <alignment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58" fillId="0" borderId="1" xfId="0" applyFont="1" applyBorder="1" applyAlignment="1">
      <alignment horizontal="left" vertical="center" wrapText="1"/>
    </xf>
    <xf numFmtId="0" fontId="58" fillId="0" borderId="2" xfId="0" applyFont="1" applyBorder="1" applyAlignment="1">
      <alignment horizontal="left" vertical="center"/>
    </xf>
    <xf numFmtId="0" fontId="58" fillId="0" borderId="1" xfId="0" applyFont="1" applyBorder="1" applyAlignment="1">
      <alignment horizontal="left" vertical="center"/>
    </xf>
    <xf numFmtId="0" fontId="60" fillId="0" borderId="0" xfId="0" applyFont="1" applyAlignment="1">
      <alignment horizontal="center" vertical="top"/>
    </xf>
    <xf numFmtId="0" fontId="60" fillId="0" borderId="1" xfId="0" applyFont="1" applyBorder="1" applyAlignment="1">
      <alignment horizontal="center" vertical="center"/>
    </xf>
    <xf numFmtId="0" fontId="64" fillId="15" borderId="6" xfId="0" applyFont="1" applyFill="1" applyBorder="1" applyAlignment="1">
      <alignment horizontal="left" vertical="top"/>
    </xf>
    <xf numFmtId="22" fontId="63" fillId="16" borderId="72" xfId="0" applyNumberFormat="1" applyFont="1" applyFill="1" applyBorder="1" applyAlignment="1">
      <alignment horizontal="left" vertical="center"/>
    </xf>
    <xf numFmtId="0" fontId="63" fillId="16" borderId="65" xfId="0" applyFont="1" applyFill="1" applyBorder="1" applyAlignment="1">
      <alignment horizontal="left" vertical="center"/>
    </xf>
    <xf numFmtId="22" fontId="63" fillId="16" borderId="65" xfId="0" applyNumberFormat="1" applyFont="1" applyFill="1" applyBorder="1" applyAlignment="1">
      <alignment horizontal="left" vertical="center"/>
    </xf>
    <xf numFmtId="0" fontId="58" fillId="0" borderId="4" xfId="0" applyFont="1" applyBorder="1" applyAlignment="1">
      <alignment horizontal="left" vertical="center"/>
    </xf>
    <xf numFmtId="22" fontId="63" fillId="16" borderId="68" xfId="0" applyNumberFormat="1" applyFont="1" applyFill="1" applyBorder="1" applyAlignment="1">
      <alignment horizontal="left" vertical="center"/>
    </xf>
    <xf numFmtId="0" fontId="58" fillId="16" borderId="3" xfId="0" applyFont="1" applyFill="1" applyBorder="1" applyAlignment="1">
      <alignment horizontal="center" vertical="center"/>
    </xf>
    <xf numFmtId="0" fontId="66" fillId="10" borderId="3" xfId="0" applyFont="1" applyFill="1" applyBorder="1" applyAlignment="1">
      <alignment horizontal="center" vertical="center"/>
    </xf>
    <xf numFmtId="0" fontId="58" fillId="10" borderId="0" xfId="0" applyFont="1" applyFill="1" applyAlignment="1">
      <alignment vertical="center"/>
    </xf>
    <xf numFmtId="0" fontId="58" fillId="0" borderId="0" xfId="0" applyFont="1"/>
    <xf numFmtId="0" fontId="58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1" fillId="10" borderId="0" xfId="0" applyFont="1" applyFill="1"/>
    <xf numFmtId="0" fontId="58" fillId="10" borderId="0" xfId="0" applyFont="1" applyFill="1"/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right" vertical="center"/>
    </xf>
    <xf numFmtId="165" fontId="58" fillId="0" borderId="0" xfId="0" applyNumberFormat="1" applyFont="1" applyAlignment="1">
      <alignment horizontal="center" vertical="center"/>
    </xf>
    <xf numFmtId="0" fontId="29" fillId="5" borderId="3" xfId="0" applyFont="1" applyFill="1" applyBorder="1"/>
    <xf numFmtId="0" fontId="29" fillId="10" borderId="3" xfId="0" applyFont="1" applyFill="1" applyBorder="1"/>
    <xf numFmtId="0" fontId="61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 wrapText="1"/>
    </xf>
    <xf numFmtId="0" fontId="72" fillId="10" borderId="0" xfId="0" applyFont="1" applyFill="1" applyAlignment="1">
      <alignment horizontal="center" vertical="center" wrapText="1"/>
    </xf>
    <xf numFmtId="0" fontId="73" fillId="0" borderId="75" xfId="0" applyFont="1" applyBorder="1" applyAlignment="1">
      <alignment horizontal="center" vertical="center"/>
    </xf>
    <xf numFmtId="0" fontId="74" fillId="10" borderId="0" xfId="0" applyFont="1" applyFill="1" applyAlignment="1">
      <alignment horizontal="center" vertical="center"/>
    </xf>
    <xf numFmtId="49" fontId="61" fillId="0" borderId="0" xfId="0" applyNumberFormat="1" applyFont="1" applyAlignment="1">
      <alignment horizontal="center" vertical="center"/>
    </xf>
    <xf numFmtId="49" fontId="75" fillId="10" borderId="0" xfId="0" applyNumberFormat="1" applyFont="1" applyFill="1" applyAlignment="1">
      <alignment horizontal="center" vertical="center"/>
    </xf>
    <xf numFmtId="165" fontId="76" fillId="10" borderId="0" xfId="0" applyNumberFormat="1" applyFont="1" applyFill="1" applyAlignment="1">
      <alignment horizontal="center" vertical="center"/>
    </xf>
    <xf numFmtId="166" fontId="77" fillId="0" borderId="75" xfId="0" applyNumberFormat="1" applyFont="1" applyBorder="1" applyAlignment="1">
      <alignment horizontal="center" vertical="center"/>
    </xf>
    <xf numFmtId="166" fontId="78" fillId="10" borderId="0" xfId="0" applyNumberFormat="1" applyFont="1" applyFill="1" applyAlignment="1">
      <alignment horizontal="center" vertical="center"/>
    </xf>
    <xf numFmtId="10" fontId="73" fillId="0" borderId="0" xfId="0" applyNumberFormat="1" applyFont="1" applyAlignment="1">
      <alignment horizontal="center" vertical="center"/>
    </xf>
    <xf numFmtId="10" fontId="74" fillId="10" borderId="0" xfId="0" applyNumberFormat="1" applyFont="1" applyFill="1" applyAlignment="1">
      <alignment horizontal="center" vertical="center"/>
    </xf>
    <xf numFmtId="10" fontId="77" fillId="0" borderId="75" xfId="0" applyNumberFormat="1" applyFont="1" applyBorder="1" applyAlignment="1">
      <alignment horizontal="center" vertical="center"/>
    </xf>
    <xf numFmtId="10" fontId="78" fillId="10" borderId="0" xfId="0" applyNumberFormat="1" applyFont="1" applyFill="1" applyAlignment="1">
      <alignment horizontal="center" vertical="center"/>
    </xf>
    <xf numFmtId="0" fontId="69" fillId="0" borderId="0" xfId="0" applyFont="1" applyAlignment="1">
      <alignment vertical="center"/>
    </xf>
    <xf numFmtId="0" fontId="69" fillId="0" borderId="0" xfId="0" applyFont="1" applyAlignment="1">
      <alignment horizontal="right" vertical="center"/>
    </xf>
    <xf numFmtId="166" fontId="77" fillId="17" borderId="76" xfId="0" applyNumberFormat="1" applyFont="1" applyFill="1" applyBorder="1" applyAlignment="1">
      <alignment horizontal="center" vertical="center"/>
    </xf>
    <xf numFmtId="10" fontId="77" fillId="0" borderId="0" xfId="0" applyNumberFormat="1" applyFont="1" applyAlignment="1">
      <alignment horizontal="center" vertical="center"/>
    </xf>
    <xf numFmtId="166" fontId="74" fillId="10" borderId="0" xfId="0" applyNumberFormat="1" applyFont="1" applyFill="1" applyAlignment="1">
      <alignment horizontal="center" vertical="center"/>
    </xf>
    <xf numFmtId="10" fontId="77" fillId="17" borderId="3" xfId="0" applyNumberFormat="1" applyFont="1" applyFill="1" applyBorder="1" applyAlignment="1">
      <alignment horizontal="center" vertical="center"/>
    </xf>
    <xf numFmtId="10" fontId="77" fillId="17" borderId="71" xfId="0" applyNumberFormat="1" applyFont="1" applyFill="1" applyBorder="1" applyAlignment="1">
      <alignment horizontal="center" vertical="center"/>
    </xf>
    <xf numFmtId="0" fontId="79" fillId="10" borderId="0" xfId="0" applyFont="1" applyFill="1"/>
    <xf numFmtId="167" fontId="58" fillId="0" borderId="0" xfId="0" applyNumberFormat="1" applyFont="1" applyAlignment="1">
      <alignment horizontal="center" vertical="center"/>
    </xf>
    <xf numFmtId="10" fontId="76" fillId="10" borderId="0" xfId="0" applyNumberFormat="1" applyFont="1" applyFill="1" applyAlignment="1">
      <alignment horizontal="center" vertical="center"/>
    </xf>
    <xf numFmtId="0" fontId="76" fillId="10" borderId="0" xfId="0" applyFont="1" applyFill="1" applyAlignment="1">
      <alignment vertical="center"/>
    </xf>
    <xf numFmtId="0" fontId="61" fillId="0" borderId="77" xfId="0" applyFont="1" applyBorder="1" applyAlignment="1">
      <alignment horizontal="center" vertical="center" wrapText="1"/>
    </xf>
    <xf numFmtId="0" fontId="75" fillId="10" borderId="0" xfId="0" applyFont="1" applyFill="1" applyAlignment="1">
      <alignment horizontal="center" vertical="center" wrapText="1"/>
    </xf>
    <xf numFmtId="0" fontId="58" fillId="16" borderId="3" xfId="0" applyFont="1" applyFill="1" applyBorder="1" applyAlignment="1">
      <alignment horizontal="right" vertical="center"/>
    </xf>
    <xf numFmtId="4" fontId="80" fillId="0" borderId="0" xfId="0" applyNumberFormat="1" applyFont="1" applyAlignment="1">
      <alignment horizontal="center" vertical="center"/>
    </xf>
    <xf numFmtId="4" fontId="81" fillId="10" borderId="0" xfId="0" applyNumberFormat="1" applyFont="1" applyFill="1" applyAlignment="1">
      <alignment horizontal="center" vertical="center"/>
    </xf>
    <xf numFmtId="3" fontId="80" fillId="0" borderId="0" xfId="0" applyNumberFormat="1" applyFont="1" applyAlignment="1">
      <alignment horizontal="center" vertical="center"/>
    </xf>
    <xf numFmtId="3" fontId="81" fillId="10" borderId="0" xfId="0" applyNumberFormat="1" applyFont="1" applyFill="1" applyAlignment="1">
      <alignment horizontal="center" vertical="center"/>
    </xf>
    <xf numFmtId="0" fontId="82" fillId="0" borderId="0" xfId="0" applyFont="1" applyAlignment="1">
      <alignment vertical="center"/>
    </xf>
    <xf numFmtId="0" fontId="68" fillId="16" borderId="3" xfId="0" applyFont="1" applyFill="1" applyBorder="1" applyAlignment="1">
      <alignment horizontal="right" vertical="center"/>
    </xf>
    <xf numFmtId="3" fontId="68" fillId="17" borderId="3" xfId="0" applyNumberFormat="1" applyFont="1" applyFill="1" applyBorder="1" applyAlignment="1">
      <alignment horizontal="center" vertical="center"/>
    </xf>
    <xf numFmtId="3" fontId="68" fillId="17" borderId="71" xfId="0" applyNumberFormat="1" applyFont="1" applyFill="1" applyBorder="1" applyAlignment="1">
      <alignment horizontal="center" vertical="center"/>
    </xf>
    <xf numFmtId="3" fontId="83" fillId="10" borderId="0" xfId="0" applyNumberFormat="1" applyFont="1" applyFill="1" applyAlignment="1">
      <alignment horizontal="center" vertical="center"/>
    </xf>
    <xf numFmtId="3" fontId="73" fillId="0" borderId="0" xfId="0" applyNumberFormat="1" applyFont="1" applyAlignment="1">
      <alignment horizontal="center" vertical="center"/>
    </xf>
    <xf numFmtId="3" fontId="74" fillId="10" borderId="0" xfId="0" applyNumberFormat="1" applyFont="1" applyFill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84" fillId="0" borderId="0" xfId="0" applyFont="1"/>
    <xf numFmtId="0" fontId="85" fillId="10" borderId="0" xfId="0" applyFont="1" applyFill="1"/>
    <xf numFmtId="167" fontId="73" fillId="17" borderId="78" xfId="0" applyNumberFormat="1" applyFont="1" applyFill="1" applyBorder="1" applyAlignment="1">
      <alignment horizontal="center" vertical="center"/>
    </xf>
    <xf numFmtId="167" fontId="73" fillId="0" borderId="79" xfId="0" applyNumberFormat="1" applyFont="1" applyBorder="1" applyAlignment="1">
      <alignment horizontal="center" vertical="center"/>
    </xf>
    <xf numFmtId="167" fontId="74" fillId="10" borderId="0" xfId="0" applyNumberFormat="1" applyFont="1" applyFill="1" applyAlignment="1">
      <alignment horizontal="center" vertical="center"/>
    </xf>
    <xf numFmtId="2" fontId="73" fillId="17" borderId="78" xfId="0" applyNumberFormat="1" applyFont="1" applyFill="1" applyBorder="1" applyAlignment="1">
      <alignment horizontal="center" vertical="center"/>
    </xf>
    <xf numFmtId="2" fontId="73" fillId="0" borderId="79" xfId="0" applyNumberFormat="1" applyFont="1" applyBorder="1" applyAlignment="1">
      <alignment horizontal="center" vertical="center"/>
    </xf>
    <xf numFmtId="2" fontId="74" fillId="10" borderId="0" xfId="0" applyNumberFormat="1" applyFont="1" applyFill="1" applyAlignment="1">
      <alignment horizontal="center" vertical="center"/>
    </xf>
    <xf numFmtId="168" fontId="73" fillId="0" borderId="80" xfId="0" applyNumberFormat="1" applyFont="1" applyBorder="1" applyAlignment="1">
      <alignment horizontal="center" vertical="center"/>
    </xf>
    <xf numFmtId="168" fontId="74" fillId="10" borderId="0" xfId="0" applyNumberFormat="1" applyFont="1" applyFill="1" applyAlignment="1">
      <alignment horizontal="center" vertical="center"/>
    </xf>
    <xf numFmtId="166" fontId="73" fillId="0" borderId="79" xfId="0" applyNumberFormat="1" applyFont="1" applyBorder="1" applyAlignment="1">
      <alignment horizontal="center" vertical="center"/>
    </xf>
    <xf numFmtId="3" fontId="73" fillId="0" borderId="79" xfId="0" applyNumberFormat="1" applyFont="1" applyBorder="1" applyAlignment="1">
      <alignment horizontal="center" vertical="center"/>
    </xf>
    <xf numFmtId="0" fontId="58" fillId="16" borderId="49" xfId="0" applyFont="1" applyFill="1" applyBorder="1" applyAlignment="1">
      <alignment horizontal="right" vertical="center"/>
    </xf>
    <xf numFmtId="166" fontId="73" fillId="0" borderId="81" xfId="0" applyNumberFormat="1" applyFont="1" applyBorder="1" applyAlignment="1">
      <alignment horizontal="center" vertical="center"/>
    </xf>
    <xf numFmtId="0" fontId="61" fillId="16" borderId="3" xfId="0" applyFont="1" applyFill="1" applyBorder="1" applyAlignment="1">
      <alignment horizontal="right" vertical="center"/>
    </xf>
    <xf numFmtId="4" fontId="73" fillId="0" borderId="0" xfId="0" applyNumberFormat="1" applyFont="1" applyAlignment="1">
      <alignment horizontal="center" vertical="center"/>
    </xf>
    <xf numFmtId="4" fontId="74" fillId="10" borderId="0" xfId="0" applyNumberFormat="1" applyFont="1" applyFill="1" applyAlignment="1">
      <alignment horizontal="center" vertical="center"/>
    </xf>
    <xf numFmtId="3" fontId="73" fillId="17" borderId="78" xfId="0" applyNumberFormat="1" applyFont="1" applyFill="1" applyBorder="1" applyAlignment="1">
      <alignment horizontal="center" vertical="center"/>
    </xf>
    <xf numFmtId="3" fontId="73" fillId="17" borderId="82" xfId="0" applyNumberFormat="1" applyFont="1" applyFill="1" applyBorder="1" applyAlignment="1">
      <alignment horizontal="center"/>
    </xf>
    <xf numFmtId="3" fontId="74" fillId="10" borderId="0" xfId="0" applyNumberFormat="1" applyFont="1" applyFill="1" applyAlignment="1">
      <alignment horizontal="center"/>
    </xf>
    <xf numFmtId="0" fontId="61" fillId="0" borderId="0" xfId="0" applyFont="1" applyAlignment="1">
      <alignment horizontal="right" vertical="center"/>
    </xf>
    <xf numFmtId="3" fontId="73" fillId="0" borderId="0" xfId="0" applyNumberFormat="1" applyFont="1" applyAlignment="1">
      <alignment horizontal="center"/>
    </xf>
    <xf numFmtId="4" fontId="73" fillId="0" borderId="83" xfId="0" applyNumberFormat="1" applyFont="1" applyBorder="1" applyAlignment="1">
      <alignment horizontal="center" vertical="center"/>
    </xf>
    <xf numFmtId="3" fontId="73" fillId="17" borderId="82" xfId="0" applyNumberFormat="1" applyFont="1" applyFill="1" applyBorder="1" applyAlignment="1">
      <alignment horizontal="center" vertical="center"/>
    </xf>
    <xf numFmtId="166" fontId="73" fillId="0" borderId="0" xfId="0" applyNumberFormat="1" applyFont="1" applyAlignment="1">
      <alignment horizontal="center" vertical="center"/>
    </xf>
    <xf numFmtId="4" fontId="78" fillId="10" borderId="0" xfId="0" applyNumberFormat="1" applyFont="1" applyFill="1" applyAlignment="1">
      <alignment horizontal="center" vertical="center" wrapText="1"/>
    </xf>
    <xf numFmtId="166" fontId="61" fillId="0" borderId="0" xfId="0" applyNumberFormat="1" applyFont="1" applyAlignment="1">
      <alignment horizontal="center" vertical="center"/>
    </xf>
    <xf numFmtId="166" fontId="58" fillId="0" borderId="0" xfId="0" applyNumberFormat="1" applyFont="1" applyAlignment="1">
      <alignment horizontal="center" vertical="center"/>
    </xf>
    <xf numFmtId="10" fontId="73" fillId="17" borderId="84" xfId="0" applyNumberFormat="1" applyFont="1" applyFill="1" applyBorder="1" applyAlignment="1">
      <alignment horizontal="center" vertical="center"/>
    </xf>
    <xf numFmtId="10" fontId="73" fillId="17" borderId="85" xfId="0" applyNumberFormat="1" applyFont="1" applyFill="1" applyBorder="1" applyAlignment="1">
      <alignment horizontal="center" vertical="center"/>
    </xf>
    <xf numFmtId="10" fontId="86" fillId="17" borderId="65" xfId="0" applyNumberFormat="1" applyFont="1" applyFill="1" applyBorder="1" applyAlignment="1">
      <alignment horizontal="center" vertical="center"/>
    </xf>
    <xf numFmtId="10" fontId="86" fillId="17" borderId="86" xfId="0" applyNumberFormat="1" applyFont="1" applyFill="1" applyBorder="1" applyAlignment="1">
      <alignment horizontal="center" vertical="center"/>
    </xf>
    <xf numFmtId="10" fontId="87" fillId="0" borderId="8" xfId="0" applyNumberFormat="1" applyFont="1" applyBorder="1" applyAlignment="1">
      <alignment horizontal="center" vertical="center"/>
    </xf>
    <xf numFmtId="10" fontId="73" fillId="0" borderId="87" xfId="0" applyNumberFormat="1" applyFont="1" applyBorder="1" applyAlignment="1">
      <alignment horizontal="center" vertical="center"/>
    </xf>
    <xf numFmtId="0" fontId="88" fillId="10" borderId="0" xfId="0" applyFont="1" applyFill="1" applyAlignment="1">
      <alignment horizontal="center" vertical="center"/>
    </xf>
    <xf numFmtId="1" fontId="87" fillId="17" borderId="84" xfId="0" applyNumberFormat="1" applyFont="1" applyFill="1" applyBorder="1" applyAlignment="1">
      <alignment horizontal="center" vertical="center"/>
    </xf>
    <xf numFmtId="1" fontId="87" fillId="17" borderId="88" xfId="0" applyNumberFormat="1" applyFont="1" applyFill="1" applyBorder="1" applyAlignment="1">
      <alignment horizontal="center" vertical="center"/>
    </xf>
    <xf numFmtId="1" fontId="78" fillId="10" borderId="0" xfId="0" applyNumberFormat="1" applyFont="1" applyFill="1" applyAlignment="1">
      <alignment horizontal="center" vertical="center"/>
    </xf>
    <xf numFmtId="1" fontId="73" fillId="0" borderId="89" xfId="0" applyNumberFormat="1" applyFont="1" applyBorder="1" applyAlignment="1">
      <alignment horizontal="center" vertical="center"/>
    </xf>
    <xf numFmtId="1" fontId="86" fillId="0" borderId="89" xfId="0" applyNumberFormat="1" applyFont="1" applyBorder="1" applyAlignment="1">
      <alignment horizontal="center" vertical="center"/>
    </xf>
    <xf numFmtId="1" fontId="74" fillId="10" borderId="0" xfId="0" applyNumberFormat="1" applyFont="1" applyFill="1" applyAlignment="1">
      <alignment horizontal="center" vertical="center"/>
    </xf>
    <xf numFmtId="0" fontId="58" fillId="0" borderId="81" xfId="0" applyFont="1" applyBorder="1" applyAlignment="1">
      <alignment horizontal="right" vertical="center"/>
    </xf>
    <xf numFmtId="0" fontId="79" fillId="0" borderId="0" xfId="0" applyFont="1"/>
    <xf numFmtId="0" fontId="89" fillId="0" borderId="0" xfId="0" applyFont="1"/>
    <xf numFmtId="0" fontId="91" fillId="0" borderId="0" xfId="0" applyFont="1" applyAlignment="1">
      <alignment horizontal="center" vertical="center"/>
    </xf>
    <xf numFmtId="0" fontId="94" fillId="0" borderId="0" xfId="0" applyFont="1" applyAlignment="1">
      <alignment horizontal="left"/>
    </xf>
    <xf numFmtId="0" fontId="1" fillId="0" borderId="90" xfId="0" applyFont="1" applyBorder="1" applyAlignment="1">
      <alignment horizontal="left"/>
    </xf>
    <xf numFmtId="0" fontId="91" fillId="0" borderId="6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3" xfId="0" applyFont="1" applyBorder="1"/>
    <xf numFmtId="0" fontId="91" fillId="18" borderId="1" xfId="0" applyFont="1" applyFill="1" applyBorder="1" applyAlignment="1">
      <alignment horizontal="center" vertical="center"/>
    </xf>
    <xf numFmtId="0" fontId="91" fillId="18" borderId="1" xfId="0" applyFont="1" applyFill="1" applyBorder="1" applyAlignment="1">
      <alignment horizontal="center" vertical="center" wrapText="1"/>
    </xf>
    <xf numFmtId="0" fontId="98" fillId="18" borderId="1" xfId="0" applyFont="1" applyFill="1" applyBorder="1" applyAlignment="1">
      <alignment horizontal="center" vertical="center" wrapText="1"/>
    </xf>
    <xf numFmtId="0" fontId="62" fillId="18" borderId="1" xfId="0" applyFont="1" applyFill="1" applyBorder="1" applyAlignment="1">
      <alignment horizontal="center" vertical="center" wrapText="1"/>
    </xf>
    <xf numFmtId="0" fontId="99" fillId="18" borderId="1" xfId="0" applyFont="1" applyFill="1" applyBorder="1" applyAlignment="1">
      <alignment horizontal="center" vertical="center" wrapText="1"/>
    </xf>
    <xf numFmtId="0" fontId="87" fillId="18" borderId="1" xfId="0" applyFont="1" applyFill="1" applyBorder="1" applyAlignment="1">
      <alignment horizontal="center" vertical="center" wrapText="1"/>
    </xf>
    <xf numFmtId="0" fontId="89" fillId="0" borderId="1" xfId="0" applyFont="1" applyBorder="1" applyAlignment="1">
      <alignment horizontal="right" vertical="center" wrapText="1"/>
    </xf>
    <xf numFmtId="3" fontId="89" fillId="0" borderId="1" xfId="0" applyNumberFormat="1" applyFont="1" applyBorder="1" applyAlignment="1">
      <alignment horizontal="center" vertical="center" wrapText="1"/>
    </xf>
    <xf numFmtId="1" fontId="89" fillId="0" borderId="1" xfId="0" applyNumberFormat="1" applyFont="1" applyBorder="1" applyAlignment="1">
      <alignment horizontal="center" vertical="center"/>
    </xf>
    <xf numFmtId="169" fontId="89" fillId="0" borderId="1" xfId="0" applyNumberFormat="1" applyFont="1" applyBorder="1" applyAlignment="1">
      <alignment horizontal="center" vertical="center"/>
    </xf>
    <xf numFmtId="170" fontId="98" fillId="0" borderId="1" xfId="0" applyNumberFormat="1" applyFont="1" applyBorder="1" applyAlignment="1">
      <alignment horizontal="center" vertical="center"/>
    </xf>
    <xf numFmtId="169" fontId="98" fillId="0" borderId="1" xfId="0" applyNumberFormat="1" applyFont="1" applyBorder="1" applyAlignment="1">
      <alignment horizontal="center" vertical="center"/>
    </xf>
    <xf numFmtId="3" fontId="62" fillId="0" borderId="1" xfId="0" applyNumberFormat="1" applyFont="1" applyBorder="1" applyAlignment="1">
      <alignment horizontal="center" vertical="center"/>
    </xf>
    <xf numFmtId="169" fontId="101" fillId="0" borderId="1" xfId="0" applyNumberFormat="1" applyFont="1" applyBorder="1" applyAlignment="1">
      <alignment horizontal="center" vertical="center"/>
    </xf>
    <xf numFmtId="166" fontId="89" fillId="0" borderId="0" xfId="0" applyNumberFormat="1" applyFont="1" applyAlignment="1">
      <alignment horizontal="center" vertical="center"/>
    </xf>
    <xf numFmtId="3" fontId="89" fillId="0" borderId="13" xfId="0" applyNumberFormat="1" applyFont="1" applyBorder="1" applyAlignment="1">
      <alignment horizontal="center" vertical="center" wrapText="1"/>
    </xf>
    <xf numFmtId="169" fontId="89" fillId="0" borderId="13" xfId="0" applyNumberFormat="1" applyFont="1" applyBorder="1" applyAlignment="1">
      <alignment horizontal="center" vertical="center"/>
    </xf>
    <xf numFmtId="0" fontId="89" fillId="0" borderId="13" xfId="0" applyFont="1" applyBorder="1" applyAlignment="1">
      <alignment horizontal="right" vertical="center" wrapText="1"/>
    </xf>
    <xf numFmtId="1" fontId="89" fillId="0" borderId="13" xfId="0" applyNumberFormat="1" applyFont="1" applyBorder="1" applyAlignment="1">
      <alignment horizontal="center" vertical="center"/>
    </xf>
    <xf numFmtId="0" fontId="102" fillId="18" borderId="1" xfId="0" applyFont="1" applyFill="1" applyBorder="1" applyAlignment="1">
      <alignment horizontal="right" vertical="center"/>
    </xf>
    <xf numFmtId="1" fontId="102" fillId="18" borderId="1" xfId="0" applyNumberFormat="1" applyFont="1" applyFill="1" applyBorder="1" applyAlignment="1">
      <alignment horizontal="center" vertical="center"/>
    </xf>
    <xf numFmtId="1" fontId="102" fillId="0" borderId="1" xfId="0" applyNumberFormat="1" applyFont="1" applyBorder="1" applyAlignment="1">
      <alignment horizontal="center" vertical="center"/>
    </xf>
    <xf numFmtId="4" fontId="102" fillId="18" borderId="1" xfId="0" applyNumberFormat="1" applyFont="1" applyFill="1" applyBorder="1" applyAlignment="1">
      <alignment horizontal="center" vertical="center"/>
    </xf>
    <xf numFmtId="169" fontId="68" fillId="18" borderId="1" xfId="0" applyNumberFormat="1" applyFont="1" applyFill="1" applyBorder="1" applyAlignment="1">
      <alignment horizontal="center" vertical="center"/>
    </xf>
    <xf numFmtId="4" fontId="102" fillId="0" borderId="1" xfId="0" applyNumberFormat="1" applyFont="1" applyBorder="1" applyAlignment="1">
      <alignment horizontal="center" vertical="center"/>
    </xf>
    <xf numFmtId="169" fontId="102" fillId="18" borderId="1" xfId="0" applyNumberFormat="1" applyFont="1" applyFill="1" applyBorder="1" applyAlignment="1">
      <alignment horizontal="center" vertical="center"/>
    </xf>
    <xf numFmtId="169" fontId="103" fillId="18" borderId="1" xfId="0" applyNumberFormat="1" applyFont="1" applyFill="1" applyBorder="1" applyAlignment="1">
      <alignment horizontal="center" vertical="center"/>
    </xf>
    <xf numFmtId="0" fontId="89" fillId="0" borderId="0" xfId="0" applyFont="1" applyAlignment="1">
      <alignment vertical="center"/>
    </xf>
    <xf numFmtId="0" fontId="100" fillId="0" borderId="0" xfId="0" applyFont="1" applyAlignment="1">
      <alignment horizontal="center" vertical="center"/>
    </xf>
    <xf numFmtId="0" fontId="104" fillId="0" borderId="0" xfId="0" applyFont="1" applyAlignment="1">
      <alignment horizontal="right"/>
    </xf>
    <xf numFmtId="0" fontId="104" fillId="0" borderId="0" xfId="0" applyFont="1" applyAlignment="1">
      <alignment horizontal="center" vertical="center"/>
    </xf>
    <xf numFmtId="4" fontId="104" fillId="0" borderId="0" xfId="0" applyNumberFormat="1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81" xfId="0" applyFont="1" applyBorder="1"/>
    <xf numFmtId="0" fontId="1" fillId="0" borderId="8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06" fillId="18" borderId="1" xfId="0" applyFont="1" applyFill="1" applyBorder="1" applyAlignment="1">
      <alignment horizontal="center" wrapText="1"/>
    </xf>
    <xf numFmtId="0" fontId="106" fillId="18" borderId="1" xfId="0" applyFont="1" applyFill="1" applyBorder="1" applyAlignment="1">
      <alignment horizontal="center"/>
    </xf>
    <xf numFmtId="0" fontId="107" fillId="0" borderId="1" xfId="0" applyFont="1" applyBorder="1" applyAlignment="1">
      <alignment wrapText="1"/>
    </xf>
    <xf numFmtId="0" fontId="107" fillId="0" borderId="1" xfId="0" applyFont="1" applyBorder="1" applyAlignment="1">
      <alignment horizontal="center"/>
    </xf>
    <xf numFmtId="171" fontId="107" fillId="0" borderId="1" xfId="0" applyNumberFormat="1" applyFont="1" applyBorder="1" applyAlignment="1">
      <alignment horizontal="right" wrapText="1"/>
    </xf>
    <xf numFmtId="0" fontId="107" fillId="0" borderId="1" xfId="0" applyFont="1" applyBorder="1" applyAlignment="1">
      <alignment horizontal="center" wrapText="1"/>
    </xf>
    <xf numFmtId="171" fontId="107" fillId="0" borderId="1" xfId="0" applyNumberFormat="1" applyFont="1" applyBorder="1" applyAlignment="1">
      <alignment horizontal="center"/>
    </xf>
    <xf numFmtId="0" fontId="107" fillId="10" borderId="1" xfId="0" applyFont="1" applyFill="1" applyBorder="1" applyAlignment="1">
      <alignment horizontal="center" wrapText="1"/>
    </xf>
    <xf numFmtId="0" fontId="107" fillId="10" borderId="1" xfId="0" applyFont="1" applyFill="1" applyBorder="1" applyAlignment="1">
      <alignment wrapText="1"/>
    </xf>
    <xf numFmtId="0" fontId="107" fillId="10" borderId="1" xfId="0" applyFont="1" applyFill="1" applyBorder="1" applyAlignment="1">
      <alignment horizontal="center"/>
    </xf>
    <xf numFmtId="171" fontId="107" fillId="10" borderId="1" xfId="0" applyNumberFormat="1" applyFont="1" applyFill="1" applyBorder="1" applyAlignment="1">
      <alignment horizontal="center" wrapText="1"/>
    </xf>
    <xf numFmtId="0" fontId="107" fillId="0" borderId="1" xfId="0" applyFont="1" applyBorder="1" applyAlignment="1">
      <alignment horizontal="center" wrapText="1"/>
    </xf>
    <xf numFmtId="171" fontId="107" fillId="10" borderId="1" xfId="0" applyNumberFormat="1" applyFont="1" applyFill="1" applyBorder="1" applyAlignment="1">
      <alignment horizontal="center"/>
    </xf>
    <xf numFmtId="0" fontId="1" fillId="10" borderId="0" xfId="0" applyFont="1" applyFill="1" applyAlignment="1">
      <alignment wrapText="1"/>
    </xf>
    <xf numFmtId="171" fontId="108" fillId="1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06" fillId="20" borderId="1" xfId="0" applyFont="1" applyFill="1" applyBorder="1" applyAlignment="1">
      <alignment wrapText="1"/>
    </xf>
    <xf numFmtId="0" fontId="106" fillId="20" borderId="1" xfId="0" applyFont="1" applyFill="1" applyBorder="1"/>
    <xf numFmtId="0" fontId="106" fillId="20" borderId="1" xfId="0" applyFont="1" applyFill="1" applyBorder="1" applyAlignment="1">
      <alignment horizontal="center" wrapText="1"/>
    </xf>
    <xf numFmtId="0" fontId="106" fillId="18" borderId="1" xfId="0" applyFont="1" applyFill="1" applyBorder="1" applyAlignment="1">
      <alignment horizontal="center" wrapText="1"/>
    </xf>
    <xf numFmtId="171" fontId="107" fillId="0" borderId="1" xfId="0" applyNumberFormat="1" applyFont="1" applyBorder="1" applyAlignment="1">
      <alignment horizontal="right"/>
    </xf>
    <xf numFmtId="171" fontId="108" fillId="10" borderId="1" xfId="0" applyNumberFormat="1" applyFont="1" applyFill="1" applyBorder="1" applyAlignment="1">
      <alignment horizontal="center" wrapText="1"/>
    </xf>
    <xf numFmtId="0" fontId="107" fillId="10" borderId="1" xfId="0" applyFont="1" applyFill="1" applyBorder="1" applyAlignment="1">
      <alignment wrapText="1"/>
    </xf>
    <xf numFmtId="0" fontId="110" fillId="0" borderId="0" xfId="0" applyFont="1"/>
    <xf numFmtId="0" fontId="110" fillId="10" borderId="3" xfId="0" applyFont="1" applyFill="1" applyBorder="1"/>
    <xf numFmtId="0" fontId="111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1" fillId="0" borderId="4" xfId="0" applyFont="1" applyBorder="1" applyAlignment="1">
      <alignment horizontal="left" vertical="center" wrapText="1"/>
    </xf>
    <xf numFmtId="0" fontId="61" fillId="0" borderId="0" xfId="0" applyFont="1" applyAlignment="1">
      <alignment horizontal="left" vertical="center" wrapText="1"/>
    </xf>
    <xf numFmtId="0" fontId="99" fillId="0" borderId="0" xfId="0" applyFont="1" applyAlignment="1">
      <alignment horizontal="left" vertical="center" wrapText="1"/>
    </xf>
    <xf numFmtId="0" fontId="61" fillId="0" borderId="1" xfId="0" applyFont="1" applyBorder="1" applyAlignment="1">
      <alignment horizontal="center" vertical="center" wrapText="1"/>
    </xf>
    <xf numFmtId="14" fontId="60" fillId="0" borderId="0" xfId="0" applyNumberFormat="1" applyFont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1" fontId="112" fillId="0" borderId="0" xfId="0" applyNumberFormat="1" applyFont="1" applyAlignment="1">
      <alignment horizontal="center" vertical="center" wrapText="1"/>
    </xf>
    <xf numFmtId="1" fontId="60" fillId="0" borderId="0" xfId="0" applyNumberFormat="1" applyFont="1" applyAlignment="1">
      <alignment horizontal="center" vertical="center" wrapText="1"/>
    </xf>
    <xf numFmtId="0" fontId="110" fillId="0" borderId="0" xfId="0" applyFont="1" applyAlignment="1">
      <alignment horizontal="left" vertical="center" wrapText="1"/>
    </xf>
    <xf numFmtId="0" fontId="113" fillId="0" borderId="0" xfId="0" applyFont="1" applyAlignment="1">
      <alignment horizontal="left" wrapText="1"/>
    </xf>
    <xf numFmtId="0" fontId="99" fillId="0" borderId="0" xfId="0" applyFont="1" applyAlignment="1">
      <alignment horizontal="left" wrapText="1"/>
    </xf>
    <xf numFmtId="172" fontId="60" fillId="0" borderId="0" xfId="0" applyNumberFormat="1" applyFont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172" fontId="114" fillId="0" borderId="0" xfId="0" applyNumberFormat="1" applyFont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left" vertical="center" wrapText="1"/>
    </xf>
    <xf numFmtId="3" fontId="61" fillId="0" borderId="6" xfId="0" applyNumberFormat="1" applyFont="1" applyBorder="1" applyAlignment="1">
      <alignment horizontal="center" vertical="center" wrapText="1"/>
    </xf>
    <xf numFmtId="172" fontId="115" fillId="0" borderId="0" xfId="0" applyNumberFormat="1" applyFont="1" applyAlignment="1">
      <alignment horizontal="right" vertical="center"/>
    </xf>
    <xf numFmtId="14" fontId="114" fillId="0" borderId="0" xfId="0" applyNumberFormat="1" applyFont="1" applyAlignment="1">
      <alignment horizontal="center" vertical="center" wrapText="1"/>
    </xf>
    <xf numFmtId="14" fontId="116" fillId="0" borderId="0" xfId="0" applyNumberFormat="1" applyFont="1" applyAlignment="1">
      <alignment horizontal="right" vertical="center" wrapText="1"/>
    </xf>
    <xf numFmtId="0" fontId="61" fillId="0" borderId="1" xfId="0" applyFont="1" applyBorder="1" applyAlignment="1">
      <alignment horizontal="center"/>
    </xf>
    <xf numFmtId="4" fontId="115" fillId="0" borderId="0" xfId="0" applyNumberFormat="1" applyFont="1" applyAlignment="1">
      <alignment horizontal="right" vertical="center" wrapText="1"/>
    </xf>
    <xf numFmtId="4" fontId="115" fillId="0" borderId="0" xfId="0" applyNumberFormat="1" applyFont="1" applyAlignment="1">
      <alignment horizontal="right" vertical="center"/>
    </xf>
    <xf numFmtId="3" fontId="60" fillId="0" borderId="0" xfId="0" applyNumberFormat="1" applyFont="1" applyAlignment="1">
      <alignment horizontal="center" wrapText="1"/>
    </xf>
    <xf numFmtId="4" fontId="60" fillId="0" borderId="0" xfId="0" applyNumberFormat="1" applyFont="1" applyAlignment="1">
      <alignment horizontal="right" vertical="center" wrapText="1"/>
    </xf>
    <xf numFmtId="0" fontId="118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wrapText="1"/>
    </xf>
    <xf numFmtId="0" fontId="73" fillId="0" borderId="0" xfId="0" applyFont="1" applyAlignment="1">
      <alignment vertical="center" wrapText="1"/>
    </xf>
    <xf numFmtId="0" fontId="110" fillId="0" borderId="0" xfId="0" applyFont="1" applyAlignment="1">
      <alignment horizontal="left"/>
    </xf>
    <xf numFmtId="0" fontId="99" fillId="22" borderId="94" xfId="0" applyFont="1" applyFill="1" applyBorder="1" applyAlignment="1">
      <alignment horizontal="center" vertical="center" wrapText="1"/>
    </xf>
    <xf numFmtId="0" fontId="61" fillId="22" borderId="94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left" vertical="center" wrapText="1"/>
    </xf>
    <xf numFmtId="3" fontId="61" fillId="0" borderId="1" xfId="0" applyNumberFormat="1" applyFont="1" applyBorder="1" applyAlignment="1">
      <alignment horizontal="left" vertical="center" wrapText="1"/>
    </xf>
    <xf numFmtId="0" fontId="73" fillId="0" borderId="1" xfId="0" applyFont="1" applyBorder="1" applyAlignment="1">
      <alignment horizontal="center" vertical="center" wrapText="1"/>
    </xf>
    <xf numFmtId="4" fontId="61" fillId="0" borderId="1" xfId="0" applyNumberFormat="1" applyFont="1" applyBorder="1" applyAlignment="1">
      <alignment vertical="center"/>
    </xf>
    <xf numFmtId="4" fontId="61" fillId="0" borderId="0" xfId="0" applyNumberFormat="1" applyFont="1" applyAlignment="1">
      <alignment vertical="center"/>
    </xf>
    <xf numFmtId="10" fontId="73" fillId="0" borderId="1" xfId="0" applyNumberFormat="1" applyFont="1" applyBorder="1" applyAlignment="1">
      <alignment horizontal="center" vertical="center" wrapText="1"/>
    </xf>
    <xf numFmtId="10" fontId="73" fillId="0" borderId="1" xfId="0" applyNumberFormat="1" applyFont="1" applyBorder="1" applyAlignment="1">
      <alignment horizontal="center" vertical="center"/>
    </xf>
    <xf numFmtId="10" fontId="73" fillId="0" borderId="6" xfId="0" applyNumberFormat="1" applyFont="1" applyBorder="1" applyAlignment="1">
      <alignment horizontal="center" vertical="center"/>
    </xf>
    <xf numFmtId="4" fontId="59" fillId="0" borderId="6" xfId="0" applyNumberFormat="1" applyFont="1" applyBorder="1" applyAlignment="1">
      <alignment horizontal="center" vertical="center" wrapText="1"/>
    </xf>
    <xf numFmtId="4" fontId="61" fillId="0" borderId="1" xfId="0" applyNumberFormat="1" applyFont="1" applyBorder="1" applyAlignment="1">
      <alignment horizontal="center" vertical="center"/>
    </xf>
    <xf numFmtId="4" fontId="61" fillId="0" borderId="0" xfId="0" applyNumberFormat="1" applyFont="1" applyAlignment="1">
      <alignment horizontal="center" vertical="center"/>
    </xf>
    <xf numFmtId="4" fontId="99" fillId="22" borderId="1" xfId="0" applyNumberFormat="1" applyFont="1" applyFill="1" applyBorder="1" applyAlignment="1">
      <alignment vertical="center"/>
    </xf>
    <xf numFmtId="4" fontId="99" fillId="0" borderId="0" xfId="0" applyNumberFormat="1" applyFont="1" applyAlignment="1">
      <alignment vertical="center"/>
    </xf>
    <xf numFmtId="0" fontId="61" fillId="23" borderId="1" xfId="0" applyFont="1" applyFill="1" applyBorder="1" applyAlignment="1">
      <alignment horizontal="right" vertical="center" wrapText="1"/>
    </xf>
    <xf numFmtId="4" fontId="99" fillId="23" borderId="1" xfId="0" applyNumberFormat="1" applyFont="1" applyFill="1" applyBorder="1" applyAlignment="1">
      <alignment vertical="center"/>
    </xf>
    <xf numFmtId="4" fontId="77" fillId="22" borderId="1" xfId="0" applyNumberFormat="1" applyFont="1" applyFill="1" applyBorder="1" applyAlignment="1">
      <alignment horizontal="right" vertical="center" wrapText="1"/>
    </xf>
    <xf numFmtId="4" fontId="77" fillId="0" borderId="0" xfId="0" applyNumberFormat="1" applyFont="1" applyAlignment="1">
      <alignment horizontal="right" vertical="center" wrapText="1"/>
    </xf>
    <xf numFmtId="0" fontId="61" fillId="0" borderId="0" xfId="0" applyFont="1" applyAlignment="1">
      <alignment horizontal="right" vertical="center" wrapText="1"/>
    </xf>
    <xf numFmtId="0" fontId="119" fillId="0" borderId="0" xfId="0" applyFont="1" applyAlignment="1">
      <alignment horizontal="left" vertical="center" wrapText="1"/>
    </xf>
    <xf numFmtId="0" fontId="86" fillId="0" borderId="0" xfId="0" applyFont="1" applyAlignment="1">
      <alignment horizontal="left" vertical="center"/>
    </xf>
    <xf numFmtId="0" fontId="91" fillId="0" borderId="0" xfId="0" applyFont="1" applyAlignment="1">
      <alignment horizontal="left" vertical="center"/>
    </xf>
    <xf numFmtId="0" fontId="91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 wrapText="1"/>
    </xf>
    <xf numFmtId="0" fontId="91" fillId="0" borderId="0" xfId="0" applyFont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vertical="center"/>
    </xf>
    <xf numFmtId="2" fontId="59" fillId="0" borderId="1" xfId="0" applyNumberFormat="1" applyFont="1" applyBorder="1" applyAlignment="1">
      <alignment horizontal="right" vertical="center" wrapText="1"/>
    </xf>
    <xf numFmtId="2" fontId="59" fillId="0" borderId="0" xfId="0" applyNumberFormat="1" applyFont="1" applyAlignment="1">
      <alignment horizontal="right" vertical="center" wrapText="1"/>
    </xf>
    <xf numFmtId="173" fontId="91" fillId="0" borderId="1" xfId="0" applyNumberFormat="1" applyFont="1" applyBorder="1" applyAlignment="1">
      <alignment horizontal="center" vertical="center"/>
    </xf>
    <xf numFmtId="4" fontId="61" fillId="22" borderId="1" xfId="0" applyNumberFormat="1" applyFont="1" applyFill="1" applyBorder="1" applyAlignment="1">
      <alignment horizontal="right" vertical="center"/>
    </xf>
    <xf numFmtId="4" fontId="61" fillId="0" borderId="0" xfId="0" applyNumberFormat="1" applyFont="1" applyAlignment="1">
      <alignment horizontal="right" vertical="center"/>
    </xf>
    <xf numFmtId="0" fontId="86" fillId="0" borderId="0" xfId="0" applyFont="1" applyAlignment="1">
      <alignment horizontal="right" vertical="center"/>
    </xf>
    <xf numFmtId="0" fontId="91" fillId="0" borderId="0" xfId="0" applyFont="1" applyAlignment="1">
      <alignment horizontal="left" vertical="center" wrapText="1"/>
    </xf>
    <xf numFmtId="0" fontId="91" fillId="22" borderId="72" xfId="0" applyFont="1" applyFill="1" applyBorder="1" applyAlignment="1">
      <alignment horizontal="center" vertical="center"/>
    </xf>
    <xf numFmtId="0" fontId="59" fillId="22" borderId="1" xfId="0" applyFont="1" applyFill="1" applyBorder="1" applyAlignment="1">
      <alignment horizontal="center" vertical="center" wrapText="1"/>
    </xf>
    <xf numFmtId="0" fontId="91" fillId="22" borderId="1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10" fontId="61" fillId="0" borderId="1" xfId="0" applyNumberFormat="1" applyFont="1" applyBorder="1" applyAlignment="1">
      <alignment horizontal="right" vertical="center"/>
    </xf>
    <xf numFmtId="4" fontId="61" fillId="0" borderId="1" xfId="0" applyNumberFormat="1" applyFont="1" applyBorder="1" applyAlignment="1">
      <alignment horizontal="right" vertical="center"/>
    </xf>
    <xf numFmtId="0" fontId="61" fillId="0" borderId="4" xfId="0" applyFont="1" applyBorder="1" applyAlignment="1">
      <alignment horizontal="right" vertical="center" wrapText="1"/>
    </xf>
    <xf numFmtId="9" fontId="61" fillId="0" borderId="6" xfId="0" applyNumberFormat="1" applyFont="1" applyBorder="1" applyAlignment="1">
      <alignment horizontal="left" vertical="center" wrapText="1"/>
    </xf>
    <xf numFmtId="174" fontId="61" fillId="0" borderId="6" xfId="0" applyNumberFormat="1" applyFont="1" applyBorder="1" applyAlignment="1">
      <alignment horizontal="left" vertical="center" wrapText="1"/>
    </xf>
    <xf numFmtId="175" fontId="61" fillId="0" borderId="1" xfId="0" applyNumberFormat="1" applyFont="1" applyBorder="1" applyAlignment="1">
      <alignment horizontal="right" vertical="center"/>
    </xf>
    <xf numFmtId="175" fontId="61" fillId="22" borderId="1" xfId="0" applyNumberFormat="1" applyFont="1" applyFill="1" applyBorder="1" applyAlignment="1">
      <alignment horizontal="right" vertical="center"/>
    </xf>
    <xf numFmtId="0" fontId="61" fillId="23" borderId="72" xfId="0" applyFont="1" applyFill="1" applyBorder="1" applyAlignment="1">
      <alignment horizontal="right" vertical="center"/>
    </xf>
    <xf numFmtId="0" fontId="1" fillId="23" borderId="65" xfId="0" applyFont="1" applyFill="1" applyBorder="1" applyAlignment="1">
      <alignment horizontal="right" vertical="center"/>
    </xf>
    <xf numFmtId="10" fontId="61" fillId="23" borderId="65" xfId="0" applyNumberFormat="1" applyFont="1" applyFill="1" applyBorder="1" applyAlignment="1">
      <alignment horizontal="right" vertical="center"/>
    </xf>
    <xf numFmtId="4" fontId="61" fillId="23" borderId="68" xfId="0" applyNumberFormat="1" applyFont="1" applyFill="1" applyBorder="1" applyAlignment="1">
      <alignment horizontal="right" vertical="center"/>
    </xf>
    <xf numFmtId="0" fontId="99" fillId="22" borderId="1" xfId="0" applyFont="1" applyFill="1" applyBorder="1" applyAlignment="1">
      <alignment horizontal="center" vertical="center"/>
    </xf>
    <xf numFmtId="0" fontId="99" fillId="22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4" fontId="61" fillId="0" borderId="4" xfId="0" applyNumberFormat="1" applyFont="1" applyBorder="1" applyAlignment="1">
      <alignment horizontal="left" vertical="center" wrapText="1"/>
    </xf>
    <xf numFmtId="4" fontId="61" fillId="0" borderId="13" xfId="0" applyNumberFormat="1" applyFont="1" applyBorder="1" applyAlignment="1">
      <alignment horizontal="right" vertical="center"/>
    </xf>
    <xf numFmtId="172" fontId="60" fillId="0" borderId="1" xfId="0" applyNumberFormat="1" applyFont="1" applyBorder="1" applyAlignment="1">
      <alignment vertical="center"/>
    </xf>
    <xf numFmtId="4" fontId="75" fillId="0" borderId="17" xfId="0" applyNumberFormat="1" applyFont="1" applyBorder="1" applyAlignment="1">
      <alignment horizontal="center" vertical="center"/>
    </xf>
    <xf numFmtId="3" fontId="60" fillId="0" borderId="1" xfId="0" applyNumberFormat="1" applyFont="1" applyBorder="1" applyAlignment="1">
      <alignment vertical="center"/>
    </xf>
    <xf numFmtId="10" fontId="60" fillId="0" borderId="4" xfId="0" applyNumberFormat="1" applyFont="1" applyBorder="1" applyAlignment="1">
      <alignment vertical="center"/>
    </xf>
    <xf numFmtId="4" fontId="75" fillId="0" borderId="2" xfId="0" applyNumberFormat="1" applyFont="1" applyBorder="1" applyAlignment="1">
      <alignment horizontal="center" vertical="center"/>
    </xf>
    <xf numFmtId="172" fontId="60" fillId="0" borderId="4" xfId="0" applyNumberFormat="1" applyFont="1" applyBorder="1" applyAlignment="1">
      <alignment vertical="center"/>
    </xf>
    <xf numFmtId="4" fontId="61" fillId="0" borderId="17" xfId="0" applyNumberFormat="1" applyFont="1" applyBorder="1" applyAlignment="1">
      <alignment horizontal="center" vertical="center"/>
    </xf>
    <xf numFmtId="3" fontId="60" fillId="0" borderId="4" xfId="0" applyNumberFormat="1" applyFont="1" applyBorder="1" applyAlignment="1">
      <alignment vertical="center"/>
    </xf>
    <xf numFmtId="4" fontId="61" fillId="0" borderId="2" xfId="0" applyNumberFormat="1" applyFont="1" applyBorder="1" applyAlignment="1">
      <alignment horizontal="center" vertical="center"/>
    </xf>
    <xf numFmtId="4" fontId="61" fillId="0" borderId="2" xfId="0" applyNumberFormat="1" applyFont="1" applyBorder="1" applyAlignment="1">
      <alignment horizontal="right" vertical="center"/>
    </xf>
    <xf numFmtId="4" fontId="61" fillId="0" borderId="1" xfId="0" applyNumberFormat="1" applyFont="1" applyBorder="1" applyAlignment="1">
      <alignment horizontal="right" vertical="center" wrapText="1"/>
    </xf>
    <xf numFmtId="4" fontId="61" fillId="0" borderId="0" xfId="0" applyNumberFormat="1" applyFont="1" applyAlignment="1">
      <alignment horizontal="right" vertical="center" wrapText="1"/>
    </xf>
    <xf numFmtId="0" fontId="61" fillId="22" borderId="1" xfId="0" applyFont="1" applyFill="1" applyBorder="1" applyAlignment="1">
      <alignment horizontal="center" vertical="center"/>
    </xf>
    <xf numFmtId="0" fontId="86" fillId="0" borderId="0" xfId="0" applyFont="1" applyAlignment="1">
      <alignment horizontal="left" vertical="center" wrapText="1"/>
    </xf>
    <xf numFmtId="4" fontId="59" fillId="0" borderId="1" xfId="0" applyNumberFormat="1" applyFont="1" applyBorder="1" applyAlignment="1">
      <alignment horizontal="right" vertical="center" wrapText="1"/>
    </xf>
    <xf numFmtId="4" fontId="59" fillId="0" borderId="0" xfId="0" applyNumberFormat="1" applyFont="1" applyAlignment="1">
      <alignment horizontal="right" vertical="center" wrapText="1"/>
    </xf>
    <xf numFmtId="4" fontId="59" fillId="22" borderId="1" xfId="0" applyNumberFormat="1" applyFont="1" applyFill="1" applyBorder="1" applyAlignment="1">
      <alignment horizontal="right" vertical="center" wrapText="1"/>
    </xf>
    <xf numFmtId="0" fontId="122" fillId="0" borderId="0" xfId="0" applyFont="1" applyAlignment="1">
      <alignment horizontal="center" vertical="center" wrapText="1"/>
    </xf>
    <xf numFmtId="0" fontId="73" fillId="0" borderId="0" xfId="0" applyFont="1" applyAlignment="1">
      <alignment horizontal="left" vertical="center"/>
    </xf>
    <xf numFmtId="0" fontId="99" fillId="0" borderId="0" xfId="0" applyFont="1" applyAlignment="1">
      <alignment horizontal="center" vertical="center"/>
    </xf>
    <xf numFmtId="10" fontId="123" fillId="0" borderId="1" xfId="0" applyNumberFormat="1" applyFont="1" applyBorder="1" applyAlignment="1">
      <alignment horizontal="right" vertical="center"/>
    </xf>
    <xf numFmtId="0" fontId="73" fillId="0" borderId="0" xfId="0" applyFont="1" applyAlignment="1">
      <alignment horizontal="left" vertical="center" wrapText="1"/>
    </xf>
    <xf numFmtId="0" fontId="124" fillId="0" borderId="1" xfId="0" applyFont="1" applyBorder="1" applyAlignment="1">
      <alignment horizontal="right" vertical="center" wrapText="1"/>
    </xf>
    <xf numFmtId="4" fontId="125" fillId="0" borderId="1" xfId="0" applyNumberFormat="1" applyFont="1" applyBorder="1" applyAlignment="1">
      <alignment horizontal="center" vertical="center" wrapText="1"/>
    </xf>
    <xf numFmtId="0" fontId="123" fillId="5" borderId="1" xfId="0" applyFont="1" applyFill="1" applyBorder="1" applyAlignment="1">
      <alignment horizontal="center" vertical="center" wrapText="1"/>
    </xf>
    <xf numFmtId="4" fontId="73" fillId="0" borderId="1" xfId="0" applyNumberFormat="1" applyFont="1" applyBorder="1" applyAlignment="1">
      <alignment horizontal="right" vertical="center" wrapText="1"/>
    </xf>
    <xf numFmtId="4" fontId="73" fillId="0" borderId="0" xfId="0" applyNumberFormat="1" applyFont="1" applyAlignment="1">
      <alignment horizontal="right" vertical="center" wrapText="1"/>
    </xf>
    <xf numFmtId="0" fontId="12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9" fillId="22" borderId="1" xfId="0" applyFont="1" applyFill="1" applyBorder="1" applyAlignment="1">
      <alignment horizontal="center"/>
    </xf>
    <xf numFmtId="0" fontId="99" fillId="0" borderId="0" xfId="0" applyFont="1" applyAlignment="1">
      <alignment horizontal="center"/>
    </xf>
    <xf numFmtId="173" fontId="99" fillId="0" borderId="1" xfId="0" applyNumberFormat="1" applyFont="1" applyBorder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vertical="center" wrapText="1"/>
    </xf>
    <xf numFmtId="0" fontId="61" fillId="16" borderId="1" xfId="0" applyFont="1" applyFill="1" applyBorder="1" applyAlignment="1">
      <alignment horizontal="center" vertical="center"/>
    </xf>
    <xf numFmtId="4" fontId="99" fillId="16" borderId="1" xfId="0" applyNumberFormat="1" applyFont="1" applyFill="1" applyBorder="1" applyAlignment="1">
      <alignment horizontal="right" vertical="center"/>
    </xf>
    <xf numFmtId="4" fontId="99" fillId="0" borderId="0" xfId="0" applyNumberFormat="1" applyFont="1" applyAlignment="1">
      <alignment horizontal="right" vertical="center"/>
    </xf>
    <xf numFmtId="0" fontId="91" fillId="22" borderId="1" xfId="0" applyFont="1" applyFill="1" applyBorder="1" applyAlignment="1">
      <alignment horizontal="center" vertical="center"/>
    </xf>
    <xf numFmtId="4" fontId="91" fillId="22" borderId="1" xfId="0" applyNumberFormat="1" applyFont="1" applyFill="1" applyBorder="1" applyAlignment="1">
      <alignment horizontal="center" vertical="center"/>
    </xf>
    <xf numFmtId="4" fontId="91" fillId="0" borderId="0" xfId="0" applyNumberFormat="1" applyFont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4" fontId="59" fillId="0" borderId="1" xfId="0" applyNumberFormat="1" applyFont="1" applyBorder="1" applyAlignment="1">
      <alignment horizontal="right" vertical="center"/>
    </xf>
    <xf numFmtId="4" fontId="59" fillId="0" borderId="0" xfId="0" applyNumberFormat="1" applyFont="1" applyAlignment="1">
      <alignment horizontal="right" vertical="center"/>
    </xf>
    <xf numFmtId="4" fontId="59" fillId="22" borderId="1" xfId="0" applyNumberFormat="1" applyFont="1" applyFill="1" applyBorder="1" applyAlignment="1">
      <alignment horizontal="right" vertical="center"/>
    </xf>
    <xf numFmtId="0" fontId="59" fillId="0" borderId="0" xfId="0" applyFont="1" applyAlignment="1">
      <alignment horizontal="right" vertical="center"/>
    </xf>
    <xf numFmtId="4" fontId="61" fillId="22" borderId="1" xfId="0" applyNumberFormat="1" applyFont="1" applyFill="1" applyBorder="1" applyAlignment="1">
      <alignment horizontal="right" vertical="center" wrapText="1"/>
    </xf>
    <xf numFmtId="0" fontId="77" fillId="0" borderId="0" xfId="0" applyFont="1" applyAlignment="1">
      <alignment horizontal="center" vertical="center"/>
    </xf>
    <xf numFmtId="0" fontId="110" fillId="0" borderId="0" xfId="0" applyFont="1" applyAlignment="1">
      <alignment horizontal="left" vertical="center"/>
    </xf>
    <xf numFmtId="0" fontId="77" fillId="23" borderId="72" xfId="0" applyFont="1" applyFill="1" applyBorder="1" applyAlignment="1">
      <alignment horizontal="center" vertical="center"/>
    </xf>
    <xf numFmtId="0" fontId="1" fillId="23" borderId="65" xfId="0" applyFont="1" applyFill="1" applyBorder="1" applyAlignment="1">
      <alignment horizontal="center" vertical="center"/>
    </xf>
    <xf numFmtId="0" fontId="1" fillId="23" borderId="68" xfId="0" applyFont="1" applyFill="1" applyBorder="1" applyAlignment="1">
      <alignment horizontal="center" vertical="center"/>
    </xf>
    <xf numFmtId="0" fontId="61" fillId="22" borderId="1" xfId="0" applyFont="1" applyFill="1" applyBorder="1" applyAlignment="1">
      <alignment horizontal="center" vertical="center" wrapText="1"/>
    </xf>
    <xf numFmtId="4" fontId="99" fillId="22" borderId="1" xfId="0" applyNumberFormat="1" applyFont="1" applyFill="1" applyBorder="1" applyAlignment="1">
      <alignment horizontal="center" vertical="center" wrapText="1"/>
    </xf>
    <xf numFmtId="4" fontId="99" fillId="0" borderId="0" xfId="0" applyNumberFormat="1" applyFont="1" applyAlignment="1">
      <alignment horizontal="center" vertical="center" wrapText="1"/>
    </xf>
    <xf numFmtId="4" fontId="60" fillId="0" borderId="1" xfId="0" applyNumberFormat="1" applyFont="1" applyBorder="1" applyAlignment="1">
      <alignment horizontal="right" vertical="center"/>
    </xf>
    <xf numFmtId="4" fontId="60" fillId="0" borderId="0" xfId="0" applyNumberFormat="1" applyFont="1" applyAlignment="1">
      <alignment horizontal="right" vertical="center"/>
    </xf>
    <xf numFmtId="10" fontId="60" fillId="0" borderId="1" xfId="0" applyNumberFormat="1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0" fontId="61" fillId="0" borderId="1" xfId="0" applyNumberFormat="1" applyFont="1" applyBorder="1" applyAlignment="1">
      <alignment horizontal="center" vertical="center"/>
    </xf>
    <xf numFmtId="4" fontId="61" fillId="0" borderId="1" xfId="0" applyNumberFormat="1" applyFont="1" applyBorder="1"/>
    <xf numFmtId="4" fontId="61" fillId="0" borderId="0" xfId="0" applyNumberFormat="1" applyFont="1"/>
    <xf numFmtId="10" fontId="61" fillId="0" borderId="1" xfId="0" applyNumberFormat="1" applyFont="1" applyBorder="1" applyAlignment="1">
      <alignment horizontal="center" vertical="center" wrapText="1"/>
    </xf>
    <xf numFmtId="10" fontId="61" fillId="0" borderId="1" xfId="0" applyNumberFormat="1" applyFont="1" applyBorder="1" applyAlignment="1">
      <alignment horizontal="center" wrapText="1"/>
    </xf>
    <xf numFmtId="4" fontId="61" fillId="0" borderId="1" xfId="0" applyNumberFormat="1" applyFont="1" applyBorder="1" applyAlignment="1">
      <alignment horizontal="center"/>
    </xf>
    <xf numFmtId="4" fontId="61" fillId="0" borderId="0" xfId="0" applyNumberFormat="1" applyFont="1" applyAlignment="1">
      <alignment horizontal="center"/>
    </xf>
    <xf numFmtId="10" fontId="61" fillId="0" borderId="1" xfId="0" applyNumberFormat="1" applyFont="1" applyBorder="1" applyAlignment="1">
      <alignment horizontal="right" vertical="center" wrapText="1"/>
    </xf>
    <xf numFmtId="10" fontId="60" fillId="0" borderId="1" xfId="0" applyNumberFormat="1" applyFont="1" applyBorder="1" applyAlignment="1">
      <alignment horizontal="right" vertical="center"/>
    </xf>
    <xf numFmtId="0" fontId="121" fillId="0" borderId="0" xfId="0" applyFont="1" applyAlignment="1">
      <alignment horizontal="left" vertical="center"/>
    </xf>
    <xf numFmtId="0" fontId="121" fillId="0" borderId="0" xfId="0" applyFont="1" applyAlignment="1">
      <alignment horizontal="center" vertical="center"/>
    </xf>
    <xf numFmtId="0" fontId="127" fillId="0" borderId="0" xfId="0" applyFont="1" applyAlignment="1">
      <alignment vertical="center"/>
    </xf>
    <xf numFmtId="49" fontId="61" fillId="0" borderId="1" xfId="0" applyNumberFormat="1" applyFont="1" applyBorder="1" applyAlignment="1">
      <alignment horizontal="center" vertical="center" wrapText="1"/>
    </xf>
    <xf numFmtId="49" fontId="61" fillId="0" borderId="4" xfId="0" applyNumberFormat="1" applyFont="1" applyBorder="1" applyAlignment="1">
      <alignment horizontal="center" vertical="center" wrapText="1"/>
    </xf>
    <xf numFmtId="49" fontId="128" fillId="0" borderId="0" xfId="0" applyNumberFormat="1" applyFont="1" applyAlignment="1">
      <alignment horizontal="left" vertical="center" wrapText="1"/>
    </xf>
    <xf numFmtId="49" fontId="61" fillId="0" borderId="0" xfId="0" applyNumberFormat="1" applyFont="1" applyAlignment="1">
      <alignment horizontal="left" vertical="center" wrapText="1"/>
    </xf>
    <xf numFmtId="0" fontId="61" fillId="0" borderId="91" xfId="0" applyFont="1" applyBorder="1" applyAlignment="1">
      <alignment horizontal="left" vertical="center" wrapText="1"/>
    </xf>
    <xf numFmtId="176" fontId="60" fillId="0" borderId="0" xfId="0" applyNumberFormat="1" applyFont="1" applyAlignment="1">
      <alignment horizontal="left"/>
    </xf>
    <xf numFmtId="176" fontId="60" fillId="10" borderId="95" xfId="0" applyNumberFormat="1" applyFont="1" applyFill="1" applyBorder="1" applyAlignment="1">
      <alignment horizontal="left"/>
    </xf>
    <xf numFmtId="3" fontId="61" fillId="0" borderId="1" xfId="0" applyNumberFormat="1" applyFont="1" applyBorder="1" applyAlignment="1">
      <alignment horizontal="center" vertical="center" wrapText="1"/>
    </xf>
    <xf numFmtId="4" fontId="61" fillId="0" borderId="0" xfId="0" applyNumberFormat="1" applyFont="1" applyAlignment="1">
      <alignment horizontal="center" vertical="center" wrapText="1"/>
    </xf>
    <xf numFmtId="3" fontId="114" fillId="22" borderId="1" xfId="0" applyNumberFormat="1" applyFont="1" applyFill="1" applyBorder="1" applyAlignment="1">
      <alignment horizontal="center" vertical="center" wrapText="1"/>
    </xf>
    <xf numFmtId="4" fontId="114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left"/>
    </xf>
    <xf numFmtId="172" fontId="87" fillId="0" borderId="0" xfId="0" applyNumberFormat="1" applyFont="1" applyAlignment="1">
      <alignment horizontal="center" vertical="center" wrapText="1"/>
    </xf>
    <xf numFmtId="0" fontId="77" fillId="0" borderId="0" xfId="0" applyFont="1" applyAlignment="1">
      <alignment horizontal="center"/>
    </xf>
    <xf numFmtId="0" fontId="87" fillId="0" borderId="0" xfId="0" applyFont="1" applyAlignment="1">
      <alignment horizontal="center" vertical="center" wrapText="1"/>
    </xf>
    <xf numFmtId="0" fontId="77" fillId="0" borderId="0" xfId="0" applyFont="1" applyAlignment="1">
      <alignment horizontal="left" vertical="center" wrapText="1"/>
    </xf>
    <xf numFmtId="172" fontId="87" fillId="0" borderId="0" xfId="0" applyNumberFormat="1" applyFont="1" applyAlignment="1">
      <alignment horizontal="center" vertical="center"/>
    </xf>
    <xf numFmtId="0" fontId="61" fillId="0" borderId="4" xfId="0" applyFont="1" applyBorder="1" applyAlignment="1">
      <alignment horizontal="center"/>
    </xf>
    <xf numFmtId="0" fontId="115" fillId="0" borderId="5" xfId="0" applyFont="1" applyBorder="1" applyAlignment="1">
      <alignment horizontal="left" vertical="center" wrapText="1"/>
    </xf>
    <xf numFmtId="10" fontId="61" fillId="0" borderId="1" xfId="0" applyNumberFormat="1" applyFont="1" applyBorder="1" applyAlignment="1">
      <alignment horizontal="left" vertical="center" wrapText="1"/>
    </xf>
    <xf numFmtId="10" fontId="61" fillId="0" borderId="6" xfId="0" applyNumberFormat="1" applyFont="1" applyBorder="1" applyAlignment="1">
      <alignment horizontal="center" vertical="center"/>
    </xf>
    <xf numFmtId="10" fontId="61" fillId="0" borderId="92" xfId="0" applyNumberFormat="1" applyFont="1" applyBorder="1" applyAlignment="1">
      <alignment horizontal="center" vertical="center"/>
    </xf>
    <xf numFmtId="4" fontId="68" fillId="11" borderId="68" xfId="0" applyNumberFormat="1" applyFont="1" applyFill="1" applyBorder="1" applyAlignment="1">
      <alignment horizontal="center" vertical="center" wrapText="1"/>
    </xf>
    <xf numFmtId="4" fontId="61" fillId="0" borderId="6" xfId="0" applyNumberFormat="1" applyFont="1" applyBorder="1" applyAlignment="1">
      <alignment horizontal="left" vertical="center" wrapText="1"/>
    </xf>
    <xf numFmtId="4" fontId="61" fillId="0" borderId="6" xfId="0" applyNumberFormat="1" applyFont="1" applyBorder="1" applyAlignment="1">
      <alignment vertical="center"/>
    </xf>
    <xf numFmtId="0" fontId="99" fillId="22" borderId="101" xfId="0" applyFont="1" applyFill="1" applyBorder="1" applyAlignment="1">
      <alignment horizontal="center" vertical="center" wrapText="1"/>
    </xf>
    <xf numFmtId="4" fontId="61" fillId="0" borderId="17" xfId="0" applyNumberFormat="1" applyFont="1" applyBorder="1" applyAlignment="1">
      <alignment horizontal="right" vertical="center"/>
    </xf>
    <xf numFmtId="0" fontId="11" fillId="0" borderId="0" xfId="0" applyFont="1"/>
    <xf numFmtId="0" fontId="129" fillId="0" borderId="0" xfId="0" applyFont="1"/>
    <xf numFmtId="0" fontId="130" fillId="0" borderId="0" xfId="0" applyFont="1"/>
    <xf numFmtId="0" fontId="131" fillId="0" borderId="0" xfId="0" applyFont="1"/>
    <xf numFmtId="0" fontId="132" fillId="0" borderId="0" xfId="0" applyFont="1"/>
    <xf numFmtId="0" fontId="135" fillId="0" borderId="0" xfId="0" applyFont="1"/>
    <xf numFmtId="0" fontId="136" fillId="0" borderId="0" xfId="0" applyFont="1" applyAlignment="1">
      <alignment horizontal="left"/>
    </xf>
    <xf numFmtId="0" fontId="137" fillId="0" borderId="0" xfId="0" applyFont="1" applyAlignment="1">
      <alignment horizontal="left"/>
    </xf>
    <xf numFmtId="0" fontId="139" fillId="0" borderId="0" xfId="0" applyFont="1" applyAlignment="1">
      <alignment horizontal="left" wrapText="1"/>
    </xf>
    <xf numFmtId="0" fontId="131" fillId="0" borderId="0" xfId="0" applyFont="1" applyAlignment="1">
      <alignment horizontal="left"/>
    </xf>
    <xf numFmtId="0" fontId="140" fillId="0" borderId="0" xfId="0" applyFont="1" applyAlignment="1">
      <alignment horizontal="left" wrapText="1"/>
    </xf>
    <xf numFmtId="164" fontId="140" fillId="0" borderId="0" xfId="0" applyNumberFormat="1" applyFont="1" applyAlignment="1">
      <alignment horizontal="left" wrapText="1"/>
    </xf>
    <xf numFmtId="0" fontId="141" fillId="0" borderId="0" xfId="0" applyFont="1"/>
    <xf numFmtId="0" fontId="142" fillId="18" borderId="1" xfId="0" applyFont="1" applyFill="1" applyBorder="1" applyAlignment="1">
      <alignment horizontal="center" vertical="center" wrapText="1"/>
    </xf>
    <xf numFmtId="170" fontId="143" fillId="0" borderId="1" xfId="0" applyNumberFormat="1" applyFont="1" applyBorder="1" applyAlignment="1">
      <alignment horizontal="center" vertical="center"/>
    </xf>
    <xf numFmtId="4" fontId="98" fillId="0" borderId="1" xfId="0" applyNumberFormat="1" applyFont="1" applyBorder="1" applyAlignment="1">
      <alignment horizontal="center" vertical="center"/>
    </xf>
    <xf numFmtId="4" fontId="144" fillId="18" borderId="1" xfId="0" applyNumberFormat="1" applyFont="1" applyFill="1" applyBorder="1" applyAlignment="1">
      <alignment horizontal="center" vertical="center"/>
    </xf>
    <xf numFmtId="0" fontId="144" fillId="0" borderId="0" xfId="0" applyFont="1" applyAlignment="1">
      <alignment horizontal="right"/>
    </xf>
    <xf numFmtId="0" fontId="102" fillId="18" borderId="4" xfId="0" applyFont="1" applyFill="1" applyBorder="1" applyAlignment="1">
      <alignment horizontal="right" vertical="center"/>
    </xf>
    <xf numFmtId="0" fontId="102" fillId="18" borderId="5" xfId="0" applyFont="1" applyFill="1" applyBorder="1" applyAlignment="1">
      <alignment horizontal="right" vertical="center"/>
    </xf>
    <xf numFmtId="1" fontId="102" fillId="18" borderId="6" xfId="0" applyNumberFormat="1" applyFont="1" applyFill="1" applyBorder="1" applyAlignment="1">
      <alignment horizontal="right" vertical="center"/>
    </xf>
    <xf numFmtId="0" fontId="102" fillId="18" borderId="6" xfId="0" applyFont="1" applyFill="1" applyBorder="1" applyAlignment="1">
      <alignment horizontal="right" vertical="center"/>
    </xf>
    <xf numFmtId="4" fontId="102" fillId="18" borderId="6" xfId="0" applyNumberFormat="1" applyFont="1" applyFill="1" applyBorder="1" applyAlignment="1">
      <alignment horizontal="right" vertical="center"/>
    </xf>
    <xf numFmtId="0" fontId="41" fillId="10" borderId="25" xfId="0" applyFont="1" applyFill="1" applyBorder="1" applyAlignment="1">
      <alignment horizontal="center" vertical="center" wrapText="1"/>
    </xf>
    <xf numFmtId="0" fontId="28" fillId="0" borderId="39" xfId="0" applyFont="1" applyBorder="1"/>
    <xf numFmtId="0" fontId="28" fillId="0" borderId="48" xfId="0" applyFont="1" applyBorder="1"/>
    <xf numFmtId="0" fontId="40" fillId="10" borderId="26" xfId="0" applyFont="1" applyFill="1" applyBorder="1" applyAlignment="1">
      <alignment horizontal="center" vertical="center" textRotation="90" wrapText="1"/>
    </xf>
    <xf numFmtId="0" fontId="28" fillId="0" borderId="40" xfId="0" applyFont="1" applyBorder="1"/>
    <xf numFmtId="0" fontId="28" fillId="0" borderId="50" xfId="0" applyFont="1" applyBorder="1"/>
    <xf numFmtId="0" fontId="41" fillId="10" borderId="20" xfId="0" applyFont="1" applyFill="1" applyBorder="1" applyAlignment="1">
      <alignment horizontal="center" vertical="center" textRotation="90" wrapText="1"/>
    </xf>
    <xf numFmtId="0" fontId="28" fillId="0" borderId="35" xfId="0" applyFont="1" applyBorder="1"/>
    <xf numFmtId="0" fontId="28" fillId="0" borderId="45" xfId="0" applyFont="1" applyBorder="1"/>
    <xf numFmtId="0" fontId="41" fillId="10" borderId="31" xfId="0" applyFont="1" applyFill="1" applyBorder="1" applyAlignment="1">
      <alignment horizontal="center" vertical="center" wrapText="1"/>
    </xf>
    <xf numFmtId="0" fontId="28" fillId="0" borderId="53" xfId="0" applyFont="1" applyBorder="1"/>
    <xf numFmtId="0" fontId="46" fillId="10" borderId="21" xfId="0" applyFont="1" applyFill="1" applyBorder="1" applyAlignment="1">
      <alignment horizontal="center" wrapText="1"/>
    </xf>
    <xf numFmtId="0" fontId="28" fillId="0" borderId="51" xfId="0" applyFont="1" applyBorder="1"/>
    <xf numFmtId="0" fontId="41" fillId="10" borderId="28" xfId="0" applyFont="1" applyFill="1" applyBorder="1" applyAlignment="1">
      <alignment horizontal="center" vertical="center" wrapText="1"/>
    </xf>
    <xf numFmtId="0" fontId="28" fillId="0" borderId="29" xfId="0" applyFont="1" applyBorder="1"/>
    <xf numFmtId="0" fontId="28" fillId="0" borderId="30" xfId="0" applyFont="1" applyBorder="1"/>
    <xf numFmtId="0" fontId="43" fillId="8" borderId="21" xfId="0" applyFont="1" applyFill="1" applyBorder="1" applyAlignment="1">
      <alignment horizontal="center" wrapText="1"/>
    </xf>
    <xf numFmtId="0" fontId="28" fillId="0" borderId="46" xfId="0" applyFont="1" applyBorder="1"/>
    <xf numFmtId="0" fontId="5" fillId="9" borderId="21" xfId="0" applyFont="1" applyFill="1" applyBorder="1" applyAlignment="1">
      <alignment horizontal="center" wrapText="1"/>
    </xf>
    <xf numFmtId="0" fontId="37" fillId="8" borderId="22" xfId="0" applyFont="1" applyFill="1" applyBorder="1" applyAlignment="1">
      <alignment horizontal="center" vertical="center" wrapText="1"/>
    </xf>
    <xf numFmtId="0" fontId="28" fillId="0" borderId="23" xfId="0" applyFont="1" applyBorder="1"/>
    <xf numFmtId="0" fontId="28" fillId="0" borderId="24" xfId="0" applyFont="1" applyBorder="1"/>
    <xf numFmtId="0" fontId="37" fillId="8" borderId="25" xfId="0" applyFont="1" applyFill="1" applyBorder="1" applyAlignment="1">
      <alignment horizontal="center" vertical="center" wrapText="1"/>
    </xf>
    <xf numFmtId="0" fontId="31" fillId="4" borderId="9" xfId="0" applyFont="1" applyFill="1" applyBorder="1" applyAlignment="1">
      <alignment horizontal="left"/>
    </xf>
    <xf numFmtId="0" fontId="28" fillId="0" borderId="10" xfId="0" applyFont="1" applyBorder="1"/>
    <xf numFmtId="0" fontId="21" fillId="3" borderId="0" xfId="0" applyFont="1" applyFill="1" applyAlignment="1">
      <alignment horizontal="center" vertical="center"/>
    </xf>
    <xf numFmtId="0" fontId="0" fillId="0" borderId="0" xfId="0" applyFont="1" applyAlignment="1"/>
    <xf numFmtId="0" fontId="6" fillId="0" borderId="4" xfId="0" applyFont="1" applyBorder="1" applyAlignment="1">
      <alignment horizontal="center"/>
    </xf>
    <xf numFmtId="0" fontId="28" fillId="0" borderId="5" xfId="0" applyFont="1" applyBorder="1"/>
    <xf numFmtId="0" fontId="28" fillId="0" borderId="6" xfId="0" applyFont="1" applyBorder="1"/>
    <xf numFmtId="0" fontId="30" fillId="7" borderId="9" xfId="0" applyFont="1" applyFill="1" applyBorder="1" applyAlignment="1">
      <alignment horizontal="left"/>
    </xf>
    <xf numFmtId="0" fontId="31" fillId="4" borderId="11" xfId="0" applyFont="1" applyFill="1" applyBorder="1" applyAlignment="1">
      <alignment horizontal="left"/>
    </xf>
    <xf numFmtId="0" fontId="28" fillId="0" borderId="12" xfId="0" applyFont="1" applyBorder="1"/>
    <xf numFmtId="0" fontId="35" fillId="10" borderId="14" xfId="0" applyFont="1" applyFill="1" applyBorder="1" applyAlignment="1">
      <alignment horizontal="center" vertical="center"/>
    </xf>
    <xf numFmtId="0" fontId="28" fillId="0" borderId="15" xfId="0" applyFont="1" applyBorder="1"/>
    <xf numFmtId="0" fontId="28" fillId="0" borderId="16" xfId="0" applyFont="1" applyBorder="1"/>
    <xf numFmtId="0" fontId="36" fillId="8" borderId="18" xfId="0" applyFont="1" applyFill="1" applyBorder="1" applyAlignment="1">
      <alignment horizontal="center" vertical="center" textRotation="90" wrapText="1"/>
    </xf>
    <xf numFmtId="0" fontId="28" fillId="0" borderId="33" xfId="0" applyFont="1" applyBorder="1"/>
    <xf numFmtId="0" fontId="28" fillId="0" borderId="43" xfId="0" applyFont="1" applyBorder="1"/>
    <xf numFmtId="0" fontId="37" fillId="8" borderId="20" xfId="0" applyFont="1" applyFill="1" applyBorder="1" applyAlignment="1">
      <alignment horizontal="center" vertical="center" textRotation="90" wrapText="1"/>
    </xf>
    <xf numFmtId="0" fontId="37" fillId="8" borderId="21" xfId="0" applyFont="1" applyFill="1" applyBorder="1" applyAlignment="1">
      <alignment horizontal="center" vertical="center" wrapText="1"/>
    </xf>
    <xf numFmtId="0" fontId="28" fillId="0" borderId="36" xfId="0" applyFont="1" applyBorder="1"/>
    <xf numFmtId="0" fontId="44" fillId="8" borderId="21" xfId="0" applyFont="1" applyFill="1" applyBorder="1" applyAlignment="1">
      <alignment horizontal="center" wrapText="1"/>
    </xf>
    <xf numFmtId="49" fontId="45" fillId="10" borderId="58" xfId="0" applyNumberFormat="1" applyFont="1" applyFill="1" applyBorder="1" applyAlignment="1">
      <alignment horizontal="center" wrapText="1"/>
    </xf>
    <xf numFmtId="0" fontId="28" fillId="0" borderId="59" xfId="0" applyFont="1" applyBorder="1"/>
    <xf numFmtId="49" fontId="45" fillId="10" borderId="69" xfId="0" applyNumberFormat="1" applyFont="1" applyFill="1" applyBorder="1" applyAlignment="1">
      <alignment horizontal="center" wrapText="1"/>
    </xf>
    <xf numFmtId="0" fontId="28" fillId="0" borderId="70" xfId="0" applyFont="1" applyBorder="1"/>
    <xf numFmtId="49" fontId="46" fillId="10" borderId="69" xfId="0" applyNumberFormat="1" applyFont="1" applyFill="1" applyBorder="1" applyAlignment="1">
      <alignment horizontal="center" wrapText="1"/>
    </xf>
    <xf numFmtId="0" fontId="41" fillId="10" borderId="32" xfId="0" applyFont="1" applyFill="1" applyBorder="1" applyAlignment="1">
      <alignment horizontal="center" vertical="center" wrapText="1"/>
    </xf>
    <xf numFmtId="0" fontId="28" fillId="0" borderId="41" xfId="0" applyFont="1" applyBorder="1"/>
    <xf numFmtId="0" fontId="28" fillId="0" borderId="55" xfId="0" applyFont="1" applyBorder="1"/>
    <xf numFmtId="0" fontId="39" fillId="9" borderId="25" xfId="0" applyFont="1" applyFill="1" applyBorder="1" applyAlignment="1">
      <alignment horizontal="center" vertical="center" wrapText="1"/>
    </xf>
    <xf numFmtId="0" fontId="39" fillId="9" borderId="31" xfId="0" applyFont="1" applyFill="1" applyBorder="1" applyAlignment="1">
      <alignment horizontal="center" vertical="center" wrapText="1"/>
    </xf>
    <xf numFmtId="0" fontId="38" fillId="9" borderId="26" xfId="0" applyFont="1" applyFill="1" applyBorder="1" applyAlignment="1">
      <alignment horizontal="center" vertical="center" textRotation="90" wrapText="1"/>
    </xf>
    <xf numFmtId="0" fontId="39" fillId="9" borderId="28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28" fillId="0" borderId="17" xfId="0" applyFont="1" applyBorder="1"/>
    <xf numFmtId="0" fontId="28" fillId="0" borderId="42" xfId="0" applyFont="1" applyBorder="1"/>
    <xf numFmtId="0" fontId="33" fillId="0" borderId="13" xfId="0" applyFont="1" applyBorder="1" applyAlignment="1">
      <alignment horizontal="center" vertical="center" textRotation="90" wrapText="1"/>
    </xf>
    <xf numFmtId="0" fontId="33" fillId="0" borderId="13" xfId="0" applyFont="1" applyBorder="1" applyAlignment="1">
      <alignment horizontal="center" vertical="center" wrapText="1"/>
    </xf>
    <xf numFmtId="0" fontId="34" fillId="8" borderId="14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49" fontId="1" fillId="8" borderId="58" xfId="0" applyNumberFormat="1" applyFont="1" applyFill="1" applyBorder="1" applyAlignment="1">
      <alignment horizontal="center" wrapText="1"/>
    </xf>
    <xf numFmtId="49" fontId="1" fillId="9" borderId="58" xfId="0" applyNumberFormat="1" applyFont="1" applyFill="1" applyBorder="1" applyAlignment="1">
      <alignment horizontal="center" wrapText="1"/>
    </xf>
    <xf numFmtId="0" fontId="39" fillId="9" borderId="20" xfId="0" applyFont="1" applyFill="1" applyBorder="1" applyAlignment="1">
      <alignment horizontal="center" vertical="center" textRotation="90" wrapText="1"/>
    </xf>
    <xf numFmtId="0" fontId="39" fillId="9" borderId="27" xfId="0" applyFont="1" applyFill="1" applyBorder="1" applyAlignment="1">
      <alignment horizontal="center" vertical="center" wrapText="1"/>
    </xf>
    <xf numFmtId="0" fontId="61" fillId="5" borderId="71" xfId="0" applyFont="1" applyFill="1" applyBorder="1" applyAlignment="1">
      <alignment horizontal="center" vertical="center"/>
    </xf>
    <xf numFmtId="0" fontId="62" fillId="0" borderId="4" xfId="0" applyFont="1" applyBorder="1" applyAlignment="1">
      <alignment horizontal="center" vertical="center" wrapText="1"/>
    </xf>
    <xf numFmtId="0" fontId="63" fillId="14" borderId="4" xfId="0" applyFont="1" applyFill="1" applyBorder="1" applyAlignment="1">
      <alignment horizontal="left" vertical="center"/>
    </xf>
    <xf numFmtId="0" fontId="64" fillId="15" borderId="4" xfId="0" applyFont="1" applyFill="1" applyBorder="1" applyAlignment="1">
      <alignment horizontal="center" vertical="top" wrapText="1"/>
    </xf>
    <xf numFmtId="164" fontId="63" fillId="14" borderId="4" xfId="0" applyNumberFormat="1" applyFont="1" applyFill="1" applyBorder="1" applyAlignment="1">
      <alignment horizontal="left" vertical="center"/>
    </xf>
    <xf numFmtId="0" fontId="67" fillId="5" borderId="25" xfId="0" applyFont="1" applyFill="1" applyBorder="1" applyAlignment="1">
      <alignment horizontal="center" vertical="center"/>
    </xf>
    <xf numFmtId="0" fontId="65" fillId="14" borderId="4" xfId="0" applyFont="1" applyFill="1" applyBorder="1" applyAlignment="1">
      <alignment horizontal="left" vertical="center"/>
    </xf>
    <xf numFmtId="0" fontId="63" fillId="14" borderId="73" xfId="0" applyFont="1" applyFill="1" applyBorder="1" applyAlignment="1">
      <alignment horizontal="left" vertical="center"/>
    </xf>
    <xf numFmtId="0" fontId="66" fillId="5" borderId="71" xfId="0" applyFont="1" applyFill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68" fillId="17" borderId="25" xfId="0" applyFont="1" applyFill="1" applyBorder="1" applyAlignment="1">
      <alignment horizontal="center" vertical="center"/>
    </xf>
    <xf numFmtId="0" fontId="28" fillId="0" borderId="74" xfId="0" applyFont="1" applyBorder="1"/>
    <xf numFmtId="10" fontId="70" fillId="17" borderId="25" xfId="0" applyNumberFormat="1" applyFont="1" applyFill="1" applyBorder="1" applyAlignment="1">
      <alignment horizontal="center" vertical="center"/>
    </xf>
    <xf numFmtId="0" fontId="90" fillId="18" borderId="71" xfId="0" applyFont="1" applyFill="1" applyBorder="1" applyAlignment="1">
      <alignment horizontal="center" vertical="center"/>
    </xf>
    <xf numFmtId="0" fontId="92" fillId="0" borderId="0" xfId="0" applyFont="1"/>
    <xf numFmtId="0" fontId="93" fillId="0" borderId="0" xfId="0" applyFont="1" applyAlignment="1">
      <alignment horizontal="left"/>
    </xf>
    <xf numFmtId="0" fontId="89" fillId="0" borderId="0" xfId="0" applyFont="1" applyAlignment="1">
      <alignment wrapText="1"/>
    </xf>
    <xf numFmtId="0" fontId="28" fillId="0" borderId="90" xfId="0" applyFont="1" applyBorder="1"/>
    <xf numFmtId="0" fontId="95" fillId="0" borderId="91" xfId="0" applyFont="1" applyBorder="1" applyAlignment="1">
      <alignment horizontal="left" wrapText="1"/>
    </xf>
    <xf numFmtId="0" fontId="91" fillId="0" borderId="91" xfId="0" applyFont="1" applyBorder="1" applyAlignment="1">
      <alignment horizontal="left" wrapText="1"/>
    </xf>
    <xf numFmtId="164" fontId="91" fillId="0" borderId="91" xfId="0" applyNumberFormat="1" applyFont="1" applyBorder="1" applyAlignment="1">
      <alignment horizontal="left" wrapText="1"/>
    </xf>
    <xf numFmtId="0" fontId="97" fillId="0" borderId="4" xfId="0" applyFont="1" applyBorder="1" applyAlignment="1">
      <alignment horizontal="center" vertical="center"/>
    </xf>
    <xf numFmtId="0" fontId="100" fillId="0" borderId="17" xfId="0" applyFont="1" applyBorder="1" applyAlignment="1">
      <alignment horizontal="center" vertical="center" textRotation="90"/>
    </xf>
    <xf numFmtId="0" fontId="28" fillId="0" borderId="2" xfId="0" applyFont="1" applyBorder="1"/>
    <xf numFmtId="49" fontId="91" fillId="0" borderId="0" xfId="0" applyNumberFormat="1" applyFont="1" applyAlignment="1">
      <alignment horizontal="left" wrapText="1"/>
    </xf>
    <xf numFmtId="0" fontId="96" fillId="0" borderId="4" xfId="0" applyFont="1" applyBorder="1" applyAlignment="1">
      <alignment horizontal="center" wrapText="1"/>
    </xf>
    <xf numFmtId="0" fontId="105" fillId="19" borderId="4" xfId="0" applyFont="1" applyFill="1" applyBorder="1" applyAlignment="1">
      <alignment horizontal="center" wrapText="1"/>
    </xf>
    <xf numFmtId="0" fontId="106" fillId="20" borderId="4" xfId="0" applyFont="1" applyFill="1" applyBorder="1" applyAlignment="1">
      <alignment wrapText="1"/>
    </xf>
    <xf numFmtId="0" fontId="109" fillId="21" borderId="4" xfId="0" applyFont="1" applyFill="1" applyBorder="1" applyAlignment="1">
      <alignment horizontal="center" wrapText="1"/>
    </xf>
    <xf numFmtId="0" fontId="106" fillId="20" borderId="5" xfId="0" applyFont="1" applyFill="1" applyBorder="1" applyAlignment="1">
      <alignment horizontal="center" wrapText="1"/>
    </xf>
    <xf numFmtId="0" fontId="107" fillId="0" borderId="5" xfId="0" applyFont="1" applyBorder="1" applyAlignment="1">
      <alignment horizontal="center" wrapText="1"/>
    </xf>
    <xf numFmtId="0" fontId="106" fillId="20" borderId="4" xfId="0" applyFont="1" applyFill="1" applyBorder="1" applyAlignment="1">
      <alignment horizontal="right" wrapText="1"/>
    </xf>
    <xf numFmtId="0" fontId="91" fillId="22" borderId="4" xfId="0" applyFont="1" applyFill="1" applyBorder="1" applyAlignment="1">
      <alignment horizontal="center" vertical="center"/>
    </xf>
    <xf numFmtId="0" fontId="59" fillId="0" borderId="4" xfId="0" applyFont="1" applyBorder="1" applyAlignment="1">
      <alignment horizontal="left" vertical="center"/>
    </xf>
    <xf numFmtId="0" fontId="59" fillId="22" borderId="4" xfId="0" applyFont="1" applyFill="1" applyBorder="1" applyAlignment="1">
      <alignment horizontal="right" vertical="center" wrapText="1"/>
    </xf>
    <xf numFmtId="0" fontId="59" fillId="23" borderId="4" xfId="0" applyFont="1" applyFill="1" applyBorder="1" applyAlignment="1">
      <alignment horizontal="right" vertical="center"/>
    </xf>
    <xf numFmtId="0" fontId="73" fillId="0" borderId="4" xfId="0" applyFont="1" applyBorder="1" applyAlignment="1">
      <alignment horizontal="left" vertical="center" wrapText="1"/>
    </xf>
    <xf numFmtId="0" fontId="99" fillId="22" borderId="4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left" vertical="center" wrapText="1"/>
    </xf>
    <xf numFmtId="0" fontId="61" fillId="22" borderId="4" xfId="0" applyFont="1" applyFill="1" applyBorder="1" applyAlignment="1">
      <alignment horizontal="right" vertical="center"/>
    </xf>
    <xf numFmtId="0" fontId="77" fillId="23" borderId="4" xfId="0" applyFont="1" applyFill="1" applyBorder="1" applyAlignment="1">
      <alignment horizontal="center" vertical="center"/>
    </xf>
    <xf numFmtId="0" fontId="110" fillId="0" borderId="4" xfId="0" applyFont="1" applyBorder="1" applyAlignment="1">
      <alignment horizontal="left" vertical="center"/>
    </xf>
    <xf numFmtId="0" fontId="73" fillId="0" borderId="4" xfId="0" applyFont="1" applyBorder="1" applyAlignment="1">
      <alignment horizontal="left" vertical="center"/>
    </xf>
    <xf numFmtId="0" fontId="61" fillId="23" borderId="4" xfId="0" applyFont="1" applyFill="1" applyBorder="1" applyAlignment="1">
      <alignment horizontal="right" vertical="center"/>
    </xf>
    <xf numFmtId="0" fontId="60" fillId="0" borderId="4" xfId="0" applyFont="1" applyBorder="1" applyAlignment="1">
      <alignment horizontal="right" vertical="center" wrapText="1"/>
    </xf>
    <xf numFmtId="0" fontId="60" fillId="0" borderId="91" xfId="0" applyFont="1" applyBorder="1" applyAlignment="1">
      <alignment horizontal="center" vertical="center"/>
    </xf>
    <xf numFmtId="0" fontId="28" fillId="0" borderId="91" xfId="0" applyFont="1" applyBorder="1"/>
    <xf numFmtId="0" fontId="28" fillId="0" borderId="56" xfId="0" applyFont="1" applyBorder="1"/>
    <xf numFmtId="0" fontId="28" fillId="0" borderId="81" xfId="0" applyFont="1" applyBorder="1"/>
    <xf numFmtId="0" fontId="121" fillId="0" borderId="0" xfId="0" applyFont="1" applyAlignment="1">
      <alignment horizontal="left" vertical="center"/>
    </xf>
    <xf numFmtId="0" fontId="121" fillId="0" borderId="0" xfId="0" applyFont="1" applyAlignment="1">
      <alignment horizontal="center" vertical="center"/>
    </xf>
    <xf numFmtId="0" fontId="121" fillId="0" borderId="81" xfId="0" applyFont="1" applyBorder="1" applyAlignment="1">
      <alignment horizontal="left" vertical="center"/>
    </xf>
    <xf numFmtId="0" fontId="28" fillId="0" borderId="93" xfId="0" applyFont="1" applyBorder="1"/>
    <xf numFmtId="0" fontId="127" fillId="23" borderId="4" xfId="0" applyFont="1" applyFill="1" applyBorder="1" applyAlignment="1">
      <alignment vertical="center"/>
    </xf>
    <xf numFmtId="0" fontId="110" fillId="0" borderId="4" xfId="0" applyFont="1" applyBorder="1" applyAlignment="1">
      <alignment horizontal="left" vertical="center" wrapText="1"/>
    </xf>
    <xf numFmtId="0" fontId="99" fillId="22" borderId="4" xfId="0" applyFont="1" applyFill="1" applyBorder="1" applyAlignment="1">
      <alignment horizontal="left" vertical="center" wrapText="1"/>
    </xf>
    <xf numFmtId="0" fontId="61" fillId="0" borderId="5" xfId="0" applyFont="1" applyBorder="1" applyAlignment="1">
      <alignment horizontal="left" vertical="center" wrapText="1"/>
    </xf>
    <xf numFmtId="0" fontId="61" fillId="22" borderId="4" xfId="0" applyFont="1" applyFill="1" applyBorder="1" applyAlignment="1">
      <alignment horizontal="center" vertical="center" wrapText="1"/>
    </xf>
    <xf numFmtId="4" fontId="61" fillId="0" borderId="4" xfId="0" applyNumberFormat="1" applyFont="1" applyBorder="1" applyAlignment="1">
      <alignment horizontal="center" vertical="center" wrapText="1"/>
    </xf>
    <xf numFmtId="4" fontId="114" fillId="22" borderId="4" xfId="0" applyNumberFormat="1" applyFont="1" applyFill="1" applyBorder="1" applyAlignment="1">
      <alignment horizontal="center" vertical="center"/>
    </xf>
    <xf numFmtId="49" fontId="128" fillId="0" borderId="4" xfId="0" applyNumberFormat="1" applyFont="1" applyBorder="1" applyAlignment="1">
      <alignment horizontal="left" vertical="center" wrapText="1"/>
    </xf>
    <xf numFmtId="49" fontId="61" fillId="5" borderId="4" xfId="0" applyNumberFormat="1" applyFont="1" applyFill="1" applyBorder="1" applyAlignment="1">
      <alignment horizontal="left" vertical="center" wrapText="1"/>
    </xf>
    <xf numFmtId="0" fontId="99" fillId="0" borderId="91" xfId="0" applyFont="1" applyBorder="1" applyAlignment="1">
      <alignment horizontal="left" vertical="center" wrapText="1"/>
    </xf>
    <xf numFmtId="0" fontId="61" fillId="17" borderId="4" xfId="0" applyFont="1" applyFill="1" applyBorder="1" applyAlignment="1">
      <alignment horizontal="left" vertical="center" wrapText="1"/>
    </xf>
    <xf numFmtId="4" fontId="61" fillId="0" borderId="5" xfId="0" applyNumberFormat="1" applyFont="1" applyBorder="1" applyAlignment="1">
      <alignment horizontal="center" vertical="center" wrapText="1"/>
    </xf>
    <xf numFmtId="0" fontId="61" fillId="0" borderId="4" xfId="0" applyFont="1" applyBorder="1" applyAlignment="1">
      <alignment wrapText="1"/>
    </xf>
    <xf numFmtId="0" fontId="73" fillId="22" borderId="4" xfId="0" applyFont="1" applyFill="1" applyBorder="1" applyAlignment="1">
      <alignment horizontal="right" vertical="center"/>
    </xf>
    <xf numFmtId="0" fontId="61" fillId="23" borderId="96" xfId="0" applyFont="1" applyFill="1" applyBorder="1" applyAlignment="1">
      <alignment horizontal="right" vertical="center"/>
    </xf>
    <xf numFmtId="0" fontId="28" fillId="0" borderId="75" xfId="0" applyFont="1" applyBorder="1"/>
    <xf numFmtId="0" fontId="28" fillId="0" borderId="97" xfId="0" applyFont="1" applyBorder="1"/>
    <xf numFmtId="0" fontId="110" fillId="0" borderId="56" xfId="0" applyFont="1" applyBorder="1" applyAlignment="1">
      <alignment horizontal="left" vertical="center" wrapText="1"/>
    </xf>
    <xf numFmtId="0" fontId="61" fillId="23" borderId="4" xfId="0" applyFont="1" applyFill="1" applyBorder="1" applyAlignment="1">
      <alignment horizontal="left"/>
    </xf>
    <xf numFmtId="0" fontId="77" fillId="0" borderId="4" xfId="0" applyFont="1" applyBorder="1" applyAlignment="1">
      <alignment horizontal="left" vertical="center" wrapText="1"/>
    </xf>
    <xf numFmtId="0" fontId="61" fillId="23" borderId="4" xfId="0" applyFont="1" applyFill="1" applyBorder="1" applyAlignment="1">
      <alignment horizontal="left" vertical="center" wrapText="1"/>
    </xf>
    <xf numFmtId="172" fontId="87" fillId="0" borderId="4" xfId="0" applyNumberFormat="1" applyFont="1" applyBorder="1" applyAlignment="1">
      <alignment horizontal="center" vertical="center" wrapText="1"/>
    </xf>
    <xf numFmtId="0" fontId="77" fillId="23" borderId="73" xfId="0" applyFont="1" applyFill="1" applyBorder="1" applyAlignment="1">
      <alignment horizontal="center"/>
    </xf>
    <xf numFmtId="0" fontId="28" fillId="0" borderId="98" xfId="0" applyFont="1" applyBorder="1"/>
    <xf numFmtId="1" fontId="87" fillId="0" borderId="4" xfId="0" applyNumberFormat="1" applyFont="1" applyBorder="1" applyAlignment="1">
      <alignment horizontal="center" vertical="center" wrapText="1"/>
    </xf>
    <xf numFmtId="0" fontId="77" fillId="23" borderId="4" xfId="0" applyFont="1" applyFill="1" applyBorder="1" applyAlignment="1">
      <alignment horizontal="left" vertical="center" wrapText="1"/>
    </xf>
    <xf numFmtId="172" fontId="87" fillId="0" borderId="4" xfId="0" applyNumberFormat="1" applyFont="1" applyBorder="1" applyAlignment="1">
      <alignment horizontal="center" vertical="center"/>
    </xf>
    <xf numFmtId="0" fontId="61" fillId="0" borderId="4" xfId="0" applyFont="1" applyBorder="1" applyAlignment="1">
      <alignment horizontal="left" vertical="center"/>
    </xf>
    <xf numFmtId="0" fontId="61" fillId="23" borderId="4" xfId="0" applyFont="1" applyFill="1" applyBorder="1" applyAlignment="1">
      <alignment horizontal="center" vertical="center"/>
    </xf>
    <xf numFmtId="0" fontId="118" fillId="0" borderId="4" xfId="0" applyFont="1" applyBorder="1" applyAlignment="1">
      <alignment horizontal="left" vertical="center" wrapText="1"/>
    </xf>
    <xf numFmtId="0" fontId="61" fillId="23" borderId="4" xfId="0" applyFont="1" applyFill="1" applyBorder="1" applyAlignment="1">
      <alignment horizontal="center" vertical="center" wrapText="1"/>
    </xf>
    <xf numFmtId="0" fontId="86" fillId="0" borderId="4" xfId="0" applyFont="1" applyBorder="1" applyAlignment="1">
      <alignment horizontal="left" vertical="center" wrapText="1"/>
    </xf>
    <xf numFmtId="0" fontId="91" fillId="22" borderId="4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horizontal="left" vertical="center" wrapText="1"/>
    </xf>
    <xf numFmtId="0" fontId="122" fillId="23" borderId="4" xfId="0" applyFont="1" applyFill="1" applyBorder="1" applyAlignment="1">
      <alignment horizontal="center" vertical="center" wrapText="1"/>
    </xf>
    <xf numFmtId="0" fontId="99" fillId="22" borderId="4" xfId="0" applyFont="1" applyFill="1" applyBorder="1" applyAlignment="1">
      <alignment horizontal="center" vertical="center"/>
    </xf>
    <xf numFmtId="0" fontId="91" fillId="0" borderId="4" xfId="0" applyFont="1" applyBorder="1" applyAlignment="1">
      <alignment horizontal="left" vertical="center" wrapText="1"/>
    </xf>
    <xf numFmtId="0" fontId="126" fillId="23" borderId="4" xfId="0" applyFont="1" applyFill="1" applyBorder="1" applyAlignment="1">
      <alignment horizontal="left" vertical="center" wrapText="1"/>
    </xf>
    <xf numFmtId="0" fontId="99" fillId="0" borderId="4" xfId="0" applyFont="1" applyBorder="1" applyAlignment="1">
      <alignment horizontal="left" vertical="center" wrapText="1"/>
    </xf>
    <xf numFmtId="0" fontId="61" fillId="16" borderId="4" xfId="0" applyFont="1" applyFill="1" applyBorder="1" applyAlignment="1">
      <alignment horizontal="left" vertical="center" wrapText="1"/>
    </xf>
    <xf numFmtId="0" fontId="91" fillId="0" borderId="4" xfId="0" applyFont="1" applyBorder="1" applyAlignment="1">
      <alignment horizontal="left" vertical="center"/>
    </xf>
    <xf numFmtId="0" fontId="59" fillId="22" borderId="4" xfId="0" applyFont="1" applyFill="1" applyBorder="1" applyAlignment="1">
      <alignment horizontal="right" vertical="center"/>
    </xf>
    <xf numFmtId="0" fontId="86" fillId="0" borderId="4" xfId="0" applyFont="1" applyBorder="1" applyAlignment="1">
      <alignment horizontal="left" vertical="center"/>
    </xf>
    <xf numFmtId="49" fontId="61" fillId="22" borderId="4" xfId="0" applyNumberFormat="1" applyFont="1" applyFill="1" applyBorder="1" applyAlignment="1">
      <alignment horizontal="right" vertical="center" wrapText="1"/>
    </xf>
    <xf numFmtId="0" fontId="112" fillId="9" borderId="4" xfId="0" applyFont="1" applyFill="1" applyBorder="1" applyAlignment="1">
      <alignment horizontal="left" vertical="center" wrapText="1"/>
    </xf>
    <xf numFmtId="0" fontId="112" fillId="9" borderId="4" xfId="0" applyFont="1" applyFill="1" applyBorder="1" applyAlignment="1">
      <alignment horizontal="center" vertical="center" wrapText="1"/>
    </xf>
    <xf numFmtId="1" fontId="112" fillId="9" borderId="4" xfId="0" applyNumberFormat="1" applyFont="1" applyFill="1" applyBorder="1" applyAlignment="1">
      <alignment horizontal="center" vertical="center" wrapText="1"/>
    </xf>
    <xf numFmtId="1" fontId="60" fillId="22" borderId="4" xfId="0" applyNumberFormat="1" applyFont="1" applyFill="1" applyBorder="1" applyAlignment="1">
      <alignment horizontal="center" vertical="center" wrapText="1"/>
    </xf>
    <xf numFmtId="0" fontId="60" fillId="22" borderId="4" xfId="0" applyFont="1" applyFill="1" applyBorder="1" applyAlignment="1">
      <alignment horizontal="right" vertical="center" wrapText="1"/>
    </xf>
    <xf numFmtId="0" fontId="113" fillId="0" borderId="4" xfId="0" applyFont="1" applyBorder="1" applyAlignment="1">
      <alignment horizontal="left" wrapText="1"/>
    </xf>
    <xf numFmtId="0" fontId="99" fillId="23" borderId="4" xfId="0" applyFont="1" applyFill="1" applyBorder="1" applyAlignment="1">
      <alignment horizontal="left" wrapText="1"/>
    </xf>
    <xf numFmtId="172" fontId="60" fillId="0" borderId="4" xfId="0" applyNumberFormat="1" applyFont="1" applyBorder="1" applyAlignment="1">
      <alignment horizontal="center" vertical="center" wrapText="1"/>
    </xf>
    <xf numFmtId="0" fontId="59" fillId="0" borderId="87" xfId="0" applyFont="1" applyBorder="1" applyAlignment="1">
      <alignment horizontal="left" vertical="center" wrapText="1"/>
    </xf>
    <xf numFmtId="0" fontId="28" fillId="0" borderId="8" xfId="0" applyFont="1" applyBorder="1"/>
    <xf numFmtId="0" fontId="28" fillId="0" borderId="92" xfId="0" applyFont="1" applyBorder="1"/>
    <xf numFmtId="172" fontId="114" fillId="11" borderId="4" xfId="0" applyNumberFormat="1" applyFont="1" applyFill="1" applyBorder="1" applyAlignment="1">
      <alignment horizontal="center" vertical="center" wrapText="1"/>
    </xf>
    <xf numFmtId="0" fontId="61" fillId="0" borderId="14" xfId="0" applyFont="1" applyBorder="1" applyAlignment="1">
      <alignment horizontal="left" vertical="center" wrapText="1"/>
    </xf>
    <xf numFmtId="172" fontId="115" fillId="0" borderId="4" xfId="0" applyNumberFormat="1" applyFont="1" applyBorder="1" applyAlignment="1">
      <alignment horizontal="right" vertical="center"/>
    </xf>
    <xf numFmtId="14" fontId="114" fillId="11" borderId="4" xfId="0" applyNumberFormat="1" applyFont="1" applyFill="1" applyBorder="1" applyAlignment="1">
      <alignment horizontal="center" vertical="center" wrapText="1"/>
    </xf>
    <xf numFmtId="0" fontId="61" fillId="0" borderId="56" xfId="0" applyFont="1" applyBorder="1" applyAlignment="1">
      <alignment horizontal="left" vertical="center" wrapText="1"/>
    </xf>
    <xf numFmtId="14" fontId="116" fillId="0" borderId="4" xfId="0" applyNumberFormat="1" applyFont="1" applyBorder="1" applyAlignment="1">
      <alignment horizontal="right" vertical="center" wrapText="1"/>
    </xf>
    <xf numFmtId="0" fontId="60" fillId="0" borderId="4" xfId="0" applyFont="1" applyBorder="1" applyAlignment="1">
      <alignment horizontal="left" vertical="center" wrapText="1"/>
    </xf>
    <xf numFmtId="4" fontId="115" fillId="0" borderId="4" xfId="0" applyNumberFormat="1" applyFont="1" applyBorder="1" applyAlignment="1">
      <alignment horizontal="right" vertical="center" wrapText="1"/>
    </xf>
    <xf numFmtId="10" fontId="117" fillId="0" borderId="4" xfId="0" applyNumberFormat="1" applyFont="1" applyBorder="1" applyAlignment="1">
      <alignment horizontal="center" vertical="center" wrapText="1"/>
    </xf>
    <xf numFmtId="0" fontId="111" fillId="0" borderId="87" xfId="0" applyFont="1" applyBorder="1" applyAlignment="1">
      <alignment horizontal="center" vertical="center" wrapText="1"/>
    </xf>
    <xf numFmtId="0" fontId="68" fillId="0" borderId="56" xfId="0" applyFont="1" applyBorder="1" applyAlignment="1">
      <alignment horizontal="center" vertical="center" wrapText="1"/>
    </xf>
    <xf numFmtId="0" fontId="60" fillId="0" borderId="56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164" fontId="61" fillId="0" borderId="4" xfId="0" applyNumberFormat="1" applyFont="1" applyBorder="1" applyAlignment="1">
      <alignment horizontal="left" vertical="center" wrapText="1"/>
    </xf>
    <xf numFmtId="14" fontId="60" fillId="0" borderId="4" xfId="0" applyNumberFormat="1" applyFont="1" applyBorder="1" applyAlignment="1">
      <alignment horizontal="center" vertical="center" wrapText="1"/>
    </xf>
    <xf numFmtId="1" fontId="60" fillId="0" borderId="4" xfId="0" applyNumberFormat="1" applyFont="1" applyBorder="1" applyAlignment="1">
      <alignment horizontal="center" vertical="center" wrapText="1"/>
    </xf>
    <xf numFmtId="0" fontId="99" fillId="0" borderId="4" xfId="0" applyFont="1" applyBorder="1" applyAlignment="1">
      <alignment horizontal="center" vertical="center" wrapText="1"/>
    </xf>
    <xf numFmtId="4" fontId="115" fillId="0" borderId="4" xfId="0" applyNumberFormat="1" applyFont="1" applyBorder="1" applyAlignment="1">
      <alignment horizontal="right" vertical="center"/>
    </xf>
    <xf numFmtId="0" fontId="91" fillId="22" borderId="4" xfId="0" applyFont="1" applyFill="1" applyBorder="1" applyAlignment="1">
      <alignment horizontal="left" vertical="center"/>
    </xf>
    <xf numFmtId="0" fontId="91" fillId="0" borderId="4" xfId="0" applyFont="1" applyBorder="1" applyAlignment="1">
      <alignment horizontal="center" vertical="center"/>
    </xf>
    <xf numFmtId="10" fontId="120" fillId="0" borderId="4" xfId="0" applyNumberFormat="1" applyFont="1" applyBorder="1" applyAlignment="1">
      <alignment horizontal="left" vertical="center" wrapText="1"/>
    </xf>
    <xf numFmtId="0" fontId="86" fillId="23" borderId="4" xfId="0" applyFont="1" applyFill="1" applyBorder="1" applyAlignment="1">
      <alignment horizontal="right" vertical="center"/>
    </xf>
    <xf numFmtId="0" fontId="118" fillId="23" borderId="4" xfId="0" applyFont="1" applyFill="1" applyBorder="1" applyAlignment="1">
      <alignment horizontal="left" vertical="center" wrapText="1"/>
    </xf>
    <xf numFmtId="3" fontId="73" fillId="0" borderId="4" xfId="0" applyNumberFormat="1" applyFont="1" applyBorder="1" applyAlignment="1">
      <alignment horizontal="center" vertical="center" wrapText="1"/>
    </xf>
    <xf numFmtId="0" fontId="60" fillId="0" borderId="4" xfId="0" applyFont="1" applyBorder="1" applyAlignment="1">
      <alignment horizontal="left" vertical="center"/>
    </xf>
    <xf numFmtId="4" fontId="60" fillId="0" borderId="4" xfId="0" applyNumberFormat="1" applyFont="1" applyBorder="1" applyAlignment="1">
      <alignment horizontal="right" vertical="center" wrapText="1"/>
    </xf>
    <xf numFmtId="0" fontId="61" fillId="23" borderId="4" xfId="0" applyFont="1" applyFill="1" applyBorder="1" applyAlignment="1">
      <alignment horizontal="left" wrapText="1"/>
    </xf>
    <xf numFmtId="0" fontId="73" fillId="0" borderId="4" xfId="0" applyFont="1" applyBorder="1" applyAlignment="1">
      <alignment vertical="center" wrapText="1"/>
    </xf>
    <xf numFmtId="10" fontId="117" fillId="0" borderId="5" xfId="0" applyNumberFormat="1" applyFont="1" applyBorder="1" applyAlignment="1">
      <alignment horizontal="left" vertical="center" wrapText="1"/>
    </xf>
    <xf numFmtId="0" fontId="59" fillId="0" borderId="5" xfId="0" applyFont="1" applyBorder="1" applyAlignment="1">
      <alignment horizontal="left" vertical="center" wrapText="1"/>
    </xf>
    <xf numFmtId="0" fontId="61" fillId="23" borderId="4" xfId="0" applyFont="1" applyFill="1" applyBorder="1" applyAlignment="1">
      <alignment horizontal="right" vertical="center" wrapText="1"/>
    </xf>
    <xf numFmtId="0" fontId="77" fillId="22" borderId="4" xfId="0" applyFont="1" applyFill="1" applyBorder="1" applyAlignment="1">
      <alignment horizontal="left" vertical="center" wrapText="1"/>
    </xf>
    <xf numFmtId="0" fontId="119" fillId="0" borderId="4" xfId="0" applyFont="1" applyBorder="1" applyAlignment="1">
      <alignment horizontal="left" vertical="center" wrapText="1"/>
    </xf>
    <xf numFmtId="0" fontId="121" fillId="0" borderId="4" xfId="0" applyFont="1" applyBorder="1" applyAlignment="1">
      <alignment horizontal="left" vertical="center" wrapText="1"/>
    </xf>
    <xf numFmtId="0" fontId="99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60" fillId="0" borderId="87" xfId="0" applyFont="1" applyBorder="1" applyAlignment="1">
      <alignment horizontal="left" vertical="center" wrapText="1"/>
    </xf>
    <xf numFmtId="0" fontId="60" fillId="0" borderId="5" xfId="0" applyFont="1" applyBorder="1" applyAlignment="1">
      <alignment horizontal="left" vertical="center" wrapText="1"/>
    </xf>
    <xf numFmtId="4" fontId="115" fillId="0" borderId="5" xfId="0" applyNumberFormat="1" applyFont="1" applyBorder="1" applyAlignment="1">
      <alignment horizontal="right" vertical="center" wrapText="1"/>
    </xf>
    <xf numFmtId="0" fontId="60" fillId="0" borderId="56" xfId="0" applyFont="1" applyBorder="1" applyAlignment="1">
      <alignment horizontal="left" vertical="center" wrapText="1"/>
    </xf>
    <xf numFmtId="0" fontId="61" fillId="5" borderId="96" xfId="0" applyFont="1" applyFill="1" applyBorder="1" applyAlignment="1">
      <alignment horizontal="right" vertical="center"/>
    </xf>
    <xf numFmtId="49" fontId="61" fillId="23" borderId="4" xfId="0" applyNumberFormat="1" applyFont="1" applyFill="1" applyBorder="1" applyAlignment="1">
      <alignment horizontal="left" vertical="center" wrapText="1"/>
    </xf>
    <xf numFmtId="3" fontId="60" fillId="0" borderId="4" xfId="0" applyNumberFormat="1" applyFont="1" applyBorder="1" applyAlignment="1">
      <alignment horizontal="center" wrapText="1"/>
    </xf>
    <xf numFmtId="4" fontId="115" fillId="0" borderId="87" xfId="0" applyNumberFormat="1" applyFont="1" applyBorder="1" applyAlignment="1">
      <alignment horizontal="right" vertical="center" wrapText="1"/>
    </xf>
    <xf numFmtId="0" fontId="61" fillId="0" borderId="14" xfId="0" applyFont="1" applyBorder="1" applyAlignment="1">
      <alignment horizontal="left" vertical="center"/>
    </xf>
    <xf numFmtId="0" fontId="28" fillId="0" borderId="99" xfId="0" applyFont="1" applyBorder="1"/>
    <xf numFmtId="3" fontId="61" fillId="0" borderId="100" xfId="0" applyNumberFormat="1" applyFont="1" applyBorder="1" applyAlignment="1">
      <alignment horizontal="center" wrapText="1"/>
    </xf>
    <xf numFmtId="0" fontId="60" fillId="0" borderId="56" xfId="0" applyFont="1" applyBorder="1" applyAlignment="1">
      <alignment horizontal="left" vertical="center"/>
    </xf>
    <xf numFmtId="4" fontId="60" fillId="0" borderId="56" xfId="0" applyNumberFormat="1" applyFont="1" applyBorder="1" applyAlignment="1">
      <alignment horizontal="right" vertical="center" wrapText="1"/>
    </xf>
    <xf numFmtId="10" fontId="117" fillId="0" borderId="8" xfId="0" applyNumberFormat="1" applyFont="1" applyBorder="1" applyAlignment="1">
      <alignment horizontal="left" vertical="center" wrapText="1"/>
    </xf>
    <xf numFmtId="4" fontId="61" fillId="0" borderId="4" xfId="0" applyNumberFormat="1" applyFont="1" applyBorder="1" applyAlignment="1">
      <alignment horizontal="left" vertical="center" wrapText="1"/>
    </xf>
    <xf numFmtId="0" fontId="133" fillId="0" borderId="0" xfId="0" applyFont="1"/>
    <xf numFmtId="0" fontId="134" fillId="0" borderId="0" xfId="0" applyFont="1" applyAlignment="1">
      <alignment horizontal="left"/>
    </xf>
    <xf numFmtId="0" fontId="138" fillId="0" borderId="0" xfId="0" applyFont="1" applyAlignment="1">
      <alignment wrapText="1"/>
    </xf>
    <xf numFmtId="0" fontId="140" fillId="0" borderId="0" xfId="0" applyFont="1" applyAlignment="1">
      <alignment horizontal="left" wrapText="1"/>
    </xf>
  </cellXfs>
  <cellStyles count="1">
    <cellStyle name="Normal" xfId="0" builtinId="0"/>
  </cellStyles>
  <dxfs count="196"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D6E3BC"/>
      </font>
      <fill>
        <patternFill patternType="solid">
          <fgColor rgb="FFB7E1CD"/>
          <bgColor rgb="FFB7E1CD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D6E3BC"/>
      </font>
      <fill>
        <patternFill patternType="solid">
          <fgColor rgb="FFB7E1CD"/>
          <bgColor rgb="FFB7E1CD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419100</xdr:rowOff>
    </xdr:from>
    <xdr:ext cx="828675" cy="342900"/>
    <xdr:sp macro="" textlink="">
      <xdr:nvSpPr>
        <xdr:cNvPr id="3" name="Shape 3"/>
        <xdr:cNvSpPr txBox="1"/>
      </xdr:nvSpPr>
      <xdr:spPr>
        <a:xfrm>
          <a:off x="4936425" y="3613313"/>
          <a:ext cx="819150" cy="333375"/>
        </a:xfrm>
        <a:prstGeom prst="rect">
          <a:avLst/>
        </a:prstGeom>
        <a:solidFill>
          <a:srgbClr val="00FFFF"/>
        </a:soli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Quantidade </a:t>
          </a:r>
          <a:endParaRPr sz="1400" b="1"/>
        </a:p>
      </xdr:txBody>
    </xdr:sp>
    <xdr:clientData fLocksWithSheet="0"/>
  </xdr:oneCellAnchor>
  <xdr:oneCellAnchor>
    <xdr:from>
      <xdr:col>1</xdr:col>
      <xdr:colOff>123825</xdr:colOff>
      <xdr:row>1</xdr:row>
      <xdr:rowOff>19050</xdr:rowOff>
    </xdr:from>
    <xdr:ext cx="3409950" cy="342900"/>
    <xdr:sp macro="" textlink="">
      <xdr:nvSpPr>
        <xdr:cNvPr id="4" name="Shape 4"/>
        <xdr:cNvSpPr/>
      </xdr:nvSpPr>
      <xdr:spPr>
        <a:xfrm>
          <a:off x="3645788" y="3613313"/>
          <a:ext cx="3400425" cy="333375"/>
        </a:xfrm>
        <a:prstGeom prst="roundRect">
          <a:avLst>
            <a:gd name="adj" fmla="val 16667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r>
            <a:rPr lang="en-US" sz="1600" b="1"/>
            <a:t>Reexibir Tudo</a:t>
          </a:r>
          <a:endParaRPr sz="1600" b="1"/>
        </a:p>
      </xdr:txBody>
    </xdr:sp>
    <xdr:clientData fLocksWithSheet="0"/>
  </xdr:oneCellAnchor>
  <xdr:oneCellAnchor>
    <xdr:from>
      <xdr:col>2</xdr:col>
      <xdr:colOff>200025</xdr:colOff>
      <xdr:row>1</xdr:row>
      <xdr:rowOff>419100</xdr:rowOff>
    </xdr:from>
    <xdr:ext cx="685800" cy="342900"/>
    <xdr:sp macro="" textlink="">
      <xdr:nvSpPr>
        <xdr:cNvPr id="5" name="Shape 5"/>
        <xdr:cNvSpPr/>
      </xdr:nvSpPr>
      <xdr:spPr>
        <a:xfrm>
          <a:off x="5007863" y="3613313"/>
          <a:ext cx="676275" cy="333375"/>
        </a:xfrm>
        <a:prstGeom prst="rect">
          <a:avLst/>
        </a:prstGeom>
        <a:gradFill>
          <a:gsLst>
            <a:gs pos="0">
              <a:srgbClr val="FFFFFF"/>
            </a:gs>
            <a:gs pos="100000">
              <a:srgbClr val="B3B3B3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r>
            <a:rPr lang="en-US" sz="1600" b="1"/>
            <a:t>Plantoes</a:t>
          </a:r>
          <a:endParaRPr sz="1600" b="1"/>
        </a:p>
      </xdr:txBody>
    </xdr:sp>
    <xdr:clientData fLocksWithSheet="0"/>
  </xdr:oneCellAnchor>
  <xdr:oneCellAnchor>
    <xdr:from>
      <xdr:col>2</xdr:col>
      <xdr:colOff>971550</xdr:colOff>
      <xdr:row>1</xdr:row>
      <xdr:rowOff>419100</xdr:rowOff>
    </xdr:from>
    <xdr:ext cx="447675" cy="342900"/>
    <xdr:sp macro="" textlink="">
      <xdr:nvSpPr>
        <xdr:cNvPr id="6" name="Shape 6"/>
        <xdr:cNvSpPr txBox="1"/>
      </xdr:nvSpPr>
      <xdr:spPr>
        <a:xfrm>
          <a:off x="5126925" y="3613313"/>
          <a:ext cx="438150" cy="333375"/>
        </a:xfrm>
        <a:prstGeom prst="rect">
          <a:avLst/>
        </a:prstGeom>
        <a:solidFill>
          <a:srgbClr val="9FC5E8"/>
        </a:soli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C C T</a:t>
          </a:r>
          <a:endParaRPr sz="1400"/>
        </a:p>
      </xdr:txBody>
    </xdr:sp>
    <xdr:clientData fLocksWithSheet="0"/>
  </xdr:oneCellAnchor>
  <xdr:oneCellAnchor>
    <xdr:from>
      <xdr:col>2</xdr:col>
      <xdr:colOff>1476375</xdr:colOff>
      <xdr:row>1</xdr:row>
      <xdr:rowOff>419100</xdr:rowOff>
    </xdr:from>
    <xdr:ext cx="685800" cy="342900"/>
    <xdr:sp macro="" textlink="">
      <xdr:nvSpPr>
        <xdr:cNvPr id="7" name="Shape 7"/>
        <xdr:cNvSpPr/>
      </xdr:nvSpPr>
      <xdr:spPr>
        <a:xfrm>
          <a:off x="5007863" y="3613313"/>
          <a:ext cx="676275" cy="333375"/>
        </a:xfrm>
        <a:prstGeom prst="rect">
          <a:avLst/>
        </a:prstGeom>
        <a:solidFill>
          <a:srgbClr val="CFE2F3"/>
        </a:soli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Salário</a:t>
          </a:r>
          <a:endParaRPr sz="1400" b="1">
            <a:highlight>
              <a:srgbClr val="FFF2CC"/>
            </a:highlight>
          </a:endParaRPr>
        </a:p>
      </xdr:txBody>
    </xdr:sp>
    <xdr:clientData fLocksWithSheet="0"/>
  </xdr:oneCellAnchor>
  <xdr:oneCellAnchor>
    <xdr:from>
      <xdr:col>3</xdr:col>
      <xdr:colOff>419100</xdr:colOff>
      <xdr:row>1</xdr:row>
      <xdr:rowOff>419100</xdr:rowOff>
    </xdr:from>
    <xdr:ext cx="771525" cy="342900"/>
    <xdr:sp macro="" textlink="">
      <xdr:nvSpPr>
        <xdr:cNvPr id="8" name="Shape 8"/>
        <xdr:cNvSpPr/>
      </xdr:nvSpPr>
      <xdr:spPr>
        <a:xfrm>
          <a:off x="4965000" y="3613313"/>
          <a:ext cx="762000" cy="333375"/>
        </a:xfrm>
        <a:prstGeom prst="rect">
          <a:avLst/>
        </a:prstGeom>
        <a:gradFill>
          <a:gsLst>
            <a:gs pos="0">
              <a:srgbClr val="DFE9FB"/>
            </a:gs>
            <a:gs pos="100000">
              <a:srgbClr val="6E9BE7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00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Ad Função</a:t>
          </a:r>
          <a:endParaRPr sz="1400" b="1"/>
        </a:p>
      </xdr:txBody>
    </xdr:sp>
    <xdr:clientData fLocksWithSheet="0"/>
  </xdr:oneCellAnchor>
  <xdr:oneCellAnchor>
    <xdr:from>
      <xdr:col>2</xdr:col>
      <xdr:colOff>9525</xdr:colOff>
      <xdr:row>2</xdr:row>
      <xdr:rowOff>381000</xdr:rowOff>
    </xdr:from>
    <xdr:ext cx="561975" cy="342900"/>
    <xdr:sp macro="" textlink="">
      <xdr:nvSpPr>
        <xdr:cNvPr id="9" name="Shape 9"/>
        <xdr:cNvSpPr txBox="1"/>
      </xdr:nvSpPr>
      <xdr:spPr>
        <a:xfrm>
          <a:off x="5069775" y="3613313"/>
          <a:ext cx="552450" cy="333375"/>
        </a:xfrm>
        <a:prstGeom prst="rect">
          <a:avLst/>
        </a:prstGeom>
        <a:gradFill>
          <a:gsLst>
            <a:gs pos="0">
              <a:srgbClr val="FFC002"/>
            </a:gs>
            <a:gs pos="100000">
              <a:srgbClr val="795B04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Arial"/>
            <a:buNone/>
          </a:pPr>
          <a:r>
            <a:rPr lang="en-US" sz="1400">
              <a:solidFill>
                <a:srgbClr val="FFFFFF"/>
              </a:solidFill>
            </a:rPr>
            <a:t>He a 50</a:t>
          </a:r>
          <a:endParaRPr sz="14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</xdr:col>
      <xdr:colOff>47625</xdr:colOff>
      <xdr:row>2</xdr:row>
      <xdr:rowOff>381000</xdr:rowOff>
    </xdr:from>
    <xdr:ext cx="638175" cy="342900"/>
    <xdr:sp macro="" textlink="">
      <xdr:nvSpPr>
        <xdr:cNvPr id="10" name="Shape 10"/>
        <xdr:cNvSpPr/>
      </xdr:nvSpPr>
      <xdr:spPr>
        <a:xfrm>
          <a:off x="5031675" y="3613313"/>
          <a:ext cx="628650" cy="333375"/>
        </a:xfrm>
        <a:prstGeom prst="rect">
          <a:avLst/>
        </a:prstGeom>
        <a:gradFill>
          <a:gsLst>
            <a:gs pos="0">
              <a:srgbClr val="8C8C8C"/>
            </a:gs>
            <a:gs pos="100000">
              <a:srgbClr val="404040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Arial"/>
            <a:buNone/>
          </a:pPr>
          <a:r>
            <a:rPr lang="en-US" sz="1400" b="1">
              <a:solidFill>
                <a:srgbClr val="FFFFFF"/>
              </a:solidFill>
            </a:rPr>
            <a:t>% Inslaub.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647700</xdr:colOff>
      <xdr:row>2</xdr:row>
      <xdr:rowOff>381000</xdr:rowOff>
    </xdr:from>
    <xdr:ext cx="685800" cy="342900"/>
    <xdr:sp macro="" textlink="">
      <xdr:nvSpPr>
        <xdr:cNvPr id="11" name="Shape 11"/>
        <xdr:cNvSpPr/>
      </xdr:nvSpPr>
      <xdr:spPr>
        <a:xfrm>
          <a:off x="5007863" y="3613313"/>
          <a:ext cx="676275" cy="333375"/>
        </a:xfrm>
        <a:prstGeom prst="rect">
          <a:avLst/>
        </a:prstGeom>
        <a:gradFill>
          <a:gsLst>
            <a:gs pos="0">
              <a:srgbClr val="DCECD5"/>
            </a:gs>
            <a:gs pos="100000">
              <a:srgbClr val="93BC81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980000"/>
            </a:buClr>
            <a:buSzPts val="1600"/>
            <a:buFont typeface="Arial"/>
            <a:buNone/>
          </a:pPr>
          <a:r>
            <a:rPr lang="en-US" sz="1600" b="1">
              <a:solidFill>
                <a:srgbClr val="980000"/>
              </a:solidFill>
            </a:rPr>
            <a:t>He a 100</a:t>
          </a:r>
          <a:endParaRPr sz="1600" b="1">
            <a:solidFill>
              <a:srgbClr val="980000"/>
            </a:solidFill>
          </a:endParaRPr>
        </a:p>
      </xdr:txBody>
    </xdr:sp>
    <xdr:clientData fLocksWithSheet="0"/>
  </xdr:oneCellAnchor>
  <xdr:oneCellAnchor>
    <xdr:from>
      <xdr:col>2</xdr:col>
      <xdr:colOff>1409700</xdr:colOff>
      <xdr:row>2</xdr:row>
      <xdr:rowOff>381000</xdr:rowOff>
    </xdr:from>
    <xdr:ext cx="752475" cy="342900"/>
    <xdr:sp macro="" textlink="">
      <xdr:nvSpPr>
        <xdr:cNvPr id="12" name="Shape 12"/>
        <xdr:cNvSpPr/>
      </xdr:nvSpPr>
      <xdr:spPr>
        <a:xfrm>
          <a:off x="4974525" y="3613313"/>
          <a:ext cx="742950" cy="333375"/>
        </a:xfrm>
        <a:prstGeom prst="rect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 w="9525" cap="flat" cmpd="sng">
          <a:solidFill>
            <a:srgbClr val="00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400"/>
            <a:buFont typeface="Arial"/>
            <a:buNone/>
          </a:pPr>
          <a:r>
            <a:rPr lang="en-US" sz="1400" b="1">
              <a:solidFill>
                <a:srgbClr val="FFFFFF"/>
              </a:solidFill>
            </a:rPr>
            <a:t>Dias VT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3</xdr:col>
      <xdr:colOff>438150</xdr:colOff>
      <xdr:row>2</xdr:row>
      <xdr:rowOff>381000</xdr:rowOff>
    </xdr:from>
    <xdr:ext cx="771525" cy="342900"/>
    <xdr:sp macro="" textlink="">
      <xdr:nvSpPr>
        <xdr:cNvPr id="13" name="Shape 13"/>
        <xdr:cNvSpPr/>
      </xdr:nvSpPr>
      <xdr:spPr>
        <a:xfrm>
          <a:off x="4965000" y="3613313"/>
          <a:ext cx="762000" cy="333375"/>
        </a:xfrm>
        <a:prstGeom prst="rect">
          <a:avLst/>
        </a:prstGeom>
        <a:gradFill>
          <a:gsLst>
            <a:gs pos="0">
              <a:srgbClr val="DB0000"/>
            </a:gs>
            <a:gs pos="100000">
              <a:srgbClr val="540303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99999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600"/>
            <a:buFont typeface="Arial"/>
            <a:buNone/>
          </a:pPr>
          <a:r>
            <a:rPr lang="en-US" sz="1600" b="1">
              <a:solidFill>
                <a:srgbClr val="FFFFFF"/>
              </a:solidFill>
            </a:rPr>
            <a:t>Dias VA</a:t>
          </a:r>
          <a:endParaRPr sz="16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</xdr:col>
      <xdr:colOff>47625</xdr:colOff>
      <xdr:row>3</xdr:row>
      <xdr:rowOff>285750</xdr:rowOff>
    </xdr:from>
    <xdr:ext cx="771525" cy="304800"/>
    <xdr:sp macro="" textlink="">
      <xdr:nvSpPr>
        <xdr:cNvPr id="14" name="Shape 14"/>
        <xdr:cNvSpPr/>
      </xdr:nvSpPr>
      <xdr:spPr>
        <a:xfrm>
          <a:off x="4965000" y="3632363"/>
          <a:ext cx="762000" cy="295275"/>
        </a:xfrm>
        <a:prstGeom prst="rect">
          <a:avLst/>
        </a:prstGeom>
        <a:gradFill>
          <a:gsLst>
            <a:gs pos="0">
              <a:srgbClr val="DBD4EB"/>
            </a:gs>
            <a:gs pos="100000">
              <a:srgbClr val="9180BB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Ad Noturno</a:t>
          </a:r>
          <a:endParaRPr sz="1400" b="1"/>
        </a:p>
      </xdr:txBody>
    </xdr:sp>
    <xdr:clientData fLocksWithSheet="0"/>
  </xdr:oneCellAnchor>
  <xdr:oneCellAnchor>
    <xdr:from>
      <xdr:col>2</xdr:col>
      <xdr:colOff>142875</xdr:colOff>
      <xdr:row>3</xdr:row>
      <xdr:rowOff>285750</xdr:rowOff>
    </xdr:from>
    <xdr:ext cx="1038225" cy="304800"/>
    <xdr:sp macro="" textlink="">
      <xdr:nvSpPr>
        <xdr:cNvPr id="15" name="Shape 15"/>
        <xdr:cNvSpPr txBox="1"/>
      </xdr:nvSpPr>
      <xdr:spPr>
        <a:xfrm>
          <a:off x="4831650" y="3632363"/>
          <a:ext cx="1028700" cy="295275"/>
        </a:xfrm>
        <a:prstGeom prst="rect">
          <a:avLst/>
        </a:prstGeom>
        <a:gradFill>
          <a:gsLst>
            <a:gs pos="0">
              <a:srgbClr val="00FFFF"/>
            </a:gs>
            <a:gs pos="100000">
              <a:srgbClr val="737373"/>
            </a:gs>
          </a:gsLst>
          <a:lin ang="5400012" scaled="0"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 b="1"/>
            <a:t>Totalizações</a:t>
          </a:r>
          <a:endParaRPr sz="1400" b="1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2714625</xdr:colOff>
      <xdr:row>2</xdr:row>
      <xdr:rowOff>57150</xdr:rowOff>
    </xdr:from>
    <xdr:ext cx="609600" cy="714375"/>
    <xdr:sp macro="" textlink="">
      <xdr:nvSpPr>
        <xdr:cNvPr id="16" name="Shape 16"/>
        <xdr:cNvSpPr/>
      </xdr:nvSpPr>
      <xdr:spPr>
        <a:xfrm rot="-5400000">
          <a:off x="4998338" y="3484725"/>
          <a:ext cx="695325" cy="59055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533400</xdr:colOff>
      <xdr:row>1</xdr:row>
      <xdr:rowOff>66675</xdr:rowOff>
    </xdr:from>
    <xdr:ext cx="2124075" cy="914400"/>
    <xdr:sp macro="" textlink="">
      <xdr:nvSpPr>
        <xdr:cNvPr id="17" name="Shape 17"/>
        <xdr:cNvSpPr txBox="1"/>
      </xdr:nvSpPr>
      <xdr:spPr>
        <a:xfrm>
          <a:off x="4288725" y="3327563"/>
          <a:ext cx="2114550" cy="904875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2543175" cy="78105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0"/>
  <sheetViews>
    <sheetView workbookViewId="0">
      <selection activeCell="C21" sqref="C21:E25"/>
    </sheetView>
  </sheetViews>
  <sheetFormatPr defaultColWidth="14.42578125" defaultRowHeight="15" customHeight="1"/>
  <cols>
    <col min="1" max="1" width="4" customWidth="1"/>
    <col min="2" max="2" width="11.140625" customWidth="1"/>
    <col min="3" max="3" width="21.42578125" customWidth="1"/>
    <col min="4" max="5" width="22.28515625" customWidth="1"/>
    <col min="6" max="8" width="12.42578125" customWidth="1"/>
    <col min="9" max="9" width="16.140625" customWidth="1"/>
    <col min="10" max="10" width="16" customWidth="1"/>
    <col min="11" max="15" width="13.28515625" customWidth="1"/>
    <col min="16" max="16" width="4.140625" customWidth="1"/>
    <col min="17" max="17" width="68.140625" customWidth="1"/>
    <col min="18" max="18" width="28" customWidth="1"/>
    <col min="19" max="19" width="45.140625" customWidth="1"/>
    <col min="20" max="20" width="12.7109375" customWidth="1"/>
    <col min="21" max="21" width="7.42578125" customWidth="1"/>
    <col min="22" max="22" width="34.7109375" customWidth="1"/>
    <col min="23" max="27" width="8.7109375" customWidth="1"/>
  </cols>
  <sheetData>
    <row r="1" spans="1:2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</row>
    <row r="3" spans="1:27" ht="15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</row>
    <row r="4" spans="1:27" ht="15.75" customHeight="1">
      <c r="B4" s="1"/>
      <c r="C4" s="3">
        <v>1</v>
      </c>
      <c r="D4" s="3">
        <f t="shared" ref="D4:J4" si="0">C4+1</f>
        <v>2</v>
      </c>
      <c r="E4" s="3">
        <f t="shared" si="0"/>
        <v>3</v>
      </c>
      <c r="F4" s="3">
        <f t="shared" si="0"/>
        <v>4</v>
      </c>
      <c r="G4" s="3">
        <f t="shared" si="0"/>
        <v>5</v>
      </c>
      <c r="H4" s="3">
        <f t="shared" si="0"/>
        <v>6</v>
      </c>
      <c r="I4" s="3">
        <f t="shared" si="0"/>
        <v>7</v>
      </c>
      <c r="J4" s="3">
        <f t="shared" si="0"/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4"/>
      <c r="Q4" s="4"/>
    </row>
    <row r="5" spans="1:27" ht="59.25" customHeight="1">
      <c r="A5" s="5"/>
      <c r="B5" s="6" t="s">
        <v>0</v>
      </c>
      <c r="C5" s="7" t="s">
        <v>1</v>
      </c>
      <c r="D5" s="8" t="s">
        <v>2</v>
      </c>
      <c r="E5" s="6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13</v>
      </c>
      <c r="P5" s="9"/>
      <c r="Q5" s="10" t="s">
        <v>14</v>
      </c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49.5" customHeight="1">
      <c r="A6" s="11"/>
      <c r="B6" s="12"/>
      <c r="C6" s="13" t="s">
        <v>15</v>
      </c>
      <c r="D6" s="14" t="s">
        <v>16</v>
      </c>
      <c r="E6" s="15" t="s">
        <v>17</v>
      </c>
      <c r="F6" s="16">
        <v>0</v>
      </c>
      <c r="G6" s="16">
        <v>0</v>
      </c>
      <c r="H6" s="17">
        <v>0</v>
      </c>
      <c r="I6" s="18">
        <v>0.06</v>
      </c>
      <c r="J6" s="19">
        <v>2019</v>
      </c>
      <c r="K6" s="16">
        <v>0</v>
      </c>
      <c r="L6" s="16"/>
      <c r="M6" s="16"/>
      <c r="N6" s="16"/>
      <c r="O6" s="16"/>
      <c r="P6" s="20"/>
      <c r="Q6" s="21" t="s">
        <v>18</v>
      </c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49.5" customHeight="1">
      <c r="A7" s="11"/>
      <c r="B7" s="12"/>
      <c r="C7" s="13" t="s">
        <v>19</v>
      </c>
      <c r="D7" s="14" t="s">
        <v>20</v>
      </c>
      <c r="E7" s="15" t="s">
        <v>21</v>
      </c>
      <c r="F7" s="16">
        <v>0</v>
      </c>
      <c r="G7" s="16">
        <v>0</v>
      </c>
      <c r="H7" s="17">
        <v>0</v>
      </c>
      <c r="I7" s="18">
        <v>0.06</v>
      </c>
      <c r="J7" s="19">
        <v>2019</v>
      </c>
      <c r="K7" s="16">
        <v>0</v>
      </c>
      <c r="L7" s="16"/>
      <c r="M7" s="16"/>
      <c r="N7" s="16"/>
      <c r="O7" s="16"/>
      <c r="P7" s="20"/>
      <c r="Q7" s="21" t="s">
        <v>22</v>
      </c>
      <c r="R7" s="11"/>
      <c r="S7" s="11"/>
      <c r="T7" s="11"/>
      <c r="U7" s="11"/>
      <c r="V7" s="22"/>
      <c r="W7" s="11"/>
      <c r="X7" s="11"/>
      <c r="Y7" s="11"/>
      <c r="Z7" s="11"/>
      <c r="AA7" s="11"/>
    </row>
    <row r="8" spans="1:27" ht="49.5" customHeight="1">
      <c r="A8" s="11"/>
      <c r="B8" s="12"/>
      <c r="C8" s="13" t="s">
        <v>23</v>
      </c>
      <c r="D8" s="14" t="s">
        <v>24</v>
      </c>
      <c r="E8" s="15" t="s">
        <v>21</v>
      </c>
      <c r="F8" s="16">
        <v>0</v>
      </c>
      <c r="G8" s="16">
        <v>0</v>
      </c>
      <c r="H8" s="17">
        <v>0</v>
      </c>
      <c r="I8" s="18">
        <v>0.06</v>
      </c>
      <c r="J8" s="19">
        <v>2019</v>
      </c>
      <c r="K8" s="16">
        <v>0</v>
      </c>
      <c r="L8" s="16"/>
      <c r="M8" s="16"/>
      <c r="N8" s="16"/>
      <c r="O8" s="16"/>
      <c r="P8" s="20"/>
      <c r="Q8" s="21" t="s">
        <v>25</v>
      </c>
      <c r="R8" s="11"/>
      <c r="S8" s="11"/>
      <c r="T8" s="11"/>
      <c r="U8" s="11"/>
      <c r="V8" s="22"/>
      <c r="W8" s="11"/>
      <c r="X8" s="11"/>
      <c r="Y8" s="11"/>
      <c r="Z8" s="11"/>
      <c r="AA8" s="11"/>
    </row>
    <row r="9" spans="1:27" ht="49.5" customHeight="1">
      <c r="A9" s="11"/>
      <c r="B9" s="12"/>
      <c r="C9" s="13" t="s">
        <v>26</v>
      </c>
      <c r="D9" s="14" t="s">
        <v>27</v>
      </c>
      <c r="E9" s="15" t="s">
        <v>28</v>
      </c>
      <c r="F9" s="16">
        <v>20.18</v>
      </c>
      <c r="G9" s="23">
        <v>10.09</v>
      </c>
      <c r="H9" s="17">
        <v>0.19</v>
      </c>
      <c r="I9" s="17">
        <v>0.06</v>
      </c>
      <c r="J9" s="19">
        <v>2022</v>
      </c>
      <c r="K9" s="16">
        <v>17.32</v>
      </c>
      <c r="L9" s="16"/>
      <c r="M9" s="16"/>
      <c r="N9" s="16"/>
      <c r="O9" s="16"/>
      <c r="P9" s="24"/>
      <c r="Q9" s="21" t="s">
        <v>29</v>
      </c>
      <c r="R9" s="11"/>
      <c r="S9" s="11"/>
      <c r="T9" s="11"/>
      <c r="U9" s="11" t="s">
        <v>30</v>
      </c>
      <c r="V9" s="25" t="s">
        <v>31</v>
      </c>
      <c r="W9" s="11"/>
      <c r="X9" s="11"/>
      <c r="Y9" s="11"/>
      <c r="Z9" s="11"/>
      <c r="AA9" s="11"/>
    </row>
    <row r="10" spans="1:27" ht="49.5" customHeight="1">
      <c r="A10" s="11"/>
      <c r="B10" s="12"/>
      <c r="C10" s="13" t="s">
        <v>32</v>
      </c>
      <c r="D10" s="14" t="s">
        <v>33</v>
      </c>
      <c r="E10" s="15" t="s">
        <v>34</v>
      </c>
      <c r="F10" s="16">
        <v>264.60000000000002</v>
      </c>
      <c r="G10" s="16">
        <v>0</v>
      </c>
      <c r="H10" s="17">
        <v>0.2</v>
      </c>
      <c r="I10" s="17">
        <v>0.03</v>
      </c>
      <c r="J10" s="19"/>
      <c r="K10" s="16">
        <v>0</v>
      </c>
      <c r="L10" s="16"/>
      <c r="M10" s="16"/>
      <c r="N10" s="16"/>
      <c r="O10" s="16"/>
      <c r="P10" s="24"/>
      <c r="Q10" s="21" t="s">
        <v>35</v>
      </c>
      <c r="R10" s="11"/>
      <c r="S10" s="11"/>
      <c r="T10" s="11"/>
      <c r="U10" s="11" t="s">
        <v>36</v>
      </c>
      <c r="V10" s="26" t="s">
        <v>37</v>
      </c>
      <c r="W10" s="11"/>
      <c r="X10" s="11"/>
      <c r="Y10" s="11"/>
      <c r="Z10" s="11"/>
      <c r="AA10" s="11"/>
    </row>
    <row r="11" spans="1:27" ht="49.5" customHeight="1">
      <c r="A11" s="11"/>
      <c r="B11" s="12"/>
      <c r="C11" s="13" t="s">
        <v>38</v>
      </c>
      <c r="D11" s="14" t="s">
        <v>39</v>
      </c>
      <c r="E11" s="15" t="s">
        <v>17</v>
      </c>
      <c r="F11" s="16">
        <v>21.5</v>
      </c>
      <c r="G11" s="16">
        <v>0</v>
      </c>
      <c r="H11" s="17">
        <v>0.2</v>
      </c>
      <c r="I11" s="17">
        <v>0.06</v>
      </c>
      <c r="J11" s="19"/>
      <c r="K11" s="16">
        <v>0</v>
      </c>
      <c r="L11" s="16">
        <v>10.97</v>
      </c>
      <c r="M11" s="16">
        <v>0.6</v>
      </c>
      <c r="N11" s="16"/>
      <c r="O11" s="16"/>
      <c r="P11" s="24"/>
      <c r="Q11" s="21" t="s">
        <v>40</v>
      </c>
      <c r="R11" s="11"/>
      <c r="S11" s="11"/>
      <c r="T11" s="11"/>
      <c r="U11" s="11" t="s">
        <v>41</v>
      </c>
      <c r="V11" s="25" t="s">
        <v>42</v>
      </c>
      <c r="W11" s="11"/>
      <c r="X11" s="11"/>
      <c r="Y11" s="11"/>
      <c r="Z11" s="11"/>
      <c r="AA11" s="11"/>
    </row>
    <row r="12" spans="1:27" ht="49.5" customHeight="1">
      <c r="A12" s="11"/>
      <c r="B12" s="12"/>
      <c r="C12" s="13" t="s">
        <v>43</v>
      </c>
      <c r="D12" s="14" t="s">
        <v>44</v>
      </c>
      <c r="E12" s="15" t="s">
        <v>45</v>
      </c>
      <c r="F12" s="27">
        <v>13.9</v>
      </c>
      <c r="G12" s="16">
        <v>0</v>
      </c>
      <c r="H12" s="17">
        <v>0.2</v>
      </c>
      <c r="I12" s="17">
        <v>0.06</v>
      </c>
      <c r="J12" s="19"/>
      <c r="K12" s="16">
        <v>0</v>
      </c>
      <c r="L12" s="16"/>
      <c r="M12" s="16"/>
      <c r="N12" s="16"/>
      <c r="O12" s="16"/>
      <c r="P12" s="24"/>
      <c r="Q12" s="21" t="s">
        <v>46</v>
      </c>
      <c r="R12" s="11"/>
      <c r="S12" s="11"/>
      <c r="T12" s="11"/>
      <c r="U12" s="11" t="s">
        <v>47</v>
      </c>
      <c r="V12" s="25" t="s">
        <v>48</v>
      </c>
      <c r="W12" s="11"/>
      <c r="X12" s="11"/>
      <c r="Y12" s="11"/>
      <c r="Z12" s="11"/>
      <c r="AA12" s="11"/>
    </row>
    <row r="13" spans="1:27" ht="49.5" customHeight="1">
      <c r="A13" s="11"/>
      <c r="B13" s="12"/>
      <c r="C13" s="13" t="s">
        <v>49</v>
      </c>
      <c r="D13" s="14" t="s">
        <v>50</v>
      </c>
      <c r="E13" s="15" t="s">
        <v>34</v>
      </c>
      <c r="F13" s="16">
        <v>0</v>
      </c>
      <c r="G13" s="16">
        <v>0</v>
      </c>
      <c r="H13" s="17">
        <v>0</v>
      </c>
      <c r="I13" s="17">
        <v>0.06</v>
      </c>
      <c r="J13" s="19"/>
      <c r="K13" s="16">
        <v>0</v>
      </c>
      <c r="L13" s="16"/>
      <c r="M13" s="16"/>
      <c r="N13" s="16"/>
      <c r="O13" s="16"/>
      <c r="P13" s="24"/>
      <c r="Q13" s="21" t="s">
        <v>51</v>
      </c>
      <c r="R13" s="11"/>
      <c r="S13" s="11"/>
      <c r="T13" s="11"/>
      <c r="U13" s="11" t="s">
        <v>52</v>
      </c>
      <c r="V13" s="25" t="s">
        <v>53</v>
      </c>
      <c r="W13" s="11"/>
      <c r="X13" s="11"/>
      <c r="Y13" s="11"/>
      <c r="Z13" s="11"/>
      <c r="AA13" s="11"/>
    </row>
    <row r="14" spans="1:27" ht="49.5" customHeight="1">
      <c r="A14" s="11"/>
      <c r="B14" s="12"/>
      <c r="C14" s="13" t="s">
        <v>54</v>
      </c>
      <c r="D14" s="14" t="s">
        <v>55</v>
      </c>
      <c r="E14" s="15" t="s">
        <v>56</v>
      </c>
      <c r="F14" s="16">
        <v>0</v>
      </c>
      <c r="G14" s="16">
        <v>0</v>
      </c>
      <c r="H14" s="16">
        <v>0</v>
      </c>
      <c r="I14" s="17">
        <v>0.06</v>
      </c>
      <c r="J14" s="19">
        <v>2022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24"/>
      <c r="Q14" s="21" t="s">
        <v>57</v>
      </c>
      <c r="R14" s="11"/>
      <c r="S14" s="11"/>
      <c r="T14" s="11"/>
      <c r="U14" s="11" t="s">
        <v>58</v>
      </c>
      <c r="V14" s="25" t="s">
        <v>59</v>
      </c>
      <c r="W14" s="11"/>
      <c r="X14" s="11"/>
      <c r="Y14" s="11"/>
      <c r="Z14" s="11"/>
      <c r="AA14" s="11"/>
    </row>
    <row r="15" spans="1:27" ht="49.5" customHeight="1">
      <c r="A15" s="11"/>
      <c r="B15" s="12"/>
      <c r="C15" s="13" t="s">
        <v>60</v>
      </c>
      <c r="D15" s="14" t="s">
        <v>61</v>
      </c>
      <c r="E15" s="15" t="s">
        <v>45</v>
      </c>
      <c r="F15" s="28">
        <v>15.53</v>
      </c>
      <c r="G15" s="16">
        <v>0</v>
      </c>
      <c r="H15" s="17">
        <v>0.2</v>
      </c>
      <c r="I15" s="17">
        <v>0.06</v>
      </c>
      <c r="J15" s="19">
        <v>2022</v>
      </c>
      <c r="K15" s="16">
        <v>0</v>
      </c>
      <c r="L15" s="16"/>
      <c r="M15" s="16"/>
      <c r="N15" s="16"/>
      <c r="O15" s="16"/>
      <c r="P15" s="24"/>
      <c r="Q15" s="21" t="s">
        <v>62</v>
      </c>
      <c r="R15" s="11"/>
      <c r="S15" s="11"/>
      <c r="T15" s="11"/>
      <c r="U15" s="11" t="s">
        <v>63</v>
      </c>
      <c r="V15" s="25" t="s">
        <v>64</v>
      </c>
      <c r="W15" s="11"/>
      <c r="X15" s="11"/>
      <c r="Y15" s="11"/>
      <c r="Z15" s="11"/>
      <c r="AA15" s="11"/>
    </row>
    <row r="16" spans="1:27" ht="49.5" customHeight="1">
      <c r="A16" s="11"/>
      <c r="B16" s="12"/>
      <c r="C16" s="29" t="s">
        <v>65</v>
      </c>
      <c r="D16" s="30" t="s">
        <v>66</v>
      </c>
      <c r="E16" s="31" t="s">
        <v>17</v>
      </c>
      <c r="F16" s="32">
        <v>23.93</v>
      </c>
      <c r="G16" s="32">
        <v>0</v>
      </c>
      <c r="H16" s="33">
        <v>0.2</v>
      </c>
      <c r="I16" s="33">
        <v>0.06</v>
      </c>
      <c r="J16" s="34">
        <v>2022</v>
      </c>
      <c r="K16" s="34"/>
      <c r="L16" s="35" t="s">
        <v>67</v>
      </c>
      <c r="M16" s="35" t="s">
        <v>67</v>
      </c>
      <c r="N16" s="34"/>
      <c r="O16" s="34"/>
      <c r="P16" s="24"/>
      <c r="Q16" s="21" t="s">
        <v>68</v>
      </c>
      <c r="R16" s="11"/>
      <c r="S16" s="11"/>
      <c r="T16" s="11"/>
      <c r="U16" s="11" t="s">
        <v>69</v>
      </c>
      <c r="V16" s="25" t="s">
        <v>70</v>
      </c>
      <c r="W16" s="11"/>
      <c r="X16" s="11"/>
      <c r="Y16" s="11"/>
      <c r="Z16" s="11"/>
      <c r="AA16" s="11"/>
    </row>
    <row r="17" spans="1:27" ht="49.5" customHeight="1">
      <c r="A17" s="11"/>
      <c r="B17" s="12"/>
      <c r="C17" s="29" t="s">
        <v>71</v>
      </c>
      <c r="D17" s="30" t="s">
        <v>72</v>
      </c>
      <c r="E17" s="31" t="s">
        <v>17</v>
      </c>
      <c r="F17" s="32">
        <v>23.93</v>
      </c>
      <c r="G17" s="32">
        <v>0</v>
      </c>
      <c r="H17" s="33">
        <v>0.2</v>
      </c>
      <c r="I17" s="33">
        <v>0.06</v>
      </c>
      <c r="J17" s="34">
        <v>2022</v>
      </c>
      <c r="K17" s="34"/>
      <c r="L17" s="35" t="s">
        <v>67</v>
      </c>
      <c r="M17" s="35" t="s">
        <v>67</v>
      </c>
      <c r="N17" s="34"/>
      <c r="O17" s="34"/>
      <c r="P17" s="24"/>
      <c r="Q17" s="21" t="s">
        <v>73</v>
      </c>
      <c r="R17" s="11"/>
      <c r="S17" s="11"/>
      <c r="T17" s="11"/>
      <c r="U17" s="11" t="s">
        <v>74</v>
      </c>
      <c r="V17" s="25" t="s">
        <v>75</v>
      </c>
      <c r="W17" s="11"/>
      <c r="X17" s="11"/>
      <c r="Y17" s="11"/>
      <c r="Z17" s="11"/>
      <c r="AA17" s="11"/>
    </row>
    <row r="18" spans="1:27" ht="49.5" customHeight="1">
      <c r="A18" s="11"/>
      <c r="B18" s="12"/>
      <c r="C18" s="36" t="s">
        <v>76</v>
      </c>
      <c r="D18" s="37" t="s">
        <v>77</v>
      </c>
      <c r="E18" s="31" t="s">
        <v>17</v>
      </c>
      <c r="F18" s="32">
        <v>23.93</v>
      </c>
      <c r="G18" s="32">
        <v>0</v>
      </c>
      <c r="H18" s="33">
        <v>0.2</v>
      </c>
      <c r="I18" s="33">
        <v>0.06</v>
      </c>
      <c r="J18" s="34">
        <v>2022</v>
      </c>
      <c r="K18" s="34"/>
      <c r="L18" s="35" t="s">
        <v>67</v>
      </c>
      <c r="M18" s="35" t="s">
        <v>67</v>
      </c>
      <c r="N18" s="34"/>
      <c r="O18" s="19"/>
      <c r="P18" s="24"/>
      <c r="Q18" s="21" t="s">
        <v>78</v>
      </c>
      <c r="R18" s="11"/>
      <c r="S18" s="11"/>
      <c r="T18" s="11"/>
      <c r="U18" s="11" t="s">
        <v>79</v>
      </c>
      <c r="V18" s="25" t="s">
        <v>80</v>
      </c>
      <c r="W18" s="11"/>
      <c r="X18" s="11"/>
      <c r="Y18" s="11"/>
      <c r="Z18" s="11"/>
      <c r="AA18" s="11"/>
    </row>
    <row r="19" spans="1:27" ht="49.5" customHeight="1">
      <c r="A19" s="11"/>
      <c r="B19" s="12"/>
      <c r="C19" s="12" t="s">
        <v>81</v>
      </c>
      <c r="D19" s="12">
        <v>0</v>
      </c>
      <c r="E19" s="12">
        <v>1</v>
      </c>
      <c r="F19" s="16"/>
      <c r="G19" s="16"/>
      <c r="H19" s="16"/>
      <c r="I19" s="16"/>
      <c r="J19" s="19"/>
      <c r="K19" s="19"/>
      <c r="L19" s="19"/>
      <c r="M19" s="19"/>
      <c r="N19" s="19"/>
      <c r="O19" s="19"/>
      <c r="P19" s="24"/>
      <c r="Q19" s="21" t="s">
        <v>82</v>
      </c>
      <c r="R19" s="11"/>
      <c r="S19" s="11"/>
      <c r="T19" s="11"/>
      <c r="U19" s="11" t="s">
        <v>83</v>
      </c>
      <c r="V19" s="25" t="s">
        <v>84</v>
      </c>
      <c r="W19" s="11"/>
      <c r="X19" s="11"/>
      <c r="Y19" s="11"/>
      <c r="Z19" s="11"/>
      <c r="AA19" s="11"/>
    </row>
    <row r="20" spans="1:27" ht="49.5" customHeight="1">
      <c r="A20" s="11"/>
      <c r="B20" s="12"/>
      <c r="C20" s="12" t="s">
        <v>81</v>
      </c>
      <c r="D20" s="12">
        <v>0</v>
      </c>
      <c r="E20" s="12">
        <v>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4"/>
      <c r="Q20" s="21" t="s">
        <v>85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9.5" customHeight="1">
      <c r="A21" s="11"/>
      <c r="B21" s="12"/>
      <c r="C21" s="12"/>
      <c r="D21" s="12"/>
      <c r="E21" s="12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4"/>
      <c r="Q21" s="21" t="s">
        <v>86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9.5" customHeight="1">
      <c r="A22" s="11"/>
      <c r="B22" s="12"/>
      <c r="C22" s="12"/>
      <c r="D22" s="12"/>
      <c r="E22" s="12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4"/>
      <c r="Q22" s="21" t="s">
        <v>87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49.5" customHeight="1">
      <c r="A23" s="11"/>
      <c r="B23" s="12"/>
      <c r="C23" s="12"/>
      <c r="D23" s="12"/>
      <c r="E23" s="12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4"/>
      <c r="Q23" s="21" t="s">
        <v>88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49.5" customHeight="1">
      <c r="A24" s="11"/>
      <c r="B24" s="12"/>
      <c r="C24" s="12"/>
      <c r="D24" s="12"/>
      <c r="E24" s="12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4"/>
      <c r="Q24" s="21" t="s">
        <v>89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49.5" customHeight="1">
      <c r="A25" s="11"/>
      <c r="B25" s="12"/>
      <c r="C25" s="12"/>
      <c r="D25" s="12"/>
      <c r="E25" s="12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4"/>
      <c r="Q25" s="21" t="s">
        <v>90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9.5" customHeight="1">
      <c r="A26" s="11"/>
      <c r="B26" s="12"/>
      <c r="C26" s="12"/>
      <c r="D26" s="12"/>
      <c r="E26" s="12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4"/>
      <c r="Q26" s="21" t="s">
        <v>91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49.5" customHeight="1">
      <c r="A27" s="11"/>
      <c r="B27" s="12"/>
      <c r="C27" s="12"/>
      <c r="D27" s="12"/>
      <c r="E27" s="12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24"/>
      <c r="Q27" s="21" t="s">
        <v>92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49.5" customHeight="1">
      <c r="A28" s="11"/>
      <c r="B28" s="12"/>
      <c r="C28" s="12"/>
      <c r="D28" s="12"/>
      <c r="E28" s="12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24"/>
      <c r="Q28" s="21" t="s">
        <v>93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49.5" customHeight="1">
      <c r="A29" s="11"/>
      <c r="B29" s="12"/>
      <c r="C29" s="12"/>
      <c r="D29" s="12"/>
      <c r="E29" s="1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24"/>
      <c r="Q29" s="21" t="s">
        <v>94</v>
      </c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49.5" customHeight="1">
      <c r="A30" s="11"/>
      <c r="B30" s="12"/>
      <c r="C30" s="12"/>
      <c r="D30" s="12"/>
      <c r="E30" s="12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24"/>
      <c r="Q30" s="21" t="s">
        <v>95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49.5" customHeight="1">
      <c r="A31" s="11"/>
      <c r="B31" s="12"/>
      <c r="C31" s="12"/>
      <c r="D31" s="12"/>
      <c r="E31" s="12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24"/>
      <c r="Q31" s="21" t="s">
        <v>96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49.5" customHeight="1">
      <c r="A32" s="11"/>
      <c r="B32" s="12"/>
      <c r="C32" s="12"/>
      <c r="D32" s="12"/>
      <c r="E32" s="12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4"/>
      <c r="Q32" s="21" t="s">
        <v>97</v>
      </c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49.5" customHeight="1">
      <c r="A33" s="11"/>
      <c r="B33" s="12"/>
      <c r="C33" s="12"/>
      <c r="D33" s="12"/>
      <c r="E33" s="1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24"/>
      <c r="Q33" s="21" t="s">
        <v>98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49.5" customHeight="1">
      <c r="A34" s="11"/>
      <c r="B34" s="12"/>
      <c r="C34" s="12"/>
      <c r="D34" s="12"/>
      <c r="E34" s="1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24"/>
      <c r="Q34" s="21" t="s">
        <v>99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49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24"/>
      <c r="Q35" s="38" t="s">
        <v>100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49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24"/>
      <c r="Q36" s="38" t="s">
        <v>101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49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39"/>
      <c r="Q37" s="38" t="s">
        <v>102</v>
      </c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49.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39"/>
      <c r="Q38" s="38" t="s">
        <v>103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49.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39"/>
      <c r="Q39" s="38" t="s">
        <v>104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49.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39"/>
      <c r="Q40" s="38" t="s">
        <v>105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49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39"/>
      <c r="Q41" s="38" t="s">
        <v>106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49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39"/>
      <c r="Q42" s="38" t="s">
        <v>107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49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39"/>
      <c r="Q43" s="38" t="s">
        <v>108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49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39"/>
      <c r="Q44" s="38" t="s">
        <v>109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49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39"/>
      <c r="Q45" s="38" t="s">
        <v>110</v>
      </c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49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39"/>
      <c r="Q46" s="38" t="s">
        <v>111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49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39"/>
      <c r="Q47" s="38" t="s">
        <v>112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49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39"/>
      <c r="Q48" s="38" t="s">
        <v>113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49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39"/>
      <c r="Q49" s="38" t="s">
        <v>114</v>
      </c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49.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40"/>
      <c r="Q50" s="2"/>
    </row>
    <row r="51" spans="1:27" ht="49.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2"/>
    </row>
    <row r="52" spans="1:27" ht="49.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2"/>
    </row>
    <row r="53" spans="1:27" ht="49.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2"/>
    </row>
    <row r="54" spans="1:27" ht="49.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2"/>
    </row>
    <row r="55" spans="1:27" ht="49.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2"/>
    </row>
    <row r="56" spans="1:27" ht="49.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2"/>
    </row>
    <row r="57" spans="1:27" ht="49.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2"/>
    </row>
    <row r="58" spans="1:27" ht="49.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</row>
    <row r="59" spans="1:27" ht="49.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2"/>
    </row>
    <row r="60" spans="1:27" ht="49.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</row>
    <row r="61" spans="1:27" ht="49.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2"/>
    </row>
    <row r="62" spans="1:27" ht="49.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2"/>
    </row>
    <row r="63" spans="1:27" ht="49.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2"/>
    </row>
    <row r="64" spans="1:27" ht="25.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2"/>
    </row>
    <row r="65" spans="2:17" ht="25.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2"/>
    </row>
    <row r="66" spans="2:17" ht="25.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2"/>
    </row>
    <row r="67" spans="2:17" ht="25.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2"/>
    </row>
    <row r="68" spans="2:17" ht="25.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2"/>
    </row>
    <row r="69" spans="2:17" ht="25.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2"/>
    </row>
    <row r="70" spans="2:17" ht="25.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2"/>
    </row>
    <row r="71" spans="2:17" ht="25.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2"/>
    </row>
    <row r="72" spans="2:17" ht="25.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2"/>
    </row>
    <row r="73" spans="2:17" ht="25.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2"/>
    </row>
    <row r="74" spans="2:17" ht="25.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2"/>
    </row>
    <row r="75" spans="2:17" ht="25.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2"/>
    </row>
    <row r="76" spans="2:17" ht="25.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2"/>
    </row>
    <row r="77" spans="2:17" ht="25.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2"/>
    </row>
    <row r="78" spans="2:17" ht="25.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2"/>
    </row>
    <row r="79" spans="2:17" ht="25.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2"/>
    </row>
    <row r="80" spans="2:17" ht="25.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2"/>
    </row>
    <row r="81" spans="2:17" ht="25.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2"/>
    </row>
    <row r="82" spans="2:17" ht="25.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2"/>
    </row>
    <row r="83" spans="2:17" ht="25.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2"/>
    </row>
    <row r="84" spans="2:17" ht="25.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2"/>
    </row>
    <row r="85" spans="2:17" ht="25.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</row>
    <row r="86" spans="2:17" ht="25.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2"/>
    </row>
    <row r="87" spans="2:17" ht="25.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2"/>
    </row>
    <row r="88" spans="2:17" ht="25.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2"/>
    </row>
    <row r="89" spans="2:17" ht="25.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2"/>
    </row>
    <row r="90" spans="2:17" ht="25.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2"/>
    </row>
    <row r="91" spans="2:17" ht="25.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2"/>
    </row>
    <row r="92" spans="2:17" ht="25.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2"/>
    </row>
    <row r="93" spans="2:17" ht="25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2"/>
    </row>
    <row r="94" spans="2:17" ht="25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2"/>
    </row>
    <row r="95" spans="2:17" ht="25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2"/>
    </row>
    <row r="96" spans="2:17" ht="25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2"/>
    </row>
    <row r="97" spans="2:17" ht="25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2"/>
    </row>
    <row r="98" spans="2:17" ht="25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2"/>
    </row>
    <row r="99" spans="2:17" ht="25.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2"/>
    </row>
    <row r="100" spans="2:17" ht="25.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2"/>
    </row>
    <row r="101" spans="2:17" ht="25.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2"/>
    </row>
    <row r="102" spans="2:17" ht="25.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2"/>
    </row>
    <row r="103" spans="2:17" ht="25.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2"/>
    </row>
    <row r="104" spans="2:17" ht="25.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2"/>
    </row>
    <row r="105" spans="2:17" ht="25.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2"/>
    </row>
    <row r="106" spans="2:17" ht="25.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2"/>
    </row>
    <row r="107" spans="2:17" ht="25.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2"/>
    </row>
    <row r="108" spans="2:17" ht="25.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2"/>
    </row>
    <row r="109" spans="2:17" ht="25.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2"/>
    </row>
    <row r="110" spans="2:17" ht="25.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2"/>
    </row>
    <row r="111" spans="2:17" ht="25.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2"/>
    </row>
    <row r="112" spans="2:17" ht="25.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2"/>
    </row>
    <row r="113" spans="2:17" ht="25.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2"/>
    </row>
    <row r="114" spans="2:17" ht="25.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2"/>
    </row>
    <row r="115" spans="2:17" ht="25.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2"/>
    </row>
    <row r="116" spans="2:17" ht="25.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2"/>
    </row>
    <row r="117" spans="2:17" ht="25.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2"/>
    </row>
    <row r="118" spans="2:17" ht="25.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2"/>
    </row>
    <row r="119" spans="2:17" ht="25.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2"/>
    </row>
    <row r="120" spans="2:17" ht="25.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2"/>
    </row>
    <row r="121" spans="2:17" ht="25.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2"/>
    </row>
    <row r="122" spans="2:17" ht="25.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2"/>
    </row>
    <row r="123" spans="2:17" ht="25.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2"/>
    </row>
    <row r="124" spans="2:17" ht="25.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2"/>
    </row>
    <row r="125" spans="2:17" ht="25.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2"/>
    </row>
    <row r="126" spans="2:17" ht="25.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2"/>
    </row>
    <row r="127" spans="2:17" ht="25.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2"/>
    </row>
    <row r="128" spans="2:17" ht="25.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2"/>
    </row>
    <row r="129" spans="2:17" ht="25.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2"/>
    </row>
    <row r="130" spans="2:17" ht="25.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2"/>
    </row>
    <row r="131" spans="2:17" ht="25.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2"/>
    </row>
    <row r="132" spans="2:17" ht="25.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2"/>
    </row>
    <row r="133" spans="2:17" ht="25.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2"/>
    </row>
    <row r="134" spans="2:17" ht="25.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2"/>
    </row>
    <row r="135" spans="2:17" ht="25.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2"/>
    </row>
    <row r="136" spans="2:17" ht="25.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2"/>
    </row>
    <row r="137" spans="2:17" ht="25.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2"/>
    </row>
    <row r="138" spans="2:17" ht="25.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2"/>
    </row>
    <row r="139" spans="2:17" ht="25.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2"/>
    </row>
    <row r="140" spans="2:17" ht="25.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2"/>
    </row>
    <row r="141" spans="2:17" ht="25.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2"/>
    </row>
    <row r="142" spans="2:17" ht="25.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2"/>
    </row>
    <row r="143" spans="2:17" ht="25.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2"/>
    </row>
    <row r="144" spans="2:17" ht="25.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2"/>
    </row>
    <row r="145" spans="2:17" ht="25.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2"/>
    </row>
    <row r="146" spans="2:17" ht="25.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2"/>
    </row>
    <row r="147" spans="2:17" ht="25.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2"/>
    </row>
    <row r="148" spans="2:17" ht="25.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2"/>
    </row>
    <row r="149" spans="2:17" ht="25.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2"/>
    </row>
    <row r="150" spans="2:17" ht="25.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2"/>
    </row>
    <row r="151" spans="2:17" ht="25.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2"/>
    </row>
    <row r="152" spans="2:17" ht="25.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2"/>
    </row>
    <row r="153" spans="2:17" ht="25.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2"/>
    </row>
    <row r="154" spans="2:17" ht="15.75" customHeight="1"/>
    <row r="155" spans="2:17" ht="15.75" customHeight="1"/>
    <row r="156" spans="2:17" ht="15.75" customHeight="1"/>
    <row r="157" spans="2:17" ht="15.75" customHeight="1"/>
    <row r="158" spans="2:17" ht="15.75" customHeight="1"/>
    <row r="159" spans="2:17" ht="15.75" customHeight="1"/>
    <row r="160" spans="2:17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7109375" customWidth="1"/>
    <col min="8" max="8" width="14.42578125" customWidth="1"/>
    <col min="9" max="9" width="11.28515625" customWidth="1"/>
    <col min="10" max="10" width="17.2851562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'1-ABA-DE-CARREGAMENTO'!G33</f>
        <v>A NÃO TEM MAIS POSTOS-22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VLOOKUP('1-ABA-DE-CARREGAMENTO'!F35,'DADOS-CADASTRAIS'!C6:J16,1,0)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'1-ABA-DE-CARREGAMENTO'!G94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24.7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POSTOS-22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'1-ABA-DE-CARREGAMENTO'!G92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748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5" customHeight="1">
      <c r="A24" s="365"/>
      <c r="B24" s="742" t="s">
        <v>749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26.25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'1-ABA-DE-CARREGAMENTO'!G33</f>
        <v>A NÃO TEM MAIS POSTOS-22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54" customHeight="1">
      <c r="A29" s="365"/>
      <c r="B29" s="373">
        <v>3</v>
      </c>
      <c r="C29" s="749" t="s">
        <v>750</v>
      </c>
      <c r="D29" s="608"/>
      <c r="E29" s="386">
        <v>220</v>
      </c>
      <c r="F29" s="387" t="e">
        <f>'1-ABA-DE-CARREGAMENTO'!G37</f>
        <v>#N/A</v>
      </c>
      <c r="G29" s="370" t="s">
        <v>386</v>
      </c>
      <c r="H29" s="388">
        <f>'1-ABA-DE-CARREGAMENTO'!G52/I40</f>
        <v>100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'1-ABA-DE-CARREGAMENTO'!G36</f>
        <v>#N/A</v>
      </c>
      <c r="J31" s="603"/>
      <c r="K31" s="391"/>
    </row>
    <row r="32" spans="1:11" ht="12.75" customHeight="1">
      <c r="A32" s="365"/>
      <c r="B32" s="392">
        <v>6</v>
      </c>
      <c r="C32" s="754" t="s">
        <v>751</v>
      </c>
      <c r="D32" s="602"/>
      <c r="E32" s="602"/>
      <c r="F32" s="602"/>
      <c r="G32" s="602"/>
      <c r="H32" s="603"/>
      <c r="I32" s="755" t="e">
        <f>ROUND(F29/220,2)</f>
        <v>#N/A</v>
      </c>
      <c r="J32" s="603"/>
      <c r="K32" s="393"/>
    </row>
    <row r="33" spans="1:11" ht="42.75" customHeight="1">
      <c r="A33" s="365"/>
      <c r="B33" s="392">
        <v>7</v>
      </c>
      <c r="C33" s="754" t="s">
        <v>752</v>
      </c>
      <c r="D33" s="602"/>
      <c r="E33" s="602"/>
      <c r="F33" s="603"/>
      <c r="G33" s="756"/>
      <c r="H33" s="603"/>
      <c r="I33" s="755" t="e">
        <f>SUM(J47:J50)/E29*0</f>
        <v>#N/A</v>
      </c>
      <c r="J33" s="603"/>
      <c r="K33" s="393"/>
    </row>
    <row r="34" spans="1:11" ht="24.75" customHeight="1">
      <c r="A34" s="365"/>
      <c r="B34" s="392">
        <v>8</v>
      </c>
      <c r="C34" s="754" t="s">
        <v>753</v>
      </c>
      <c r="D34" s="602"/>
      <c r="E34" s="602"/>
      <c r="F34" s="603"/>
      <c r="G34" s="756"/>
      <c r="H34" s="603"/>
      <c r="I34" s="755" t="e">
        <f>TRUNC(I32*1.5,2)*0</f>
        <v>#N/A</v>
      </c>
      <c r="J34" s="603"/>
      <c r="K34" s="393"/>
    </row>
    <row r="35" spans="1:11" ht="24.75" customHeight="1">
      <c r="A35" s="365"/>
      <c r="B35" s="392">
        <v>9</v>
      </c>
      <c r="C35" s="754" t="s">
        <v>754</v>
      </c>
      <c r="D35" s="602"/>
      <c r="E35" s="602"/>
      <c r="F35" s="603"/>
      <c r="G35" s="756" t="s">
        <v>393</v>
      </c>
      <c r="H35" s="603"/>
      <c r="I35" s="765" t="e">
        <f>I32*1.5</f>
        <v>#N/A</v>
      </c>
      <c r="J35" s="603"/>
      <c r="K35" s="394"/>
    </row>
    <row r="36" spans="1:11" ht="24.75" customHeight="1">
      <c r="A36" s="365"/>
      <c r="B36" s="392">
        <v>10</v>
      </c>
      <c r="C36" s="754" t="s">
        <v>755</v>
      </c>
      <c r="D36" s="602"/>
      <c r="E36" s="602"/>
      <c r="F36" s="602"/>
      <c r="G36" s="602"/>
      <c r="H36" s="603"/>
      <c r="I36" s="755" t="e">
        <f>I32*1.25</f>
        <v>#N/A</v>
      </c>
      <c r="J36" s="603"/>
      <c r="K36" s="393"/>
    </row>
    <row r="37" spans="1:11" ht="24.75" customHeight="1">
      <c r="A37" s="365"/>
      <c r="B37" s="392">
        <v>11</v>
      </c>
      <c r="C37" s="754" t="s">
        <v>756</v>
      </c>
      <c r="D37" s="602"/>
      <c r="E37" s="602"/>
      <c r="F37" s="602"/>
      <c r="G37" s="602"/>
      <c r="H37" s="603"/>
      <c r="I37" s="755" t="e">
        <f>I32*1.75</f>
        <v>#N/A</v>
      </c>
      <c r="J37" s="603"/>
      <c r="K37" s="393"/>
    </row>
    <row r="38" spans="1:11" ht="14.25" customHeight="1">
      <c r="A38" s="365"/>
      <c r="B38" s="392">
        <v>12</v>
      </c>
      <c r="C38" s="754" t="s">
        <v>757</v>
      </c>
      <c r="D38" s="602"/>
      <c r="E38" s="602"/>
      <c r="F38" s="602"/>
      <c r="G38" s="602"/>
      <c r="H38" s="603"/>
      <c r="I38" s="755" t="e">
        <f>I32*2.5</f>
        <v>#N/A</v>
      </c>
      <c r="J38" s="603"/>
      <c r="K38" s="393"/>
    </row>
    <row r="39" spans="1:11" ht="14.25" customHeight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91" t="e">
        <f>ROUND(I32/6,2)*1.3*0</f>
        <v>#N/A</v>
      </c>
      <c r="J39" s="747"/>
      <c r="K39" s="393"/>
    </row>
    <row r="40" spans="1:11" ht="11.25" customHeight="1">
      <c r="A40" s="365"/>
      <c r="B40" s="392">
        <v>14</v>
      </c>
      <c r="C40" s="792" t="s">
        <v>398</v>
      </c>
      <c r="D40" s="608"/>
      <c r="E40" s="608"/>
      <c r="F40" s="608"/>
      <c r="G40" s="608"/>
      <c r="H40" s="793"/>
      <c r="I40" s="794">
        <f>'1-ABA-DE-CARREGAMENTO'!G93</f>
        <v>2</v>
      </c>
      <c r="J40" s="609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4.75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4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'1-ABA-DE-CARREGAMENTO'!G52</f>
        <v>200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'1-ABA-DE-CARREGAMENTO'!G38</f>
        <v>#N/A</v>
      </c>
      <c r="G48" s="602"/>
      <c r="H48" s="603"/>
      <c r="I48" s="543" t="e">
        <f>'1-ABA-DE-CARREGAMENTO'!G39</f>
        <v>#N/A</v>
      </c>
      <c r="J48" s="406" t="e">
        <f>J47*I48</f>
        <v>#N/A</v>
      </c>
      <c r="K48" s="407"/>
    </row>
    <row r="49" spans="1:11" ht="30" customHeight="1">
      <c r="A49" s="365"/>
      <c r="B49" s="373" t="s">
        <v>365</v>
      </c>
      <c r="C49" s="678" t="s">
        <v>758</v>
      </c>
      <c r="D49" s="602"/>
      <c r="E49" s="602"/>
      <c r="F49" s="602"/>
      <c r="G49" s="602"/>
      <c r="H49" s="603"/>
      <c r="I49" s="512">
        <f>'1-ABA-DE-CARREGAMENTO'!G44</f>
        <v>0</v>
      </c>
      <c r="J49" s="406" t="e">
        <f>ROUND(J47*I49,2)</f>
        <v>#N/A</v>
      </c>
      <c r="K49" s="407"/>
    </row>
    <row r="50" spans="1:11" ht="11.25" customHeight="1">
      <c r="A50" s="365"/>
      <c r="B50" s="373" t="s">
        <v>367</v>
      </c>
      <c r="C50" s="678" t="s">
        <v>759</v>
      </c>
      <c r="D50" s="602"/>
      <c r="E50" s="602"/>
      <c r="F50" s="602"/>
      <c r="G50" s="776" t="e">
        <f>'1-ABA-DE-CARREGAMENTO'!G40</f>
        <v>#N/A</v>
      </c>
      <c r="H50" s="603"/>
      <c r="I50" s="544">
        <f>'1-ABA-DE-CARREGAMENTO'!G41</f>
        <v>0</v>
      </c>
      <c r="J50" s="406">
        <f>ROUND(I50*I41,2)</f>
        <v>0</v>
      </c>
      <c r="K50" s="407"/>
    </row>
    <row r="51" spans="1:11" ht="33.75" customHeight="1">
      <c r="A51" s="365"/>
      <c r="B51" s="373" t="s">
        <v>410</v>
      </c>
      <c r="C51" s="798" t="s">
        <v>760</v>
      </c>
      <c r="D51" s="602"/>
      <c r="E51" s="602"/>
      <c r="F51" s="453" t="s">
        <v>696</v>
      </c>
      <c r="G51" s="546">
        <v>0</v>
      </c>
      <c r="H51" s="453" t="s">
        <v>697</v>
      </c>
      <c r="I51" s="547" t="e">
        <f>I36</f>
        <v>#N/A</v>
      </c>
      <c r="J51" s="548" t="e">
        <f>G51*I51</f>
        <v>#N/A</v>
      </c>
      <c r="K51" s="407"/>
    </row>
    <row r="52" spans="1:11" ht="45" customHeight="1">
      <c r="A52" s="365"/>
      <c r="B52" s="373" t="s">
        <v>412</v>
      </c>
      <c r="C52" s="726" t="s">
        <v>761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0" customHeight="1">
      <c r="A53" s="365"/>
      <c r="B53" s="373" t="s">
        <v>414</v>
      </c>
      <c r="C53" s="726" t="s">
        <v>762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24.75" customHeight="1">
      <c r="A54" s="365"/>
      <c r="B54" s="373" t="s">
        <v>416</v>
      </c>
      <c r="C54" s="726" t="s">
        <v>763</v>
      </c>
      <c r="D54" s="602"/>
      <c r="E54" s="602"/>
      <c r="F54" s="453" t="s">
        <v>701</v>
      </c>
      <c r="G54" s="546">
        <v>0</v>
      </c>
      <c r="H54" s="453" t="s">
        <v>764</v>
      </c>
      <c r="I54" s="547" t="e">
        <f t="shared" ref="I54:I55" si="0">I37</f>
        <v>#N/A</v>
      </c>
      <c r="J54" s="406" t="e">
        <f t="shared" ref="J54:J55" si="1">G54*I54</f>
        <v>#N/A</v>
      </c>
      <c r="K54" s="407"/>
    </row>
    <row r="55" spans="1:11" ht="24.75" customHeight="1">
      <c r="A55" s="365"/>
      <c r="B55" s="373" t="s">
        <v>419</v>
      </c>
      <c r="C55" s="726" t="s">
        <v>765</v>
      </c>
      <c r="D55" s="602"/>
      <c r="E55" s="602"/>
      <c r="F55" s="453" t="s">
        <v>704</v>
      </c>
      <c r="G55" s="546">
        <v>0</v>
      </c>
      <c r="H55" s="453" t="s">
        <v>766</v>
      </c>
      <c r="I55" s="547" t="e">
        <f t="shared" si="0"/>
        <v>#N/A</v>
      </c>
      <c r="J55" s="406" t="e">
        <f t="shared" si="1"/>
        <v>#N/A</v>
      </c>
      <c r="K55" s="407"/>
    </row>
    <row r="56" spans="1:11" ht="38.25" customHeight="1">
      <c r="A56" s="365"/>
      <c r="B56" s="373" t="s">
        <v>422</v>
      </c>
      <c r="C56" s="678" t="s">
        <v>767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4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768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769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770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771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5" customHeight="1">
      <c r="A69" s="365"/>
      <c r="B69" s="424" t="s">
        <v>433</v>
      </c>
      <c r="C69" s="767" t="s">
        <v>772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773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4.25" customHeight="1">
      <c r="A71" s="365"/>
      <c r="B71" s="424" t="s">
        <v>363</v>
      </c>
      <c r="C71" s="768" t="s">
        <v>774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4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11.25" customHeight="1">
      <c r="A74" s="365"/>
      <c r="B74" s="722" t="s">
        <v>775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4.2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4.25" customHeight="1">
      <c r="A76" s="365"/>
      <c r="B76" s="729" t="s">
        <v>776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777</v>
      </c>
      <c r="D80" s="603"/>
      <c r="E80" s="441" t="s">
        <v>447</v>
      </c>
      <c r="F80" s="442">
        <f>'1-ABA-DE-CARREGAMENTO'!G57</f>
        <v>0.03</v>
      </c>
      <c r="G80" s="441" t="s">
        <v>448</v>
      </c>
      <c r="H80" s="443">
        <f>'1-ABA-DE-CARREGAMENTO'!G58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2">SUM(I78:I85)</f>
        <v>0.36800000000000005</v>
      </c>
      <c r="J86" s="431" t="e">
        <f t="shared" si="2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0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8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5" customHeight="1">
      <c r="A92" s="365"/>
      <c r="B92" s="452" t="s">
        <v>361</v>
      </c>
      <c r="C92" s="678" t="s">
        <v>778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779</v>
      </c>
      <c r="D93" s="602"/>
      <c r="E93" s="602"/>
      <c r="F93" s="602"/>
      <c r="G93" s="602"/>
      <c r="H93" s="602"/>
      <c r="I93" s="455" t="e">
        <f>'1-ABA-DE-CARREGAMENTO'!G72</f>
        <v>#N/A</v>
      </c>
      <c r="J93" s="456" t="s">
        <v>374</v>
      </c>
      <c r="K93" s="413"/>
    </row>
    <row r="94" spans="1:11" ht="21" customHeight="1">
      <c r="A94" s="365"/>
      <c r="B94" s="452" t="s">
        <v>365</v>
      </c>
      <c r="C94" s="678" t="s">
        <v>780</v>
      </c>
      <c r="D94" s="602"/>
      <c r="E94" s="602"/>
      <c r="F94" s="602"/>
      <c r="G94" s="602"/>
      <c r="H94" s="603"/>
      <c r="I94" s="457">
        <f>'1-ABA-DE-CARREGAMENTO'!G73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'1-ABA-DE-CARREGAMENTO'!G74</f>
        <v>#N/A</v>
      </c>
      <c r="J95" s="456" t="s">
        <v>374</v>
      </c>
      <c r="K95" s="413"/>
    </row>
    <row r="96" spans="1:11" ht="27" customHeight="1">
      <c r="A96" s="365"/>
      <c r="B96" s="452" t="s">
        <v>410</v>
      </c>
      <c r="C96" s="754" t="s">
        <v>781</v>
      </c>
      <c r="D96" s="602"/>
      <c r="E96" s="602"/>
      <c r="F96" s="602"/>
      <c r="G96" s="602"/>
      <c r="H96" s="603"/>
      <c r="I96" s="458" t="e">
        <f>'1-ABA-DE-CARREGAMENTO'!G75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782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6.5" customHeight="1">
      <c r="A98" s="365"/>
      <c r="B98" s="452" t="s">
        <v>414</v>
      </c>
      <c r="C98" s="678" t="s">
        <v>783</v>
      </c>
      <c r="D98" s="602"/>
      <c r="E98" s="602"/>
      <c r="F98" s="602"/>
      <c r="G98" s="602"/>
      <c r="H98" s="602"/>
      <c r="I98" s="455" t="e">
        <f>IF('1-ABA-DE-CARREGAMENTO'!G60&gt;0,'1-ABA-DE-CARREGAMENTO'!G60,'1-ABA-DE-CARREGAMENTO'!G63)</f>
        <v>#N/A</v>
      </c>
      <c r="J98" s="461"/>
      <c r="K98" s="413"/>
    </row>
    <row r="99" spans="1:11" ht="24" customHeight="1">
      <c r="A99" s="365"/>
      <c r="B99" s="452" t="s">
        <v>416</v>
      </c>
      <c r="C99" s="678" t="s">
        <v>784</v>
      </c>
      <c r="D99" s="602"/>
      <c r="E99" s="602"/>
      <c r="F99" s="602"/>
      <c r="G99" s="602"/>
      <c r="H99" s="602"/>
      <c r="I99" s="457" t="e">
        <f>'1-ABA-DE-CARREGAMENTO'!G62</f>
        <v>#N/A</v>
      </c>
      <c r="J99" s="461"/>
      <c r="K99" s="413"/>
    </row>
    <row r="100" spans="1:11" ht="24" customHeight="1">
      <c r="A100" s="365"/>
      <c r="B100" s="452" t="s">
        <v>419</v>
      </c>
      <c r="C100" s="781" t="s">
        <v>785</v>
      </c>
      <c r="D100" s="602"/>
      <c r="E100" s="602"/>
      <c r="F100" s="602"/>
      <c r="G100" s="602"/>
      <c r="H100" s="603"/>
      <c r="I100" s="458" t="e">
        <f>'1-ABA-DE-CARREGAMENTO'!G61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33.75" customHeight="1">
      <c r="A102" s="365"/>
      <c r="B102" s="452" t="s">
        <v>424</v>
      </c>
      <c r="C102" s="678" t="s">
        <v>786</v>
      </c>
      <c r="D102" s="602"/>
      <c r="E102" s="602"/>
      <c r="F102" s="602"/>
      <c r="G102" s="602"/>
      <c r="H102" s="602"/>
      <c r="I102" s="602"/>
      <c r="J102" s="440" t="e">
        <f>'1-ABA-DE-CARREGAMENTO'!G77</f>
        <v>#N/A</v>
      </c>
      <c r="K102" s="432"/>
    </row>
    <row r="103" spans="1:11" ht="36" customHeight="1">
      <c r="A103" s="365"/>
      <c r="B103" s="452" t="s">
        <v>469</v>
      </c>
      <c r="C103" s="678" t="s">
        <v>787</v>
      </c>
      <c r="D103" s="602"/>
      <c r="E103" s="602"/>
      <c r="F103" s="602"/>
      <c r="G103" s="602"/>
      <c r="H103" s="602"/>
      <c r="I103" s="603"/>
      <c r="J103" s="440" t="e">
        <f>'1-ABA-DE-CARREGAMENTO'!G78</f>
        <v>#N/A</v>
      </c>
      <c r="K103" s="432"/>
    </row>
    <row r="104" spans="1:11" ht="16.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'1-ABA-DE-CARREGAMENTO'!G76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33.7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7.2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22.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19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788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1.25" customHeight="1">
      <c r="A119" s="365"/>
      <c r="B119" s="452" t="s">
        <v>361</v>
      </c>
      <c r="C119" s="678" t="s">
        <v>789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5.7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26.25" customHeight="1">
      <c r="A121" s="365"/>
      <c r="B121" s="452" t="s">
        <v>365</v>
      </c>
      <c r="C121" s="678" t="s">
        <v>790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8.7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6" customHeight="1">
      <c r="A123" s="365"/>
      <c r="B123" s="452" t="s">
        <v>410</v>
      </c>
      <c r="C123" s="678" t="s">
        <v>791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9.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5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17.25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28.5" customHeight="1">
      <c r="A128" s="365"/>
      <c r="B128" s="729" t="s">
        <v>792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28.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793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30.7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21.75" customHeight="1">
      <c r="A133" s="365"/>
      <c r="B133" s="452" t="s">
        <v>361</v>
      </c>
      <c r="C133" s="726" t="s">
        <v>794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7.25" customHeight="1">
      <c r="A134" s="365"/>
      <c r="B134" s="452" t="s">
        <v>363</v>
      </c>
      <c r="C134" s="678" t="s">
        <v>795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27" customHeight="1">
      <c r="A135" s="365"/>
      <c r="B135" s="452" t="s">
        <v>365</v>
      </c>
      <c r="C135" s="678" t="s">
        <v>796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27" customHeight="1">
      <c r="A136" s="365"/>
      <c r="B136" s="452" t="s">
        <v>367</v>
      </c>
      <c r="C136" s="678" t="s">
        <v>797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27" customHeight="1">
      <c r="A137" s="365"/>
      <c r="B137" s="488" t="s">
        <v>410</v>
      </c>
      <c r="C137" s="732" t="s">
        <v>798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24.75" customHeight="1">
      <c r="A138" s="365"/>
      <c r="B138" s="452" t="s">
        <v>412</v>
      </c>
      <c r="C138" s="678" t="s">
        <v>799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9.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19.5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19.5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28.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24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14.25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15.7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5.75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</f>
        <v>#REF!</v>
      </c>
      <c r="K154" s="432"/>
    </row>
    <row r="155" spans="1:11" ht="15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5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15.75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27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19.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30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4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3.2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'1-ABA-DE-CARREGAMENTO'!G85</f>
        <v>0.06</v>
      </c>
      <c r="J164" s="440" t="e">
        <f>ROUND(I164*J163,2)</f>
        <v>#N/A</v>
      </c>
      <c r="K164" s="432"/>
    </row>
    <row r="165" spans="1:11" ht="51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'1-ABA-DE-CARREGAMENTO'!G86</f>
        <v>0.06</v>
      </c>
      <c r="J166" s="440" t="e">
        <f>ROUND(I166*J165,2)</f>
        <v>#N/A</v>
      </c>
      <c r="K166" s="432"/>
    </row>
    <row r="167" spans="1:11" ht="54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30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30" customHeight="1">
      <c r="A170" s="365"/>
      <c r="B170" s="452"/>
      <c r="C170" s="783" t="s">
        <v>800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3">ROUND(($J$167/(1-$I$179))*I170,2)</f>
        <v>#N/A</v>
      </c>
      <c r="K170" s="514"/>
    </row>
    <row r="171" spans="1:11" ht="19.5" customHeight="1">
      <c r="A171" s="365"/>
      <c r="B171" s="452"/>
      <c r="C171" s="783" t="s">
        <v>801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3"/>
        <v>#N/A</v>
      </c>
      <c r="K171" s="514"/>
    </row>
    <row r="172" spans="1:11" ht="23.25" customHeight="1">
      <c r="A172" s="365"/>
      <c r="B172" s="452"/>
      <c r="C172" s="678" t="s">
        <v>802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3.25" customHeight="1">
      <c r="A173" s="365"/>
      <c r="B173" s="452"/>
      <c r="C173" s="678" t="s">
        <v>803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804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15.7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4">SUM(I170:I176)</f>
        <v>#N/A</v>
      </c>
      <c r="J179" s="508" t="e">
        <f t="shared" si="4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9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25.5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8.25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805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4.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9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5.7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35.2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5.25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5">E201*F201</f>
        <v>0</v>
      </c>
      <c r="I201" s="698">
        <f t="shared" ref="I201:I203" si="6">F201*H201</f>
        <v>0</v>
      </c>
      <c r="J201" s="603"/>
      <c r="K201" s="532"/>
    </row>
    <row r="202" spans="1:11" ht="35.25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5"/>
        <v>0</v>
      </c>
      <c r="I202" s="698">
        <f t="shared" si="6"/>
        <v>0</v>
      </c>
      <c r="J202" s="603"/>
      <c r="K202" s="532"/>
    </row>
    <row r="203" spans="1:11" ht="35.25" customHeight="1" collapsed="1">
      <c r="A203" s="365"/>
      <c r="B203" s="703" t="str">
        <f>B3</f>
        <v>A NÃO TEM MAIS POSTOS-22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6"/>
        <v>#N/A</v>
      </c>
      <c r="J203" s="603"/>
      <c r="K203" s="532"/>
    </row>
    <row r="204" spans="1:11" ht="35.25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7">E204*G204</f>
        <v>0</v>
      </c>
      <c r="I204" s="698">
        <f t="shared" si="7"/>
        <v>0</v>
      </c>
      <c r="J204" s="603"/>
      <c r="K204" s="532"/>
    </row>
    <row r="205" spans="1:11" ht="35.25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8">E205*G205</f>
        <v>0</v>
      </c>
      <c r="I205" s="698">
        <f t="shared" si="8"/>
        <v>0</v>
      </c>
      <c r="J205" s="603"/>
      <c r="K205" s="532"/>
    </row>
    <row r="206" spans="1:11" ht="15.75" hidden="1" customHeight="1" outlineLevel="1">
      <c r="A206" s="365"/>
      <c r="B206" s="705" t="s">
        <v>806</v>
      </c>
      <c r="C206" s="602"/>
      <c r="D206" s="602"/>
      <c r="E206" s="603"/>
      <c r="F206" s="698">
        <v>0</v>
      </c>
      <c r="G206" s="603"/>
      <c r="H206" s="531">
        <f t="shared" ref="H206:I206" si="9">E206*G206</f>
        <v>0</v>
      </c>
      <c r="I206" s="698">
        <f t="shared" si="9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15.75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6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6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6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5.75" customHeight="1">
      <c r="A215" s="365"/>
      <c r="B215" s="712" t="s">
        <v>807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6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3:J203"/>
    <mergeCell ref="I204:J204"/>
    <mergeCell ref="I205:J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B207:G207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144:I144"/>
    <mergeCell ref="B145:J145"/>
    <mergeCell ref="B146:J146"/>
    <mergeCell ref="C147:I147"/>
    <mergeCell ref="C148:I148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15:I115"/>
    <mergeCell ref="B116:J116"/>
    <mergeCell ref="B117:J117"/>
    <mergeCell ref="C118:I118"/>
    <mergeCell ref="C119:I119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58:J158"/>
    <mergeCell ref="B159:J159"/>
    <mergeCell ref="B161:J161"/>
    <mergeCell ref="C162:H162"/>
    <mergeCell ref="B163:H163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</mergeCells>
  <conditionalFormatting sqref="I49:I50">
    <cfRule type="cellIs" dxfId="85" priority="1" operator="equal">
      <formula>0</formula>
    </cfRule>
  </conditionalFormatting>
  <conditionalFormatting sqref="I48">
    <cfRule type="cellIs" dxfId="8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B6DDE8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8" width="14.28515625" customWidth="1"/>
    <col min="9" max="9" width="11.28515625" customWidth="1"/>
    <col min="10" max="10" width="15.8554687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'1-ABA-DE-CARREGAMENTO'!H33</f>
        <v>A NÃO TEM MAIS POSTOS-33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VLOOKUP('1-ABA-DE-CARREGAMENTO'!H35,'DADOS-CADASTRAIS'!C6:J16,1,0)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'1-ABA-DE-CARREGAMENTO'!H94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26.2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POSTOS-33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'1-ABA-DE-CARREGAMENTO'!H92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808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5" customHeight="1">
      <c r="A24" s="365"/>
      <c r="B24" s="742" t="s">
        <v>809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27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'1-ABA-DE-CARREGAMENTO'!H33</f>
        <v>A NÃO TEM MAIS POSTOS-33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34.5" customHeight="1">
      <c r="A29" s="365"/>
      <c r="B29" s="373">
        <v>3</v>
      </c>
      <c r="C29" s="749" t="s">
        <v>564</v>
      </c>
      <c r="D29" s="608"/>
      <c r="E29" s="386">
        <v>220</v>
      </c>
      <c r="F29" s="387" t="e">
        <f>'1-ABA-DE-CARREGAMENTO'!H37</f>
        <v>#N/A</v>
      </c>
      <c r="G29" s="370" t="s">
        <v>386</v>
      </c>
      <c r="H29" s="388">
        <f>'1-ABA-DE-CARREGAMENTO'!H52</f>
        <v>100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'1-ABA-DE-CARREGAMENTO'!H36</f>
        <v>#N/A</v>
      </c>
      <c r="J31" s="603"/>
      <c r="K31" s="391"/>
    </row>
    <row r="32" spans="1:11" ht="12.75" customHeight="1">
      <c r="A32" s="365"/>
      <c r="B32" s="392">
        <v>6</v>
      </c>
      <c r="C32" s="754" t="s">
        <v>810</v>
      </c>
      <c r="D32" s="602"/>
      <c r="E32" s="602"/>
      <c r="F32" s="602"/>
      <c r="G32" s="602"/>
      <c r="H32" s="603"/>
      <c r="I32" s="755" t="e">
        <f>ROUND(I29/220,2)*0</f>
        <v>#N/A</v>
      </c>
      <c r="J32" s="603"/>
      <c r="K32" s="393"/>
    </row>
    <row r="33" spans="1:11" ht="36.75" customHeight="1">
      <c r="A33" s="365"/>
      <c r="B33" s="392">
        <v>7</v>
      </c>
      <c r="C33" s="754" t="s">
        <v>811</v>
      </c>
      <c r="D33" s="602"/>
      <c r="E33" s="602"/>
      <c r="F33" s="603"/>
      <c r="G33" s="756"/>
      <c r="H33" s="603"/>
      <c r="I33" s="755" t="e">
        <f>SUM(J47:J50)/220</f>
        <v>#N/A</v>
      </c>
      <c r="J33" s="603"/>
      <c r="K33" s="393"/>
    </row>
    <row r="34" spans="1:11" ht="28.5" customHeight="1">
      <c r="A34" s="365"/>
      <c r="B34" s="392">
        <v>8</v>
      </c>
      <c r="C34" s="754" t="s">
        <v>812</v>
      </c>
      <c r="D34" s="602"/>
      <c r="E34" s="602"/>
      <c r="F34" s="603"/>
      <c r="G34" s="756"/>
      <c r="H34" s="603"/>
      <c r="I34" s="755" t="e">
        <f>TRUNC(I33*1.5,2)*0</f>
        <v>#N/A</v>
      </c>
      <c r="J34" s="603"/>
      <c r="K34" s="393"/>
    </row>
    <row r="35" spans="1:11" ht="28.5" customHeight="1">
      <c r="A35" s="365"/>
      <c r="B35" s="392">
        <v>9</v>
      </c>
      <c r="C35" s="754" t="s">
        <v>813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8.5" customHeight="1">
      <c r="A36" s="365"/>
      <c r="B36" s="392">
        <v>10</v>
      </c>
      <c r="C36" s="754" t="s">
        <v>814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8.5" customHeight="1">
      <c r="A37" s="365"/>
      <c r="B37" s="392">
        <v>11</v>
      </c>
      <c r="C37" s="754" t="s">
        <v>815</v>
      </c>
      <c r="D37" s="602"/>
      <c r="E37" s="602"/>
      <c r="F37" s="602"/>
      <c r="G37" s="602"/>
      <c r="H37" s="603"/>
      <c r="I37" s="755" t="e">
        <f>I33*2</f>
        <v>#N/A</v>
      </c>
      <c r="J37" s="603"/>
      <c r="K37" s="393"/>
    </row>
    <row r="38" spans="1:11" ht="14.25" customHeight="1">
      <c r="A38" s="365"/>
      <c r="B38" s="392">
        <v>12</v>
      </c>
      <c r="C38" s="754" t="s">
        <v>816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14.25" customHeight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55" t="e">
        <f>ROUND(I32/6,2)*1.3</f>
        <v>#N/A</v>
      </c>
      <c r="J39" s="603"/>
      <c r="K39" s="393"/>
    </row>
    <row r="40" spans="1:11" ht="11.25" customHeight="1">
      <c r="A40" s="365"/>
      <c r="B40" s="392">
        <v>14</v>
      </c>
      <c r="C40" s="772" t="s">
        <v>398</v>
      </c>
      <c r="D40" s="602"/>
      <c r="E40" s="602"/>
      <c r="F40" s="602"/>
      <c r="G40" s="602"/>
      <c r="H40" s="603"/>
      <c r="I40" s="790">
        <f>'1-ABA-DE-CARREGAMENTO'!H93</f>
        <v>1</v>
      </c>
      <c r="J40" s="603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8.5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4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'1-ABA-DE-CARREGAMENTO'!H52</f>
        <v>100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'1-ABA-DE-CARREGAMENTO'!H38</f>
        <v>#N/A</v>
      </c>
      <c r="G48" s="602"/>
      <c r="H48" s="603"/>
      <c r="I48" s="543" t="e">
        <f>'1-ABA-DE-CARREGAMENTO'!H39</f>
        <v>#N/A</v>
      </c>
      <c r="J48" s="406" t="e">
        <f>J47*I48</f>
        <v>#N/A</v>
      </c>
      <c r="K48" s="407"/>
    </row>
    <row r="49" spans="1:11" ht="27" customHeight="1">
      <c r="A49" s="365"/>
      <c r="B49" s="373" t="s">
        <v>365</v>
      </c>
      <c r="C49" s="678" t="s">
        <v>817</v>
      </c>
      <c r="D49" s="602"/>
      <c r="E49" s="602"/>
      <c r="F49" s="602"/>
      <c r="G49" s="602"/>
      <c r="H49" s="603"/>
      <c r="I49" s="512">
        <f>'1-ABA-DE-CARREGAMENTO'!H44</f>
        <v>0</v>
      </c>
      <c r="J49" s="406" t="e">
        <f>ROUND(J47*I49,2)</f>
        <v>#N/A</v>
      </c>
      <c r="K49" s="407"/>
    </row>
    <row r="50" spans="1:11" ht="18" customHeight="1">
      <c r="A50" s="365"/>
      <c r="B50" s="373" t="s">
        <v>367</v>
      </c>
      <c r="C50" s="678" t="s">
        <v>818</v>
      </c>
      <c r="D50" s="602"/>
      <c r="E50" s="602"/>
      <c r="F50" s="602"/>
      <c r="G50" s="776" t="e">
        <f>'1-ABA-DE-CARREGAMENTO'!H40</f>
        <v>#N/A</v>
      </c>
      <c r="H50" s="603"/>
      <c r="I50" s="544">
        <f>'1-ABA-DE-CARREGAMENTO'!H41</f>
        <v>0</v>
      </c>
      <c r="J50" s="406">
        <f>ROUND(I50*I41,2)</f>
        <v>0</v>
      </c>
      <c r="K50" s="407"/>
    </row>
    <row r="51" spans="1:11" ht="31.5" customHeight="1">
      <c r="A51" s="365"/>
      <c r="B51" s="373" t="s">
        <v>410</v>
      </c>
      <c r="C51" s="678" t="s">
        <v>819</v>
      </c>
      <c r="D51" s="602"/>
      <c r="E51" s="602"/>
      <c r="F51" s="602"/>
      <c r="G51" s="602"/>
      <c r="H51" s="602"/>
      <c r="I51" s="603"/>
      <c r="J51" s="406" t="e">
        <f>ROUND(2*8*15*I36,2)*0</f>
        <v>#N/A</v>
      </c>
      <c r="K51" s="407"/>
    </row>
    <row r="52" spans="1:11" ht="43.5" customHeight="1">
      <c r="A52" s="365"/>
      <c r="B52" s="373" t="s">
        <v>412</v>
      </c>
      <c r="C52" s="726" t="s">
        <v>820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1.5" customHeight="1">
      <c r="A53" s="365"/>
      <c r="B53" s="373" t="s">
        <v>414</v>
      </c>
      <c r="C53" s="726" t="s">
        <v>821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31.5" customHeight="1">
      <c r="A54" s="365"/>
      <c r="B54" s="373" t="s">
        <v>416</v>
      </c>
      <c r="C54" s="726" t="s">
        <v>417</v>
      </c>
      <c r="D54" s="602"/>
      <c r="E54" s="602"/>
      <c r="F54" s="777" t="s">
        <v>822</v>
      </c>
      <c r="G54" s="602"/>
      <c r="H54" s="602"/>
      <c r="I54" s="411" t="e">
        <f>'1-ABA-DE-CARREGAMENTO'!H65</f>
        <v>#N/A</v>
      </c>
      <c r="J54" s="406" t="e">
        <f>ROUND((((SUM(J47:J50))/220)*1.5)*I54,2)</f>
        <v>#N/A</v>
      </c>
      <c r="K54" s="407"/>
    </row>
    <row r="55" spans="1:11" ht="31.5" customHeight="1">
      <c r="A55" s="365"/>
      <c r="B55" s="373" t="s">
        <v>419</v>
      </c>
      <c r="C55" s="726" t="s">
        <v>420</v>
      </c>
      <c r="D55" s="602"/>
      <c r="E55" s="602"/>
      <c r="F55" s="777" t="s">
        <v>823</v>
      </c>
      <c r="G55" s="602"/>
      <c r="H55" s="602"/>
      <c r="I55" s="411" t="e">
        <f>'1-ABA-DE-CARREGAMENTO'!H68</f>
        <v>#N/A</v>
      </c>
      <c r="J55" s="406" t="e">
        <f>ROUND((((SUM(J47:J50))/220)*2)*I55,2)</f>
        <v>#N/A</v>
      </c>
      <c r="K55" s="407"/>
    </row>
    <row r="56" spans="1:11" ht="43.5" customHeight="1">
      <c r="A56" s="365"/>
      <c r="B56" s="373" t="s">
        <v>422</v>
      </c>
      <c r="C56" s="678" t="s">
        <v>824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4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825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826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827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828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5" customHeight="1">
      <c r="A69" s="365"/>
      <c r="B69" s="424" t="s">
        <v>433</v>
      </c>
      <c r="C69" s="767" t="s">
        <v>829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830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4.25" customHeight="1">
      <c r="A71" s="365"/>
      <c r="B71" s="424" t="s">
        <v>363</v>
      </c>
      <c r="C71" s="768" t="s">
        <v>831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4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11.25" customHeight="1">
      <c r="A74" s="365"/>
      <c r="B74" s="722" t="s">
        <v>832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4.2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4.25" customHeight="1">
      <c r="A76" s="365"/>
      <c r="B76" s="729" t="s">
        <v>833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834</v>
      </c>
      <c r="D80" s="603"/>
      <c r="E80" s="441" t="s">
        <v>447</v>
      </c>
      <c r="F80" s="442">
        <f>'1-ABA-DE-CARREGAMENTO'!H57</f>
        <v>0.03</v>
      </c>
      <c r="G80" s="441" t="s">
        <v>448</v>
      </c>
      <c r="H80" s="443">
        <f>'1-ABA-DE-CARREGAMENTO'!H58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4.5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8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549" t="s">
        <v>435</v>
      </c>
      <c r="K91" s="375"/>
    </row>
    <row r="92" spans="1:11" ht="15" customHeight="1">
      <c r="A92" s="365"/>
      <c r="B92" s="452" t="s">
        <v>361</v>
      </c>
      <c r="C92" s="678" t="s">
        <v>835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836</v>
      </c>
      <c r="D93" s="602"/>
      <c r="E93" s="602"/>
      <c r="F93" s="602"/>
      <c r="G93" s="602"/>
      <c r="H93" s="602"/>
      <c r="I93" s="460" t="e">
        <f>'1-ABA-DE-CARREGAMENTO'!H72</f>
        <v>#N/A</v>
      </c>
      <c r="J93" s="456" t="s">
        <v>374</v>
      </c>
      <c r="K93" s="413"/>
    </row>
    <row r="94" spans="1:11" ht="25.5" customHeight="1">
      <c r="A94" s="365"/>
      <c r="B94" s="452" t="s">
        <v>365</v>
      </c>
      <c r="C94" s="678" t="s">
        <v>837</v>
      </c>
      <c r="D94" s="602"/>
      <c r="E94" s="602"/>
      <c r="F94" s="602"/>
      <c r="G94" s="602"/>
      <c r="H94" s="603"/>
      <c r="I94" s="462">
        <f>'1-ABA-DE-CARREGAMENTO'!H73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62" t="e">
        <f>'1-ABA-DE-CARREGAMENTO'!H74</f>
        <v>#N/A</v>
      </c>
      <c r="J95" s="456" t="s">
        <v>374</v>
      </c>
      <c r="K95" s="413"/>
    </row>
    <row r="96" spans="1:11" ht="25.5" customHeight="1">
      <c r="A96" s="365"/>
      <c r="B96" s="452" t="s">
        <v>410</v>
      </c>
      <c r="C96" s="754" t="s">
        <v>838</v>
      </c>
      <c r="D96" s="602"/>
      <c r="E96" s="602"/>
      <c r="F96" s="602"/>
      <c r="G96" s="602"/>
      <c r="H96" s="603"/>
      <c r="I96" s="458" t="e">
        <f>'1-ABA-DE-CARREGAMENTO'!H75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839</v>
      </c>
      <c r="D97" s="602"/>
      <c r="E97" s="602"/>
      <c r="F97" s="602"/>
      <c r="G97" s="602"/>
      <c r="H97" s="602"/>
      <c r="I97" s="602"/>
      <c r="J97" s="550" t="e">
        <f>ROUND(I98*I99,2)-ROUND((I98*I99)*I100,2)</f>
        <v>#N/A</v>
      </c>
      <c r="K97" s="432"/>
    </row>
    <row r="98" spans="1:11" ht="15" customHeight="1">
      <c r="A98" s="365"/>
      <c r="B98" s="452" t="s">
        <v>414</v>
      </c>
      <c r="C98" s="678" t="s">
        <v>840</v>
      </c>
      <c r="D98" s="602"/>
      <c r="E98" s="602"/>
      <c r="F98" s="602"/>
      <c r="G98" s="602"/>
      <c r="H98" s="602"/>
      <c r="I98" s="455" t="e">
        <f>IF('1-ABA-DE-CARREGAMENTO'!H60&gt;0,'1-ABA-DE-CARREGAMENTO'!H60,'1-ABA-DE-CARREGAMENTO'!H63)</f>
        <v>#N/A</v>
      </c>
      <c r="J98" s="461"/>
      <c r="K98" s="413"/>
    </row>
    <row r="99" spans="1:11" ht="22.5" customHeight="1">
      <c r="A99" s="365"/>
      <c r="B99" s="452" t="s">
        <v>416</v>
      </c>
      <c r="C99" s="678" t="s">
        <v>841</v>
      </c>
      <c r="D99" s="602"/>
      <c r="E99" s="602"/>
      <c r="F99" s="602"/>
      <c r="G99" s="602"/>
      <c r="H99" s="602"/>
      <c r="I99" s="457" t="e">
        <f>'1-ABA-DE-CARREGAMENTO'!H62</f>
        <v>#N/A</v>
      </c>
      <c r="J99" s="461"/>
      <c r="K99" s="413"/>
    </row>
    <row r="100" spans="1:11" ht="25.5" customHeight="1">
      <c r="A100" s="365"/>
      <c r="B100" s="452" t="s">
        <v>419</v>
      </c>
      <c r="C100" s="781" t="s">
        <v>842</v>
      </c>
      <c r="D100" s="602"/>
      <c r="E100" s="602"/>
      <c r="F100" s="602"/>
      <c r="G100" s="602"/>
      <c r="H100" s="603"/>
      <c r="I100" s="458" t="e">
        <f>'1-ABA-DE-CARREGAMENTO'!H61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24" customHeight="1">
      <c r="A102" s="365"/>
      <c r="B102" s="452" t="s">
        <v>424</v>
      </c>
      <c r="C102" s="678" t="s">
        <v>843</v>
      </c>
      <c r="D102" s="602"/>
      <c r="E102" s="602"/>
      <c r="F102" s="602"/>
      <c r="G102" s="602"/>
      <c r="H102" s="602"/>
      <c r="I102" s="602"/>
      <c r="J102" s="440" t="e">
        <f>'1-ABA-DE-CARREGAMENTO'!H77</f>
        <v>#N/A</v>
      </c>
      <c r="K102" s="432"/>
    </row>
    <row r="103" spans="1:11" ht="39.75" customHeight="1">
      <c r="A103" s="365"/>
      <c r="B103" s="452" t="s">
        <v>469</v>
      </c>
      <c r="C103" s="678" t="s">
        <v>844</v>
      </c>
      <c r="D103" s="602"/>
      <c r="E103" s="602"/>
      <c r="F103" s="602"/>
      <c r="G103" s="602"/>
      <c r="H103" s="602"/>
      <c r="I103" s="603"/>
      <c r="J103" s="440" t="e">
        <f>'1-ABA-DE-CARREGAMENTO'!H78</f>
        <v>#N/A</v>
      </c>
      <c r="K103" s="432"/>
    </row>
    <row r="104" spans="1:11" ht="16.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'1-ABA-DE-CARREGAMENTO'!H76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33.7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7.2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21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19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845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0.5" customHeight="1">
      <c r="A119" s="365"/>
      <c r="B119" s="452" t="s">
        <v>361</v>
      </c>
      <c r="C119" s="678" t="s">
        <v>846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5.7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30.75" customHeight="1">
      <c r="A121" s="365"/>
      <c r="B121" s="452" t="s">
        <v>365</v>
      </c>
      <c r="C121" s="678" t="s">
        <v>847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8.7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2.25" customHeight="1">
      <c r="A123" s="365"/>
      <c r="B123" s="452" t="s">
        <v>410</v>
      </c>
      <c r="C123" s="678" t="s">
        <v>848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9.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5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17.25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28.5" customHeight="1">
      <c r="A128" s="365"/>
      <c r="B128" s="729" t="s">
        <v>849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30.7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850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30.7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51" customHeight="1">
      <c r="A133" s="365"/>
      <c r="B133" s="452" t="s">
        <v>361</v>
      </c>
      <c r="C133" s="726" t="s">
        <v>851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7.25" customHeight="1">
      <c r="A134" s="365"/>
      <c r="B134" s="452" t="s">
        <v>363</v>
      </c>
      <c r="C134" s="678" t="s">
        <v>852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29.25" customHeight="1">
      <c r="A135" s="365"/>
      <c r="B135" s="452" t="s">
        <v>365</v>
      </c>
      <c r="C135" s="678" t="s">
        <v>853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28.5" customHeight="1">
      <c r="A136" s="365"/>
      <c r="B136" s="452" t="s">
        <v>367</v>
      </c>
      <c r="C136" s="678" t="s">
        <v>854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0.75" customHeight="1">
      <c r="A137" s="365"/>
      <c r="B137" s="488" t="s">
        <v>410</v>
      </c>
      <c r="C137" s="732" t="s">
        <v>855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36" customHeight="1">
      <c r="A138" s="365"/>
      <c r="B138" s="452" t="s">
        <v>412</v>
      </c>
      <c r="C138" s="678" t="s">
        <v>856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9.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19.5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19.5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28.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24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4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15.7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7.25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</f>
        <v>#REF!</v>
      </c>
      <c r="K154" s="432"/>
    </row>
    <row r="155" spans="1:11" ht="15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5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15.75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27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19.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18.75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4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7.7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'1-ABA-DE-CARREGAMENTO'!H85</f>
        <v>0.06</v>
      </c>
      <c r="J164" s="440" t="e">
        <f>ROUND(I164*J163,2)</f>
        <v>#N/A</v>
      </c>
      <c r="K164" s="432"/>
    </row>
    <row r="165" spans="1:11" ht="54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'1-ABA-DE-CARREGAMENTO'!H86</f>
        <v>0.06</v>
      </c>
      <c r="J166" s="440" t="e">
        <f>ROUND(I166*J165,2)</f>
        <v>#N/A</v>
      </c>
      <c r="K166" s="432"/>
    </row>
    <row r="167" spans="1:11" ht="54.75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30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21.75" customHeight="1">
      <c r="A170" s="365"/>
      <c r="B170" s="452"/>
      <c r="C170" s="783" t="s">
        <v>857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21.75" customHeight="1">
      <c r="A171" s="365"/>
      <c r="B171" s="452"/>
      <c r="C171" s="783" t="s">
        <v>858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7" customHeight="1">
      <c r="A172" s="365"/>
      <c r="B172" s="452"/>
      <c r="C172" s="678" t="s">
        <v>859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7" customHeight="1">
      <c r="A173" s="365"/>
      <c r="B173" s="452"/>
      <c r="C173" s="678" t="s">
        <v>860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861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15.7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10.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24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9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862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6.7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9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5.7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22.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6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36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36" customHeight="1" collapsed="1">
      <c r="A203" s="365"/>
      <c r="B203" s="703" t="str">
        <f>B3</f>
        <v>A NÃO TEM MAIS POSTOS-33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36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6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15.75" hidden="1" customHeight="1" outlineLevel="1">
      <c r="A206" s="365"/>
      <c r="B206" s="705" t="s">
        <v>863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15.75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6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6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6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5.75" customHeight="1">
      <c r="A215" s="365"/>
      <c r="B215" s="712" t="s">
        <v>864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6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83" priority="1" operator="equal">
      <formula>0</formula>
    </cfRule>
  </conditionalFormatting>
  <conditionalFormatting sqref="I48">
    <cfRule type="cellIs" dxfId="8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BD4B4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6.710937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'1-ABA-DE-CARREGAMENTO'!I33</f>
        <v>A NÃO TEM MAIS POSTOS-44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VLOOKUP('1-ABA-DE-CARREGAMENTO'!I35,'DADOS-CADASTRAIS'!C6:J16,1,0)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'1-ABA-DE-CARREGAMENTO'!I94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25.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POSTOS-44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'1-ABA-DE-CARREGAMENTO'!I92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865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5" customHeight="1">
      <c r="A24" s="365"/>
      <c r="B24" s="742" t="s">
        <v>866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25.5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'1-ABA-DE-CARREGAMENTO'!I33</f>
        <v>A NÃO TEM MAIS POSTOS-44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35.25" customHeight="1">
      <c r="A29" s="365"/>
      <c r="B29" s="373">
        <v>3</v>
      </c>
      <c r="C29" s="749" t="s">
        <v>564</v>
      </c>
      <c r="D29" s="608"/>
      <c r="E29" s="386">
        <v>220</v>
      </c>
      <c r="F29" s="387" t="e">
        <f>'1-ABA-DE-CARREGAMENTO'!I37</f>
        <v>#N/A</v>
      </c>
      <c r="G29" s="370" t="s">
        <v>386</v>
      </c>
      <c r="H29" s="388">
        <f>'1-ABA-DE-CARREGAMENTO'!I52</f>
        <v>200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'1-ABA-DE-CARREGAMENTO'!I36</f>
        <v>#N/A</v>
      </c>
      <c r="J31" s="603"/>
      <c r="K31" s="391"/>
    </row>
    <row r="32" spans="1:11" ht="12.75" customHeight="1">
      <c r="A32" s="365"/>
      <c r="B32" s="392">
        <v>6</v>
      </c>
      <c r="C32" s="754" t="s">
        <v>867</v>
      </c>
      <c r="D32" s="602"/>
      <c r="E32" s="602"/>
      <c r="F32" s="602"/>
      <c r="G32" s="602"/>
      <c r="H32" s="603"/>
      <c r="I32" s="755" t="e">
        <f>ROUND(I29/220,2)*0</f>
        <v>#N/A</v>
      </c>
      <c r="J32" s="603"/>
      <c r="K32" s="393"/>
    </row>
    <row r="33" spans="1:11" ht="42.75" customHeight="1">
      <c r="A33" s="365"/>
      <c r="B33" s="392">
        <v>7</v>
      </c>
      <c r="C33" s="754" t="s">
        <v>868</v>
      </c>
      <c r="D33" s="602"/>
      <c r="E33" s="602"/>
      <c r="F33" s="603"/>
      <c r="G33" s="756"/>
      <c r="H33" s="603"/>
      <c r="I33" s="755" t="e">
        <f>SUM(J47:J50)/220</f>
        <v>#N/A</v>
      </c>
      <c r="J33" s="603"/>
      <c r="K33" s="393"/>
    </row>
    <row r="34" spans="1:11" ht="33" customHeight="1">
      <c r="A34" s="365"/>
      <c r="B34" s="392">
        <v>8</v>
      </c>
      <c r="C34" s="754" t="s">
        <v>869</v>
      </c>
      <c r="D34" s="602"/>
      <c r="E34" s="602"/>
      <c r="F34" s="603"/>
      <c r="G34" s="756"/>
      <c r="H34" s="603"/>
      <c r="I34" s="755" t="e">
        <f>TRUNC(I33*1.5,2)*0</f>
        <v>#N/A</v>
      </c>
      <c r="J34" s="603"/>
      <c r="K34" s="393"/>
    </row>
    <row r="35" spans="1:11" ht="33" customHeight="1">
      <c r="A35" s="365"/>
      <c r="B35" s="392">
        <v>9</v>
      </c>
      <c r="C35" s="754" t="s">
        <v>870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33" customHeight="1">
      <c r="A36" s="365"/>
      <c r="B36" s="392">
        <v>10</v>
      </c>
      <c r="C36" s="754" t="s">
        <v>871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33" customHeight="1">
      <c r="A37" s="365"/>
      <c r="B37" s="392">
        <v>11</v>
      </c>
      <c r="C37" s="754" t="s">
        <v>872</v>
      </c>
      <c r="D37" s="602"/>
      <c r="E37" s="602"/>
      <c r="F37" s="602"/>
      <c r="G37" s="602"/>
      <c r="H37" s="603"/>
      <c r="I37" s="755" t="e">
        <f>I33*2</f>
        <v>#N/A</v>
      </c>
      <c r="J37" s="603"/>
      <c r="K37" s="393"/>
    </row>
    <row r="38" spans="1:11" ht="33" customHeight="1">
      <c r="A38" s="365"/>
      <c r="B38" s="392">
        <v>12</v>
      </c>
      <c r="C38" s="754" t="s">
        <v>873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14.25" customHeight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55" t="e">
        <f>ROUND(I32/6,2)*1.3</f>
        <v>#N/A</v>
      </c>
      <c r="J39" s="603"/>
      <c r="K39" s="393"/>
    </row>
    <row r="40" spans="1:11" ht="11.25" customHeight="1">
      <c r="A40" s="365"/>
      <c r="B40" s="392">
        <v>14</v>
      </c>
      <c r="C40" s="772" t="s">
        <v>398</v>
      </c>
      <c r="D40" s="602"/>
      <c r="E40" s="602"/>
      <c r="F40" s="602"/>
      <c r="G40" s="602"/>
      <c r="H40" s="603"/>
      <c r="I40" s="790">
        <f>'1-ABA-DE-CARREGAMENTO'!I93</f>
        <v>1</v>
      </c>
      <c r="J40" s="603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4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4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'1-ABA-DE-CARREGAMENTO'!I52</f>
        <v>200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'1-ABA-DE-CARREGAMENTO'!I38</f>
        <v>#N/A</v>
      </c>
      <c r="G48" s="602"/>
      <c r="H48" s="603"/>
      <c r="I48" s="543">
        <f>'1-ABA-DE-CARREGAMENTO'!I39</f>
        <v>0</v>
      </c>
      <c r="J48" s="406" t="e">
        <f>J47*I48</f>
        <v>#N/A</v>
      </c>
      <c r="K48" s="407"/>
    </row>
    <row r="49" spans="1:11" ht="27.75" customHeight="1">
      <c r="A49" s="365"/>
      <c r="B49" s="373" t="s">
        <v>365</v>
      </c>
      <c r="C49" s="678" t="s">
        <v>874</v>
      </c>
      <c r="D49" s="602"/>
      <c r="E49" s="602"/>
      <c r="F49" s="602"/>
      <c r="G49" s="602"/>
      <c r="H49" s="603"/>
      <c r="I49" s="512">
        <f>'1-ABA-DE-CARREGAMENTO'!I44</f>
        <v>0</v>
      </c>
      <c r="J49" s="406" t="e">
        <f>ROUND(J47*I49,2)</f>
        <v>#N/A</v>
      </c>
      <c r="K49" s="407"/>
    </row>
    <row r="50" spans="1:11" ht="26.25" customHeight="1">
      <c r="A50" s="365"/>
      <c r="B50" s="373" t="s">
        <v>367</v>
      </c>
      <c r="C50" s="678" t="s">
        <v>875</v>
      </c>
      <c r="D50" s="602"/>
      <c r="E50" s="602"/>
      <c r="F50" s="602"/>
      <c r="G50" s="776" t="e">
        <f>'1-ABA-DE-CARREGAMENTO'!I40</f>
        <v>#N/A</v>
      </c>
      <c r="H50" s="603"/>
      <c r="I50" s="544">
        <f>'1-ABA-DE-CARREGAMENTO'!I41</f>
        <v>0</v>
      </c>
      <c r="J50" s="406">
        <f>ROUND(I50*I41,2)</f>
        <v>0</v>
      </c>
      <c r="K50" s="407"/>
    </row>
    <row r="51" spans="1:11" ht="39.75" customHeight="1">
      <c r="A51" s="365"/>
      <c r="B51" s="373" t="s">
        <v>410</v>
      </c>
      <c r="C51" s="678" t="s">
        <v>876</v>
      </c>
      <c r="D51" s="602"/>
      <c r="E51" s="602"/>
      <c r="F51" s="602"/>
      <c r="G51" s="602"/>
      <c r="H51" s="602"/>
      <c r="I51" s="603"/>
      <c r="J51" s="406" t="e">
        <f>ROUND(2*8*15*I36,2)*0</f>
        <v>#N/A</v>
      </c>
      <c r="K51" s="407"/>
    </row>
    <row r="52" spans="1:11" ht="39.75" customHeight="1">
      <c r="A52" s="365"/>
      <c r="B52" s="373" t="s">
        <v>412</v>
      </c>
      <c r="C52" s="726" t="s">
        <v>877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0.75" customHeight="1">
      <c r="A53" s="365"/>
      <c r="B53" s="373" t="s">
        <v>414</v>
      </c>
      <c r="C53" s="726" t="s">
        <v>878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26.25" customHeight="1">
      <c r="A54" s="365"/>
      <c r="B54" s="373" t="s">
        <v>416</v>
      </c>
      <c r="C54" s="726" t="s">
        <v>417</v>
      </c>
      <c r="D54" s="602"/>
      <c r="E54" s="602"/>
      <c r="F54" s="777" t="s">
        <v>879</v>
      </c>
      <c r="G54" s="602"/>
      <c r="H54" s="602"/>
      <c r="I54" s="411" t="e">
        <f>'1-ABA-DE-CARREGAMENTO'!I65</f>
        <v>#N/A</v>
      </c>
      <c r="J54" s="406" t="e">
        <f>ROUND((((SUM(J47:J50))/220)*1.5)*I54,2)</f>
        <v>#N/A</v>
      </c>
      <c r="K54" s="407"/>
    </row>
    <row r="55" spans="1:11" ht="26.25" customHeight="1">
      <c r="A55" s="365"/>
      <c r="B55" s="373" t="s">
        <v>419</v>
      </c>
      <c r="C55" s="726" t="s">
        <v>420</v>
      </c>
      <c r="D55" s="602"/>
      <c r="E55" s="602"/>
      <c r="F55" s="777" t="s">
        <v>880</v>
      </c>
      <c r="G55" s="602"/>
      <c r="H55" s="602"/>
      <c r="I55" s="411" t="e">
        <f>'1-ABA-DE-CARREGAMENTO'!I68</f>
        <v>#N/A</v>
      </c>
      <c r="J55" s="406" t="e">
        <f>ROUND((((SUM(J47:J50))/220)*2)*I55,2)</f>
        <v>#N/A</v>
      </c>
      <c r="K55" s="407"/>
    </row>
    <row r="56" spans="1:11" ht="39" customHeight="1">
      <c r="A56" s="365"/>
      <c r="B56" s="373" t="s">
        <v>422</v>
      </c>
      <c r="C56" s="678" t="s">
        <v>881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4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882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883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884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885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5" customHeight="1">
      <c r="A69" s="365"/>
      <c r="B69" s="424" t="s">
        <v>433</v>
      </c>
      <c r="C69" s="767" t="s">
        <v>886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887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4.25" customHeight="1">
      <c r="A71" s="365"/>
      <c r="B71" s="424" t="s">
        <v>363</v>
      </c>
      <c r="C71" s="768" t="s">
        <v>888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4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11.25" customHeight="1">
      <c r="A74" s="365"/>
      <c r="B74" s="722" t="s">
        <v>889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4.2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4.25" customHeight="1">
      <c r="A76" s="365"/>
      <c r="B76" s="729" t="s">
        <v>890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891</v>
      </c>
      <c r="D80" s="603"/>
      <c r="E80" s="441" t="s">
        <v>447</v>
      </c>
      <c r="F80" s="442">
        <f>'1-ABA-DE-CARREGAMENTO'!I57</f>
        <v>0.03</v>
      </c>
      <c r="G80" s="441" t="s">
        <v>448</v>
      </c>
      <c r="H80" s="443">
        <f>'1-ABA-DE-CARREGAMENTO'!I58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7.5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8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5" customHeight="1">
      <c r="A92" s="365"/>
      <c r="B92" s="452" t="s">
        <v>361</v>
      </c>
      <c r="C92" s="678" t="s">
        <v>892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893</v>
      </c>
      <c r="D93" s="602"/>
      <c r="E93" s="602"/>
      <c r="F93" s="602"/>
      <c r="G93" s="602"/>
      <c r="H93" s="602"/>
      <c r="I93" s="455" t="e">
        <f>'1-ABA-DE-CARREGAMENTO'!I72</f>
        <v>#N/A</v>
      </c>
      <c r="J93" s="456" t="s">
        <v>374</v>
      </c>
      <c r="K93" s="413"/>
    </row>
    <row r="94" spans="1:11" ht="19.5" customHeight="1">
      <c r="A94" s="365"/>
      <c r="B94" s="452" t="s">
        <v>365</v>
      </c>
      <c r="C94" s="678" t="s">
        <v>894</v>
      </c>
      <c r="D94" s="602"/>
      <c r="E94" s="602"/>
      <c r="F94" s="602"/>
      <c r="G94" s="602"/>
      <c r="H94" s="603"/>
      <c r="I94" s="457">
        <f>'1-ABA-DE-CARREGAMENTO'!I73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'1-ABA-DE-CARREGAMENTO'!I74</f>
        <v>#N/A</v>
      </c>
      <c r="J95" s="456" t="s">
        <v>374</v>
      </c>
      <c r="K95" s="413"/>
    </row>
    <row r="96" spans="1:11" ht="24" customHeight="1">
      <c r="A96" s="365"/>
      <c r="B96" s="452" t="s">
        <v>410</v>
      </c>
      <c r="C96" s="754" t="s">
        <v>895</v>
      </c>
      <c r="D96" s="602"/>
      <c r="E96" s="602"/>
      <c r="F96" s="602"/>
      <c r="G96" s="602"/>
      <c r="H96" s="603"/>
      <c r="I96" s="458" t="e">
        <f>'1-ABA-DE-CARREGAMENTO'!I75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896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5" customHeight="1">
      <c r="A98" s="365"/>
      <c r="B98" s="452" t="s">
        <v>414</v>
      </c>
      <c r="C98" s="678" t="s">
        <v>897</v>
      </c>
      <c r="D98" s="602"/>
      <c r="E98" s="602"/>
      <c r="F98" s="602"/>
      <c r="G98" s="602"/>
      <c r="H98" s="602"/>
      <c r="I98" s="455" t="e">
        <f>IF('1-ABA-DE-CARREGAMENTO'!I60&gt;0,'1-ABA-DE-CARREGAMENTO'!I60,'1-ABA-DE-CARREGAMENTO'!I63)</f>
        <v>#N/A</v>
      </c>
      <c r="J98" s="461"/>
      <c r="K98" s="413"/>
    </row>
    <row r="99" spans="1:11" ht="15" customHeight="1">
      <c r="A99" s="365"/>
      <c r="B99" s="452" t="s">
        <v>416</v>
      </c>
      <c r="C99" s="678" t="s">
        <v>898</v>
      </c>
      <c r="D99" s="602"/>
      <c r="E99" s="602"/>
      <c r="F99" s="602"/>
      <c r="G99" s="602"/>
      <c r="H99" s="602"/>
      <c r="I99" s="457" t="e">
        <f>'1-ABA-DE-CARREGAMENTO'!I62</f>
        <v>#N/A</v>
      </c>
      <c r="J99" s="461"/>
      <c r="K99" s="413"/>
    </row>
    <row r="100" spans="1:11" ht="30" customHeight="1">
      <c r="A100" s="365"/>
      <c r="B100" s="452" t="s">
        <v>419</v>
      </c>
      <c r="C100" s="781" t="s">
        <v>899</v>
      </c>
      <c r="D100" s="602"/>
      <c r="E100" s="602"/>
      <c r="F100" s="602"/>
      <c r="G100" s="602"/>
      <c r="H100" s="603"/>
      <c r="I100" s="458" t="e">
        <f>'1-ABA-DE-CARREGAMENTO'!I61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33.75" customHeight="1">
      <c r="A102" s="365"/>
      <c r="B102" s="452" t="s">
        <v>424</v>
      </c>
      <c r="C102" s="678" t="s">
        <v>900</v>
      </c>
      <c r="D102" s="602"/>
      <c r="E102" s="602"/>
      <c r="F102" s="602"/>
      <c r="G102" s="602"/>
      <c r="H102" s="602"/>
      <c r="I102" s="602"/>
      <c r="J102" s="440" t="e">
        <f>'1-ABA-DE-CARREGAMENTO'!I77</f>
        <v>#N/A</v>
      </c>
      <c r="K102" s="432"/>
    </row>
    <row r="103" spans="1:11" ht="33.75" customHeight="1">
      <c r="A103" s="365"/>
      <c r="B103" s="452" t="s">
        <v>469</v>
      </c>
      <c r="C103" s="678" t="s">
        <v>901</v>
      </c>
      <c r="D103" s="602"/>
      <c r="E103" s="602"/>
      <c r="F103" s="602"/>
      <c r="G103" s="602"/>
      <c r="H103" s="602"/>
      <c r="I103" s="603"/>
      <c r="J103" s="440" t="e">
        <f>'1-ABA-DE-CARREGAMENTO'!I78</f>
        <v>#N/A</v>
      </c>
      <c r="K103" s="432"/>
    </row>
    <row r="104" spans="1:11" ht="16.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'1-ABA-DE-CARREGAMENTO'!I76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33.7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7.2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0.7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19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902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2" customHeight="1">
      <c r="A119" s="365"/>
      <c r="B119" s="452" t="s">
        <v>361</v>
      </c>
      <c r="C119" s="678" t="s">
        <v>903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5.7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31.5" customHeight="1">
      <c r="A121" s="365"/>
      <c r="B121" s="452" t="s">
        <v>365</v>
      </c>
      <c r="C121" s="678" t="s">
        <v>904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8.7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4.5" customHeight="1">
      <c r="A123" s="365"/>
      <c r="B123" s="452" t="s">
        <v>410</v>
      </c>
      <c r="C123" s="678" t="s">
        <v>905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9.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5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24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28.5" customHeight="1">
      <c r="A128" s="365"/>
      <c r="B128" s="729" t="s">
        <v>906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28.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907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1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48" customHeight="1">
      <c r="A133" s="365"/>
      <c r="B133" s="452" t="s">
        <v>361</v>
      </c>
      <c r="C133" s="726" t="s">
        <v>908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8.75" customHeight="1">
      <c r="A134" s="365"/>
      <c r="B134" s="452" t="s">
        <v>363</v>
      </c>
      <c r="C134" s="678" t="s">
        <v>909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31.5" customHeight="1">
      <c r="A135" s="365"/>
      <c r="B135" s="452" t="s">
        <v>365</v>
      </c>
      <c r="C135" s="678" t="s">
        <v>910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31.5" customHeight="1">
      <c r="A136" s="365"/>
      <c r="B136" s="452" t="s">
        <v>367</v>
      </c>
      <c r="C136" s="678" t="s">
        <v>911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1.5" customHeight="1">
      <c r="A137" s="365"/>
      <c r="B137" s="488" t="s">
        <v>410</v>
      </c>
      <c r="C137" s="732" t="s">
        <v>912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51.75" customHeight="1">
      <c r="A138" s="365"/>
      <c r="B138" s="452" t="s">
        <v>412</v>
      </c>
      <c r="C138" s="678" t="s">
        <v>913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9.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12.75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9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28.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24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4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7.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9.5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</f>
        <v>#REF!</v>
      </c>
      <c r="K154" s="432"/>
    </row>
    <row r="155" spans="1:11" ht="15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5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15.75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27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19.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35.25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7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6.2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'1-ABA-DE-CARREGAMENTO'!I85</f>
        <v>0.06</v>
      </c>
      <c r="J164" s="440" t="e">
        <f>ROUND(I164*J163,2)</f>
        <v>#N/A</v>
      </c>
      <c r="K164" s="432"/>
    </row>
    <row r="165" spans="1:11" ht="51.75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'1-ABA-DE-CARREGAMENTO'!I86</f>
        <v>0.06</v>
      </c>
      <c r="J166" s="440" t="e">
        <f>ROUND(I166*J165,2)</f>
        <v>#N/A</v>
      </c>
      <c r="K166" s="432"/>
    </row>
    <row r="167" spans="1:11" ht="49.5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30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24" customHeight="1">
      <c r="A170" s="365"/>
      <c r="B170" s="452"/>
      <c r="C170" s="783" t="s">
        <v>914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24" customHeight="1">
      <c r="A171" s="365"/>
      <c r="B171" s="452"/>
      <c r="C171" s="783" t="s">
        <v>915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7.75" customHeight="1">
      <c r="A172" s="365"/>
      <c r="B172" s="452"/>
      <c r="C172" s="678" t="s">
        <v>916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7.75" customHeight="1">
      <c r="A173" s="365"/>
      <c r="B173" s="452"/>
      <c r="C173" s="678" t="s">
        <v>917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918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6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9.7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23.25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9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919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3.7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10.5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5.7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38.2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9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39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39" customHeight="1" collapsed="1">
      <c r="A203" s="365"/>
      <c r="B203" s="703" t="str">
        <f>B3</f>
        <v>A NÃO TEM MAIS POSTOS-44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39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9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15.75" hidden="1" customHeight="1" outlineLevel="1">
      <c r="A206" s="365"/>
      <c r="B206" s="705" t="s">
        <v>920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6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6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6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6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5.75" customHeight="1">
      <c r="A215" s="365"/>
      <c r="B215" s="712" t="s">
        <v>921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6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81" priority="1" operator="equal">
      <formula>0</formula>
    </cfRule>
  </conditionalFormatting>
  <conditionalFormatting sqref="I48">
    <cfRule type="cellIs" dxfId="8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C3FB2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85546875" customWidth="1"/>
    <col min="8" max="8" width="14.42578125" customWidth="1"/>
    <col min="9" max="9" width="11.28515625" customWidth="1"/>
    <col min="10" max="10" width="18.570312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'1-ABA-DE-CARREGAMENTO'!J33</f>
        <v>A NÃO TEM MAIS POSTOS-55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VLOOKUP('1-ABA-DE-CARREGAMENTO'!J35,'DADOS-CADASTRAIS'!C6:J16,1,0)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'1-ABA-DE-CARREGAMENTO'!J94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33.7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POSTOS-55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'1-ABA-DE-CARREGAMENTO'!J92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922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5" customHeight="1">
      <c r="A24" s="365"/>
      <c r="B24" s="742" t="s">
        <v>923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28.5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'1-ABA-DE-CARREGAMENTO'!J33</f>
        <v>A NÃO TEM MAIS POSTOS-55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30" customHeight="1">
      <c r="A29" s="365"/>
      <c r="B29" s="373">
        <v>3</v>
      </c>
      <c r="C29" s="749" t="s">
        <v>564</v>
      </c>
      <c r="D29" s="608"/>
      <c r="E29" s="386">
        <v>220</v>
      </c>
      <c r="F29" s="387" t="e">
        <f>'1-ABA-DE-CARREGAMENTO'!J37</f>
        <v>#N/A</v>
      </c>
      <c r="G29" s="370" t="s">
        <v>386</v>
      </c>
      <c r="H29" s="388">
        <f>'1-ABA-DE-CARREGAMENTO'!J52</f>
        <v>100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'1-ABA-DE-CARREGAMENTO'!J36</f>
        <v>#N/A</v>
      </c>
      <c r="J31" s="603"/>
      <c r="K31" s="391"/>
    </row>
    <row r="32" spans="1:11" ht="12.75" customHeight="1">
      <c r="A32" s="365"/>
      <c r="B32" s="392">
        <v>6</v>
      </c>
      <c r="C32" s="754" t="s">
        <v>924</v>
      </c>
      <c r="D32" s="602"/>
      <c r="E32" s="602"/>
      <c r="F32" s="602"/>
      <c r="G32" s="602"/>
      <c r="H32" s="603"/>
      <c r="I32" s="755" t="e">
        <f>ROUND(I29/220,2)*0</f>
        <v>#N/A</v>
      </c>
      <c r="J32" s="603"/>
      <c r="K32" s="393"/>
    </row>
    <row r="33" spans="1:11" ht="26.25" customHeight="1">
      <c r="A33" s="365"/>
      <c r="B33" s="392">
        <v>7</v>
      </c>
      <c r="C33" s="754" t="s">
        <v>925</v>
      </c>
      <c r="D33" s="602"/>
      <c r="E33" s="602"/>
      <c r="F33" s="603"/>
      <c r="G33" s="756"/>
      <c r="H33" s="603"/>
      <c r="I33" s="755" t="e">
        <f>SUM(J47:J50)/220</f>
        <v>#N/A</v>
      </c>
      <c r="J33" s="603"/>
      <c r="K33" s="393"/>
    </row>
    <row r="34" spans="1:11" ht="26.25" customHeight="1">
      <c r="A34" s="365"/>
      <c r="B34" s="392">
        <v>8</v>
      </c>
      <c r="C34" s="754" t="s">
        <v>926</v>
      </c>
      <c r="D34" s="602"/>
      <c r="E34" s="602"/>
      <c r="F34" s="603"/>
      <c r="G34" s="756"/>
      <c r="H34" s="603"/>
      <c r="I34" s="755" t="e">
        <f>TRUNC(I33*1.5,2)*0</f>
        <v>#N/A</v>
      </c>
      <c r="J34" s="603"/>
      <c r="K34" s="393"/>
    </row>
    <row r="35" spans="1:11" ht="26.25" customHeight="1">
      <c r="A35" s="365"/>
      <c r="B35" s="392">
        <v>9</v>
      </c>
      <c r="C35" s="754" t="s">
        <v>927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6.25" customHeight="1">
      <c r="A36" s="365"/>
      <c r="B36" s="392">
        <v>10</v>
      </c>
      <c r="C36" s="754" t="s">
        <v>928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6.25" customHeight="1">
      <c r="A37" s="365"/>
      <c r="B37" s="392">
        <v>11</v>
      </c>
      <c r="C37" s="754" t="s">
        <v>929</v>
      </c>
      <c r="D37" s="602"/>
      <c r="E37" s="602"/>
      <c r="F37" s="602"/>
      <c r="G37" s="602"/>
      <c r="H37" s="603"/>
      <c r="I37" s="755" t="e">
        <f>I33*2</f>
        <v>#N/A</v>
      </c>
      <c r="J37" s="603"/>
      <c r="K37" s="393"/>
    </row>
    <row r="38" spans="1:11" ht="14.25" customHeight="1">
      <c r="A38" s="365"/>
      <c r="B38" s="392">
        <v>12</v>
      </c>
      <c r="C38" s="754" t="s">
        <v>930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14.25" customHeight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55" t="e">
        <f>ROUND(I32/6,2)*1.3</f>
        <v>#N/A</v>
      </c>
      <c r="J39" s="603"/>
      <c r="K39" s="393"/>
    </row>
    <row r="40" spans="1:11" ht="11.25" customHeight="1">
      <c r="A40" s="365"/>
      <c r="B40" s="392">
        <v>14</v>
      </c>
      <c r="C40" s="772" t="s">
        <v>398</v>
      </c>
      <c r="D40" s="602"/>
      <c r="E40" s="602"/>
      <c r="F40" s="602"/>
      <c r="G40" s="602"/>
      <c r="H40" s="603"/>
      <c r="I40" s="790">
        <f>'1-ABA-DE-CARREGAMENTO'!J93</f>
        <v>1</v>
      </c>
      <c r="J40" s="603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4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4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'1-ABA-DE-CARREGAMENTO'!J52</f>
        <v>100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'1-ABA-DE-CARREGAMENTO'!J38</f>
        <v>#N/A</v>
      </c>
      <c r="G48" s="602"/>
      <c r="H48" s="603"/>
      <c r="I48" s="543">
        <f>'1-ABA-DE-CARREGAMENTO'!J39</f>
        <v>0</v>
      </c>
      <c r="J48" s="406" t="e">
        <f>J47*I48</f>
        <v>#N/A</v>
      </c>
      <c r="K48" s="407"/>
    </row>
    <row r="49" spans="1:11" ht="25.5" customHeight="1">
      <c r="A49" s="365"/>
      <c r="B49" s="373" t="s">
        <v>365</v>
      </c>
      <c r="C49" s="678" t="s">
        <v>931</v>
      </c>
      <c r="D49" s="602"/>
      <c r="E49" s="602"/>
      <c r="F49" s="602"/>
      <c r="G49" s="602"/>
      <c r="H49" s="603"/>
      <c r="I49" s="512">
        <f>'1-ABA-DE-CARREGAMENTO'!J44</f>
        <v>0</v>
      </c>
      <c r="J49" s="406" t="e">
        <f>ROUND(J47*I49,2)</f>
        <v>#N/A</v>
      </c>
      <c r="K49" s="407"/>
    </row>
    <row r="50" spans="1:11" ht="18.75" customHeight="1">
      <c r="A50" s="365"/>
      <c r="B50" s="373" t="s">
        <v>367</v>
      </c>
      <c r="C50" s="678" t="s">
        <v>932</v>
      </c>
      <c r="D50" s="602"/>
      <c r="E50" s="602"/>
      <c r="F50" s="602"/>
      <c r="G50" s="776" t="e">
        <f>'1-ABA-DE-CARREGAMENTO'!J40</f>
        <v>#N/A</v>
      </c>
      <c r="H50" s="603"/>
      <c r="I50" s="544">
        <f>'1-ABA-DE-CARREGAMENTO'!J41</f>
        <v>0</v>
      </c>
      <c r="J50" s="406">
        <f>ROUND(I50*I41,2)</f>
        <v>0</v>
      </c>
      <c r="K50" s="407"/>
    </row>
    <row r="51" spans="1:11" ht="29.25" customHeight="1">
      <c r="A51" s="365"/>
      <c r="B51" s="373" t="s">
        <v>410</v>
      </c>
      <c r="C51" s="678" t="s">
        <v>933</v>
      </c>
      <c r="D51" s="602"/>
      <c r="E51" s="602"/>
      <c r="F51" s="602"/>
      <c r="G51" s="602"/>
      <c r="H51" s="602"/>
      <c r="I51" s="603"/>
      <c r="J51" s="406" t="e">
        <f>ROUND(2*8*15*I36,2)*0</f>
        <v>#N/A</v>
      </c>
      <c r="K51" s="407"/>
    </row>
    <row r="52" spans="1:11" ht="42.75" customHeight="1">
      <c r="A52" s="365"/>
      <c r="B52" s="373" t="s">
        <v>412</v>
      </c>
      <c r="C52" s="726" t="s">
        <v>934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2.25" customHeight="1">
      <c r="A53" s="365"/>
      <c r="B53" s="373" t="s">
        <v>414</v>
      </c>
      <c r="C53" s="726" t="s">
        <v>935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27.75" customHeight="1">
      <c r="A54" s="365"/>
      <c r="B54" s="373" t="s">
        <v>416</v>
      </c>
      <c r="C54" s="726" t="s">
        <v>417</v>
      </c>
      <c r="D54" s="602"/>
      <c r="E54" s="602"/>
      <c r="F54" s="777" t="s">
        <v>936</v>
      </c>
      <c r="G54" s="602"/>
      <c r="H54" s="602"/>
      <c r="I54" s="411" t="e">
        <f>'1-ABA-DE-CARREGAMENTO'!J65</f>
        <v>#N/A</v>
      </c>
      <c r="J54" s="406" t="e">
        <f>ROUND((((SUM(J47:J50))/220)*1.5)*I54,2)</f>
        <v>#N/A</v>
      </c>
      <c r="K54" s="407"/>
    </row>
    <row r="55" spans="1:11" ht="27.75" customHeight="1">
      <c r="A55" s="365"/>
      <c r="B55" s="373" t="s">
        <v>419</v>
      </c>
      <c r="C55" s="726" t="s">
        <v>420</v>
      </c>
      <c r="D55" s="602"/>
      <c r="E55" s="602"/>
      <c r="F55" s="777" t="s">
        <v>937</v>
      </c>
      <c r="G55" s="602"/>
      <c r="H55" s="602"/>
      <c r="I55" s="411" t="e">
        <f>'1-ABA-DE-CARREGAMENTO'!J68</f>
        <v>#N/A</v>
      </c>
      <c r="J55" s="406" t="e">
        <f>ROUND((((SUM(J47:J50))/220)*2)*I55,2)</f>
        <v>#N/A</v>
      </c>
      <c r="K55" s="407"/>
    </row>
    <row r="56" spans="1:11" ht="39.75" customHeight="1">
      <c r="A56" s="365"/>
      <c r="B56" s="373" t="s">
        <v>422</v>
      </c>
      <c r="C56" s="678" t="s">
        <v>938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4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939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940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941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942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5" customHeight="1">
      <c r="A69" s="365"/>
      <c r="B69" s="424" t="s">
        <v>433</v>
      </c>
      <c r="C69" s="767" t="s">
        <v>943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944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4.25" customHeight="1">
      <c r="A71" s="365"/>
      <c r="B71" s="424" t="s">
        <v>363</v>
      </c>
      <c r="C71" s="768" t="s">
        <v>945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1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33.75" customHeight="1">
      <c r="A74" s="365"/>
      <c r="B74" s="722" t="s">
        <v>946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0.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4.25" customHeight="1">
      <c r="A76" s="365"/>
      <c r="B76" s="729" t="s">
        <v>947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948</v>
      </c>
      <c r="D80" s="603"/>
      <c r="E80" s="441" t="s">
        <v>447</v>
      </c>
      <c r="F80" s="442">
        <f>'1-ABA-DE-CARREGAMENTO'!J57</f>
        <v>0.03</v>
      </c>
      <c r="G80" s="441" t="s">
        <v>448</v>
      </c>
      <c r="H80" s="443">
        <f>'1-ABA-DE-CARREGAMENTO'!J58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8.25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8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5" customHeight="1">
      <c r="A92" s="365"/>
      <c r="B92" s="452" t="s">
        <v>361</v>
      </c>
      <c r="C92" s="678" t="s">
        <v>949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950</v>
      </c>
      <c r="D93" s="602"/>
      <c r="E93" s="602"/>
      <c r="F93" s="602"/>
      <c r="G93" s="602"/>
      <c r="H93" s="602"/>
      <c r="I93" s="455" t="e">
        <f>'1-ABA-DE-CARREGAMENTO'!J72</f>
        <v>#N/A</v>
      </c>
      <c r="J93" s="456" t="s">
        <v>374</v>
      </c>
      <c r="K93" s="413"/>
    </row>
    <row r="94" spans="1:11" ht="22.5" customHeight="1">
      <c r="A94" s="365"/>
      <c r="B94" s="452" t="s">
        <v>365</v>
      </c>
      <c r="C94" s="678" t="s">
        <v>951</v>
      </c>
      <c r="D94" s="602"/>
      <c r="E94" s="602"/>
      <c r="F94" s="602"/>
      <c r="G94" s="602"/>
      <c r="H94" s="603"/>
      <c r="I94" s="457">
        <f>'1-ABA-DE-CARREGAMENTO'!J73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'1-ABA-DE-CARREGAMENTO'!J74</f>
        <v>#N/A</v>
      </c>
      <c r="J95" s="456" t="s">
        <v>374</v>
      </c>
      <c r="K95" s="413"/>
    </row>
    <row r="96" spans="1:11" ht="27.75" customHeight="1">
      <c r="A96" s="365"/>
      <c r="B96" s="452" t="s">
        <v>410</v>
      </c>
      <c r="C96" s="754" t="s">
        <v>952</v>
      </c>
      <c r="D96" s="602"/>
      <c r="E96" s="602"/>
      <c r="F96" s="602"/>
      <c r="G96" s="602"/>
      <c r="H96" s="603"/>
      <c r="I96" s="458" t="e">
        <f>'1-ABA-DE-CARREGAMENTO'!J75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953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5" customHeight="1">
      <c r="A98" s="365"/>
      <c r="B98" s="452" t="s">
        <v>414</v>
      </c>
      <c r="C98" s="678" t="s">
        <v>954</v>
      </c>
      <c r="D98" s="602"/>
      <c r="E98" s="602"/>
      <c r="F98" s="602"/>
      <c r="G98" s="602"/>
      <c r="H98" s="602"/>
      <c r="I98" s="455" t="e">
        <f>IF('1-ABA-DE-CARREGAMENTO'!J60&gt;0,'1-ABA-DE-CARREGAMENTO'!J60,'1-ABA-DE-CARREGAMENTO'!J63)</f>
        <v>#N/A</v>
      </c>
      <c r="J98" s="461"/>
      <c r="K98" s="413"/>
    </row>
    <row r="99" spans="1:11" ht="15" customHeight="1">
      <c r="A99" s="365"/>
      <c r="B99" s="452" t="s">
        <v>416</v>
      </c>
      <c r="C99" s="678" t="s">
        <v>955</v>
      </c>
      <c r="D99" s="602"/>
      <c r="E99" s="602"/>
      <c r="F99" s="602"/>
      <c r="G99" s="602"/>
      <c r="H99" s="602"/>
      <c r="I99" s="457" t="e">
        <f>'1-ABA-DE-CARREGAMENTO'!J62</f>
        <v>#N/A</v>
      </c>
      <c r="J99" s="461"/>
      <c r="K99" s="413"/>
    </row>
    <row r="100" spans="1:11" ht="25.5" customHeight="1">
      <c r="A100" s="365"/>
      <c r="B100" s="452" t="s">
        <v>419</v>
      </c>
      <c r="C100" s="781" t="s">
        <v>956</v>
      </c>
      <c r="D100" s="602"/>
      <c r="E100" s="602"/>
      <c r="F100" s="602"/>
      <c r="G100" s="602"/>
      <c r="H100" s="603"/>
      <c r="I100" s="458" t="e">
        <f>'1-ABA-DE-CARREGAMENTO'!J61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34.5" customHeight="1">
      <c r="A102" s="365"/>
      <c r="B102" s="452" t="s">
        <v>424</v>
      </c>
      <c r="C102" s="678" t="s">
        <v>957</v>
      </c>
      <c r="D102" s="602"/>
      <c r="E102" s="602"/>
      <c r="F102" s="602"/>
      <c r="G102" s="602"/>
      <c r="H102" s="602"/>
      <c r="I102" s="602"/>
      <c r="J102" s="440" t="e">
        <f>'1-ABA-DE-CARREGAMENTO'!J77</f>
        <v>#N/A</v>
      </c>
      <c r="K102" s="432"/>
    </row>
    <row r="103" spans="1:11" ht="34.5" customHeight="1">
      <c r="A103" s="365"/>
      <c r="B103" s="452" t="s">
        <v>469</v>
      </c>
      <c r="C103" s="678" t="s">
        <v>958</v>
      </c>
      <c r="D103" s="602"/>
      <c r="E103" s="602"/>
      <c r="F103" s="602"/>
      <c r="G103" s="602"/>
      <c r="H103" s="602"/>
      <c r="I103" s="603"/>
      <c r="J103" s="440" t="e">
        <f>'1-ABA-DE-CARREGAMENTO'!J78</f>
        <v>#N/A</v>
      </c>
      <c r="K103" s="432"/>
    </row>
    <row r="104" spans="1:11" ht="16.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'1-ABA-DE-CARREGAMENTO'!J76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33.7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2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4.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10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959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5" customHeight="1">
      <c r="A119" s="365"/>
      <c r="B119" s="452" t="s">
        <v>361</v>
      </c>
      <c r="C119" s="678" t="s">
        <v>960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5.7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25.5" customHeight="1">
      <c r="A121" s="365"/>
      <c r="B121" s="452" t="s">
        <v>365</v>
      </c>
      <c r="C121" s="678" t="s">
        <v>961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8.7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6.75" customHeight="1">
      <c r="A123" s="365"/>
      <c r="B123" s="452" t="s">
        <v>410</v>
      </c>
      <c r="C123" s="678" t="s">
        <v>962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9.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5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24.75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28.5" customHeight="1">
      <c r="A128" s="365"/>
      <c r="B128" s="729" t="s">
        <v>963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35.2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964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30.7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45" customHeight="1">
      <c r="A133" s="365"/>
      <c r="B133" s="452" t="s">
        <v>361</v>
      </c>
      <c r="C133" s="726" t="s">
        <v>965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7.25" customHeight="1">
      <c r="A134" s="365"/>
      <c r="B134" s="452" t="s">
        <v>363</v>
      </c>
      <c r="C134" s="678" t="s">
        <v>966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28.5" customHeight="1">
      <c r="A135" s="365"/>
      <c r="B135" s="452" t="s">
        <v>365</v>
      </c>
      <c r="C135" s="678" t="s">
        <v>967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33.75" customHeight="1">
      <c r="A136" s="365"/>
      <c r="B136" s="452" t="s">
        <v>367</v>
      </c>
      <c r="C136" s="678" t="s">
        <v>968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0.75" customHeight="1">
      <c r="A137" s="365"/>
      <c r="B137" s="488" t="s">
        <v>410</v>
      </c>
      <c r="C137" s="732" t="s">
        <v>969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53.25" customHeight="1">
      <c r="A138" s="365"/>
      <c r="B138" s="452" t="s">
        <v>412</v>
      </c>
      <c r="C138" s="678" t="s">
        <v>970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2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7.5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6.75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28.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24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4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9.7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24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#REF!+#REF!</f>
        <v>#REF!</v>
      </c>
      <c r="K154" s="432"/>
    </row>
    <row r="155" spans="1:11" ht="15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5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7.5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18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10.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18.75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60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4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'1-ABA-DE-CARREGAMENTO'!J85</f>
        <v>0.06</v>
      </c>
      <c r="J164" s="440" t="e">
        <f>ROUND(I164*J163,2)</f>
        <v>#N/A</v>
      </c>
      <c r="K164" s="432"/>
    </row>
    <row r="165" spans="1:11" ht="50.25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'1-ABA-DE-CARREGAMENTO'!J86</f>
        <v>0.06</v>
      </c>
      <c r="J166" s="440" t="e">
        <f>ROUND(I166*J165,2)</f>
        <v>#N/A</v>
      </c>
      <c r="K166" s="432"/>
    </row>
    <row r="167" spans="1:11" ht="54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30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23.25" customHeight="1">
      <c r="A170" s="365"/>
      <c r="B170" s="452"/>
      <c r="C170" s="783" t="s">
        <v>971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23.25" customHeight="1">
      <c r="A171" s="365"/>
      <c r="B171" s="452"/>
      <c r="C171" s="783" t="s">
        <v>972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3.25" customHeight="1">
      <c r="A172" s="365"/>
      <c r="B172" s="452"/>
      <c r="C172" s="678" t="s">
        <v>973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3.25" customHeight="1">
      <c r="A173" s="365"/>
      <c r="B173" s="452"/>
      <c r="C173" s="678" t="s">
        <v>974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975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15.7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9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25.5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12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976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4.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8.25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5.7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37.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6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36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36" customHeight="1" collapsed="1">
      <c r="A203" s="365"/>
      <c r="B203" s="703" t="str">
        <f>B3</f>
        <v>A NÃO TEM MAIS POSTOS-55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36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6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15.75" hidden="1" customHeight="1" outlineLevel="1">
      <c r="A206" s="365"/>
      <c r="B206" s="705" t="s">
        <v>977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7.5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7.5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7.5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7.5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5.75" customHeight="1">
      <c r="A215" s="365"/>
      <c r="B215" s="712" t="s">
        <v>978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7.5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9" priority="1" operator="equal">
      <formula>0</formula>
    </cfRule>
  </conditionalFormatting>
  <conditionalFormatting sqref="I48">
    <cfRule type="cellIs" dxfId="78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A5A5A5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57031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'1-ABA-DE-CARREGAMENTO'!K33</f>
        <v>A NÃO TEM MAIS POSTOS-66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VLOOKUP('1-ABA-DE-CARREGAMENTO'!K35,'DADOS-CADASTRAIS'!C6:J16,1,0)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'1-ABA-DE-CARREGAMENTO'!K94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42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POSTOS-66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'1-ABA-DE-CARREGAMENTO'!K92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979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5" customHeight="1">
      <c r="A24" s="365"/>
      <c r="B24" s="742" t="s">
        <v>980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29.25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'1-ABA-DE-CARREGAMENTO'!K33</f>
        <v>A NÃO TEM MAIS POSTOS-66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28.5" customHeight="1">
      <c r="A29" s="365"/>
      <c r="B29" s="373">
        <v>3</v>
      </c>
      <c r="C29" s="749" t="s">
        <v>564</v>
      </c>
      <c r="D29" s="608"/>
      <c r="E29" s="386">
        <v>220</v>
      </c>
      <c r="F29" s="387" t="e">
        <f>'1-ABA-DE-CARREGAMENTO'!K37</f>
        <v>#N/A</v>
      </c>
      <c r="G29" s="370" t="s">
        <v>386</v>
      </c>
      <c r="H29" s="388">
        <f>'1-ABA-DE-CARREGAMENTO'!K52</f>
        <v>200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'1-ABA-DE-CARREGAMENTO'!K36</f>
        <v>#N/A</v>
      </c>
      <c r="J31" s="603"/>
      <c r="K31" s="391"/>
    </row>
    <row r="32" spans="1:11" ht="27" customHeight="1">
      <c r="A32" s="365"/>
      <c r="B32" s="392">
        <v>6</v>
      </c>
      <c r="C32" s="754" t="s">
        <v>981</v>
      </c>
      <c r="D32" s="602"/>
      <c r="E32" s="602"/>
      <c r="F32" s="602"/>
      <c r="G32" s="602"/>
      <c r="H32" s="603"/>
      <c r="I32" s="755" t="e">
        <f>ROUND(I29/220,2)*0</f>
        <v>#N/A</v>
      </c>
      <c r="J32" s="603"/>
      <c r="K32" s="393"/>
    </row>
    <row r="33" spans="1:11" ht="27" customHeight="1">
      <c r="A33" s="365"/>
      <c r="B33" s="392">
        <v>7</v>
      </c>
      <c r="C33" s="754" t="s">
        <v>982</v>
      </c>
      <c r="D33" s="602"/>
      <c r="E33" s="602"/>
      <c r="F33" s="603"/>
      <c r="G33" s="756"/>
      <c r="H33" s="603"/>
      <c r="I33" s="755" t="e">
        <f>SUM(J47:J50)/220</f>
        <v>#N/A</v>
      </c>
      <c r="J33" s="603"/>
      <c r="K33" s="393"/>
    </row>
    <row r="34" spans="1:11" ht="27" customHeight="1">
      <c r="A34" s="365"/>
      <c r="B34" s="392">
        <v>8</v>
      </c>
      <c r="C34" s="754" t="s">
        <v>983</v>
      </c>
      <c r="D34" s="602"/>
      <c r="E34" s="602"/>
      <c r="F34" s="603"/>
      <c r="G34" s="756"/>
      <c r="H34" s="603"/>
      <c r="I34" s="755" t="e">
        <f>TRUNC(I33*1.5,2)*0</f>
        <v>#N/A</v>
      </c>
      <c r="J34" s="603"/>
      <c r="K34" s="393"/>
    </row>
    <row r="35" spans="1:11" ht="27" customHeight="1">
      <c r="A35" s="365"/>
      <c r="B35" s="392">
        <v>9</v>
      </c>
      <c r="C35" s="754" t="s">
        <v>984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7" customHeight="1">
      <c r="A36" s="365"/>
      <c r="B36" s="392">
        <v>10</v>
      </c>
      <c r="C36" s="754" t="s">
        <v>985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7" customHeight="1">
      <c r="A37" s="365"/>
      <c r="B37" s="392">
        <v>11</v>
      </c>
      <c r="C37" s="754" t="s">
        <v>986</v>
      </c>
      <c r="D37" s="602"/>
      <c r="E37" s="602"/>
      <c r="F37" s="602"/>
      <c r="G37" s="602"/>
      <c r="H37" s="603"/>
      <c r="I37" s="755" t="e">
        <f>I33*2</f>
        <v>#N/A</v>
      </c>
      <c r="J37" s="603"/>
      <c r="K37" s="393"/>
    </row>
    <row r="38" spans="1:11" ht="14.25" customHeight="1">
      <c r="A38" s="365"/>
      <c r="B38" s="392">
        <v>12</v>
      </c>
      <c r="C38" s="754" t="s">
        <v>987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14.25" customHeight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55" t="e">
        <f>ROUND(I32/6,2)*1.3</f>
        <v>#N/A</v>
      </c>
      <c r="J39" s="603"/>
      <c r="K39" s="393"/>
    </row>
    <row r="40" spans="1:11" ht="11.25" customHeight="1">
      <c r="A40" s="365"/>
      <c r="B40" s="392">
        <v>14</v>
      </c>
      <c r="C40" s="772" t="s">
        <v>398</v>
      </c>
      <c r="D40" s="602"/>
      <c r="E40" s="602"/>
      <c r="F40" s="602"/>
      <c r="G40" s="602"/>
      <c r="H40" s="603"/>
      <c r="I40" s="790">
        <f>'1-ABA-DE-CARREGAMENTO'!K93</f>
        <v>1</v>
      </c>
      <c r="J40" s="603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4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4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'1-ABA-DE-CARREGAMENTO'!K52</f>
        <v>200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'1-ABA-DE-CARREGAMENTO'!K38</f>
        <v>#N/A</v>
      </c>
      <c r="G48" s="602"/>
      <c r="H48" s="603"/>
      <c r="I48" s="543">
        <f>'1-ABA-DE-CARREGAMENTO'!K39</f>
        <v>0</v>
      </c>
      <c r="J48" s="406" t="e">
        <f>J47*I48</f>
        <v>#N/A</v>
      </c>
      <c r="K48" s="407"/>
    </row>
    <row r="49" spans="1:11" ht="11.25" customHeight="1">
      <c r="A49" s="365"/>
      <c r="B49" s="373" t="s">
        <v>365</v>
      </c>
      <c r="C49" s="678" t="s">
        <v>988</v>
      </c>
      <c r="D49" s="602"/>
      <c r="E49" s="602"/>
      <c r="F49" s="602"/>
      <c r="G49" s="602"/>
      <c r="H49" s="603"/>
      <c r="I49" s="512">
        <f>'1-ABA-DE-CARREGAMENTO'!K44</f>
        <v>0</v>
      </c>
      <c r="J49" s="406" t="e">
        <f>ROUND(J47*I49,2)</f>
        <v>#N/A</v>
      </c>
      <c r="K49" s="407"/>
    </row>
    <row r="50" spans="1:11" ht="11.25" customHeight="1">
      <c r="A50" s="365"/>
      <c r="B50" s="373" t="s">
        <v>367</v>
      </c>
      <c r="C50" s="678" t="s">
        <v>989</v>
      </c>
      <c r="D50" s="602"/>
      <c r="E50" s="602"/>
      <c r="F50" s="602"/>
      <c r="G50" s="776" t="e">
        <f>'1-ABA-DE-CARREGAMENTO'!K40</f>
        <v>#N/A</v>
      </c>
      <c r="H50" s="603"/>
      <c r="I50" s="544">
        <f>'1-ABA-DE-CARREGAMENTO'!K41</f>
        <v>0</v>
      </c>
      <c r="J50" s="406">
        <f>ROUND(I50*I41,2)</f>
        <v>0</v>
      </c>
      <c r="K50" s="407"/>
    </row>
    <row r="51" spans="1:11" ht="24.75" customHeight="1">
      <c r="A51" s="365"/>
      <c r="B51" s="373" t="s">
        <v>410</v>
      </c>
      <c r="C51" s="678" t="s">
        <v>990</v>
      </c>
      <c r="D51" s="602"/>
      <c r="E51" s="602"/>
      <c r="F51" s="602"/>
      <c r="G51" s="602"/>
      <c r="H51" s="602"/>
      <c r="I51" s="603"/>
      <c r="J51" s="406" t="e">
        <f>ROUND(2*8*15*I36,2)*0</f>
        <v>#N/A</v>
      </c>
      <c r="K51" s="407"/>
    </row>
    <row r="52" spans="1:11" ht="39" customHeight="1">
      <c r="A52" s="365"/>
      <c r="B52" s="373" t="s">
        <v>412</v>
      </c>
      <c r="C52" s="726" t="s">
        <v>991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9" customHeight="1">
      <c r="A53" s="365"/>
      <c r="B53" s="373" t="s">
        <v>414</v>
      </c>
      <c r="C53" s="726" t="s">
        <v>992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30" customHeight="1">
      <c r="A54" s="365"/>
      <c r="B54" s="373" t="s">
        <v>416</v>
      </c>
      <c r="C54" s="726" t="s">
        <v>417</v>
      </c>
      <c r="D54" s="602"/>
      <c r="E54" s="602"/>
      <c r="F54" s="777" t="s">
        <v>993</v>
      </c>
      <c r="G54" s="602"/>
      <c r="H54" s="602"/>
      <c r="I54" s="411" t="e">
        <f>'1-ABA-DE-CARREGAMENTO'!K65</f>
        <v>#N/A</v>
      </c>
      <c r="J54" s="406" t="e">
        <f>ROUND((((SUM(J47:J50))/220)*1.5)*I54,2)</f>
        <v>#N/A</v>
      </c>
      <c r="K54" s="407"/>
    </row>
    <row r="55" spans="1:11" ht="30" customHeight="1">
      <c r="A55" s="365"/>
      <c r="B55" s="373" t="s">
        <v>419</v>
      </c>
      <c r="C55" s="726" t="s">
        <v>420</v>
      </c>
      <c r="D55" s="602"/>
      <c r="E55" s="602"/>
      <c r="F55" s="777" t="s">
        <v>994</v>
      </c>
      <c r="G55" s="602"/>
      <c r="H55" s="602"/>
      <c r="I55" s="411" t="e">
        <f>'1-ABA-DE-CARREGAMENTO'!K68</f>
        <v>#N/A</v>
      </c>
      <c r="J55" s="406" t="e">
        <f>ROUND((((SUM(J47:J50))/220)*2)*I55,2)</f>
        <v>#N/A</v>
      </c>
      <c r="K55" s="407"/>
    </row>
    <row r="56" spans="1:11" ht="39" customHeight="1">
      <c r="A56" s="365"/>
      <c r="B56" s="373" t="s">
        <v>422</v>
      </c>
      <c r="C56" s="678" t="s">
        <v>995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4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996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997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998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999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5" customHeight="1">
      <c r="A69" s="365"/>
      <c r="B69" s="424" t="s">
        <v>433</v>
      </c>
      <c r="C69" s="767" t="s">
        <v>1000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1001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4.25" customHeight="1">
      <c r="A71" s="365"/>
      <c r="B71" s="424" t="s">
        <v>363</v>
      </c>
      <c r="C71" s="768" t="s">
        <v>1002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4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11.25" customHeight="1">
      <c r="A74" s="365"/>
      <c r="B74" s="722" t="s">
        <v>1003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4.2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4.25" customHeight="1">
      <c r="A76" s="365"/>
      <c r="B76" s="729" t="s">
        <v>1004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1005</v>
      </c>
      <c r="D80" s="603"/>
      <c r="E80" s="441" t="s">
        <v>447</v>
      </c>
      <c r="F80" s="442">
        <f>'1-ABA-DE-CARREGAMENTO'!K57</f>
        <v>0.03</v>
      </c>
      <c r="G80" s="441" t="s">
        <v>448</v>
      </c>
      <c r="H80" s="443">
        <f>'1-ABA-DE-CARREGAMENTO'!K58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3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8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5" customHeight="1">
      <c r="A92" s="365"/>
      <c r="B92" s="452" t="s">
        <v>361</v>
      </c>
      <c r="C92" s="678" t="s">
        <v>1006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1007</v>
      </c>
      <c r="D93" s="602"/>
      <c r="E93" s="602"/>
      <c r="F93" s="602"/>
      <c r="G93" s="602"/>
      <c r="H93" s="602"/>
      <c r="I93" s="455" t="e">
        <f>'1-ABA-DE-CARREGAMENTO'!K72</f>
        <v>#N/A</v>
      </c>
      <c r="J93" s="456" t="s">
        <v>374</v>
      </c>
      <c r="K93" s="413"/>
    </row>
    <row r="94" spans="1:11" ht="24" customHeight="1">
      <c r="A94" s="365"/>
      <c r="B94" s="452" t="s">
        <v>365</v>
      </c>
      <c r="C94" s="678" t="s">
        <v>1008</v>
      </c>
      <c r="D94" s="602"/>
      <c r="E94" s="602"/>
      <c r="F94" s="602"/>
      <c r="G94" s="602"/>
      <c r="H94" s="603"/>
      <c r="I94" s="457">
        <f>'1-ABA-DE-CARREGAMENTO'!K73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'1-ABA-DE-CARREGAMENTO'!K74</f>
        <v>#N/A</v>
      </c>
      <c r="J95" s="456" t="s">
        <v>374</v>
      </c>
      <c r="K95" s="413"/>
    </row>
    <row r="96" spans="1:11" ht="25.5" customHeight="1">
      <c r="A96" s="365"/>
      <c r="B96" s="452" t="s">
        <v>410</v>
      </c>
      <c r="C96" s="754" t="s">
        <v>1009</v>
      </c>
      <c r="D96" s="602"/>
      <c r="E96" s="602"/>
      <c r="F96" s="602"/>
      <c r="G96" s="602"/>
      <c r="H96" s="603"/>
      <c r="I96" s="458" t="e">
        <f>'1-ABA-DE-CARREGAMENTO'!K75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1010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5" customHeight="1">
      <c r="A98" s="365"/>
      <c r="B98" s="452" t="s">
        <v>414</v>
      </c>
      <c r="C98" s="678" t="s">
        <v>1011</v>
      </c>
      <c r="D98" s="602"/>
      <c r="E98" s="602"/>
      <c r="F98" s="602"/>
      <c r="G98" s="602"/>
      <c r="H98" s="602"/>
      <c r="I98" s="455" t="e">
        <f>IF('1-ABA-DE-CARREGAMENTO'!K60&gt;0,'1-ABA-DE-CARREGAMENTO'!K60,'1-ABA-DE-CARREGAMENTO'!K63)</f>
        <v>#N/A</v>
      </c>
      <c r="J98" s="461"/>
      <c r="K98" s="413"/>
    </row>
    <row r="99" spans="1:11" ht="15" customHeight="1">
      <c r="A99" s="365"/>
      <c r="B99" s="452" t="s">
        <v>416</v>
      </c>
      <c r="C99" s="678" t="s">
        <v>1012</v>
      </c>
      <c r="D99" s="602"/>
      <c r="E99" s="602"/>
      <c r="F99" s="602"/>
      <c r="G99" s="602"/>
      <c r="H99" s="602"/>
      <c r="I99" s="457" t="e">
        <f>'1-ABA-DE-CARREGAMENTO'!K62</f>
        <v>#N/A</v>
      </c>
      <c r="J99" s="461"/>
      <c r="K99" s="413"/>
    </row>
    <row r="100" spans="1:11" ht="27" customHeight="1">
      <c r="A100" s="365"/>
      <c r="B100" s="452" t="s">
        <v>419</v>
      </c>
      <c r="C100" s="781" t="s">
        <v>1013</v>
      </c>
      <c r="D100" s="602"/>
      <c r="E100" s="602"/>
      <c r="F100" s="602"/>
      <c r="G100" s="602"/>
      <c r="H100" s="603"/>
      <c r="I100" s="458" t="e">
        <f>'1-ABA-DE-CARREGAMENTO'!K61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36" customHeight="1">
      <c r="A102" s="365"/>
      <c r="B102" s="452" t="s">
        <v>424</v>
      </c>
      <c r="C102" s="678" t="s">
        <v>1014</v>
      </c>
      <c r="D102" s="602"/>
      <c r="E102" s="602"/>
      <c r="F102" s="602"/>
      <c r="G102" s="602"/>
      <c r="H102" s="602"/>
      <c r="I102" s="602"/>
      <c r="J102" s="440" t="e">
        <f>'1-ABA-DE-CARREGAMENTO'!K77</f>
        <v>#N/A</v>
      </c>
      <c r="K102" s="432"/>
    </row>
    <row r="103" spans="1:11" ht="36" customHeight="1">
      <c r="A103" s="365"/>
      <c r="B103" s="452" t="s">
        <v>469</v>
      </c>
      <c r="C103" s="678" t="s">
        <v>1015</v>
      </c>
      <c r="D103" s="602"/>
      <c r="E103" s="602"/>
      <c r="F103" s="602"/>
      <c r="G103" s="602"/>
      <c r="H103" s="602"/>
      <c r="I103" s="603"/>
      <c r="J103" s="440" t="e">
        <f>'1-ABA-DE-CARREGAMENTO'!K78</f>
        <v>#N/A</v>
      </c>
      <c r="K103" s="432"/>
    </row>
    <row r="104" spans="1:11" ht="16.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'1-ABA-DE-CARREGAMENTO'!K76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33.7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2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3.7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10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1016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2" customHeight="1">
      <c r="A119" s="365"/>
      <c r="B119" s="452" t="s">
        <v>361</v>
      </c>
      <c r="C119" s="678" t="s">
        <v>1017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5.7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30" customHeight="1">
      <c r="A121" s="365"/>
      <c r="B121" s="452" t="s">
        <v>365</v>
      </c>
      <c r="C121" s="678" t="s">
        <v>1018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8.7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3.75" customHeight="1">
      <c r="A123" s="365"/>
      <c r="B123" s="452" t="s">
        <v>410</v>
      </c>
      <c r="C123" s="678" t="s">
        <v>1019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9.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5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30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28.5" customHeight="1">
      <c r="A128" s="365"/>
      <c r="B128" s="729" t="s">
        <v>1020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27.7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1021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9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45" customHeight="1">
      <c r="A133" s="365"/>
      <c r="B133" s="452" t="s">
        <v>361</v>
      </c>
      <c r="C133" s="726" t="s">
        <v>1022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7.25" customHeight="1">
      <c r="A134" s="365"/>
      <c r="B134" s="452" t="s">
        <v>363</v>
      </c>
      <c r="C134" s="678" t="s">
        <v>1023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26.25" customHeight="1">
      <c r="A135" s="365"/>
      <c r="B135" s="452" t="s">
        <v>365</v>
      </c>
      <c r="C135" s="678" t="s">
        <v>1024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28.5" customHeight="1">
      <c r="A136" s="365"/>
      <c r="B136" s="452" t="s">
        <v>367</v>
      </c>
      <c r="C136" s="678" t="s">
        <v>1025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0.75" customHeight="1">
      <c r="A137" s="365"/>
      <c r="B137" s="488" t="s">
        <v>410</v>
      </c>
      <c r="C137" s="732" t="s">
        <v>1026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38.25" customHeight="1">
      <c r="A138" s="365"/>
      <c r="B138" s="452" t="s">
        <v>412</v>
      </c>
      <c r="C138" s="678" t="s">
        <v>1027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8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10.5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9.75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28.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24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4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9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9.5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#REF!+#REF!</f>
        <v>#REF!</v>
      </c>
      <c r="K154" s="432"/>
    </row>
    <row r="155" spans="1:11" ht="15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5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12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18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12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24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4.75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0.2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'1-ABA-DE-CARREGAMENTO'!K85</f>
        <v>0.06</v>
      </c>
      <c r="J164" s="440" t="e">
        <f>ROUND(I164*J163,2)</f>
        <v>#N/A</v>
      </c>
      <c r="K164" s="432"/>
    </row>
    <row r="165" spans="1:11" ht="51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'1-ABA-DE-CARREGAMENTO'!K86</f>
        <v>0.06</v>
      </c>
      <c r="J166" s="440" t="e">
        <f>ROUND(I166*J165,2)</f>
        <v>#N/A</v>
      </c>
      <c r="K166" s="432"/>
    </row>
    <row r="167" spans="1:11" ht="54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18.75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19.5" customHeight="1">
      <c r="A170" s="365"/>
      <c r="B170" s="452"/>
      <c r="C170" s="783" t="s">
        <v>1028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19.5" customHeight="1">
      <c r="A171" s="365"/>
      <c r="B171" s="452"/>
      <c r="C171" s="783" t="s">
        <v>1029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4.75" customHeight="1">
      <c r="A172" s="365"/>
      <c r="B172" s="452"/>
      <c r="C172" s="678" t="s">
        <v>1030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7" customHeight="1">
      <c r="A173" s="365"/>
      <c r="B173" s="452"/>
      <c r="C173" s="678" t="s">
        <v>1031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1032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15.7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15.7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15.75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15.75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1033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4.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9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5.7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40.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3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33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33" customHeight="1" collapsed="1">
      <c r="A203" s="365"/>
      <c r="B203" s="703" t="str">
        <f>B3</f>
        <v>A NÃO TEM MAIS POSTOS-66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33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3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15.75" hidden="1" customHeight="1" outlineLevel="1">
      <c r="A206" s="365"/>
      <c r="B206" s="705" t="s">
        <v>1034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7.5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7.5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7.5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7.5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5.75" customHeight="1">
      <c r="A215" s="365"/>
      <c r="B215" s="712" t="s">
        <v>1035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7.5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7" priority="1" operator="equal">
      <formula>0</formula>
    </cfRule>
  </conditionalFormatting>
  <conditionalFormatting sqref="I48">
    <cfRule type="cellIs" dxfId="7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9FF66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9.4257812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'1-ABA-DE-CARREGAMENTO'!L33</f>
        <v>A NÃO TEM MAIS POSTOS-77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VLOOKUP('1-ABA-DE-CARREGAMENTO'!L35,'DADOS-CADASTRAIS'!C6:J16,1,0)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'1-ABA-DE-CARREGAMENTO'!L94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24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POSTOS-77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'1-ABA-DE-CARREGAMENTO'!L92</f>
        <v>#N/A</v>
      </c>
      <c r="J17" s="603"/>
      <c r="K17" s="377"/>
    </row>
    <row r="18" spans="1:11" ht="16.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1036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5" customHeight="1">
      <c r="A24" s="365"/>
      <c r="B24" s="742" t="s">
        <v>1037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30.75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'1-ABA-DE-CARREGAMENTO'!L33</f>
        <v>A NÃO TEM MAIS POSTOS-77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30" customHeight="1">
      <c r="A29" s="365"/>
      <c r="B29" s="373">
        <v>3</v>
      </c>
      <c r="C29" s="749" t="s">
        <v>564</v>
      </c>
      <c r="D29" s="608"/>
      <c r="E29" s="386">
        <v>200</v>
      </c>
      <c r="F29" s="387" t="e">
        <f>'1-ABA-DE-CARREGAMENTO'!L37</f>
        <v>#N/A</v>
      </c>
      <c r="G29" s="370" t="s">
        <v>386</v>
      </c>
      <c r="H29" s="388">
        <f>'1-ABA-DE-CARREGAMENTO'!L52</f>
        <v>100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'1-ABA-DE-CARREGAMENTO'!L36</f>
        <v>#N/A</v>
      </c>
      <c r="J31" s="603"/>
      <c r="K31" s="391"/>
    </row>
    <row r="32" spans="1:11" ht="12.75" customHeight="1">
      <c r="A32" s="365"/>
      <c r="B32" s="392">
        <v>6</v>
      </c>
      <c r="C32" s="754" t="s">
        <v>1038</v>
      </c>
      <c r="D32" s="602"/>
      <c r="E32" s="602"/>
      <c r="F32" s="602"/>
      <c r="G32" s="602"/>
      <c r="H32" s="603"/>
      <c r="I32" s="755" t="e">
        <f>ROUND(I29/220,2)*0</f>
        <v>#N/A</v>
      </c>
      <c r="J32" s="603"/>
      <c r="K32" s="393"/>
    </row>
    <row r="33" spans="1:11" ht="24.75" customHeight="1">
      <c r="A33" s="365"/>
      <c r="B33" s="392">
        <v>7</v>
      </c>
      <c r="C33" s="754" t="s">
        <v>1039</v>
      </c>
      <c r="D33" s="602"/>
      <c r="E33" s="602"/>
      <c r="F33" s="603"/>
      <c r="G33" s="756"/>
      <c r="H33" s="603"/>
      <c r="I33" s="755" t="e">
        <f>SUM(J47:J50)/220</f>
        <v>#N/A</v>
      </c>
      <c r="J33" s="603"/>
      <c r="K33" s="393"/>
    </row>
    <row r="34" spans="1:11" ht="24.75" customHeight="1">
      <c r="A34" s="365"/>
      <c r="B34" s="392">
        <v>8</v>
      </c>
      <c r="C34" s="754" t="s">
        <v>1040</v>
      </c>
      <c r="D34" s="602"/>
      <c r="E34" s="602"/>
      <c r="F34" s="603"/>
      <c r="G34" s="756"/>
      <c r="H34" s="603"/>
      <c r="I34" s="755" t="e">
        <f>TRUNC(I33*1.5,2)*0</f>
        <v>#N/A</v>
      </c>
      <c r="J34" s="603"/>
      <c r="K34" s="393"/>
    </row>
    <row r="35" spans="1:11" ht="24.75" customHeight="1">
      <c r="A35" s="365"/>
      <c r="B35" s="392">
        <v>9</v>
      </c>
      <c r="C35" s="754" t="s">
        <v>1041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4.75" customHeight="1">
      <c r="A36" s="365"/>
      <c r="B36" s="392">
        <v>10</v>
      </c>
      <c r="C36" s="754" t="s">
        <v>1042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4.75" customHeight="1">
      <c r="A37" s="365"/>
      <c r="B37" s="392">
        <v>11</v>
      </c>
      <c r="C37" s="754" t="s">
        <v>1043</v>
      </c>
      <c r="D37" s="602"/>
      <c r="E37" s="602"/>
      <c r="F37" s="602"/>
      <c r="G37" s="602"/>
      <c r="H37" s="603"/>
      <c r="I37" s="755" t="e">
        <f>I33*2</f>
        <v>#N/A</v>
      </c>
      <c r="J37" s="603"/>
      <c r="K37" s="393"/>
    </row>
    <row r="38" spans="1:11" ht="14.25" customHeight="1">
      <c r="A38" s="365"/>
      <c r="B38" s="392">
        <v>12</v>
      </c>
      <c r="C38" s="754" t="s">
        <v>1044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14.25" customHeight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55" t="e">
        <f>ROUND(I32/6,2)*1.3</f>
        <v>#N/A</v>
      </c>
      <c r="J39" s="603"/>
      <c r="K39" s="393"/>
    </row>
    <row r="40" spans="1:11" ht="11.25" customHeight="1">
      <c r="A40" s="365"/>
      <c r="B40" s="392">
        <v>14</v>
      </c>
      <c r="C40" s="772" t="s">
        <v>398</v>
      </c>
      <c r="D40" s="602"/>
      <c r="E40" s="602"/>
      <c r="F40" s="602"/>
      <c r="G40" s="602"/>
      <c r="H40" s="603"/>
      <c r="I40" s="790">
        <f>'1-ABA-DE-CARREGAMENTO'!L93</f>
        <v>1</v>
      </c>
      <c r="J40" s="603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4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4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'1-ABA-DE-CARREGAMENTO'!L52</f>
        <v>100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'1-ABA-DE-CARREGAMENTO'!L38</f>
        <v>#N/A</v>
      </c>
      <c r="G48" s="602"/>
      <c r="H48" s="603"/>
      <c r="I48" s="543">
        <f>'1-ABA-DE-CARREGAMENTO'!L39</f>
        <v>0</v>
      </c>
      <c r="J48" s="406" t="e">
        <f>J47*I48</f>
        <v>#N/A</v>
      </c>
      <c r="K48" s="407"/>
    </row>
    <row r="49" spans="1:11" ht="11.25" customHeight="1">
      <c r="A49" s="365"/>
      <c r="B49" s="373" t="s">
        <v>365</v>
      </c>
      <c r="C49" s="678" t="s">
        <v>1045</v>
      </c>
      <c r="D49" s="602"/>
      <c r="E49" s="602"/>
      <c r="F49" s="602"/>
      <c r="G49" s="602"/>
      <c r="H49" s="603"/>
      <c r="I49" s="512">
        <f>'1-ABA-DE-CARREGAMENTO'!L44</f>
        <v>0</v>
      </c>
      <c r="J49" s="406" t="e">
        <f>ROUND(J47*I49,2)</f>
        <v>#N/A</v>
      </c>
      <c r="K49" s="407"/>
    </row>
    <row r="50" spans="1:11" ht="11.25" customHeight="1">
      <c r="A50" s="365"/>
      <c r="B50" s="373" t="s">
        <v>367</v>
      </c>
      <c r="C50" s="678" t="s">
        <v>1046</v>
      </c>
      <c r="D50" s="602"/>
      <c r="E50" s="602"/>
      <c r="F50" s="602"/>
      <c r="G50" s="776" t="e">
        <f>'1-ABA-DE-CARREGAMENTO'!L40</f>
        <v>#N/A</v>
      </c>
      <c r="H50" s="603"/>
      <c r="I50" s="544">
        <f>'1-ABA-DE-CARREGAMENTO'!L41</f>
        <v>0</v>
      </c>
      <c r="J50" s="406">
        <f>ROUND(I50*I41,2)</f>
        <v>0</v>
      </c>
      <c r="K50" s="407"/>
    </row>
    <row r="51" spans="1:11" ht="30.75" customHeight="1">
      <c r="A51" s="365"/>
      <c r="B51" s="373" t="s">
        <v>410</v>
      </c>
      <c r="C51" s="678" t="s">
        <v>1047</v>
      </c>
      <c r="D51" s="602"/>
      <c r="E51" s="602"/>
      <c r="F51" s="602"/>
      <c r="G51" s="602"/>
      <c r="H51" s="602"/>
      <c r="I51" s="603"/>
      <c r="J51" s="406" t="e">
        <f>ROUND(2*8*15*I36,2)*0</f>
        <v>#N/A</v>
      </c>
      <c r="K51" s="407"/>
    </row>
    <row r="52" spans="1:11" ht="39" customHeight="1">
      <c r="A52" s="365"/>
      <c r="B52" s="373" t="s">
        <v>412</v>
      </c>
      <c r="C52" s="726" t="s">
        <v>1048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7.5" customHeight="1">
      <c r="A53" s="365"/>
      <c r="B53" s="373" t="s">
        <v>414</v>
      </c>
      <c r="C53" s="726" t="s">
        <v>1049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24" customHeight="1">
      <c r="A54" s="365"/>
      <c r="B54" s="373" t="s">
        <v>416</v>
      </c>
      <c r="C54" s="726" t="s">
        <v>417</v>
      </c>
      <c r="D54" s="602"/>
      <c r="E54" s="602"/>
      <c r="F54" s="777" t="s">
        <v>1050</v>
      </c>
      <c r="G54" s="602"/>
      <c r="H54" s="602"/>
      <c r="I54" s="411" t="e">
        <f>'1-ABA-DE-CARREGAMENTO'!L65</f>
        <v>#N/A</v>
      </c>
      <c r="J54" s="406" t="e">
        <f>ROUND((((SUM(J47:J50))/220)*1.5)*I54,2)</f>
        <v>#N/A</v>
      </c>
      <c r="K54" s="407"/>
    </row>
    <row r="55" spans="1:11" ht="24" customHeight="1">
      <c r="A55" s="365"/>
      <c r="B55" s="373" t="s">
        <v>419</v>
      </c>
      <c r="C55" s="726" t="s">
        <v>420</v>
      </c>
      <c r="D55" s="602"/>
      <c r="E55" s="602"/>
      <c r="F55" s="777" t="s">
        <v>1051</v>
      </c>
      <c r="G55" s="602"/>
      <c r="H55" s="602"/>
      <c r="I55" s="411" t="e">
        <f>'1-ABA-DE-CARREGAMENTO'!L68</f>
        <v>#N/A</v>
      </c>
      <c r="J55" s="406" t="e">
        <f>ROUND((((SUM(J47:J50))/220)*2)*I55,2)</f>
        <v>#N/A</v>
      </c>
      <c r="K55" s="407"/>
    </row>
    <row r="56" spans="1:11" ht="11.25" customHeight="1">
      <c r="A56" s="365"/>
      <c r="B56" s="373" t="s">
        <v>422</v>
      </c>
      <c r="C56" s="678" t="s">
        <v>1052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4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1053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1054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1055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1056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5" customHeight="1">
      <c r="A69" s="365"/>
      <c r="B69" s="424" t="s">
        <v>433</v>
      </c>
      <c r="C69" s="767" t="s">
        <v>1057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1058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4.25" customHeight="1">
      <c r="A71" s="365"/>
      <c r="B71" s="424" t="s">
        <v>363</v>
      </c>
      <c r="C71" s="768" t="s">
        <v>1059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4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11.25" customHeight="1">
      <c r="A74" s="365"/>
      <c r="B74" s="722" t="s">
        <v>1060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4.2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4.25" customHeight="1">
      <c r="A76" s="365"/>
      <c r="B76" s="729" t="s">
        <v>1061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1062</v>
      </c>
      <c r="D80" s="603"/>
      <c r="E80" s="441" t="s">
        <v>447</v>
      </c>
      <c r="F80" s="442">
        <f>'1-ABA-DE-CARREGAMENTO'!L57</f>
        <v>0.03</v>
      </c>
      <c r="G80" s="441" t="s">
        <v>448</v>
      </c>
      <c r="H80" s="443">
        <f>'1-ABA-DE-CARREGAMENTO'!L58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2.25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8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5" customHeight="1">
      <c r="A92" s="365"/>
      <c r="B92" s="452" t="s">
        <v>361</v>
      </c>
      <c r="C92" s="678" t="s">
        <v>1063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1064</v>
      </c>
      <c r="D93" s="602"/>
      <c r="E93" s="602"/>
      <c r="F93" s="602"/>
      <c r="G93" s="602"/>
      <c r="H93" s="602"/>
      <c r="I93" s="455" t="e">
        <f>'1-ABA-DE-CARREGAMENTO'!L72</f>
        <v>#N/A</v>
      </c>
      <c r="J93" s="456" t="s">
        <v>374</v>
      </c>
      <c r="K93" s="413"/>
    </row>
    <row r="94" spans="1:11" ht="25.5" customHeight="1">
      <c r="A94" s="365"/>
      <c r="B94" s="452" t="s">
        <v>365</v>
      </c>
      <c r="C94" s="678" t="s">
        <v>1065</v>
      </c>
      <c r="D94" s="602"/>
      <c r="E94" s="602"/>
      <c r="F94" s="602"/>
      <c r="G94" s="602"/>
      <c r="H94" s="603"/>
      <c r="I94" s="457">
        <f>'1-ABA-DE-CARREGAMENTO'!L73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'1-ABA-DE-CARREGAMENTO'!L74</f>
        <v>#N/A</v>
      </c>
      <c r="J95" s="456" t="s">
        <v>374</v>
      </c>
      <c r="K95" s="413"/>
    </row>
    <row r="96" spans="1:11" ht="25.5" customHeight="1">
      <c r="A96" s="365"/>
      <c r="B96" s="452" t="s">
        <v>410</v>
      </c>
      <c r="C96" s="754" t="s">
        <v>1066</v>
      </c>
      <c r="D96" s="602"/>
      <c r="E96" s="602"/>
      <c r="F96" s="602"/>
      <c r="G96" s="602"/>
      <c r="H96" s="603"/>
      <c r="I96" s="458" t="e">
        <f>'1-ABA-DE-CARREGAMENTO'!L75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1067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5" customHeight="1">
      <c r="A98" s="365"/>
      <c r="B98" s="452" t="s">
        <v>414</v>
      </c>
      <c r="C98" s="678" t="s">
        <v>1068</v>
      </c>
      <c r="D98" s="602"/>
      <c r="E98" s="602"/>
      <c r="F98" s="602"/>
      <c r="G98" s="602"/>
      <c r="H98" s="602"/>
      <c r="I98" s="455" t="e">
        <f>IF('1-ABA-DE-CARREGAMENTO'!L60&gt;0,'1-ABA-DE-CARREGAMENTO'!L60,'1-ABA-DE-CARREGAMENTO'!L63)</f>
        <v>#N/A</v>
      </c>
      <c r="J98" s="461"/>
      <c r="K98" s="413"/>
    </row>
    <row r="99" spans="1:11" ht="15" customHeight="1">
      <c r="A99" s="365"/>
      <c r="B99" s="452" t="s">
        <v>416</v>
      </c>
      <c r="C99" s="678" t="s">
        <v>1069</v>
      </c>
      <c r="D99" s="602"/>
      <c r="E99" s="602"/>
      <c r="F99" s="602"/>
      <c r="G99" s="602"/>
      <c r="H99" s="602"/>
      <c r="I99" s="457" t="e">
        <f>'1-ABA-DE-CARREGAMENTO'!L62</f>
        <v>#N/A</v>
      </c>
      <c r="J99" s="461"/>
      <c r="K99" s="413"/>
    </row>
    <row r="100" spans="1:11" ht="28.5" customHeight="1">
      <c r="A100" s="365"/>
      <c r="B100" s="452" t="s">
        <v>419</v>
      </c>
      <c r="C100" s="781" t="s">
        <v>1070</v>
      </c>
      <c r="D100" s="602"/>
      <c r="E100" s="602"/>
      <c r="F100" s="602"/>
      <c r="G100" s="602"/>
      <c r="H100" s="603"/>
      <c r="I100" s="458" t="e">
        <f>'1-ABA-DE-CARREGAMENTO'!L61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36.75" customHeight="1">
      <c r="A102" s="365"/>
      <c r="B102" s="452" t="s">
        <v>424</v>
      </c>
      <c r="C102" s="678" t="s">
        <v>1071</v>
      </c>
      <c r="D102" s="602"/>
      <c r="E102" s="602"/>
      <c r="F102" s="602"/>
      <c r="G102" s="602"/>
      <c r="H102" s="602"/>
      <c r="I102" s="602"/>
      <c r="J102" s="440" t="e">
        <f>'1-ABA-DE-CARREGAMENTO'!L77</f>
        <v>#N/A</v>
      </c>
      <c r="K102" s="432"/>
    </row>
    <row r="103" spans="1:11" ht="36.75" customHeight="1">
      <c r="A103" s="365"/>
      <c r="B103" s="452" t="s">
        <v>469</v>
      </c>
      <c r="C103" s="678" t="s">
        <v>1072</v>
      </c>
      <c r="D103" s="602"/>
      <c r="E103" s="602"/>
      <c r="F103" s="602"/>
      <c r="G103" s="602"/>
      <c r="H103" s="602"/>
      <c r="I103" s="603"/>
      <c r="J103" s="440" t="e">
        <f>'1-ABA-DE-CARREGAMENTO'!L78</f>
        <v>#N/A</v>
      </c>
      <c r="K103" s="432"/>
    </row>
    <row r="104" spans="1:11" ht="16.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'1-ABA-DE-CARREGAMENTO'!L76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33.7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7.2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3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19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1073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3.5" customHeight="1">
      <c r="A119" s="365"/>
      <c r="B119" s="452" t="s">
        <v>361</v>
      </c>
      <c r="C119" s="678" t="s">
        <v>1074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21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26.25" customHeight="1">
      <c r="A121" s="365"/>
      <c r="B121" s="452" t="s">
        <v>365</v>
      </c>
      <c r="C121" s="678" t="s">
        <v>1075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8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40.5" customHeight="1">
      <c r="A123" s="365"/>
      <c r="B123" s="452" t="s">
        <v>410</v>
      </c>
      <c r="C123" s="678" t="s">
        <v>1076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9.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5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24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54.75" customHeight="1">
      <c r="A128" s="365"/>
      <c r="B128" s="729" t="s">
        <v>1077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26.2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1078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30.7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50.25" customHeight="1">
      <c r="A133" s="365"/>
      <c r="B133" s="452" t="s">
        <v>361</v>
      </c>
      <c r="C133" s="726" t="s">
        <v>1079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7.25" customHeight="1">
      <c r="A134" s="365"/>
      <c r="B134" s="452" t="s">
        <v>363</v>
      </c>
      <c r="C134" s="678" t="s">
        <v>1080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28.5" customHeight="1">
      <c r="A135" s="365"/>
      <c r="B135" s="452" t="s">
        <v>365</v>
      </c>
      <c r="C135" s="678" t="s">
        <v>1081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27.75" customHeight="1">
      <c r="A136" s="365"/>
      <c r="B136" s="452" t="s">
        <v>367</v>
      </c>
      <c r="C136" s="678" t="s">
        <v>1082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0.75" customHeight="1">
      <c r="A137" s="365"/>
      <c r="B137" s="488" t="s">
        <v>410</v>
      </c>
      <c r="C137" s="732" t="s">
        <v>1083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39" customHeight="1">
      <c r="A138" s="365"/>
      <c r="B138" s="452" t="s">
        <v>412</v>
      </c>
      <c r="C138" s="678" t="s">
        <v>1084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9.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9.75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12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28.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24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4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10.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8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#REF!+#REF!</f>
        <v>#REF!</v>
      </c>
      <c r="K154" s="432"/>
    </row>
    <row r="155" spans="1:11" ht="15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5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15.75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27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19.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18.75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7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7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'1-ABA-DE-CARREGAMENTO'!L85</f>
        <v>0.06</v>
      </c>
      <c r="J164" s="440" t="e">
        <f>ROUND(I164*J163,2)</f>
        <v>#N/A</v>
      </c>
      <c r="K164" s="432"/>
    </row>
    <row r="165" spans="1:11" ht="51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'1-ABA-DE-CARREGAMENTO'!L86</f>
        <v>0.06</v>
      </c>
      <c r="J166" s="440" t="e">
        <f>ROUND(I166*J165,2)</f>
        <v>#N/A</v>
      </c>
      <c r="K166" s="432"/>
    </row>
    <row r="167" spans="1:11" ht="57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12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24" customHeight="1">
      <c r="A170" s="365"/>
      <c r="B170" s="452"/>
      <c r="C170" s="783" t="s">
        <v>1085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24" customHeight="1">
      <c r="A171" s="365"/>
      <c r="B171" s="452"/>
      <c r="C171" s="783" t="s">
        <v>1086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8.5" customHeight="1">
      <c r="A172" s="365"/>
      <c r="B172" s="452"/>
      <c r="C172" s="678" t="s">
        <v>1087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8.5" customHeight="1">
      <c r="A173" s="365"/>
      <c r="B173" s="452"/>
      <c r="C173" s="678" t="s">
        <v>1088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1089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15.7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7.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22.5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10.5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1090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5.2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10.5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5.7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42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9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39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39" customHeight="1" collapsed="1">
      <c r="A203" s="365"/>
      <c r="B203" s="703" t="str">
        <f>B3</f>
        <v>A NÃO TEM MAIS POSTOS-77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39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9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39" hidden="1" customHeight="1" outlineLevel="1">
      <c r="A206" s="365"/>
      <c r="B206" s="705" t="s">
        <v>1091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9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9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9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9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5.75" customHeight="1">
      <c r="A215" s="365"/>
      <c r="B215" s="712" t="s">
        <v>1092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9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5" priority="1" operator="equal">
      <formula>0</formula>
    </cfRule>
  </conditionalFormatting>
  <conditionalFormatting sqref="I48">
    <cfRule type="cellIs" dxfId="7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1406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'1-ABA-DE-CARREGAMENTO'!M33</f>
        <v>A NÃO TEM MAIS POSTOS-88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VLOOKUP('1-ABA-DE-CARREGAMENTO'!M35,'DADOS-CADASTRAIS'!C6:J16,1,0)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'1-ABA-DE-CARREGAMENTO'!M94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40.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POSTOS-88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'1-ABA-DE-CARREGAMENTO'!M92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1093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5" customHeight="1">
      <c r="A24" s="365"/>
      <c r="B24" s="742" t="s">
        <v>1094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31.5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'1-ABA-DE-CARREGAMENTO'!M33</f>
        <v>A NÃO TEM MAIS POSTOS-88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30" customHeight="1">
      <c r="A29" s="365"/>
      <c r="B29" s="373">
        <v>3</v>
      </c>
      <c r="C29" s="749" t="s">
        <v>564</v>
      </c>
      <c r="D29" s="608"/>
      <c r="E29" s="386">
        <v>220</v>
      </c>
      <c r="F29" s="387" t="e">
        <f>'1-ABA-DE-CARREGAMENTO'!M37</f>
        <v>#N/A</v>
      </c>
      <c r="G29" s="370" t="s">
        <v>386</v>
      </c>
      <c r="H29" s="388">
        <f>'1-ABA-DE-CARREGAMENTO'!M52</f>
        <v>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'1-ABA-DE-CARREGAMENTO'!M36</f>
        <v>#N/A</v>
      </c>
      <c r="J31" s="603"/>
      <c r="K31" s="391"/>
    </row>
    <row r="32" spans="1:11" ht="12.75" customHeight="1">
      <c r="A32" s="365"/>
      <c r="B32" s="392">
        <v>6</v>
      </c>
      <c r="C32" s="754" t="s">
        <v>1095</v>
      </c>
      <c r="D32" s="602"/>
      <c r="E32" s="602"/>
      <c r="F32" s="602"/>
      <c r="G32" s="602"/>
      <c r="H32" s="603"/>
      <c r="I32" s="755" t="e">
        <f>ROUND(I29/220,2)*0</f>
        <v>#N/A</v>
      </c>
      <c r="J32" s="603"/>
      <c r="K32" s="393"/>
    </row>
    <row r="33" spans="1:11" ht="24.75" customHeight="1">
      <c r="A33" s="365"/>
      <c r="B33" s="392">
        <v>7</v>
      </c>
      <c r="C33" s="754" t="s">
        <v>1096</v>
      </c>
      <c r="D33" s="602"/>
      <c r="E33" s="602"/>
      <c r="F33" s="603"/>
      <c r="G33" s="756"/>
      <c r="H33" s="603"/>
      <c r="I33" s="755" t="e">
        <f>SUM(J47:J50)/220</f>
        <v>#N/A</v>
      </c>
      <c r="J33" s="603"/>
      <c r="K33" s="393"/>
    </row>
    <row r="34" spans="1:11" ht="24.75" customHeight="1">
      <c r="A34" s="365"/>
      <c r="B34" s="392">
        <v>8</v>
      </c>
      <c r="C34" s="754" t="s">
        <v>1097</v>
      </c>
      <c r="D34" s="602"/>
      <c r="E34" s="602"/>
      <c r="F34" s="603"/>
      <c r="G34" s="756"/>
      <c r="H34" s="603"/>
      <c r="I34" s="755" t="e">
        <f>TRUNC(I33*1.5,2)*0</f>
        <v>#N/A</v>
      </c>
      <c r="J34" s="603"/>
      <c r="K34" s="393"/>
    </row>
    <row r="35" spans="1:11" ht="24.75" customHeight="1">
      <c r="A35" s="365"/>
      <c r="B35" s="392">
        <v>9</v>
      </c>
      <c r="C35" s="754" t="s">
        <v>1098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4.75" customHeight="1">
      <c r="A36" s="365"/>
      <c r="B36" s="392">
        <v>10</v>
      </c>
      <c r="C36" s="754" t="s">
        <v>1099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4.75" customHeight="1">
      <c r="A37" s="365"/>
      <c r="B37" s="392">
        <v>11</v>
      </c>
      <c r="C37" s="754" t="s">
        <v>1100</v>
      </c>
      <c r="D37" s="602"/>
      <c r="E37" s="602"/>
      <c r="F37" s="602"/>
      <c r="G37" s="602"/>
      <c r="H37" s="603"/>
      <c r="I37" s="755" t="e">
        <f>I33*2</f>
        <v>#N/A</v>
      </c>
      <c r="J37" s="603"/>
      <c r="K37" s="393"/>
    </row>
    <row r="38" spans="1:11" ht="14.25" customHeight="1">
      <c r="A38" s="365"/>
      <c r="B38" s="392">
        <v>12</v>
      </c>
      <c r="C38" s="754" t="s">
        <v>1101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14.25" customHeight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55" t="e">
        <f>ROUND(I32/6,2)*1.3</f>
        <v>#N/A</v>
      </c>
      <c r="J39" s="603"/>
      <c r="K39" s="393"/>
    </row>
    <row r="40" spans="1:11" ht="11.25" customHeight="1">
      <c r="A40" s="365"/>
      <c r="B40" s="392">
        <v>14</v>
      </c>
      <c r="C40" s="772" t="s">
        <v>398</v>
      </c>
      <c r="D40" s="602"/>
      <c r="E40" s="602"/>
      <c r="F40" s="602"/>
      <c r="G40" s="602"/>
      <c r="H40" s="603"/>
      <c r="I40" s="790">
        <f>'1-ABA-DE-CARREGAMENTO'!M93</f>
        <v>1</v>
      </c>
      <c r="J40" s="603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5.5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4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'1-ABA-DE-CARREGAMENTO'!M52</f>
        <v>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'1-ABA-DE-CARREGAMENTO'!M38</f>
        <v>#N/A</v>
      </c>
      <c r="G48" s="602"/>
      <c r="H48" s="603"/>
      <c r="I48" s="543">
        <f>'1-ABA-DE-CARREGAMENTO'!M39</f>
        <v>0</v>
      </c>
      <c r="J48" s="406" t="e">
        <f>J47*I48</f>
        <v>#N/A</v>
      </c>
      <c r="K48" s="407"/>
    </row>
    <row r="49" spans="1:11" ht="11.25" customHeight="1">
      <c r="A49" s="365"/>
      <c r="B49" s="373" t="s">
        <v>365</v>
      </c>
      <c r="C49" s="678" t="s">
        <v>1102</v>
      </c>
      <c r="D49" s="602"/>
      <c r="E49" s="602"/>
      <c r="F49" s="602"/>
      <c r="G49" s="602"/>
      <c r="H49" s="603"/>
      <c r="I49" s="512">
        <f>'1-ABA-DE-CARREGAMENTO'!M44</f>
        <v>0</v>
      </c>
      <c r="J49" s="406" t="e">
        <f>ROUND(J47*I49,2)</f>
        <v>#N/A</v>
      </c>
      <c r="K49" s="407"/>
    </row>
    <row r="50" spans="1:11" ht="11.25" customHeight="1">
      <c r="A50" s="365"/>
      <c r="B50" s="373" t="s">
        <v>367</v>
      </c>
      <c r="C50" s="678" t="s">
        <v>1103</v>
      </c>
      <c r="D50" s="602"/>
      <c r="E50" s="602"/>
      <c r="F50" s="602"/>
      <c r="G50" s="776" t="e">
        <f>'1-ABA-DE-CARREGAMENTO'!M40</f>
        <v>#N/A</v>
      </c>
      <c r="H50" s="603"/>
      <c r="I50" s="544">
        <f>'1-ABA-DE-CARREGAMENTO'!M41</f>
        <v>0</v>
      </c>
      <c r="J50" s="406">
        <f>ROUND(I50*I41,2)</f>
        <v>0</v>
      </c>
      <c r="K50" s="407"/>
    </row>
    <row r="51" spans="1:11" ht="39" customHeight="1">
      <c r="A51" s="365"/>
      <c r="B51" s="373" t="s">
        <v>410</v>
      </c>
      <c r="C51" s="678" t="s">
        <v>1104</v>
      </c>
      <c r="D51" s="602"/>
      <c r="E51" s="602"/>
      <c r="F51" s="602"/>
      <c r="G51" s="602"/>
      <c r="H51" s="602"/>
      <c r="I51" s="603"/>
      <c r="J51" s="406" t="e">
        <f>ROUND(2*8*15*I36,2)*0</f>
        <v>#N/A</v>
      </c>
      <c r="K51" s="407"/>
    </row>
    <row r="52" spans="1:11" ht="39" customHeight="1">
      <c r="A52" s="365"/>
      <c r="B52" s="373" t="s">
        <v>412</v>
      </c>
      <c r="C52" s="726" t="s">
        <v>1105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9" customHeight="1">
      <c r="A53" s="365"/>
      <c r="B53" s="373" t="s">
        <v>414</v>
      </c>
      <c r="C53" s="726" t="s">
        <v>1106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26.25" customHeight="1">
      <c r="A54" s="365"/>
      <c r="B54" s="373" t="s">
        <v>416</v>
      </c>
      <c r="C54" s="726" t="s">
        <v>417</v>
      </c>
      <c r="D54" s="602"/>
      <c r="E54" s="602"/>
      <c r="F54" s="777" t="s">
        <v>1107</v>
      </c>
      <c r="G54" s="602"/>
      <c r="H54" s="602"/>
      <c r="I54" s="411" t="e">
        <f>'1-ABA-DE-CARREGAMENTO'!M65</f>
        <v>#N/A</v>
      </c>
      <c r="J54" s="406" t="e">
        <f>ROUND((((SUM(J47:J50))/220)*1.5)*I54,2)</f>
        <v>#N/A</v>
      </c>
      <c r="K54" s="407"/>
    </row>
    <row r="55" spans="1:11" ht="26.25" customHeight="1">
      <c r="A55" s="365"/>
      <c r="B55" s="373" t="s">
        <v>419</v>
      </c>
      <c r="C55" s="726" t="s">
        <v>420</v>
      </c>
      <c r="D55" s="602"/>
      <c r="E55" s="602"/>
      <c r="F55" s="777" t="s">
        <v>1108</v>
      </c>
      <c r="G55" s="602"/>
      <c r="H55" s="602"/>
      <c r="I55" s="411" t="e">
        <f>'1-ABA-DE-CARREGAMENTO'!M68</f>
        <v>#N/A</v>
      </c>
      <c r="J55" s="406" t="e">
        <f>ROUND((((SUM(J47:J50))/220)*2)*I55,2)</f>
        <v>#N/A</v>
      </c>
      <c r="K55" s="407"/>
    </row>
    <row r="56" spans="1:11" ht="39" customHeight="1">
      <c r="A56" s="365"/>
      <c r="B56" s="373" t="s">
        <v>422</v>
      </c>
      <c r="C56" s="678" t="s">
        <v>1109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4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1110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1111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1112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1113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5" customHeight="1">
      <c r="A69" s="365"/>
      <c r="B69" s="424" t="s">
        <v>433</v>
      </c>
      <c r="C69" s="767" t="s">
        <v>1114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1115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4.25" customHeight="1">
      <c r="A71" s="365"/>
      <c r="B71" s="424" t="s">
        <v>363</v>
      </c>
      <c r="C71" s="768" t="s">
        <v>1116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4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11.25" customHeight="1">
      <c r="A74" s="365"/>
      <c r="B74" s="722" t="s">
        <v>1117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4.2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4.25" customHeight="1">
      <c r="A76" s="365"/>
      <c r="B76" s="729" t="s">
        <v>1118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1119</v>
      </c>
      <c r="D80" s="603"/>
      <c r="E80" s="441" t="s">
        <v>447</v>
      </c>
      <c r="F80" s="442">
        <f>'1-ABA-DE-CARREGAMENTO'!M57</f>
        <v>0.03</v>
      </c>
      <c r="G80" s="441" t="s">
        <v>448</v>
      </c>
      <c r="H80" s="443">
        <f>'1-ABA-DE-CARREGAMENTO'!M58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9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8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5" customHeight="1">
      <c r="A92" s="365"/>
      <c r="B92" s="452" t="s">
        <v>361</v>
      </c>
      <c r="C92" s="678" t="s">
        <v>1120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1121</v>
      </c>
      <c r="D93" s="602"/>
      <c r="E93" s="602"/>
      <c r="F93" s="602"/>
      <c r="G93" s="602"/>
      <c r="H93" s="602"/>
      <c r="I93" s="455" t="e">
        <f>'1-ABA-DE-CARREGAMENTO'!M72</f>
        <v>#N/A</v>
      </c>
      <c r="J93" s="456" t="s">
        <v>374</v>
      </c>
      <c r="K93" s="413"/>
    </row>
    <row r="94" spans="1:11" ht="17.25" customHeight="1">
      <c r="A94" s="365"/>
      <c r="B94" s="452" t="s">
        <v>365</v>
      </c>
      <c r="C94" s="678" t="s">
        <v>1122</v>
      </c>
      <c r="D94" s="602"/>
      <c r="E94" s="602"/>
      <c r="F94" s="602"/>
      <c r="G94" s="602"/>
      <c r="H94" s="603"/>
      <c r="I94" s="457">
        <f>'1-ABA-DE-CARREGAMENTO'!M73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'1-ABA-DE-CARREGAMENTO'!M74</f>
        <v>#N/A</v>
      </c>
      <c r="J95" s="456" t="s">
        <v>374</v>
      </c>
      <c r="K95" s="413"/>
    </row>
    <row r="96" spans="1:11" ht="27" customHeight="1">
      <c r="A96" s="365"/>
      <c r="B96" s="452" t="s">
        <v>410</v>
      </c>
      <c r="C96" s="754" t="s">
        <v>1123</v>
      </c>
      <c r="D96" s="602"/>
      <c r="E96" s="602"/>
      <c r="F96" s="602"/>
      <c r="G96" s="602"/>
      <c r="H96" s="603"/>
      <c r="I96" s="458" t="e">
        <f>'1-ABA-DE-CARREGAMENTO'!M75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1124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5" customHeight="1">
      <c r="A98" s="365"/>
      <c r="B98" s="452" t="s">
        <v>414</v>
      </c>
      <c r="C98" s="678" t="s">
        <v>1125</v>
      </c>
      <c r="D98" s="602"/>
      <c r="E98" s="602"/>
      <c r="F98" s="602"/>
      <c r="G98" s="602"/>
      <c r="H98" s="602"/>
      <c r="I98" s="455" t="e">
        <f>IF('1-ABA-DE-CARREGAMENTO'!M60&gt;0,'1-ABA-DE-CARREGAMENTO'!M60,'1-ABA-DE-CARREGAMENTO'!M63)</f>
        <v>#N/A</v>
      </c>
      <c r="J98" s="461"/>
      <c r="K98" s="413"/>
    </row>
    <row r="99" spans="1:11" ht="15" customHeight="1">
      <c r="A99" s="365"/>
      <c r="B99" s="452" t="s">
        <v>416</v>
      </c>
      <c r="C99" s="678" t="s">
        <v>1126</v>
      </c>
      <c r="D99" s="602"/>
      <c r="E99" s="602"/>
      <c r="F99" s="602"/>
      <c r="G99" s="602"/>
      <c r="H99" s="602"/>
      <c r="I99" s="457" t="e">
        <f>'1-ABA-DE-CARREGAMENTO'!M62</f>
        <v>#N/A</v>
      </c>
      <c r="J99" s="461"/>
      <c r="K99" s="413"/>
    </row>
    <row r="100" spans="1:11" ht="24" customHeight="1">
      <c r="A100" s="365"/>
      <c r="B100" s="452" t="s">
        <v>419</v>
      </c>
      <c r="C100" s="781" t="s">
        <v>1127</v>
      </c>
      <c r="D100" s="602"/>
      <c r="E100" s="602"/>
      <c r="F100" s="602"/>
      <c r="G100" s="602"/>
      <c r="H100" s="603"/>
      <c r="I100" s="458" t="e">
        <f>'1-ABA-DE-CARREGAMENTO'!M61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36.75" customHeight="1">
      <c r="A102" s="365"/>
      <c r="B102" s="452" t="s">
        <v>424</v>
      </c>
      <c r="C102" s="678" t="s">
        <v>1128</v>
      </c>
      <c r="D102" s="602"/>
      <c r="E102" s="602"/>
      <c r="F102" s="602"/>
      <c r="G102" s="602"/>
      <c r="H102" s="602"/>
      <c r="I102" s="602"/>
      <c r="J102" s="440" t="e">
        <f>'1-ABA-DE-CARREGAMENTO'!M77</f>
        <v>#N/A</v>
      </c>
      <c r="K102" s="432"/>
    </row>
    <row r="103" spans="1:11" ht="36.75" customHeight="1">
      <c r="A103" s="365"/>
      <c r="B103" s="452" t="s">
        <v>469</v>
      </c>
      <c r="C103" s="678" t="s">
        <v>1129</v>
      </c>
      <c r="D103" s="602"/>
      <c r="E103" s="602"/>
      <c r="F103" s="602"/>
      <c r="G103" s="602"/>
      <c r="H103" s="602"/>
      <c r="I103" s="603"/>
      <c r="J103" s="440" t="e">
        <f>'1-ABA-DE-CARREGAMENTO'!M78</f>
        <v>#N/A</v>
      </c>
      <c r="K103" s="432"/>
    </row>
    <row r="104" spans="1:11" ht="16.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'1-ABA-DE-CARREGAMENTO'!M76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33.7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7.2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4.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19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1130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2.75" customHeight="1">
      <c r="A119" s="365"/>
      <c r="B119" s="452" t="s">
        <v>361</v>
      </c>
      <c r="C119" s="678" t="s">
        <v>1131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5.7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30" customHeight="1">
      <c r="A121" s="365"/>
      <c r="B121" s="452" t="s">
        <v>365</v>
      </c>
      <c r="C121" s="678" t="s">
        <v>1132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24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6" customHeight="1">
      <c r="A123" s="365"/>
      <c r="B123" s="452" t="s">
        <v>410</v>
      </c>
      <c r="C123" s="678" t="s">
        <v>1133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9.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5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27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54" customHeight="1">
      <c r="A128" s="365"/>
      <c r="B128" s="729" t="s">
        <v>1134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33.7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1135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13.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46.5" customHeight="1">
      <c r="A133" s="365"/>
      <c r="B133" s="452" t="s">
        <v>361</v>
      </c>
      <c r="C133" s="726" t="s">
        <v>1136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7.25" customHeight="1">
      <c r="A134" s="365"/>
      <c r="B134" s="452" t="s">
        <v>363</v>
      </c>
      <c r="C134" s="678" t="s">
        <v>1137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31.5" customHeight="1">
      <c r="A135" s="365"/>
      <c r="B135" s="452" t="s">
        <v>365</v>
      </c>
      <c r="C135" s="678" t="s">
        <v>1138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24.75" customHeight="1">
      <c r="A136" s="365"/>
      <c r="B136" s="452" t="s">
        <v>367</v>
      </c>
      <c r="C136" s="678" t="s">
        <v>1139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1.5" customHeight="1">
      <c r="A137" s="365"/>
      <c r="B137" s="488" t="s">
        <v>410</v>
      </c>
      <c r="C137" s="732" t="s">
        <v>1140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36" customHeight="1">
      <c r="A138" s="365"/>
      <c r="B138" s="452" t="s">
        <v>412</v>
      </c>
      <c r="C138" s="678" t="s">
        <v>1141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9.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9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7.5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17.2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17.25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4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9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9.5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</f>
        <v>#REF!</v>
      </c>
      <c r="K154" s="432"/>
    </row>
    <row r="155" spans="1:11" ht="15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5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9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18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7.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24.75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7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2.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'1-ABA-DE-CARREGAMENTO'!M85</f>
        <v>0.06</v>
      </c>
      <c r="J164" s="440" t="e">
        <f>ROUND(I164*J163,2)</f>
        <v>#N/A</v>
      </c>
      <c r="K164" s="432"/>
    </row>
    <row r="165" spans="1:11" ht="56.25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'1-ABA-DE-CARREGAMENTO'!M86</f>
        <v>0.06</v>
      </c>
      <c r="J166" s="440" t="e">
        <f>ROUND(I166*J165,2)</f>
        <v>#N/A</v>
      </c>
      <c r="K166" s="432"/>
    </row>
    <row r="167" spans="1:11" ht="52.5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14.25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24" customHeight="1">
      <c r="A170" s="365"/>
      <c r="B170" s="452"/>
      <c r="C170" s="783" t="s">
        <v>1142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24" customHeight="1">
      <c r="A171" s="365"/>
      <c r="B171" s="452"/>
      <c r="C171" s="783" t="s">
        <v>1143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4" customHeight="1">
      <c r="A172" s="365"/>
      <c r="B172" s="452"/>
      <c r="C172" s="678" t="s">
        <v>1144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4" customHeight="1">
      <c r="A173" s="365"/>
      <c r="B173" s="452"/>
      <c r="C173" s="678" t="s">
        <v>1145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1146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15.7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15.7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15.75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15.75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1147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3.7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15.75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5.7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4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45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45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45" customHeight="1" collapsed="1">
      <c r="A203" s="365"/>
      <c r="B203" s="703" t="str">
        <f>B3</f>
        <v>A NÃO TEM MAIS POSTOS-88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45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45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15.75" hidden="1" customHeight="1" outlineLevel="1">
      <c r="A206" s="365"/>
      <c r="B206" s="705" t="s">
        <v>1148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6.75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6.75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6.75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6.75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5.75" customHeight="1">
      <c r="A215" s="365"/>
      <c r="B215" s="712" t="s">
        <v>1149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6.75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3" priority="1" operator="equal">
      <formula>0</formula>
    </cfRule>
  </conditionalFormatting>
  <conditionalFormatting sqref="I48">
    <cfRule type="cellIs" dxfId="7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710937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'1-ABA-DE-CARREGAMENTO'!N33</f>
        <v>A NÃO TEM MAIS POSTOS-99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VLOOKUP('1-ABA-DE-CARREGAMENTO'!N35,'DADOS-CADASTRAIS'!C6:J16,1,0)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'1-ABA-DE-CARREGAMENTO'!N94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36.7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POSTOS-99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'1-ABA-DE-CARREGAMENTO'!N92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1150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5" customHeight="1">
      <c r="A24" s="365"/>
      <c r="B24" s="742" t="s">
        <v>1151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30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'1-ABA-DE-CARREGAMENTO'!N33</f>
        <v>A NÃO TEM MAIS POSTOS-99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33" customHeight="1">
      <c r="A29" s="365"/>
      <c r="B29" s="373">
        <v>3</v>
      </c>
      <c r="C29" s="749" t="s">
        <v>564</v>
      </c>
      <c r="D29" s="608"/>
      <c r="E29" s="386">
        <v>220</v>
      </c>
      <c r="F29" s="387" t="e">
        <f>'1-ABA-DE-CARREGAMENTO'!N37</f>
        <v>#N/A</v>
      </c>
      <c r="G29" s="370" t="s">
        <v>386</v>
      </c>
      <c r="H29" s="388">
        <f>'1-ABA-DE-CARREGAMENTO'!N52</f>
        <v>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'1-ABA-DE-CARREGAMENTO'!N36</f>
        <v>#N/A</v>
      </c>
      <c r="J31" s="603"/>
      <c r="K31" s="391"/>
    </row>
    <row r="32" spans="1:11" ht="12.75" customHeight="1">
      <c r="A32" s="365"/>
      <c r="B32" s="392">
        <v>6</v>
      </c>
      <c r="C32" s="754" t="s">
        <v>1152</v>
      </c>
      <c r="D32" s="602"/>
      <c r="E32" s="602"/>
      <c r="F32" s="602"/>
      <c r="G32" s="602"/>
      <c r="H32" s="603"/>
      <c r="I32" s="755" t="e">
        <f>ROUND(I29/220,2)*0</f>
        <v>#N/A</v>
      </c>
      <c r="J32" s="603"/>
      <c r="K32" s="393"/>
    </row>
    <row r="33" spans="1:11" ht="40.5" customHeight="1">
      <c r="A33" s="365"/>
      <c r="B33" s="392">
        <v>7</v>
      </c>
      <c r="C33" s="754" t="s">
        <v>1153</v>
      </c>
      <c r="D33" s="602"/>
      <c r="E33" s="602"/>
      <c r="F33" s="603"/>
      <c r="G33" s="756"/>
      <c r="H33" s="603"/>
      <c r="I33" s="755" t="e">
        <f>SUM(J47:J50)/220</f>
        <v>#N/A</v>
      </c>
      <c r="J33" s="603"/>
      <c r="K33" s="393"/>
    </row>
    <row r="34" spans="1:11" ht="27" customHeight="1">
      <c r="A34" s="365"/>
      <c r="B34" s="392">
        <v>8</v>
      </c>
      <c r="C34" s="754" t="s">
        <v>1154</v>
      </c>
      <c r="D34" s="602"/>
      <c r="E34" s="602"/>
      <c r="F34" s="603"/>
      <c r="G34" s="756"/>
      <c r="H34" s="603"/>
      <c r="I34" s="755" t="e">
        <f>TRUNC(I33*1.5,2)*0</f>
        <v>#N/A</v>
      </c>
      <c r="J34" s="603"/>
      <c r="K34" s="393"/>
    </row>
    <row r="35" spans="1:11" ht="27" customHeight="1">
      <c r="A35" s="365"/>
      <c r="B35" s="392">
        <v>9</v>
      </c>
      <c r="C35" s="754" t="s">
        <v>1155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7" customHeight="1">
      <c r="A36" s="365"/>
      <c r="B36" s="392">
        <v>10</v>
      </c>
      <c r="C36" s="754" t="s">
        <v>1156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7" customHeight="1">
      <c r="A37" s="365"/>
      <c r="B37" s="392">
        <v>11</v>
      </c>
      <c r="C37" s="754" t="s">
        <v>1157</v>
      </c>
      <c r="D37" s="602"/>
      <c r="E37" s="602"/>
      <c r="F37" s="602"/>
      <c r="G37" s="602"/>
      <c r="H37" s="603"/>
      <c r="I37" s="755" t="e">
        <f>I33*2</f>
        <v>#N/A</v>
      </c>
      <c r="J37" s="603"/>
      <c r="K37" s="393"/>
    </row>
    <row r="38" spans="1:11" ht="14.25" customHeight="1">
      <c r="A38" s="365"/>
      <c r="B38" s="392">
        <v>12</v>
      </c>
      <c r="C38" s="754" t="s">
        <v>1158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14.25" customHeight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55" t="e">
        <f>ROUND(I32/6,2)*1.3</f>
        <v>#N/A</v>
      </c>
      <c r="J39" s="603"/>
      <c r="K39" s="393"/>
    </row>
    <row r="40" spans="1:11" ht="11.25" customHeight="1">
      <c r="A40" s="365"/>
      <c r="B40" s="392">
        <v>14</v>
      </c>
      <c r="C40" s="772" t="s">
        <v>398</v>
      </c>
      <c r="D40" s="602"/>
      <c r="E40" s="602"/>
      <c r="F40" s="602"/>
      <c r="G40" s="602"/>
      <c r="H40" s="603"/>
      <c r="I40" s="790">
        <f>'1-ABA-DE-CARREGAMENTO'!N93</f>
        <v>1</v>
      </c>
      <c r="J40" s="603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30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4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'1-ABA-DE-CARREGAMENTO'!N52</f>
        <v>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'1-ABA-DE-CARREGAMENTO'!N38</f>
        <v>#N/A</v>
      </c>
      <c r="G48" s="602"/>
      <c r="H48" s="603"/>
      <c r="I48" s="543">
        <f>'1-ABA-DE-CARREGAMENTO'!N39</f>
        <v>0</v>
      </c>
      <c r="J48" s="406" t="e">
        <f>J47*I48</f>
        <v>#N/A</v>
      </c>
      <c r="K48" s="407"/>
    </row>
    <row r="49" spans="1:11" ht="11.25" customHeight="1">
      <c r="A49" s="365"/>
      <c r="B49" s="373" t="s">
        <v>365</v>
      </c>
      <c r="C49" s="678" t="s">
        <v>1159</v>
      </c>
      <c r="D49" s="602"/>
      <c r="E49" s="602"/>
      <c r="F49" s="602"/>
      <c r="G49" s="602"/>
      <c r="H49" s="603"/>
      <c r="I49" s="512">
        <f>'1-ABA-DE-CARREGAMENTO'!N44</f>
        <v>0</v>
      </c>
      <c r="J49" s="406" t="e">
        <f>ROUND(J47*I49,2)</f>
        <v>#N/A</v>
      </c>
      <c r="K49" s="407"/>
    </row>
    <row r="50" spans="1:11" ht="11.25" customHeight="1">
      <c r="A50" s="365"/>
      <c r="B50" s="373" t="s">
        <v>367</v>
      </c>
      <c r="C50" s="678" t="s">
        <v>1160</v>
      </c>
      <c r="D50" s="602"/>
      <c r="E50" s="602"/>
      <c r="F50" s="602"/>
      <c r="G50" s="776" t="e">
        <f>'1-ABA-DE-CARREGAMENTO'!N40</f>
        <v>#N/A</v>
      </c>
      <c r="H50" s="603"/>
      <c r="I50" s="544">
        <f>'1-ABA-DE-CARREGAMENTO'!N41</f>
        <v>0</v>
      </c>
      <c r="J50" s="406">
        <f>ROUND(I50*I41,2)</f>
        <v>0</v>
      </c>
      <c r="K50" s="407"/>
    </row>
    <row r="51" spans="1:11" ht="35.25" customHeight="1">
      <c r="A51" s="365"/>
      <c r="B51" s="373" t="s">
        <v>410</v>
      </c>
      <c r="C51" s="678" t="s">
        <v>1161</v>
      </c>
      <c r="D51" s="602"/>
      <c r="E51" s="602"/>
      <c r="F51" s="602"/>
      <c r="G51" s="602"/>
      <c r="H51" s="602"/>
      <c r="I51" s="603"/>
      <c r="J51" s="406" t="e">
        <f>ROUND(2*8*15*I36,2)*0</f>
        <v>#N/A</v>
      </c>
      <c r="K51" s="407"/>
    </row>
    <row r="52" spans="1:11" ht="42" customHeight="1">
      <c r="A52" s="365"/>
      <c r="B52" s="373" t="s">
        <v>412</v>
      </c>
      <c r="C52" s="726" t="s">
        <v>1162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5.25" customHeight="1">
      <c r="A53" s="365"/>
      <c r="B53" s="373" t="s">
        <v>414</v>
      </c>
      <c r="C53" s="726" t="s">
        <v>1163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35.25" customHeight="1">
      <c r="A54" s="365"/>
      <c r="B54" s="373" t="s">
        <v>416</v>
      </c>
      <c r="C54" s="726" t="s">
        <v>417</v>
      </c>
      <c r="D54" s="602"/>
      <c r="E54" s="602"/>
      <c r="F54" s="777" t="s">
        <v>1164</v>
      </c>
      <c r="G54" s="602"/>
      <c r="H54" s="602"/>
      <c r="I54" s="411" t="e">
        <f>'1-ABA-DE-CARREGAMENTO'!N65</f>
        <v>#N/A</v>
      </c>
      <c r="J54" s="406" t="e">
        <f>ROUND((((SUM(J47:J50))/220)*1.5)*I54,2)</f>
        <v>#N/A</v>
      </c>
      <c r="K54" s="407"/>
    </row>
    <row r="55" spans="1:11" ht="35.25" customHeight="1">
      <c r="A55" s="365"/>
      <c r="B55" s="373" t="s">
        <v>419</v>
      </c>
      <c r="C55" s="726" t="s">
        <v>420</v>
      </c>
      <c r="D55" s="602"/>
      <c r="E55" s="602"/>
      <c r="F55" s="777" t="s">
        <v>1165</v>
      </c>
      <c r="G55" s="602"/>
      <c r="H55" s="602"/>
      <c r="I55" s="411" t="e">
        <f>'1-ABA-DE-CARREGAMENTO'!N68</f>
        <v>#N/A</v>
      </c>
      <c r="J55" s="406" t="e">
        <f>ROUND((((SUM(J47:J50))/220)*2)*I55,2)</f>
        <v>#N/A</v>
      </c>
      <c r="K55" s="407"/>
    </row>
    <row r="56" spans="1:11" ht="35.25" customHeight="1">
      <c r="A56" s="365"/>
      <c r="B56" s="373" t="s">
        <v>422</v>
      </c>
      <c r="C56" s="678" t="s">
        <v>1166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4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1167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1168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1169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1170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5" customHeight="1">
      <c r="A69" s="365"/>
      <c r="B69" s="424" t="s">
        <v>433</v>
      </c>
      <c r="C69" s="767" t="s">
        <v>1171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1172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4.25" customHeight="1">
      <c r="A71" s="365"/>
      <c r="B71" s="424" t="s">
        <v>363</v>
      </c>
      <c r="C71" s="768" t="s">
        <v>1173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4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11.25" customHeight="1">
      <c r="A74" s="365"/>
      <c r="B74" s="722" t="s">
        <v>1174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4.2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4.25" customHeight="1">
      <c r="A76" s="365"/>
      <c r="B76" s="729" t="s">
        <v>1175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1176</v>
      </c>
      <c r="D80" s="603"/>
      <c r="E80" s="441" t="s">
        <v>447</v>
      </c>
      <c r="F80" s="442">
        <f>'1-ABA-DE-CARREGAMENTO'!N57</f>
        <v>0.03</v>
      </c>
      <c r="G80" s="441" t="s">
        <v>448</v>
      </c>
      <c r="H80" s="443">
        <f>'1-ABA-DE-CARREGAMENTO'!N58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6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8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5" customHeight="1">
      <c r="A92" s="365"/>
      <c r="B92" s="452" t="s">
        <v>361</v>
      </c>
      <c r="C92" s="678" t="s">
        <v>1177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1178</v>
      </c>
      <c r="D93" s="602"/>
      <c r="E93" s="602"/>
      <c r="F93" s="602"/>
      <c r="G93" s="602"/>
      <c r="H93" s="602"/>
      <c r="I93" s="455" t="e">
        <f>'1-ABA-DE-CARREGAMENTO'!N72</f>
        <v>#N/A</v>
      </c>
      <c r="J93" s="456" t="s">
        <v>374</v>
      </c>
      <c r="K93" s="413"/>
    </row>
    <row r="94" spans="1:11" ht="24" customHeight="1">
      <c r="A94" s="365"/>
      <c r="B94" s="452" t="s">
        <v>365</v>
      </c>
      <c r="C94" s="678" t="s">
        <v>1179</v>
      </c>
      <c r="D94" s="602"/>
      <c r="E94" s="602"/>
      <c r="F94" s="602"/>
      <c r="G94" s="602"/>
      <c r="H94" s="603"/>
      <c r="I94" s="457">
        <f>'1-ABA-DE-CARREGAMENTO'!N73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'1-ABA-DE-CARREGAMENTO'!N74</f>
        <v>#N/A</v>
      </c>
      <c r="J95" s="456" t="s">
        <v>374</v>
      </c>
      <c r="K95" s="413"/>
    </row>
    <row r="96" spans="1:11" ht="24.75" customHeight="1">
      <c r="A96" s="365"/>
      <c r="B96" s="452" t="s">
        <v>410</v>
      </c>
      <c r="C96" s="754" t="s">
        <v>1180</v>
      </c>
      <c r="D96" s="602"/>
      <c r="E96" s="602"/>
      <c r="F96" s="602"/>
      <c r="G96" s="602"/>
      <c r="H96" s="603"/>
      <c r="I96" s="458" t="e">
        <f>'1-ABA-DE-CARREGAMENTO'!N75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1181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5" customHeight="1">
      <c r="A98" s="365"/>
      <c r="B98" s="452" t="s">
        <v>414</v>
      </c>
      <c r="C98" s="678" t="s">
        <v>1182</v>
      </c>
      <c r="D98" s="602"/>
      <c r="E98" s="602"/>
      <c r="F98" s="602"/>
      <c r="G98" s="602"/>
      <c r="H98" s="602"/>
      <c r="I98" s="455" t="e">
        <f>IF('1-ABA-DE-CARREGAMENTO'!N60&gt;0,'1-ABA-DE-CARREGAMENTO'!N60,'1-ABA-DE-CARREGAMENTO'!N63)</f>
        <v>#N/A</v>
      </c>
      <c r="J98" s="461"/>
      <c r="K98" s="413"/>
    </row>
    <row r="99" spans="1:11" ht="15" customHeight="1">
      <c r="A99" s="365"/>
      <c r="B99" s="452" t="s">
        <v>416</v>
      </c>
      <c r="C99" s="678" t="s">
        <v>1183</v>
      </c>
      <c r="D99" s="602"/>
      <c r="E99" s="602"/>
      <c r="F99" s="602"/>
      <c r="G99" s="602"/>
      <c r="H99" s="602"/>
      <c r="I99" s="457" t="e">
        <f>'1-ABA-DE-CARREGAMENTO'!N62</f>
        <v>#N/A</v>
      </c>
      <c r="J99" s="461"/>
      <c r="K99" s="413"/>
    </row>
    <row r="100" spans="1:11" ht="30" customHeight="1">
      <c r="A100" s="365"/>
      <c r="B100" s="452" t="s">
        <v>419</v>
      </c>
      <c r="C100" s="781" t="s">
        <v>1184</v>
      </c>
      <c r="D100" s="602"/>
      <c r="E100" s="602"/>
      <c r="F100" s="602"/>
      <c r="G100" s="602"/>
      <c r="H100" s="603"/>
      <c r="I100" s="458" t="e">
        <f>'1-ABA-DE-CARREGAMENTO'!N61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36.75" customHeight="1">
      <c r="A102" s="365"/>
      <c r="B102" s="452" t="s">
        <v>424</v>
      </c>
      <c r="C102" s="678" t="s">
        <v>1185</v>
      </c>
      <c r="D102" s="602"/>
      <c r="E102" s="602"/>
      <c r="F102" s="602"/>
      <c r="G102" s="602"/>
      <c r="H102" s="602"/>
      <c r="I102" s="602"/>
      <c r="J102" s="440" t="e">
        <f>'1-ABA-DE-CARREGAMENTO'!N77</f>
        <v>#N/A</v>
      </c>
      <c r="K102" s="432"/>
    </row>
    <row r="103" spans="1:11" ht="36.75" customHeight="1">
      <c r="A103" s="365"/>
      <c r="B103" s="452" t="s">
        <v>469</v>
      </c>
      <c r="C103" s="678" t="s">
        <v>1186</v>
      </c>
      <c r="D103" s="602"/>
      <c r="E103" s="602"/>
      <c r="F103" s="602"/>
      <c r="G103" s="602"/>
      <c r="H103" s="602"/>
      <c r="I103" s="603"/>
      <c r="J103" s="440" t="e">
        <f>'1-ABA-DE-CARREGAMENTO'!N78</f>
        <v>#N/A</v>
      </c>
      <c r="K103" s="432"/>
    </row>
    <row r="104" spans="1:11" ht="16.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'1-ABA-DE-CARREGAMENTO'!N76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21.7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9.7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3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7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1187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0.5" customHeight="1">
      <c r="A119" s="365"/>
      <c r="B119" s="452" t="s">
        <v>361</v>
      </c>
      <c r="C119" s="678" t="s">
        <v>1188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5.7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28.5" customHeight="1">
      <c r="A121" s="365"/>
      <c r="B121" s="452" t="s">
        <v>365</v>
      </c>
      <c r="C121" s="678" t="s">
        <v>1189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8.7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2.25" customHeight="1">
      <c r="A123" s="365"/>
      <c r="B123" s="452" t="s">
        <v>410</v>
      </c>
      <c r="C123" s="678" t="s">
        <v>1190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9.7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5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30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58.5" customHeight="1">
      <c r="A128" s="365"/>
      <c r="B128" s="729" t="s">
        <v>1191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36.7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1192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14.2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45.75" customHeight="1">
      <c r="A133" s="365"/>
      <c r="B133" s="452" t="s">
        <v>361</v>
      </c>
      <c r="C133" s="726" t="s">
        <v>1193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7.25" customHeight="1">
      <c r="A134" s="365"/>
      <c r="B134" s="452" t="s">
        <v>363</v>
      </c>
      <c r="C134" s="678" t="s">
        <v>1194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29.25" customHeight="1">
      <c r="A135" s="365"/>
      <c r="B135" s="452" t="s">
        <v>365</v>
      </c>
      <c r="C135" s="678" t="s">
        <v>1195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28.5" customHeight="1">
      <c r="A136" s="365"/>
      <c r="B136" s="452" t="s">
        <v>367</v>
      </c>
      <c r="C136" s="678" t="s">
        <v>1196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0.75" customHeight="1">
      <c r="A137" s="365"/>
      <c r="B137" s="488" t="s">
        <v>410</v>
      </c>
      <c r="C137" s="732" t="s">
        <v>1197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38.25" customHeight="1">
      <c r="A138" s="365"/>
      <c r="B138" s="452" t="s">
        <v>412</v>
      </c>
      <c r="C138" s="678" t="s">
        <v>1198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9.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12.75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12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15.7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16.5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4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11.2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20.25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</f>
        <v>#REF!</v>
      </c>
      <c r="K154" s="432"/>
    </row>
    <row r="155" spans="1:11" ht="15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5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9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27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11.2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24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6.25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3.2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'1-ABA-DE-CARREGAMENTO'!N85</f>
        <v>0.06</v>
      </c>
      <c r="J164" s="440" t="e">
        <f>ROUND(I164*J163,2)</f>
        <v>#N/A</v>
      </c>
      <c r="K164" s="432"/>
    </row>
    <row r="165" spans="1:11" ht="50.25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'1-ABA-DE-CARREGAMENTO'!N86</f>
        <v>0.06</v>
      </c>
      <c r="J166" s="440" t="e">
        <f>ROUND(I166*J165,2)</f>
        <v>#N/A</v>
      </c>
      <c r="K166" s="432"/>
    </row>
    <row r="167" spans="1:11" ht="51.75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18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21" customHeight="1">
      <c r="A170" s="365"/>
      <c r="B170" s="452"/>
      <c r="C170" s="783" t="s">
        <v>1199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21" customHeight="1">
      <c r="A171" s="365"/>
      <c r="B171" s="452"/>
      <c r="C171" s="783" t="s">
        <v>1200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4" customHeight="1">
      <c r="A172" s="365"/>
      <c r="B172" s="452"/>
      <c r="C172" s="678" t="s">
        <v>1201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4" customHeight="1">
      <c r="A173" s="365"/>
      <c r="B173" s="452"/>
      <c r="C173" s="678" t="s">
        <v>1202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1203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9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9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30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9.75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1204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43.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15.75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5.7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40.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2.25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32.25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32.25" customHeight="1" collapsed="1">
      <c r="A203" s="365"/>
      <c r="B203" s="703" t="str">
        <f>B3</f>
        <v>A NÃO TEM MAIS POSTOS-99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32.25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2.25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15.75" hidden="1" customHeight="1" outlineLevel="1">
      <c r="A206" s="365"/>
      <c r="B206" s="705" t="s">
        <v>1205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9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9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9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9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5.75" customHeight="1">
      <c r="A215" s="365"/>
      <c r="B215" s="712" t="s">
        <v>1206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9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71" priority="1" operator="equal">
      <formula>0</formula>
    </cfRule>
  </conditionalFormatting>
  <conditionalFormatting sqref="I48">
    <cfRule type="cellIs" dxfId="7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1000"/>
  <sheetViews>
    <sheetView workbookViewId="0"/>
  </sheetViews>
  <sheetFormatPr defaultColWidth="14.42578125" defaultRowHeight="15" customHeight="1"/>
  <cols>
    <col min="1" max="1" width="3.140625" customWidth="1"/>
    <col min="2" max="2" width="42.7109375" customWidth="1"/>
    <col min="3" max="3" width="44.85546875" customWidth="1"/>
    <col min="4" max="4" width="23.42578125" customWidth="1"/>
    <col min="5" max="5" width="29" customWidth="1"/>
    <col min="6" max="6" width="26.42578125" customWidth="1"/>
  </cols>
  <sheetData>
    <row r="1" spans="1:17" ht="15.75">
      <c r="A1" s="551">
        <v>0</v>
      </c>
      <c r="E1" s="552"/>
      <c r="F1" s="553"/>
    </row>
    <row r="2" spans="1:17" ht="26.25">
      <c r="A2" s="551">
        <v>0</v>
      </c>
      <c r="B2" s="653" t="s">
        <v>1207</v>
      </c>
      <c r="C2" s="594"/>
      <c r="D2" s="594"/>
      <c r="E2" s="594"/>
      <c r="F2" s="553"/>
    </row>
    <row r="3" spans="1:17">
      <c r="A3" s="551">
        <v>0</v>
      </c>
      <c r="B3" s="299"/>
      <c r="C3" s="1"/>
      <c r="D3" s="1"/>
      <c r="E3" s="554"/>
      <c r="F3" s="1"/>
      <c r="G3" s="554"/>
      <c r="H3" s="1"/>
      <c r="I3" s="554"/>
      <c r="J3" s="1"/>
    </row>
    <row r="4" spans="1:17" ht="26.25" hidden="1">
      <c r="A4" s="555">
        <v>1</v>
      </c>
      <c r="B4" s="799"/>
      <c r="C4" s="600"/>
      <c r="D4" s="800"/>
      <c r="E4" s="600"/>
      <c r="F4" s="800">
        <v>0</v>
      </c>
      <c r="G4" s="600"/>
      <c r="H4" s="800"/>
      <c r="I4" s="600"/>
      <c r="J4" s="800"/>
      <c r="K4" s="600"/>
      <c r="L4" s="555"/>
      <c r="M4" s="555"/>
      <c r="N4" s="555"/>
      <c r="O4" s="555"/>
      <c r="P4" s="555"/>
      <c r="Q4" s="555"/>
    </row>
    <row r="5" spans="1:17" ht="18.75" hidden="1">
      <c r="A5" s="555">
        <v>1</v>
      </c>
      <c r="B5" s="555"/>
      <c r="C5" s="556"/>
      <c r="D5" s="557"/>
      <c r="E5" s="558"/>
      <c r="F5" s="557">
        <v>0</v>
      </c>
      <c r="G5" s="558"/>
      <c r="H5" s="557"/>
      <c r="I5" s="558"/>
      <c r="J5" s="557"/>
      <c r="K5" s="555"/>
      <c r="L5" s="555"/>
      <c r="M5" s="555"/>
      <c r="N5" s="555"/>
      <c r="O5" s="555"/>
      <c r="P5" s="555"/>
      <c r="Q5" s="555"/>
    </row>
    <row r="6" spans="1:17" ht="20.25" hidden="1">
      <c r="A6" s="555">
        <v>0</v>
      </c>
      <c r="B6" s="801"/>
      <c r="C6" s="600"/>
      <c r="D6" s="559"/>
      <c r="E6" s="560"/>
      <c r="F6" s="559">
        <v>0</v>
      </c>
      <c r="G6" s="560"/>
      <c r="H6" s="559"/>
      <c r="I6" s="560"/>
      <c r="J6" s="559"/>
      <c r="K6" s="555"/>
      <c r="L6" s="555"/>
      <c r="M6" s="555"/>
      <c r="N6" s="555"/>
      <c r="O6" s="555"/>
      <c r="P6" s="555"/>
      <c r="Q6" s="555"/>
    </row>
    <row r="7" spans="1:17" hidden="1">
      <c r="A7" s="555">
        <v>1</v>
      </c>
      <c r="B7" s="801"/>
      <c r="C7" s="600"/>
      <c r="D7" s="802"/>
      <c r="E7" s="600"/>
      <c r="F7" s="802">
        <v>3</v>
      </c>
      <c r="G7" s="600"/>
      <c r="H7" s="802"/>
      <c r="I7" s="600"/>
      <c r="J7" s="802"/>
      <c r="K7" s="600"/>
      <c r="L7" s="555"/>
      <c r="M7" s="555"/>
      <c r="N7" s="555"/>
      <c r="O7" s="555"/>
      <c r="P7" s="555"/>
      <c r="Q7" s="555"/>
    </row>
    <row r="8" spans="1:17" hidden="1">
      <c r="A8" s="555">
        <v>0</v>
      </c>
      <c r="B8" s="801"/>
      <c r="C8" s="600"/>
      <c r="D8" s="561"/>
      <c r="E8" s="560"/>
      <c r="F8" s="561">
        <v>2</v>
      </c>
      <c r="G8" s="560"/>
      <c r="H8" s="561"/>
      <c r="I8" s="560"/>
      <c r="J8" s="561"/>
      <c r="K8" s="555"/>
      <c r="L8" s="555"/>
      <c r="M8" s="555"/>
      <c r="N8" s="555"/>
      <c r="O8" s="555"/>
      <c r="P8" s="555"/>
      <c r="Q8" s="555"/>
    </row>
    <row r="9" spans="1:17" hidden="1">
      <c r="A9" s="555">
        <v>1</v>
      </c>
      <c r="B9" s="801"/>
      <c r="C9" s="600"/>
      <c r="D9" s="561"/>
      <c r="E9" s="560"/>
      <c r="F9" s="561">
        <v>3</v>
      </c>
      <c r="G9" s="560"/>
      <c r="H9" s="561"/>
      <c r="I9" s="560"/>
      <c r="J9" s="561"/>
      <c r="K9" s="555"/>
      <c r="L9" s="555"/>
      <c r="M9" s="555"/>
      <c r="N9" s="555"/>
      <c r="O9" s="555"/>
      <c r="P9" s="555"/>
      <c r="Q9" s="555"/>
    </row>
    <row r="10" spans="1:17" hidden="1">
      <c r="A10" s="555">
        <v>0</v>
      </c>
      <c r="B10" s="801"/>
      <c r="C10" s="600"/>
      <c r="D10" s="562"/>
      <c r="E10" s="563"/>
      <c r="F10" s="562">
        <v>2</v>
      </c>
      <c r="G10" s="563"/>
      <c r="H10" s="562"/>
      <c r="I10" s="563"/>
      <c r="J10" s="562"/>
      <c r="K10" s="555"/>
      <c r="L10" s="555"/>
      <c r="M10" s="555"/>
      <c r="N10" s="555"/>
      <c r="O10" s="555"/>
      <c r="P10" s="555"/>
      <c r="Q10" s="555"/>
    </row>
    <row r="11" spans="1:17">
      <c r="A11" s="551">
        <v>0</v>
      </c>
      <c r="C11" s="298"/>
      <c r="D11" s="298"/>
      <c r="E11" s="563"/>
      <c r="F11" s="298"/>
      <c r="G11" s="563"/>
      <c r="H11" s="298"/>
      <c r="I11" s="563"/>
      <c r="J11" s="298"/>
    </row>
    <row r="12" spans="1:17" ht="18">
      <c r="A12" s="551">
        <v>0</v>
      </c>
      <c r="B12" s="661" t="str">
        <f>'1-ABA-DE-CARREGAMENTO'!C11</f>
        <v xml:space="preserve"> S E R V I Ç O S   de VIGILANCIA,  DESARMADA-diruna __ ARMADA-noturna</v>
      </c>
      <c r="C12" s="602"/>
      <c r="D12" s="602"/>
      <c r="E12" s="603"/>
      <c r="F12" s="313">
        <v>2</v>
      </c>
    </row>
    <row r="13" spans="1:17" ht="40.5">
      <c r="B13" s="305" t="s">
        <v>1208</v>
      </c>
      <c r="C13" s="305" t="s">
        <v>285</v>
      </c>
      <c r="D13" s="306" t="s">
        <v>287</v>
      </c>
      <c r="E13" s="564" t="s">
        <v>1209</v>
      </c>
      <c r="F13" s="313">
        <v>0</v>
      </c>
    </row>
    <row r="14" spans="1:17" ht="20.25">
      <c r="B14" s="311" t="str">
        <f>CAMPUS.CONTRATANTE!D10</f>
        <v xml:space="preserve">ALEGRETE </v>
      </c>
      <c r="C14" s="311" t="str">
        <f>'1-ABA-DE-CARREGAMENTO'!C33</f>
        <v>5173-30_VIGILANTE_12×36_diurn</v>
      </c>
      <c r="D14" s="313">
        <v>2</v>
      </c>
      <c r="E14" s="565">
        <v>11450.32</v>
      </c>
      <c r="F14" s="566">
        <f t="shared" ref="F14:F25" si="0">IF(D14=0,0,E14)</f>
        <v>11450.32</v>
      </c>
    </row>
    <row r="15" spans="1:17" ht="20.25">
      <c r="B15" s="311" t="str">
        <f t="shared" ref="B15:B26" si="1">B14</f>
        <v xml:space="preserve">ALEGRETE </v>
      </c>
      <c r="C15" s="311" t="str">
        <f>'1-ABA-DE-CARREGAMENTO'!D33</f>
        <v>5173-30_VIGILANTE_12×36_notur</v>
      </c>
      <c r="D15" s="313">
        <v>3</v>
      </c>
      <c r="E15" s="565">
        <v>14196.92</v>
      </c>
      <c r="F15" s="566">
        <f t="shared" si="0"/>
        <v>14196.92</v>
      </c>
    </row>
    <row r="16" spans="1:17" ht="20.25" hidden="1">
      <c r="B16" s="311" t="str">
        <f t="shared" si="1"/>
        <v xml:space="preserve">ALEGRETE </v>
      </c>
      <c r="C16" s="322" t="str">
        <f>'1-ABA-DE-CARREGAMENTO'!E33</f>
        <v>A NÃO TEM MAIS POSTOS-00</v>
      </c>
      <c r="D16" s="313">
        <v>0</v>
      </c>
      <c r="E16" s="565">
        <v>0</v>
      </c>
      <c r="F16" s="566">
        <f t="shared" si="0"/>
        <v>0</v>
      </c>
    </row>
    <row r="17" spans="2:6" ht="20.25" hidden="1">
      <c r="B17" s="311" t="str">
        <f t="shared" si="1"/>
        <v xml:space="preserve">ALEGRETE </v>
      </c>
      <c r="C17" s="322" t="str">
        <f>'1-ABA-DE-CARREGAMENTO'!F33</f>
        <v>A NÃO TEM MAIS POSTOS-11</v>
      </c>
      <c r="D17" s="313">
        <v>0</v>
      </c>
      <c r="E17" s="565">
        <v>0</v>
      </c>
      <c r="F17" s="566">
        <f t="shared" si="0"/>
        <v>0</v>
      </c>
    </row>
    <row r="18" spans="2:6" ht="20.25" hidden="1">
      <c r="B18" s="311" t="str">
        <f t="shared" si="1"/>
        <v xml:space="preserve">ALEGRETE </v>
      </c>
      <c r="C18" s="322" t="str">
        <f>'1-ABA-DE-CARREGAMENTO'!G33</f>
        <v>A NÃO TEM MAIS POSTOS-22</v>
      </c>
      <c r="D18" s="313">
        <v>0</v>
      </c>
      <c r="E18" s="565">
        <v>0</v>
      </c>
      <c r="F18" s="566">
        <f t="shared" si="0"/>
        <v>0</v>
      </c>
    </row>
    <row r="19" spans="2:6" ht="20.25" hidden="1">
      <c r="B19" s="311" t="str">
        <f t="shared" si="1"/>
        <v xml:space="preserve">ALEGRETE </v>
      </c>
      <c r="C19" s="322" t="str">
        <f>'1-ABA-DE-CARREGAMENTO'!H33</f>
        <v>A NÃO TEM MAIS POSTOS-33</v>
      </c>
      <c r="D19" s="313">
        <v>0</v>
      </c>
      <c r="E19" s="565">
        <v>0</v>
      </c>
      <c r="F19" s="566">
        <f t="shared" si="0"/>
        <v>0</v>
      </c>
    </row>
    <row r="20" spans="2:6" ht="20.25" hidden="1">
      <c r="B20" s="311" t="str">
        <f t="shared" si="1"/>
        <v xml:space="preserve">ALEGRETE </v>
      </c>
      <c r="C20" s="322" t="str">
        <f>'1-ABA-DE-CARREGAMENTO'!I33</f>
        <v>A NÃO TEM MAIS POSTOS-44</v>
      </c>
      <c r="D20" s="313">
        <v>0</v>
      </c>
      <c r="E20" s="565">
        <v>0</v>
      </c>
      <c r="F20" s="566">
        <f t="shared" si="0"/>
        <v>0</v>
      </c>
    </row>
    <row r="21" spans="2:6" ht="15.75" hidden="1" customHeight="1">
      <c r="B21" s="311" t="str">
        <f t="shared" si="1"/>
        <v xml:space="preserve">ALEGRETE </v>
      </c>
      <c r="C21" s="322" t="str">
        <f>'1-ABA-DE-CARREGAMENTO'!J33</f>
        <v>A NÃO TEM MAIS POSTOS-55</v>
      </c>
      <c r="D21" s="313">
        <v>0</v>
      </c>
      <c r="E21" s="565">
        <v>0</v>
      </c>
      <c r="F21" s="566">
        <f t="shared" si="0"/>
        <v>0</v>
      </c>
    </row>
    <row r="22" spans="2:6" ht="15.75" hidden="1" customHeight="1">
      <c r="B22" s="311" t="str">
        <f t="shared" si="1"/>
        <v xml:space="preserve">ALEGRETE </v>
      </c>
      <c r="C22" s="322" t="str">
        <f>'1-ABA-DE-CARREGAMENTO'!K33</f>
        <v>A NÃO TEM MAIS POSTOS-66</v>
      </c>
      <c r="D22" s="313">
        <v>0</v>
      </c>
      <c r="E22" s="565">
        <v>0</v>
      </c>
      <c r="F22" s="566">
        <f t="shared" si="0"/>
        <v>0</v>
      </c>
    </row>
    <row r="23" spans="2:6" ht="15.75" hidden="1" customHeight="1">
      <c r="B23" s="311" t="str">
        <f t="shared" si="1"/>
        <v xml:space="preserve">ALEGRETE </v>
      </c>
      <c r="C23" s="322" t="str">
        <f>'1-ABA-DE-CARREGAMENTO'!L33</f>
        <v>A NÃO TEM MAIS POSTOS-77</v>
      </c>
      <c r="D23" s="313">
        <v>0</v>
      </c>
      <c r="E23" s="565">
        <v>0</v>
      </c>
      <c r="F23" s="566">
        <f t="shared" si="0"/>
        <v>0</v>
      </c>
    </row>
    <row r="24" spans="2:6" ht="15.75" hidden="1" customHeight="1">
      <c r="B24" s="311" t="str">
        <f t="shared" si="1"/>
        <v xml:space="preserve">ALEGRETE </v>
      </c>
      <c r="C24" s="322" t="str">
        <f>'1-ABA-DE-CARREGAMENTO'!M33</f>
        <v>A NÃO TEM MAIS POSTOS-88</v>
      </c>
      <c r="D24" s="313">
        <v>0</v>
      </c>
      <c r="E24" s="565">
        <v>0</v>
      </c>
      <c r="F24" s="566">
        <f t="shared" si="0"/>
        <v>0</v>
      </c>
    </row>
    <row r="25" spans="2:6" ht="15.75" hidden="1" customHeight="1">
      <c r="B25" s="311" t="str">
        <f t="shared" si="1"/>
        <v xml:space="preserve">ALEGRETE </v>
      </c>
      <c r="C25" s="322" t="str">
        <f>'1-ABA-DE-CARREGAMENTO'!N33</f>
        <v>A NÃO TEM MAIS POSTOS-99</v>
      </c>
      <c r="D25" s="313">
        <v>0</v>
      </c>
      <c r="E25" s="565">
        <v>0</v>
      </c>
      <c r="F25" s="566">
        <f t="shared" si="0"/>
        <v>0</v>
      </c>
    </row>
    <row r="26" spans="2:6" ht="15.75" customHeight="1">
      <c r="B26" s="324" t="str">
        <f t="shared" si="1"/>
        <v xml:space="preserve">ALEGRETE </v>
      </c>
      <c r="C26" s="324" t="s">
        <v>297</v>
      </c>
      <c r="D26" s="325">
        <f>SUM(D14:D25)</f>
        <v>5</v>
      </c>
      <c r="E26" s="567"/>
      <c r="F26" s="327">
        <f>SUM(F14:F25)</f>
        <v>25647.239999999998</v>
      </c>
    </row>
    <row r="27" spans="2:6" ht="15.75" hidden="1" customHeight="1">
      <c r="E27" s="568"/>
      <c r="F27" s="553"/>
    </row>
    <row r="28" spans="2:6" ht="15.75" hidden="1" customHeight="1">
      <c r="B28" s="311" t="str">
        <f>CAMPUS.CONTRATANTE!D11</f>
        <v xml:space="preserve">FREDERICO-WESTFALEN </v>
      </c>
      <c r="C28" s="311" t="str">
        <f>'1-ABA-DE-CARREGAMENTO'!C33</f>
        <v>5173-30_VIGILANTE_12×36_diurn</v>
      </c>
      <c r="D28" s="313">
        <v>0</v>
      </c>
      <c r="E28" s="565" t="e">
        <v>#DIV/0!</v>
      </c>
      <c r="F28" s="566">
        <f t="shared" ref="F28:F39" si="2">IF(D28=0,0,E28)</f>
        <v>0</v>
      </c>
    </row>
    <row r="29" spans="2:6" ht="15.75" hidden="1" customHeight="1">
      <c r="B29" s="311" t="str">
        <f t="shared" ref="B29:B40" si="3">B28</f>
        <v xml:space="preserve">FREDERICO-WESTFALEN </v>
      </c>
      <c r="C29" s="311" t="str">
        <f>'1-ABA-DE-CARREGAMENTO'!D33</f>
        <v>5173-30_VIGILANTE_12×36_notur</v>
      </c>
      <c r="D29" s="313">
        <v>0</v>
      </c>
      <c r="E29" s="565" t="e">
        <v>#DIV/0!</v>
      </c>
      <c r="F29" s="566">
        <f t="shared" si="2"/>
        <v>0</v>
      </c>
    </row>
    <row r="30" spans="2:6" ht="15.75" hidden="1" customHeight="1">
      <c r="B30" s="311" t="str">
        <f t="shared" si="3"/>
        <v xml:space="preserve">FREDERICO-WESTFALEN </v>
      </c>
      <c r="C30" s="322" t="str">
        <f>'1-ABA-DE-CARREGAMENTO'!E33</f>
        <v>A NÃO TEM MAIS POSTOS-00</v>
      </c>
      <c r="D30" s="313">
        <v>0</v>
      </c>
      <c r="E30" s="565">
        <v>0</v>
      </c>
      <c r="F30" s="566">
        <f t="shared" si="2"/>
        <v>0</v>
      </c>
    </row>
    <row r="31" spans="2:6" ht="15.75" hidden="1" customHeight="1">
      <c r="B31" s="311" t="str">
        <f t="shared" si="3"/>
        <v xml:space="preserve">FREDERICO-WESTFALEN </v>
      </c>
      <c r="C31" s="322" t="str">
        <f>'1-ABA-DE-CARREGAMENTO'!F33</f>
        <v>A NÃO TEM MAIS POSTOS-11</v>
      </c>
      <c r="D31" s="313">
        <v>0</v>
      </c>
      <c r="E31" s="565">
        <v>0</v>
      </c>
      <c r="F31" s="566">
        <f t="shared" si="2"/>
        <v>0</v>
      </c>
    </row>
    <row r="32" spans="2:6" ht="15.75" hidden="1" customHeight="1">
      <c r="B32" s="311" t="str">
        <f t="shared" si="3"/>
        <v xml:space="preserve">FREDERICO-WESTFALEN </v>
      </c>
      <c r="C32" s="322" t="str">
        <f>'1-ABA-DE-CARREGAMENTO'!G33</f>
        <v>A NÃO TEM MAIS POSTOS-22</v>
      </c>
      <c r="D32" s="313">
        <v>0</v>
      </c>
      <c r="E32" s="565">
        <v>0</v>
      </c>
      <c r="F32" s="566">
        <f t="shared" si="2"/>
        <v>0</v>
      </c>
    </row>
    <row r="33" spans="2:6" ht="15.75" hidden="1" customHeight="1">
      <c r="B33" s="311" t="str">
        <f t="shared" si="3"/>
        <v xml:space="preserve">FREDERICO-WESTFALEN </v>
      </c>
      <c r="C33" s="322" t="str">
        <f>'1-ABA-DE-CARREGAMENTO'!H33</f>
        <v>A NÃO TEM MAIS POSTOS-33</v>
      </c>
      <c r="D33" s="313">
        <v>0</v>
      </c>
      <c r="E33" s="565">
        <v>0</v>
      </c>
      <c r="F33" s="566">
        <f t="shared" si="2"/>
        <v>0</v>
      </c>
    </row>
    <row r="34" spans="2:6" ht="15.75" hidden="1" customHeight="1">
      <c r="B34" s="311" t="str">
        <f t="shared" si="3"/>
        <v xml:space="preserve">FREDERICO-WESTFALEN </v>
      </c>
      <c r="C34" s="322" t="str">
        <f>'1-ABA-DE-CARREGAMENTO'!I33</f>
        <v>A NÃO TEM MAIS POSTOS-44</v>
      </c>
      <c r="D34" s="313">
        <v>0</v>
      </c>
      <c r="E34" s="565">
        <v>0</v>
      </c>
      <c r="F34" s="566">
        <f t="shared" si="2"/>
        <v>0</v>
      </c>
    </row>
    <row r="35" spans="2:6" ht="15.75" hidden="1" customHeight="1">
      <c r="B35" s="311" t="str">
        <f t="shared" si="3"/>
        <v xml:space="preserve">FREDERICO-WESTFALEN </v>
      </c>
      <c r="C35" s="322" t="str">
        <f>'1-ABA-DE-CARREGAMENTO'!J33</f>
        <v>A NÃO TEM MAIS POSTOS-55</v>
      </c>
      <c r="D35" s="313">
        <v>0</v>
      </c>
      <c r="E35" s="565">
        <v>0</v>
      </c>
      <c r="F35" s="566">
        <f t="shared" si="2"/>
        <v>0</v>
      </c>
    </row>
    <row r="36" spans="2:6" ht="15.75" hidden="1" customHeight="1">
      <c r="B36" s="311" t="str">
        <f t="shared" si="3"/>
        <v xml:space="preserve">FREDERICO-WESTFALEN </v>
      </c>
      <c r="C36" s="322" t="str">
        <f>'1-ABA-DE-CARREGAMENTO'!K33</f>
        <v>A NÃO TEM MAIS POSTOS-66</v>
      </c>
      <c r="D36" s="313">
        <v>0</v>
      </c>
      <c r="E36" s="565">
        <v>0</v>
      </c>
      <c r="F36" s="566">
        <f t="shared" si="2"/>
        <v>0</v>
      </c>
    </row>
    <row r="37" spans="2:6" ht="15.75" hidden="1" customHeight="1">
      <c r="B37" s="311" t="str">
        <f t="shared" si="3"/>
        <v xml:space="preserve">FREDERICO-WESTFALEN </v>
      </c>
      <c r="C37" s="322" t="str">
        <f>'1-ABA-DE-CARREGAMENTO'!L33</f>
        <v>A NÃO TEM MAIS POSTOS-77</v>
      </c>
      <c r="D37" s="313">
        <v>0</v>
      </c>
      <c r="E37" s="565">
        <v>0</v>
      </c>
      <c r="F37" s="566">
        <f t="shared" si="2"/>
        <v>0</v>
      </c>
    </row>
    <row r="38" spans="2:6" ht="15.75" hidden="1" customHeight="1">
      <c r="B38" s="311" t="str">
        <f t="shared" si="3"/>
        <v xml:space="preserve">FREDERICO-WESTFALEN </v>
      </c>
      <c r="C38" s="322" t="str">
        <f>'1-ABA-DE-CARREGAMENTO'!M33</f>
        <v>A NÃO TEM MAIS POSTOS-88</v>
      </c>
      <c r="D38" s="313">
        <v>0</v>
      </c>
      <c r="E38" s="565">
        <v>0</v>
      </c>
      <c r="F38" s="566">
        <f t="shared" si="2"/>
        <v>0</v>
      </c>
    </row>
    <row r="39" spans="2:6" ht="15.75" hidden="1" customHeight="1">
      <c r="B39" s="311" t="str">
        <f t="shared" si="3"/>
        <v xml:space="preserve">FREDERICO-WESTFALEN </v>
      </c>
      <c r="C39" s="322" t="str">
        <f>'1-ABA-DE-CARREGAMENTO'!N33</f>
        <v>A NÃO TEM MAIS POSTOS-99</v>
      </c>
      <c r="D39" s="313">
        <v>0</v>
      </c>
      <c r="E39" s="565">
        <v>0</v>
      </c>
      <c r="F39" s="566">
        <f t="shared" si="2"/>
        <v>0</v>
      </c>
    </row>
    <row r="40" spans="2:6" ht="15.75" hidden="1" customHeight="1">
      <c r="B40" s="324" t="str">
        <f t="shared" si="3"/>
        <v xml:space="preserve">FREDERICO-WESTFALEN </v>
      </c>
      <c r="C40" s="324" t="s">
        <v>297</v>
      </c>
      <c r="D40" s="325">
        <f t="shared" ref="D40:F40" si="4">SUM(D28:D39)</f>
        <v>0</v>
      </c>
      <c r="E40" s="567" t="e">
        <f t="shared" si="4"/>
        <v>#DIV/0!</v>
      </c>
      <c r="F40" s="327">
        <f t="shared" si="4"/>
        <v>0</v>
      </c>
    </row>
    <row r="41" spans="2:6" ht="15.75" hidden="1" customHeight="1">
      <c r="E41" s="552"/>
      <c r="F41" s="553"/>
    </row>
    <row r="42" spans="2:6" ht="15.75" hidden="1" customHeight="1">
      <c r="B42" s="311" t="str">
        <f>CAMPUS.CONTRATANTE!D12</f>
        <v>JAGUARI</v>
      </c>
      <c r="C42" s="311" t="str">
        <f>'1-ABA-DE-CARREGAMENTO'!C33</f>
        <v>5173-30_VIGILANTE_12×36_diurn</v>
      </c>
      <c r="D42" s="313">
        <v>0</v>
      </c>
      <c r="E42" s="565" t="e">
        <v>#DIV/0!</v>
      </c>
      <c r="F42" s="566">
        <f t="shared" ref="F42:F53" si="5">IF(D42=0,0,E42)</f>
        <v>0</v>
      </c>
    </row>
    <row r="43" spans="2:6" ht="15.75" hidden="1" customHeight="1">
      <c r="B43" s="311" t="str">
        <f t="shared" ref="B43:B54" si="6">B42</f>
        <v>JAGUARI</v>
      </c>
      <c r="C43" s="311" t="str">
        <f>'1-ABA-DE-CARREGAMENTO'!D33</f>
        <v>5173-30_VIGILANTE_12×36_notur</v>
      </c>
      <c r="D43" s="313">
        <v>0</v>
      </c>
      <c r="E43" s="565" t="e">
        <v>#DIV/0!</v>
      </c>
      <c r="F43" s="566">
        <f t="shared" si="5"/>
        <v>0</v>
      </c>
    </row>
    <row r="44" spans="2:6" ht="15.75" hidden="1" customHeight="1">
      <c r="B44" s="311" t="str">
        <f t="shared" si="6"/>
        <v>JAGUARI</v>
      </c>
      <c r="C44" s="322" t="str">
        <f>'1-ABA-DE-CARREGAMENTO'!E33</f>
        <v>A NÃO TEM MAIS POSTOS-00</v>
      </c>
      <c r="D44" s="313">
        <v>0</v>
      </c>
      <c r="E44" s="565">
        <v>0</v>
      </c>
      <c r="F44" s="566">
        <f t="shared" si="5"/>
        <v>0</v>
      </c>
    </row>
    <row r="45" spans="2:6" ht="15.75" hidden="1" customHeight="1">
      <c r="B45" s="311" t="str">
        <f t="shared" si="6"/>
        <v>JAGUARI</v>
      </c>
      <c r="C45" s="322" t="str">
        <f>'1-ABA-DE-CARREGAMENTO'!F33</f>
        <v>A NÃO TEM MAIS POSTOS-11</v>
      </c>
      <c r="D45" s="313">
        <v>0</v>
      </c>
      <c r="E45" s="565">
        <v>0</v>
      </c>
      <c r="F45" s="566">
        <f t="shared" si="5"/>
        <v>0</v>
      </c>
    </row>
    <row r="46" spans="2:6" ht="15.75" hidden="1" customHeight="1">
      <c r="B46" s="311" t="str">
        <f t="shared" si="6"/>
        <v>JAGUARI</v>
      </c>
      <c r="C46" s="322" t="str">
        <f>'1-ABA-DE-CARREGAMENTO'!G33</f>
        <v>A NÃO TEM MAIS POSTOS-22</v>
      </c>
      <c r="D46" s="313">
        <v>0</v>
      </c>
      <c r="E46" s="565">
        <v>0</v>
      </c>
      <c r="F46" s="566">
        <f t="shared" si="5"/>
        <v>0</v>
      </c>
    </row>
    <row r="47" spans="2:6" ht="15.75" hidden="1" customHeight="1">
      <c r="B47" s="311" t="str">
        <f t="shared" si="6"/>
        <v>JAGUARI</v>
      </c>
      <c r="C47" s="322" t="str">
        <f>'1-ABA-DE-CARREGAMENTO'!H33</f>
        <v>A NÃO TEM MAIS POSTOS-33</v>
      </c>
      <c r="D47" s="313">
        <v>0</v>
      </c>
      <c r="E47" s="565">
        <v>0</v>
      </c>
      <c r="F47" s="566">
        <f t="shared" si="5"/>
        <v>0</v>
      </c>
    </row>
    <row r="48" spans="2:6" ht="15.75" hidden="1" customHeight="1">
      <c r="B48" s="311" t="str">
        <f t="shared" si="6"/>
        <v>JAGUARI</v>
      </c>
      <c r="C48" s="322" t="str">
        <f>'1-ABA-DE-CARREGAMENTO'!I33</f>
        <v>A NÃO TEM MAIS POSTOS-44</v>
      </c>
      <c r="D48" s="313">
        <v>0</v>
      </c>
      <c r="E48" s="565">
        <v>0</v>
      </c>
      <c r="F48" s="566">
        <f t="shared" si="5"/>
        <v>0</v>
      </c>
    </row>
    <row r="49" spans="2:6" ht="15.75" hidden="1" customHeight="1">
      <c r="B49" s="311" t="str">
        <f t="shared" si="6"/>
        <v>JAGUARI</v>
      </c>
      <c r="C49" s="322" t="str">
        <f>'1-ABA-DE-CARREGAMENTO'!J33</f>
        <v>A NÃO TEM MAIS POSTOS-55</v>
      </c>
      <c r="D49" s="313">
        <v>0</v>
      </c>
      <c r="E49" s="565">
        <v>0</v>
      </c>
      <c r="F49" s="566">
        <f t="shared" si="5"/>
        <v>0</v>
      </c>
    </row>
    <row r="50" spans="2:6" ht="15.75" hidden="1" customHeight="1">
      <c r="B50" s="311" t="str">
        <f t="shared" si="6"/>
        <v>JAGUARI</v>
      </c>
      <c r="C50" s="322" t="str">
        <f>'1-ABA-DE-CARREGAMENTO'!K33</f>
        <v>A NÃO TEM MAIS POSTOS-66</v>
      </c>
      <c r="D50" s="313">
        <v>0</v>
      </c>
      <c r="E50" s="565">
        <v>0</v>
      </c>
      <c r="F50" s="566">
        <f t="shared" si="5"/>
        <v>0</v>
      </c>
    </row>
    <row r="51" spans="2:6" ht="15.75" hidden="1" customHeight="1">
      <c r="B51" s="311" t="str">
        <f t="shared" si="6"/>
        <v>JAGUARI</v>
      </c>
      <c r="C51" s="322" t="str">
        <f>'1-ABA-DE-CARREGAMENTO'!L33</f>
        <v>A NÃO TEM MAIS POSTOS-77</v>
      </c>
      <c r="D51" s="313">
        <v>0</v>
      </c>
      <c r="E51" s="565">
        <v>0</v>
      </c>
      <c r="F51" s="566">
        <f t="shared" si="5"/>
        <v>0</v>
      </c>
    </row>
    <row r="52" spans="2:6" ht="15.75" hidden="1" customHeight="1">
      <c r="B52" s="311" t="str">
        <f t="shared" si="6"/>
        <v>JAGUARI</v>
      </c>
      <c r="C52" s="322" t="str">
        <f>'1-ABA-DE-CARREGAMENTO'!M33</f>
        <v>A NÃO TEM MAIS POSTOS-88</v>
      </c>
      <c r="D52" s="313">
        <v>0</v>
      </c>
      <c r="E52" s="565">
        <v>0</v>
      </c>
      <c r="F52" s="566">
        <f t="shared" si="5"/>
        <v>0</v>
      </c>
    </row>
    <row r="53" spans="2:6" ht="15.75" hidden="1" customHeight="1">
      <c r="B53" s="311" t="str">
        <f t="shared" si="6"/>
        <v>JAGUARI</v>
      </c>
      <c r="C53" s="322" t="str">
        <f>'1-ABA-DE-CARREGAMENTO'!N33</f>
        <v>A NÃO TEM MAIS POSTOS-99</v>
      </c>
      <c r="D53" s="313">
        <v>0</v>
      </c>
      <c r="E53" s="565">
        <v>0</v>
      </c>
      <c r="F53" s="566">
        <f t="shared" si="5"/>
        <v>0</v>
      </c>
    </row>
    <row r="54" spans="2:6" ht="15.75" hidden="1" customHeight="1">
      <c r="B54" s="324" t="str">
        <f t="shared" si="6"/>
        <v>JAGUARI</v>
      </c>
      <c r="C54" s="324" t="s">
        <v>297</v>
      </c>
      <c r="D54" s="325">
        <f t="shared" ref="D54:F54" si="7">SUM(D42:D53)</f>
        <v>0</v>
      </c>
      <c r="E54" s="567" t="e">
        <f t="shared" si="7"/>
        <v>#DIV/0!</v>
      </c>
      <c r="F54" s="327">
        <f t="shared" si="7"/>
        <v>0</v>
      </c>
    </row>
    <row r="55" spans="2:6" ht="15.75" customHeight="1">
      <c r="E55" s="552"/>
      <c r="F55" s="553"/>
    </row>
    <row r="56" spans="2:6" ht="15.75" customHeight="1">
      <c r="B56" s="311" t="str">
        <f>CAMPUS.CONTRATANTE!D13</f>
        <v xml:space="preserve">JULIO-DE-CASTILHOS </v>
      </c>
      <c r="C56" s="311" t="str">
        <f>'1-ABA-DE-CARREGAMENTO'!C33</f>
        <v>5173-30_VIGILANTE_12×36_diurn</v>
      </c>
      <c r="D56" s="313">
        <v>1</v>
      </c>
      <c r="E56" s="565">
        <v>11593.900000000001</v>
      </c>
      <c r="F56" s="566">
        <f t="shared" ref="F56:F67" si="8">IF(D56=0,0,E56)</f>
        <v>11593.900000000001</v>
      </c>
    </row>
    <row r="57" spans="2:6" ht="15.75" customHeight="1">
      <c r="B57" s="311" t="str">
        <f t="shared" ref="B57:B68" si="9">B56</f>
        <v xml:space="preserve">JULIO-DE-CASTILHOS </v>
      </c>
      <c r="C57" s="311" t="str">
        <f>'1-ABA-DE-CARREGAMENTO'!D33</f>
        <v>5173-30_VIGILANTE_12×36_notur</v>
      </c>
      <c r="D57" s="313">
        <v>2</v>
      </c>
      <c r="E57" s="565">
        <v>14756.69</v>
      </c>
      <c r="F57" s="566">
        <f t="shared" si="8"/>
        <v>14756.69</v>
      </c>
    </row>
    <row r="58" spans="2:6" ht="15.75" hidden="1" customHeight="1">
      <c r="B58" s="311" t="str">
        <f t="shared" si="9"/>
        <v xml:space="preserve">JULIO-DE-CASTILHOS </v>
      </c>
      <c r="C58" s="322" t="str">
        <f>'1-ABA-DE-CARREGAMENTO'!E33</f>
        <v>A NÃO TEM MAIS POSTOS-00</v>
      </c>
      <c r="D58" s="313">
        <v>0</v>
      </c>
      <c r="E58" s="565">
        <v>0</v>
      </c>
      <c r="F58" s="566">
        <f t="shared" si="8"/>
        <v>0</v>
      </c>
    </row>
    <row r="59" spans="2:6" ht="15.75" hidden="1" customHeight="1">
      <c r="B59" s="311" t="str">
        <f t="shared" si="9"/>
        <v xml:space="preserve">JULIO-DE-CASTILHOS </v>
      </c>
      <c r="C59" s="322" t="str">
        <f>'1-ABA-DE-CARREGAMENTO'!F33</f>
        <v>A NÃO TEM MAIS POSTOS-11</v>
      </c>
      <c r="D59" s="313">
        <v>0</v>
      </c>
      <c r="E59" s="565">
        <v>0</v>
      </c>
      <c r="F59" s="566">
        <f t="shared" si="8"/>
        <v>0</v>
      </c>
    </row>
    <row r="60" spans="2:6" ht="15.75" hidden="1" customHeight="1">
      <c r="B60" s="311" t="str">
        <f t="shared" si="9"/>
        <v xml:space="preserve">JULIO-DE-CASTILHOS </v>
      </c>
      <c r="C60" s="322" t="str">
        <f>'1-ABA-DE-CARREGAMENTO'!G33</f>
        <v>A NÃO TEM MAIS POSTOS-22</v>
      </c>
      <c r="D60" s="313">
        <v>0</v>
      </c>
      <c r="E60" s="565">
        <v>0</v>
      </c>
      <c r="F60" s="566">
        <f t="shared" si="8"/>
        <v>0</v>
      </c>
    </row>
    <row r="61" spans="2:6" ht="15.75" hidden="1" customHeight="1">
      <c r="B61" s="311" t="str">
        <f t="shared" si="9"/>
        <v xml:space="preserve">JULIO-DE-CASTILHOS </v>
      </c>
      <c r="C61" s="322" t="str">
        <f>'1-ABA-DE-CARREGAMENTO'!H33</f>
        <v>A NÃO TEM MAIS POSTOS-33</v>
      </c>
      <c r="D61" s="313">
        <v>0</v>
      </c>
      <c r="E61" s="565">
        <v>0</v>
      </c>
      <c r="F61" s="566">
        <f t="shared" si="8"/>
        <v>0</v>
      </c>
    </row>
    <row r="62" spans="2:6" ht="15.75" hidden="1" customHeight="1">
      <c r="B62" s="311" t="str">
        <f t="shared" si="9"/>
        <v xml:space="preserve">JULIO-DE-CASTILHOS </v>
      </c>
      <c r="C62" s="322" t="str">
        <f>'1-ABA-DE-CARREGAMENTO'!I33</f>
        <v>A NÃO TEM MAIS POSTOS-44</v>
      </c>
      <c r="D62" s="313">
        <v>0</v>
      </c>
      <c r="E62" s="565">
        <v>0</v>
      </c>
      <c r="F62" s="566">
        <f t="shared" si="8"/>
        <v>0</v>
      </c>
    </row>
    <row r="63" spans="2:6" ht="15.75" hidden="1" customHeight="1">
      <c r="B63" s="311" t="str">
        <f t="shared" si="9"/>
        <v xml:space="preserve">JULIO-DE-CASTILHOS </v>
      </c>
      <c r="C63" s="322" t="str">
        <f>'1-ABA-DE-CARREGAMENTO'!J33</f>
        <v>A NÃO TEM MAIS POSTOS-55</v>
      </c>
      <c r="D63" s="313">
        <v>0</v>
      </c>
      <c r="E63" s="565">
        <v>0</v>
      </c>
      <c r="F63" s="566">
        <f t="shared" si="8"/>
        <v>0</v>
      </c>
    </row>
    <row r="64" spans="2:6" ht="15.75" hidden="1" customHeight="1">
      <c r="B64" s="311" t="str">
        <f t="shared" si="9"/>
        <v xml:space="preserve">JULIO-DE-CASTILHOS </v>
      </c>
      <c r="C64" s="322" t="str">
        <f>'1-ABA-DE-CARREGAMENTO'!K33</f>
        <v>A NÃO TEM MAIS POSTOS-66</v>
      </c>
      <c r="D64" s="313">
        <v>0</v>
      </c>
      <c r="E64" s="565">
        <v>0</v>
      </c>
      <c r="F64" s="566">
        <f t="shared" si="8"/>
        <v>0</v>
      </c>
    </row>
    <row r="65" spans="2:6" ht="15.75" hidden="1" customHeight="1">
      <c r="B65" s="311" t="str">
        <f t="shared" si="9"/>
        <v xml:space="preserve">JULIO-DE-CASTILHOS </v>
      </c>
      <c r="C65" s="322" t="str">
        <f>'1-ABA-DE-CARREGAMENTO'!L33</f>
        <v>A NÃO TEM MAIS POSTOS-77</v>
      </c>
      <c r="D65" s="313">
        <v>0</v>
      </c>
      <c r="E65" s="565">
        <v>0</v>
      </c>
      <c r="F65" s="566">
        <f t="shared" si="8"/>
        <v>0</v>
      </c>
    </row>
    <row r="66" spans="2:6" ht="15.75" hidden="1" customHeight="1">
      <c r="B66" s="311" t="str">
        <f t="shared" si="9"/>
        <v xml:space="preserve">JULIO-DE-CASTILHOS </v>
      </c>
      <c r="C66" s="322" t="str">
        <f>'1-ABA-DE-CARREGAMENTO'!M33</f>
        <v>A NÃO TEM MAIS POSTOS-88</v>
      </c>
      <c r="D66" s="313">
        <v>0</v>
      </c>
      <c r="E66" s="565">
        <v>0</v>
      </c>
      <c r="F66" s="566">
        <f t="shared" si="8"/>
        <v>0</v>
      </c>
    </row>
    <row r="67" spans="2:6" ht="15.75" hidden="1" customHeight="1">
      <c r="B67" s="311" t="str">
        <f t="shared" si="9"/>
        <v xml:space="preserve">JULIO-DE-CASTILHOS </v>
      </c>
      <c r="C67" s="322" t="str">
        <f>'1-ABA-DE-CARREGAMENTO'!N33</f>
        <v>A NÃO TEM MAIS POSTOS-99</v>
      </c>
      <c r="D67" s="313">
        <v>0</v>
      </c>
      <c r="E67" s="565">
        <v>0</v>
      </c>
      <c r="F67" s="566">
        <f t="shared" si="8"/>
        <v>0</v>
      </c>
    </row>
    <row r="68" spans="2:6" ht="15.75" customHeight="1">
      <c r="B68" s="324" t="str">
        <f t="shared" si="9"/>
        <v xml:space="preserve">JULIO-DE-CASTILHOS </v>
      </c>
      <c r="C68" s="324" t="s">
        <v>297</v>
      </c>
      <c r="D68" s="325">
        <f>SUM(D56:D67)</f>
        <v>3</v>
      </c>
      <c r="E68" s="567"/>
      <c r="F68" s="327">
        <f>SUM(F56:F67)</f>
        <v>26350.590000000004</v>
      </c>
    </row>
    <row r="69" spans="2:6" ht="15.75" customHeight="1">
      <c r="E69" s="552"/>
      <c r="F69" s="553"/>
    </row>
    <row r="70" spans="2:6" ht="15.75" hidden="1" customHeight="1">
      <c r="B70" s="311" t="str">
        <f>CAMPUS.CONTRATANTE!D14</f>
        <v xml:space="preserve">PANAMBI </v>
      </c>
      <c r="C70" s="311" t="str">
        <f>'1-ABA-DE-CARREGAMENTO'!C33</f>
        <v>5173-30_VIGILANTE_12×36_diurn</v>
      </c>
      <c r="D70" s="313">
        <v>0</v>
      </c>
      <c r="E70" s="565" t="e">
        <v>#DIV/0!</v>
      </c>
      <c r="F70" s="566">
        <f t="shared" ref="F70:F81" si="10">IF(D70=0,0,E70)</f>
        <v>0</v>
      </c>
    </row>
    <row r="71" spans="2:6" ht="15.75" hidden="1" customHeight="1">
      <c r="B71" s="311" t="str">
        <f t="shared" ref="B71:B82" si="11">B70</f>
        <v xml:space="preserve">PANAMBI </v>
      </c>
      <c r="C71" s="311" t="str">
        <f>'1-ABA-DE-CARREGAMENTO'!D33</f>
        <v>5173-30_VIGILANTE_12×36_notur</v>
      </c>
      <c r="D71" s="313">
        <v>0</v>
      </c>
      <c r="E71" s="565" t="e">
        <v>#DIV/0!</v>
      </c>
      <c r="F71" s="566">
        <f t="shared" si="10"/>
        <v>0</v>
      </c>
    </row>
    <row r="72" spans="2:6" ht="15.75" hidden="1" customHeight="1">
      <c r="B72" s="311" t="str">
        <f t="shared" si="11"/>
        <v xml:space="preserve">PANAMBI </v>
      </c>
      <c r="C72" s="322" t="str">
        <f>'1-ABA-DE-CARREGAMENTO'!E33</f>
        <v>A NÃO TEM MAIS POSTOS-00</v>
      </c>
      <c r="D72" s="313">
        <v>0</v>
      </c>
      <c r="E72" s="565">
        <v>0</v>
      </c>
      <c r="F72" s="566">
        <f t="shared" si="10"/>
        <v>0</v>
      </c>
    </row>
    <row r="73" spans="2:6" ht="15.75" hidden="1" customHeight="1">
      <c r="B73" s="311" t="str">
        <f t="shared" si="11"/>
        <v xml:space="preserve">PANAMBI </v>
      </c>
      <c r="C73" s="322" t="str">
        <f>'1-ABA-DE-CARREGAMENTO'!F33</f>
        <v>A NÃO TEM MAIS POSTOS-11</v>
      </c>
      <c r="D73" s="313">
        <v>0</v>
      </c>
      <c r="E73" s="565">
        <v>0</v>
      </c>
      <c r="F73" s="566">
        <f t="shared" si="10"/>
        <v>0</v>
      </c>
    </row>
    <row r="74" spans="2:6" ht="15.75" hidden="1" customHeight="1">
      <c r="B74" s="311" t="str">
        <f t="shared" si="11"/>
        <v xml:space="preserve">PANAMBI </v>
      </c>
      <c r="C74" s="322" t="str">
        <f>'1-ABA-DE-CARREGAMENTO'!G33</f>
        <v>A NÃO TEM MAIS POSTOS-22</v>
      </c>
      <c r="D74" s="313">
        <v>0</v>
      </c>
      <c r="E74" s="565">
        <v>0</v>
      </c>
      <c r="F74" s="566">
        <f t="shared" si="10"/>
        <v>0</v>
      </c>
    </row>
    <row r="75" spans="2:6" ht="15.75" hidden="1" customHeight="1">
      <c r="B75" s="311" t="str">
        <f t="shared" si="11"/>
        <v xml:space="preserve">PANAMBI </v>
      </c>
      <c r="C75" s="322" t="str">
        <f>'1-ABA-DE-CARREGAMENTO'!H33</f>
        <v>A NÃO TEM MAIS POSTOS-33</v>
      </c>
      <c r="D75" s="313">
        <v>0</v>
      </c>
      <c r="E75" s="565">
        <v>0</v>
      </c>
      <c r="F75" s="566">
        <f t="shared" si="10"/>
        <v>0</v>
      </c>
    </row>
    <row r="76" spans="2:6" ht="15.75" hidden="1" customHeight="1">
      <c r="B76" s="311" t="str">
        <f t="shared" si="11"/>
        <v xml:space="preserve">PANAMBI </v>
      </c>
      <c r="C76" s="322" t="str">
        <f>'1-ABA-DE-CARREGAMENTO'!I33</f>
        <v>A NÃO TEM MAIS POSTOS-44</v>
      </c>
      <c r="D76" s="313">
        <v>0</v>
      </c>
      <c r="E76" s="565">
        <v>0</v>
      </c>
      <c r="F76" s="566">
        <f t="shared" si="10"/>
        <v>0</v>
      </c>
    </row>
    <row r="77" spans="2:6" ht="15.75" hidden="1" customHeight="1">
      <c r="B77" s="311" t="str">
        <f t="shared" si="11"/>
        <v xml:space="preserve">PANAMBI </v>
      </c>
      <c r="C77" s="322" t="str">
        <f>'1-ABA-DE-CARREGAMENTO'!J33</f>
        <v>A NÃO TEM MAIS POSTOS-55</v>
      </c>
      <c r="D77" s="313">
        <v>0</v>
      </c>
      <c r="E77" s="565">
        <v>0</v>
      </c>
      <c r="F77" s="566">
        <f t="shared" si="10"/>
        <v>0</v>
      </c>
    </row>
    <row r="78" spans="2:6" ht="15.75" hidden="1" customHeight="1">
      <c r="B78" s="311" t="str">
        <f t="shared" si="11"/>
        <v xml:space="preserve">PANAMBI </v>
      </c>
      <c r="C78" s="322" t="str">
        <f>'1-ABA-DE-CARREGAMENTO'!K33</f>
        <v>A NÃO TEM MAIS POSTOS-66</v>
      </c>
      <c r="D78" s="313">
        <v>0</v>
      </c>
      <c r="E78" s="565">
        <v>0</v>
      </c>
      <c r="F78" s="566">
        <f t="shared" si="10"/>
        <v>0</v>
      </c>
    </row>
    <row r="79" spans="2:6" ht="15.75" hidden="1" customHeight="1">
      <c r="B79" s="311" t="str">
        <f t="shared" si="11"/>
        <v xml:space="preserve">PANAMBI </v>
      </c>
      <c r="C79" s="322" t="str">
        <f>'1-ABA-DE-CARREGAMENTO'!L33</f>
        <v>A NÃO TEM MAIS POSTOS-77</v>
      </c>
      <c r="D79" s="313">
        <v>0</v>
      </c>
      <c r="E79" s="565">
        <v>0</v>
      </c>
      <c r="F79" s="566">
        <f t="shared" si="10"/>
        <v>0</v>
      </c>
    </row>
    <row r="80" spans="2:6" ht="15.75" hidden="1" customHeight="1">
      <c r="B80" s="311" t="str">
        <f t="shared" si="11"/>
        <v xml:space="preserve">PANAMBI </v>
      </c>
      <c r="C80" s="322" t="str">
        <f>'1-ABA-DE-CARREGAMENTO'!M33</f>
        <v>A NÃO TEM MAIS POSTOS-88</v>
      </c>
      <c r="D80" s="313">
        <v>0</v>
      </c>
      <c r="E80" s="565">
        <v>0</v>
      </c>
      <c r="F80" s="566">
        <f t="shared" si="10"/>
        <v>0</v>
      </c>
    </row>
    <row r="81" spans="2:6" ht="15.75" hidden="1" customHeight="1">
      <c r="B81" s="311" t="str">
        <f t="shared" si="11"/>
        <v xml:space="preserve">PANAMBI </v>
      </c>
      <c r="C81" s="322" t="str">
        <f>'1-ABA-DE-CARREGAMENTO'!N33</f>
        <v>A NÃO TEM MAIS POSTOS-99</v>
      </c>
      <c r="D81" s="313">
        <v>0</v>
      </c>
      <c r="E81" s="565">
        <v>0</v>
      </c>
      <c r="F81" s="566">
        <f t="shared" si="10"/>
        <v>0</v>
      </c>
    </row>
    <row r="82" spans="2:6" ht="15.75" hidden="1" customHeight="1">
      <c r="B82" s="324" t="str">
        <f t="shared" si="11"/>
        <v xml:space="preserve">PANAMBI </v>
      </c>
      <c r="C82" s="324" t="s">
        <v>297</v>
      </c>
      <c r="D82" s="325">
        <f t="shared" ref="D82:F82" si="12">SUM(D70:D81)</f>
        <v>0</v>
      </c>
      <c r="E82" s="567" t="e">
        <f t="shared" si="12"/>
        <v>#DIV/0!</v>
      </c>
      <c r="F82" s="327">
        <f t="shared" si="12"/>
        <v>0</v>
      </c>
    </row>
    <row r="83" spans="2:6" ht="15.75" hidden="1" customHeight="1">
      <c r="E83" s="313">
        <f>'1-ABA-DE-CARREGAMENTO'!D160</f>
        <v>0</v>
      </c>
      <c r="F83" s="553"/>
    </row>
    <row r="84" spans="2:6" ht="15.75" hidden="1" customHeight="1">
      <c r="B84" s="311" t="str">
        <f>CAMPUS.CONTRATANTE!D15</f>
        <v>SANTA-MARIA</v>
      </c>
      <c r="C84" s="311" t="str">
        <f>'1-ABA-DE-CARREGAMENTO'!C33</f>
        <v>5173-30_VIGILANTE_12×36_diurn</v>
      </c>
      <c r="D84" s="313">
        <v>0</v>
      </c>
      <c r="E84" s="315" t="e">
        <v>#DIV/0!</v>
      </c>
      <c r="F84" s="566">
        <f t="shared" ref="F84:F95" si="13">IF(D84=0,0,E84)</f>
        <v>0</v>
      </c>
    </row>
    <row r="85" spans="2:6" ht="15.75" hidden="1" customHeight="1">
      <c r="B85" s="311" t="str">
        <f t="shared" ref="B85:B96" si="14">B84</f>
        <v>SANTA-MARIA</v>
      </c>
      <c r="C85" s="311" t="str">
        <f>'1-ABA-DE-CARREGAMENTO'!D33</f>
        <v>5173-30_VIGILANTE_12×36_notur</v>
      </c>
      <c r="D85" s="313">
        <v>0</v>
      </c>
      <c r="E85" s="315" t="e">
        <v>#DIV/0!</v>
      </c>
      <c r="F85" s="566">
        <f t="shared" si="13"/>
        <v>0</v>
      </c>
    </row>
    <row r="86" spans="2:6" ht="15.75" hidden="1" customHeight="1">
      <c r="B86" s="311" t="str">
        <f t="shared" si="14"/>
        <v>SANTA-MARIA</v>
      </c>
      <c r="C86" s="322" t="str">
        <f>'1-ABA-DE-CARREGAMENTO'!E33</f>
        <v>A NÃO TEM MAIS POSTOS-00</v>
      </c>
      <c r="D86" s="313">
        <v>0</v>
      </c>
      <c r="E86" s="315">
        <v>0</v>
      </c>
      <c r="F86" s="566">
        <f t="shared" si="13"/>
        <v>0</v>
      </c>
    </row>
    <row r="87" spans="2:6" ht="15.75" hidden="1" customHeight="1">
      <c r="B87" s="311" t="str">
        <f t="shared" si="14"/>
        <v>SANTA-MARIA</v>
      </c>
      <c r="C87" s="322" t="str">
        <f>'1-ABA-DE-CARREGAMENTO'!F33</f>
        <v>A NÃO TEM MAIS POSTOS-11</v>
      </c>
      <c r="D87" s="313">
        <v>0</v>
      </c>
      <c r="E87" s="315">
        <v>0</v>
      </c>
      <c r="F87" s="566">
        <f t="shared" si="13"/>
        <v>0</v>
      </c>
    </row>
    <row r="88" spans="2:6" ht="15.75" hidden="1" customHeight="1">
      <c r="B88" s="311" t="str">
        <f t="shared" si="14"/>
        <v>SANTA-MARIA</v>
      </c>
      <c r="C88" s="322" t="str">
        <f>'1-ABA-DE-CARREGAMENTO'!G33</f>
        <v>A NÃO TEM MAIS POSTOS-22</v>
      </c>
      <c r="D88" s="313">
        <v>0</v>
      </c>
      <c r="E88" s="315">
        <v>0</v>
      </c>
      <c r="F88" s="566">
        <f t="shared" si="13"/>
        <v>0</v>
      </c>
    </row>
    <row r="89" spans="2:6" ht="15.75" hidden="1" customHeight="1">
      <c r="B89" s="311" t="str">
        <f t="shared" si="14"/>
        <v>SANTA-MARIA</v>
      </c>
      <c r="C89" s="322" t="str">
        <f>'1-ABA-DE-CARREGAMENTO'!H33</f>
        <v>A NÃO TEM MAIS POSTOS-33</v>
      </c>
      <c r="D89" s="313">
        <v>0</v>
      </c>
      <c r="E89" s="315">
        <v>0</v>
      </c>
      <c r="F89" s="566">
        <f t="shared" si="13"/>
        <v>0</v>
      </c>
    </row>
    <row r="90" spans="2:6" ht="15.75" hidden="1" customHeight="1">
      <c r="B90" s="311" t="str">
        <f t="shared" si="14"/>
        <v>SANTA-MARIA</v>
      </c>
      <c r="C90" s="322" t="str">
        <f>'1-ABA-DE-CARREGAMENTO'!I33</f>
        <v>A NÃO TEM MAIS POSTOS-44</v>
      </c>
      <c r="D90" s="313">
        <v>0</v>
      </c>
      <c r="E90" s="315">
        <v>0</v>
      </c>
      <c r="F90" s="566">
        <f t="shared" si="13"/>
        <v>0</v>
      </c>
    </row>
    <row r="91" spans="2:6" ht="15.75" hidden="1" customHeight="1">
      <c r="B91" s="311" t="str">
        <f t="shared" si="14"/>
        <v>SANTA-MARIA</v>
      </c>
      <c r="C91" s="322" t="str">
        <f>'1-ABA-DE-CARREGAMENTO'!J33</f>
        <v>A NÃO TEM MAIS POSTOS-55</v>
      </c>
      <c r="D91" s="313">
        <v>0</v>
      </c>
      <c r="E91" s="315">
        <v>0</v>
      </c>
      <c r="F91" s="566">
        <f t="shared" si="13"/>
        <v>0</v>
      </c>
    </row>
    <row r="92" spans="2:6" ht="15.75" hidden="1" customHeight="1">
      <c r="B92" s="311" t="str">
        <f t="shared" si="14"/>
        <v>SANTA-MARIA</v>
      </c>
      <c r="C92" s="322" t="str">
        <f>'1-ABA-DE-CARREGAMENTO'!K33</f>
        <v>A NÃO TEM MAIS POSTOS-66</v>
      </c>
      <c r="D92" s="313">
        <v>0</v>
      </c>
      <c r="E92" s="315">
        <v>0</v>
      </c>
      <c r="F92" s="566">
        <f t="shared" si="13"/>
        <v>0</v>
      </c>
    </row>
    <row r="93" spans="2:6" ht="15.75" hidden="1" customHeight="1">
      <c r="B93" s="311" t="str">
        <f t="shared" si="14"/>
        <v>SANTA-MARIA</v>
      </c>
      <c r="C93" s="322" t="str">
        <f>'1-ABA-DE-CARREGAMENTO'!L33</f>
        <v>A NÃO TEM MAIS POSTOS-77</v>
      </c>
      <c r="D93" s="313">
        <v>0</v>
      </c>
      <c r="E93" s="315">
        <v>0</v>
      </c>
      <c r="F93" s="566">
        <f t="shared" si="13"/>
        <v>0</v>
      </c>
    </row>
    <row r="94" spans="2:6" ht="15.75" hidden="1" customHeight="1">
      <c r="B94" s="311" t="str">
        <f t="shared" si="14"/>
        <v>SANTA-MARIA</v>
      </c>
      <c r="C94" s="322" t="str">
        <f>'1-ABA-DE-CARREGAMENTO'!M33</f>
        <v>A NÃO TEM MAIS POSTOS-88</v>
      </c>
      <c r="D94" s="313">
        <v>0</v>
      </c>
      <c r="E94" s="315">
        <v>0</v>
      </c>
      <c r="F94" s="566">
        <f t="shared" si="13"/>
        <v>0</v>
      </c>
    </row>
    <row r="95" spans="2:6" ht="15.75" hidden="1" customHeight="1">
      <c r="B95" s="311" t="str">
        <f t="shared" si="14"/>
        <v>SANTA-MARIA</v>
      </c>
      <c r="C95" s="322" t="str">
        <f>'1-ABA-DE-CARREGAMENTO'!N33</f>
        <v>A NÃO TEM MAIS POSTOS-99</v>
      </c>
      <c r="D95" s="313">
        <v>0</v>
      </c>
      <c r="E95" s="315">
        <v>0</v>
      </c>
      <c r="F95" s="566">
        <f t="shared" si="13"/>
        <v>0</v>
      </c>
    </row>
    <row r="96" spans="2:6" ht="15.75" hidden="1" customHeight="1">
      <c r="B96" s="324" t="str">
        <f t="shared" si="14"/>
        <v>SANTA-MARIA</v>
      </c>
      <c r="C96" s="324" t="s">
        <v>297</v>
      </c>
      <c r="D96" s="325">
        <f t="shared" ref="D96:F96" si="15">SUM(D84:D95)</f>
        <v>0</v>
      </c>
      <c r="E96" s="567" t="e">
        <f t="shared" si="15"/>
        <v>#DIV/0!</v>
      </c>
      <c r="F96" s="327">
        <f t="shared" si="15"/>
        <v>0</v>
      </c>
    </row>
    <row r="97" spans="2:6" ht="15.75" hidden="1" customHeight="1">
      <c r="E97" s="552"/>
      <c r="F97" s="553"/>
    </row>
    <row r="98" spans="2:6" ht="15.75" hidden="1" customHeight="1">
      <c r="B98" s="311" t="str">
        <f>CAMPUS.CONTRATANTE!D16</f>
        <v xml:space="preserve">SANTA-ROSA </v>
      </c>
      <c r="C98" s="311" t="str">
        <f>'1-ABA-DE-CARREGAMENTO'!C33</f>
        <v>5173-30_VIGILANTE_12×36_diurn</v>
      </c>
      <c r="D98" s="313">
        <v>0</v>
      </c>
      <c r="E98" s="565" t="e">
        <v>#DIV/0!</v>
      </c>
      <c r="F98" s="566">
        <f t="shared" ref="F98:F109" si="16">IF(D98=0,0,E98)</f>
        <v>0</v>
      </c>
    </row>
    <row r="99" spans="2:6" ht="15.75" hidden="1" customHeight="1">
      <c r="B99" s="311" t="str">
        <f t="shared" ref="B99:B110" si="17">B98</f>
        <v xml:space="preserve">SANTA-ROSA </v>
      </c>
      <c r="C99" s="311" t="str">
        <f>'1-ABA-DE-CARREGAMENTO'!D33</f>
        <v>5173-30_VIGILANTE_12×36_notur</v>
      </c>
      <c r="D99" s="313">
        <v>0</v>
      </c>
      <c r="E99" s="565" t="e">
        <v>#DIV/0!</v>
      </c>
      <c r="F99" s="566">
        <f t="shared" si="16"/>
        <v>0</v>
      </c>
    </row>
    <row r="100" spans="2:6" ht="15.75" hidden="1" customHeight="1">
      <c r="B100" s="311" t="str">
        <f t="shared" si="17"/>
        <v xml:space="preserve">SANTA-ROSA </v>
      </c>
      <c r="C100" s="322" t="str">
        <f>'1-ABA-DE-CARREGAMENTO'!E33</f>
        <v>A NÃO TEM MAIS POSTOS-00</v>
      </c>
      <c r="D100" s="313">
        <v>0</v>
      </c>
      <c r="E100" s="565">
        <v>0</v>
      </c>
      <c r="F100" s="566">
        <f t="shared" si="16"/>
        <v>0</v>
      </c>
    </row>
    <row r="101" spans="2:6" ht="15.75" hidden="1" customHeight="1">
      <c r="B101" s="311" t="str">
        <f t="shared" si="17"/>
        <v xml:space="preserve">SANTA-ROSA </v>
      </c>
      <c r="C101" s="322" t="str">
        <f>'1-ABA-DE-CARREGAMENTO'!F33</f>
        <v>A NÃO TEM MAIS POSTOS-11</v>
      </c>
      <c r="D101" s="313">
        <v>0</v>
      </c>
      <c r="E101" s="565">
        <v>0</v>
      </c>
      <c r="F101" s="566">
        <f t="shared" si="16"/>
        <v>0</v>
      </c>
    </row>
    <row r="102" spans="2:6" ht="15.75" hidden="1" customHeight="1">
      <c r="B102" s="311" t="str">
        <f t="shared" si="17"/>
        <v xml:space="preserve">SANTA-ROSA </v>
      </c>
      <c r="C102" s="322" t="str">
        <f>'1-ABA-DE-CARREGAMENTO'!G33</f>
        <v>A NÃO TEM MAIS POSTOS-22</v>
      </c>
      <c r="D102" s="313">
        <v>0</v>
      </c>
      <c r="E102" s="565">
        <v>0</v>
      </c>
      <c r="F102" s="566">
        <f t="shared" si="16"/>
        <v>0</v>
      </c>
    </row>
    <row r="103" spans="2:6" ht="15.75" hidden="1" customHeight="1">
      <c r="B103" s="311" t="str">
        <f t="shared" si="17"/>
        <v xml:space="preserve">SANTA-ROSA </v>
      </c>
      <c r="C103" s="322" t="str">
        <f>'1-ABA-DE-CARREGAMENTO'!H33</f>
        <v>A NÃO TEM MAIS POSTOS-33</v>
      </c>
      <c r="D103" s="313">
        <v>0</v>
      </c>
      <c r="E103" s="565">
        <v>0</v>
      </c>
      <c r="F103" s="566">
        <f t="shared" si="16"/>
        <v>0</v>
      </c>
    </row>
    <row r="104" spans="2:6" ht="15.75" hidden="1" customHeight="1">
      <c r="B104" s="311" t="str">
        <f t="shared" si="17"/>
        <v xml:space="preserve">SANTA-ROSA </v>
      </c>
      <c r="C104" s="322" t="str">
        <f>'1-ABA-DE-CARREGAMENTO'!I33</f>
        <v>A NÃO TEM MAIS POSTOS-44</v>
      </c>
      <c r="D104" s="313">
        <v>0</v>
      </c>
      <c r="E104" s="565">
        <v>0</v>
      </c>
      <c r="F104" s="566">
        <f t="shared" si="16"/>
        <v>0</v>
      </c>
    </row>
    <row r="105" spans="2:6" ht="15.75" hidden="1" customHeight="1">
      <c r="B105" s="311" t="str">
        <f t="shared" si="17"/>
        <v xml:space="preserve">SANTA-ROSA </v>
      </c>
      <c r="C105" s="322" t="str">
        <f>'1-ABA-DE-CARREGAMENTO'!J33</f>
        <v>A NÃO TEM MAIS POSTOS-55</v>
      </c>
      <c r="D105" s="313">
        <v>0</v>
      </c>
      <c r="E105" s="565">
        <v>0</v>
      </c>
      <c r="F105" s="566">
        <f t="shared" si="16"/>
        <v>0</v>
      </c>
    </row>
    <row r="106" spans="2:6" ht="15.75" hidden="1" customHeight="1">
      <c r="B106" s="311" t="str">
        <f t="shared" si="17"/>
        <v xml:space="preserve">SANTA-ROSA </v>
      </c>
      <c r="C106" s="322" t="str">
        <f>'1-ABA-DE-CARREGAMENTO'!K33</f>
        <v>A NÃO TEM MAIS POSTOS-66</v>
      </c>
      <c r="D106" s="313">
        <v>0</v>
      </c>
      <c r="E106" s="565">
        <v>0</v>
      </c>
      <c r="F106" s="566">
        <f t="shared" si="16"/>
        <v>0</v>
      </c>
    </row>
    <row r="107" spans="2:6" ht="15.75" hidden="1" customHeight="1">
      <c r="B107" s="311" t="str">
        <f t="shared" si="17"/>
        <v xml:space="preserve">SANTA-ROSA </v>
      </c>
      <c r="C107" s="322" t="str">
        <f>'1-ABA-DE-CARREGAMENTO'!L33</f>
        <v>A NÃO TEM MAIS POSTOS-77</v>
      </c>
      <c r="D107" s="313">
        <v>0</v>
      </c>
      <c r="E107" s="565">
        <v>0</v>
      </c>
      <c r="F107" s="566">
        <f t="shared" si="16"/>
        <v>0</v>
      </c>
    </row>
    <row r="108" spans="2:6" ht="15.75" hidden="1" customHeight="1">
      <c r="B108" s="311" t="str">
        <f t="shared" si="17"/>
        <v xml:space="preserve">SANTA-ROSA </v>
      </c>
      <c r="C108" s="322" t="str">
        <f>'1-ABA-DE-CARREGAMENTO'!M33</f>
        <v>A NÃO TEM MAIS POSTOS-88</v>
      </c>
      <c r="D108" s="313">
        <v>0</v>
      </c>
      <c r="E108" s="565">
        <v>0</v>
      </c>
      <c r="F108" s="566">
        <f t="shared" si="16"/>
        <v>0</v>
      </c>
    </row>
    <row r="109" spans="2:6" ht="15.75" hidden="1" customHeight="1">
      <c r="B109" s="311" t="str">
        <f t="shared" si="17"/>
        <v xml:space="preserve">SANTA-ROSA </v>
      </c>
      <c r="C109" s="322" t="str">
        <f>'1-ABA-DE-CARREGAMENTO'!N33</f>
        <v>A NÃO TEM MAIS POSTOS-99</v>
      </c>
      <c r="D109" s="313">
        <v>0</v>
      </c>
      <c r="E109" s="565">
        <v>0</v>
      </c>
      <c r="F109" s="566">
        <f t="shared" si="16"/>
        <v>0</v>
      </c>
    </row>
    <row r="110" spans="2:6" ht="15.75" hidden="1" customHeight="1">
      <c r="B110" s="324" t="str">
        <f t="shared" si="17"/>
        <v xml:space="preserve">SANTA-ROSA </v>
      </c>
      <c r="C110" s="324" t="s">
        <v>297</v>
      </c>
      <c r="D110" s="325">
        <f t="shared" ref="D110:F110" si="18">SUM(D98:D109)</f>
        <v>0</v>
      </c>
      <c r="E110" s="567" t="e">
        <f t="shared" si="18"/>
        <v>#DIV/0!</v>
      </c>
      <c r="F110" s="327">
        <f t="shared" si="18"/>
        <v>0</v>
      </c>
    </row>
    <row r="111" spans="2:6" ht="15.75" hidden="1" customHeight="1">
      <c r="E111" s="552"/>
      <c r="F111" s="553"/>
    </row>
    <row r="112" spans="2:6" ht="15.75" hidden="1" customHeight="1">
      <c r="B112" s="311" t="str">
        <f>CAMPUS.CONTRATANTE!D17</f>
        <v xml:space="preserve">SANTO-ANGELO </v>
      </c>
      <c r="C112" s="311" t="str">
        <f>'1-ABA-DE-CARREGAMENTO'!C33</f>
        <v>5173-30_VIGILANTE_12×36_diurn</v>
      </c>
      <c r="D112" s="313">
        <v>0</v>
      </c>
      <c r="E112" s="565" t="e">
        <v>#DIV/0!</v>
      </c>
      <c r="F112" s="566">
        <f t="shared" ref="F112:F123" si="19">IF(D112=0,0,E112)</f>
        <v>0</v>
      </c>
    </row>
    <row r="113" spans="2:6" ht="15.75" hidden="1" customHeight="1">
      <c r="B113" s="311" t="str">
        <f t="shared" ref="B113:B124" si="20">B112</f>
        <v xml:space="preserve">SANTO-ANGELO </v>
      </c>
      <c r="C113" s="311" t="str">
        <f>'1-ABA-DE-CARREGAMENTO'!D33</f>
        <v>5173-30_VIGILANTE_12×36_notur</v>
      </c>
      <c r="D113" s="313">
        <v>0</v>
      </c>
      <c r="E113" s="565" t="e">
        <v>#DIV/0!</v>
      </c>
      <c r="F113" s="566">
        <f t="shared" si="19"/>
        <v>0</v>
      </c>
    </row>
    <row r="114" spans="2:6" ht="15.75" hidden="1" customHeight="1">
      <c r="B114" s="311" t="str">
        <f t="shared" si="20"/>
        <v xml:space="preserve">SANTO-ANGELO </v>
      </c>
      <c r="C114" s="322" t="str">
        <f>'1-ABA-DE-CARREGAMENTO'!E33</f>
        <v>A NÃO TEM MAIS POSTOS-00</v>
      </c>
      <c r="D114" s="313">
        <v>0</v>
      </c>
      <c r="E114" s="565">
        <v>0</v>
      </c>
      <c r="F114" s="566">
        <f t="shared" si="19"/>
        <v>0</v>
      </c>
    </row>
    <row r="115" spans="2:6" ht="15.75" hidden="1" customHeight="1">
      <c r="B115" s="311" t="str">
        <f t="shared" si="20"/>
        <v xml:space="preserve">SANTO-ANGELO </v>
      </c>
      <c r="C115" s="322" t="str">
        <f>'1-ABA-DE-CARREGAMENTO'!F33</f>
        <v>A NÃO TEM MAIS POSTOS-11</v>
      </c>
      <c r="D115" s="313">
        <v>0</v>
      </c>
      <c r="E115" s="565">
        <v>0</v>
      </c>
      <c r="F115" s="566">
        <f t="shared" si="19"/>
        <v>0</v>
      </c>
    </row>
    <row r="116" spans="2:6" ht="15.75" hidden="1" customHeight="1">
      <c r="B116" s="311" t="str">
        <f t="shared" si="20"/>
        <v xml:space="preserve">SANTO-ANGELO </v>
      </c>
      <c r="C116" s="322" t="str">
        <f>'1-ABA-DE-CARREGAMENTO'!G33</f>
        <v>A NÃO TEM MAIS POSTOS-22</v>
      </c>
      <c r="D116" s="313">
        <v>0</v>
      </c>
      <c r="E116" s="565">
        <v>0</v>
      </c>
      <c r="F116" s="566">
        <f t="shared" si="19"/>
        <v>0</v>
      </c>
    </row>
    <row r="117" spans="2:6" ht="15.75" hidden="1" customHeight="1">
      <c r="B117" s="311" t="str">
        <f t="shared" si="20"/>
        <v xml:space="preserve">SANTO-ANGELO </v>
      </c>
      <c r="C117" s="322" t="str">
        <f>'1-ABA-DE-CARREGAMENTO'!H33</f>
        <v>A NÃO TEM MAIS POSTOS-33</v>
      </c>
      <c r="D117" s="313">
        <v>0</v>
      </c>
      <c r="E117" s="565">
        <v>0</v>
      </c>
      <c r="F117" s="566">
        <f t="shared" si="19"/>
        <v>0</v>
      </c>
    </row>
    <row r="118" spans="2:6" ht="15.75" hidden="1" customHeight="1">
      <c r="B118" s="311" t="str">
        <f t="shared" si="20"/>
        <v xml:space="preserve">SANTO-ANGELO </v>
      </c>
      <c r="C118" s="322" t="str">
        <f>'1-ABA-DE-CARREGAMENTO'!I33</f>
        <v>A NÃO TEM MAIS POSTOS-44</v>
      </c>
      <c r="D118" s="313">
        <v>0</v>
      </c>
      <c r="E118" s="565">
        <v>0</v>
      </c>
      <c r="F118" s="566">
        <f t="shared" si="19"/>
        <v>0</v>
      </c>
    </row>
    <row r="119" spans="2:6" ht="15.75" hidden="1" customHeight="1">
      <c r="B119" s="311" t="str">
        <f t="shared" si="20"/>
        <v xml:space="preserve">SANTO-ANGELO </v>
      </c>
      <c r="C119" s="322" t="str">
        <f>'1-ABA-DE-CARREGAMENTO'!J33</f>
        <v>A NÃO TEM MAIS POSTOS-55</v>
      </c>
      <c r="D119" s="313">
        <v>0</v>
      </c>
      <c r="E119" s="565">
        <v>0</v>
      </c>
      <c r="F119" s="566">
        <f t="shared" si="19"/>
        <v>0</v>
      </c>
    </row>
    <row r="120" spans="2:6" ht="15.75" hidden="1" customHeight="1">
      <c r="B120" s="311" t="str">
        <f t="shared" si="20"/>
        <v xml:space="preserve">SANTO-ANGELO </v>
      </c>
      <c r="C120" s="322" t="str">
        <f>'1-ABA-DE-CARREGAMENTO'!K33</f>
        <v>A NÃO TEM MAIS POSTOS-66</v>
      </c>
      <c r="D120" s="313">
        <v>0</v>
      </c>
      <c r="E120" s="565">
        <v>0</v>
      </c>
      <c r="F120" s="566">
        <f t="shared" si="19"/>
        <v>0</v>
      </c>
    </row>
    <row r="121" spans="2:6" ht="15.75" hidden="1" customHeight="1">
      <c r="B121" s="311" t="str">
        <f t="shared" si="20"/>
        <v xml:space="preserve">SANTO-ANGELO </v>
      </c>
      <c r="C121" s="322" t="str">
        <f>'1-ABA-DE-CARREGAMENTO'!L33</f>
        <v>A NÃO TEM MAIS POSTOS-77</v>
      </c>
      <c r="D121" s="313">
        <v>0</v>
      </c>
      <c r="E121" s="565">
        <v>0</v>
      </c>
      <c r="F121" s="566">
        <f t="shared" si="19"/>
        <v>0</v>
      </c>
    </row>
    <row r="122" spans="2:6" ht="15.75" hidden="1" customHeight="1">
      <c r="B122" s="311" t="str">
        <f t="shared" si="20"/>
        <v xml:space="preserve">SANTO-ANGELO </v>
      </c>
      <c r="C122" s="322" t="str">
        <f>'1-ABA-DE-CARREGAMENTO'!M33</f>
        <v>A NÃO TEM MAIS POSTOS-88</v>
      </c>
      <c r="D122" s="313">
        <v>0</v>
      </c>
      <c r="E122" s="565">
        <v>0</v>
      </c>
      <c r="F122" s="566">
        <f t="shared" si="19"/>
        <v>0</v>
      </c>
    </row>
    <row r="123" spans="2:6" ht="15.75" hidden="1" customHeight="1">
      <c r="B123" s="311" t="str">
        <f t="shared" si="20"/>
        <v xml:space="preserve">SANTO-ANGELO </v>
      </c>
      <c r="C123" s="322" t="str">
        <f>'1-ABA-DE-CARREGAMENTO'!N33</f>
        <v>A NÃO TEM MAIS POSTOS-99</v>
      </c>
      <c r="D123" s="313">
        <v>0</v>
      </c>
      <c r="E123" s="565">
        <v>0</v>
      </c>
      <c r="F123" s="566">
        <f t="shared" si="19"/>
        <v>0</v>
      </c>
    </row>
    <row r="124" spans="2:6" ht="15.75" hidden="1" customHeight="1">
      <c r="B124" s="324" t="str">
        <f t="shared" si="20"/>
        <v xml:space="preserve">SANTO-ANGELO </v>
      </c>
      <c r="C124" s="324" t="s">
        <v>297</v>
      </c>
      <c r="D124" s="325">
        <f t="shared" ref="D124:F124" si="21">SUM(D112:D123)</f>
        <v>0</v>
      </c>
      <c r="E124" s="567" t="e">
        <f t="shared" si="21"/>
        <v>#DIV/0!</v>
      </c>
      <c r="F124" s="327">
        <f t="shared" si="21"/>
        <v>0</v>
      </c>
    </row>
    <row r="125" spans="2:6" ht="15.75" hidden="1" customHeight="1">
      <c r="E125" s="552"/>
      <c r="F125" s="553"/>
    </row>
    <row r="126" spans="2:6" ht="15.75" customHeight="1">
      <c r="B126" s="311" t="str">
        <f>CAMPUS.CONTRATANTE!D18</f>
        <v xml:space="preserve">SANTO-AUGUSTO </v>
      </c>
      <c r="C126" s="311" t="str">
        <f>'1-ABA-DE-CARREGAMENTO'!C33</f>
        <v>5173-30_VIGILANTE_12×36_diurn</v>
      </c>
      <c r="D126" s="313">
        <v>1</v>
      </c>
      <c r="E126" s="565">
        <v>11476.07</v>
      </c>
      <c r="F126" s="566">
        <f t="shared" ref="F126:F137" si="22">IF(D126=0,0,E126)</f>
        <v>11476.07</v>
      </c>
    </row>
    <row r="127" spans="2:6" ht="15.75" customHeight="1">
      <c r="B127" s="311" t="str">
        <f t="shared" ref="B127:B138" si="23">B126</f>
        <v xml:space="preserve">SANTO-AUGUSTO </v>
      </c>
      <c r="C127" s="311" t="str">
        <f>'1-ABA-DE-CARREGAMENTO'!D33</f>
        <v>5173-30_VIGILANTE_12×36_notur</v>
      </c>
      <c r="D127" s="313">
        <v>1</v>
      </c>
      <c r="E127" s="565">
        <v>14603.97</v>
      </c>
      <c r="F127" s="566">
        <f t="shared" si="22"/>
        <v>14603.97</v>
      </c>
    </row>
    <row r="128" spans="2:6" ht="15.75" hidden="1" customHeight="1">
      <c r="B128" s="311" t="str">
        <f t="shared" si="23"/>
        <v xml:space="preserve">SANTO-AUGUSTO </v>
      </c>
      <c r="C128" s="322" t="str">
        <f>'1-ABA-DE-CARREGAMENTO'!E33</f>
        <v>A NÃO TEM MAIS POSTOS-00</v>
      </c>
      <c r="D128" s="313">
        <v>0</v>
      </c>
      <c r="E128" s="565">
        <v>0</v>
      </c>
      <c r="F128" s="566">
        <f t="shared" si="22"/>
        <v>0</v>
      </c>
    </row>
    <row r="129" spans="2:6" ht="15.75" hidden="1" customHeight="1">
      <c r="B129" s="311" t="str">
        <f t="shared" si="23"/>
        <v xml:space="preserve">SANTO-AUGUSTO </v>
      </c>
      <c r="C129" s="322" t="str">
        <f>'1-ABA-DE-CARREGAMENTO'!F33</f>
        <v>A NÃO TEM MAIS POSTOS-11</v>
      </c>
      <c r="D129" s="313">
        <v>0</v>
      </c>
      <c r="E129" s="565">
        <v>0</v>
      </c>
      <c r="F129" s="566">
        <f t="shared" si="22"/>
        <v>0</v>
      </c>
    </row>
    <row r="130" spans="2:6" ht="15.75" hidden="1" customHeight="1">
      <c r="B130" s="311" t="str">
        <f t="shared" si="23"/>
        <v xml:space="preserve">SANTO-AUGUSTO </v>
      </c>
      <c r="C130" s="322" t="str">
        <f>'1-ABA-DE-CARREGAMENTO'!G33</f>
        <v>A NÃO TEM MAIS POSTOS-22</v>
      </c>
      <c r="D130" s="313">
        <v>0</v>
      </c>
      <c r="E130" s="565">
        <v>0</v>
      </c>
      <c r="F130" s="566">
        <f t="shared" si="22"/>
        <v>0</v>
      </c>
    </row>
    <row r="131" spans="2:6" ht="15.75" hidden="1" customHeight="1">
      <c r="B131" s="311" t="str">
        <f t="shared" si="23"/>
        <v xml:space="preserve">SANTO-AUGUSTO </v>
      </c>
      <c r="C131" s="322" t="str">
        <f>'1-ABA-DE-CARREGAMENTO'!H33</f>
        <v>A NÃO TEM MAIS POSTOS-33</v>
      </c>
      <c r="D131" s="313">
        <v>0</v>
      </c>
      <c r="E131" s="565">
        <v>0</v>
      </c>
      <c r="F131" s="566">
        <f t="shared" si="22"/>
        <v>0</v>
      </c>
    </row>
    <row r="132" spans="2:6" ht="15.75" hidden="1" customHeight="1">
      <c r="B132" s="311" t="str">
        <f t="shared" si="23"/>
        <v xml:space="preserve">SANTO-AUGUSTO </v>
      </c>
      <c r="C132" s="322" t="str">
        <f>'1-ABA-DE-CARREGAMENTO'!I33</f>
        <v>A NÃO TEM MAIS POSTOS-44</v>
      </c>
      <c r="D132" s="313">
        <v>0</v>
      </c>
      <c r="E132" s="565">
        <v>0</v>
      </c>
      <c r="F132" s="566">
        <f t="shared" si="22"/>
        <v>0</v>
      </c>
    </row>
    <row r="133" spans="2:6" ht="15.75" hidden="1" customHeight="1">
      <c r="B133" s="311" t="str">
        <f t="shared" si="23"/>
        <v xml:space="preserve">SANTO-AUGUSTO </v>
      </c>
      <c r="C133" s="322" t="str">
        <f>'1-ABA-DE-CARREGAMENTO'!J33</f>
        <v>A NÃO TEM MAIS POSTOS-55</v>
      </c>
      <c r="D133" s="313">
        <v>0</v>
      </c>
      <c r="E133" s="565">
        <v>0</v>
      </c>
      <c r="F133" s="566">
        <f t="shared" si="22"/>
        <v>0</v>
      </c>
    </row>
    <row r="134" spans="2:6" ht="15.75" hidden="1" customHeight="1">
      <c r="B134" s="311" t="str">
        <f t="shared" si="23"/>
        <v xml:space="preserve">SANTO-AUGUSTO </v>
      </c>
      <c r="C134" s="322" t="str">
        <f>'1-ABA-DE-CARREGAMENTO'!K33</f>
        <v>A NÃO TEM MAIS POSTOS-66</v>
      </c>
      <c r="D134" s="313">
        <v>0</v>
      </c>
      <c r="E134" s="565">
        <v>0</v>
      </c>
      <c r="F134" s="566">
        <f t="shared" si="22"/>
        <v>0</v>
      </c>
    </row>
    <row r="135" spans="2:6" ht="15.75" hidden="1" customHeight="1">
      <c r="B135" s="311" t="str">
        <f t="shared" si="23"/>
        <v xml:space="preserve">SANTO-AUGUSTO </v>
      </c>
      <c r="C135" s="322" t="str">
        <f>'1-ABA-DE-CARREGAMENTO'!L33</f>
        <v>A NÃO TEM MAIS POSTOS-77</v>
      </c>
      <c r="D135" s="313">
        <v>0</v>
      </c>
      <c r="E135" s="565">
        <v>0</v>
      </c>
      <c r="F135" s="566">
        <f t="shared" si="22"/>
        <v>0</v>
      </c>
    </row>
    <row r="136" spans="2:6" ht="15.75" hidden="1" customHeight="1">
      <c r="B136" s="311" t="str">
        <f t="shared" si="23"/>
        <v xml:space="preserve">SANTO-AUGUSTO </v>
      </c>
      <c r="C136" s="322" t="str">
        <f>'1-ABA-DE-CARREGAMENTO'!M33</f>
        <v>A NÃO TEM MAIS POSTOS-88</v>
      </c>
      <c r="D136" s="313">
        <v>0</v>
      </c>
      <c r="E136" s="565">
        <v>0</v>
      </c>
      <c r="F136" s="566">
        <f t="shared" si="22"/>
        <v>0</v>
      </c>
    </row>
    <row r="137" spans="2:6" ht="15.75" hidden="1" customHeight="1">
      <c r="B137" s="311" t="str">
        <f t="shared" si="23"/>
        <v xml:space="preserve">SANTO-AUGUSTO </v>
      </c>
      <c r="C137" s="322" t="str">
        <f>'1-ABA-DE-CARREGAMENTO'!N33</f>
        <v>A NÃO TEM MAIS POSTOS-99</v>
      </c>
      <c r="D137" s="313">
        <v>0</v>
      </c>
      <c r="E137" s="565">
        <v>0</v>
      </c>
      <c r="F137" s="566">
        <f t="shared" si="22"/>
        <v>0</v>
      </c>
    </row>
    <row r="138" spans="2:6" ht="15.75" customHeight="1">
      <c r="B138" s="324" t="str">
        <f t="shared" si="23"/>
        <v xml:space="preserve">SANTO-AUGUSTO </v>
      </c>
      <c r="C138" s="324" t="s">
        <v>297</v>
      </c>
      <c r="D138" s="325">
        <f>SUM(D126:D137)</f>
        <v>2</v>
      </c>
      <c r="E138" s="567"/>
      <c r="F138" s="327">
        <f>SUM(F126:F137)</f>
        <v>26080.04</v>
      </c>
    </row>
    <row r="139" spans="2:6" ht="15.75" hidden="1" customHeight="1">
      <c r="E139" s="552"/>
      <c r="F139" s="553"/>
    </row>
    <row r="140" spans="2:6" ht="15.75" hidden="1" customHeight="1">
      <c r="B140" s="311" t="str">
        <f>CAMPUS.CONTRATANTE!D19</f>
        <v xml:space="preserve">SAO-BORJA </v>
      </c>
      <c r="C140" s="311" t="str">
        <f>'1-ABA-DE-CARREGAMENTO'!C33</f>
        <v>5173-30_VIGILANTE_12×36_diurn</v>
      </c>
      <c r="D140" s="313">
        <v>0</v>
      </c>
      <c r="E140" s="565" t="e">
        <v>#DIV/0!</v>
      </c>
      <c r="F140" s="566">
        <f t="shared" ref="F140:F151" si="24">IF(D140=0,0,E140)</f>
        <v>0</v>
      </c>
    </row>
    <row r="141" spans="2:6" ht="15.75" hidden="1" customHeight="1">
      <c r="B141" s="311" t="str">
        <f t="shared" ref="B141:B152" si="25">B140</f>
        <v xml:space="preserve">SAO-BORJA </v>
      </c>
      <c r="C141" s="311" t="str">
        <f>'1-ABA-DE-CARREGAMENTO'!D33</f>
        <v>5173-30_VIGILANTE_12×36_notur</v>
      </c>
      <c r="D141" s="313">
        <v>0</v>
      </c>
      <c r="E141" s="565" t="e">
        <v>#DIV/0!</v>
      </c>
      <c r="F141" s="566">
        <f t="shared" si="24"/>
        <v>0</v>
      </c>
    </row>
    <row r="142" spans="2:6" ht="15.75" hidden="1" customHeight="1">
      <c r="B142" s="311" t="str">
        <f t="shared" si="25"/>
        <v xml:space="preserve">SAO-BORJA </v>
      </c>
      <c r="C142" s="322" t="str">
        <f>'1-ABA-DE-CARREGAMENTO'!E33</f>
        <v>A NÃO TEM MAIS POSTOS-00</v>
      </c>
      <c r="D142" s="313">
        <v>0</v>
      </c>
      <c r="E142" s="565">
        <v>0</v>
      </c>
      <c r="F142" s="566">
        <f t="shared" si="24"/>
        <v>0</v>
      </c>
    </row>
    <row r="143" spans="2:6" ht="15.75" hidden="1" customHeight="1">
      <c r="B143" s="311" t="str">
        <f t="shared" si="25"/>
        <v xml:space="preserve">SAO-BORJA </v>
      </c>
      <c r="C143" s="322" t="str">
        <f>'1-ABA-DE-CARREGAMENTO'!F33</f>
        <v>A NÃO TEM MAIS POSTOS-11</v>
      </c>
      <c r="D143" s="313">
        <v>0</v>
      </c>
      <c r="E143" s="565">
        <v>0</v>
      </c>
      <c r="F143" s="566">
        <f t="shared" si="24"/>
        <v>0</v>
      </c>
    </row>
    <row r="144" spans="2:6" ht="15.75" hidden="1" customHeight="1">
      <c r="B144" s="311" t="str">
        <f t="shared" si="25"/>
        <v xml:space="preserve">SAO-BORJA </v>
      </c>
      <c r="C144" s="322" t="str">
        <f>'1-ABA-DE-CARREGAMENTO'!G33</f>
        <v>A NÃO TEM MAIS POSTOS-22</v>
      </c>
      <c r="D144" s="313">
        <v>0</v>
      </c>
      <c r="E144" s="565">
        <v>0</v>
      </c>
      <c r="F144" s="566">
        <f t="shared" si="24"/>
        <v>0</v>
      </c>
    </row>
    <row r="145" spans="2:6" ht="15.75" hidden="1" customHeight="1">
      <c r="B145" s="311" t="str">
        <f t="shared" si="25"/>
        <v xml:space="preserve">SAO-BORJA </v>
      </c>
      <c r="C145" s="322" t="str">
        <f>'1-ABA-DE-CARREGAMENTO'!H33</f>
        <v>A NÃO TEM MAIS POSTOS-33</v>
      </c>
      <c r="D145" s="313">
        <v>0</v>
      </c>
      <c r="E145" s="565">
        <v>0</v>
      </c>
      <c r="F145" s="566">
        <f t="shared" si="24"/>
        <v>0</v>
      </c>
    </row>
    <row r="146" spans="2:6" ht="15.75" hidden="1" customHeight="1">
      <c r="B146" s="311" t="str">
        <f t="shared" si="25"/>
        <v xml:space="preserve">SAO-BORJA </v>
      </c>
      <c r="C146" s="322" t="str">
        <f>'1-ABA-DE-CARREGAMENTO'!I33</f>
        <v>A NÃO TEM MAIS POSTOS-44</v>
      </c>
      <c r="D146" s="313">
        <v>0</v>
      </c>
      <c r="E146" s="565">
        <v>0</v>
      </c>
      <c r="F146" s="566">
        <f t="shared" si="24"/>
        <v>0</v>
      </c>
    </row>
    <row r="147" spans="2:6" ht="15.75" hidden="1" customHeight="1">
      <c r="B147" s="311" t="str">
        <f t="shared" si="25"/>
        <v xml:space="preserve">SAO-BORJA </v>
      </c>
      <c r="C147" s="322" t="str">
        <f>'1-ABA-DE-CARREGAMENTO'!J33</f>
        <v>A NÃO TEM MAIS POSTOS-55</v>
      </c>
      <c r="D147" s="313">
        <v>0</v>
      </c>
      <c r="E147" s="565">
        <v>0</v>
      </c>
      <c r="F147" s="566">
        <f t="shared" si="24"/>
        <v>0</v>
      </c>
    </row>
    <row r="148" spans="2:6" ht="15.75" hidden="1" customHeight="1">
      <c r="B148" s="311" t="str">
        <f t="shared" si="25"/>
        <v xml:space="preserve">SAO-BORJA </v>
      </c>
      <c r="C148" s="322" t="str">
        <f>'1-ABA-DE-CARREGAMENTO'!K33</f>
        <v>A NÃO TEM MAIS POSTOS-66</v>
      </c>
      <c r="D148" s="313">
        <v>0</v>
      </c>
      <c r="E148" s="565">
        <v>0</v>
      </c>
      <c r="F148" s="566">
        <f t="shared" si="24"/>
        <v>0</v>
      </c>
    </row>
    <row r="149" spans="2:6" ht="15.75" hidden="1" customHeight="1">
      <c r="B149" s="311" t="str">
        <f t="shared" si="25"/>
        <v xml:space="preserve">SAO-BORJA </v>
      </c>
      <c r="C149" s="322" t="str">
        <f>'1-ABA-DE-CARREGAMENTO'!L33</f>
        <v>A NÃO TEM MAIS POSTOS-77</v>
      </c>
      <c r="D149" s="313">
        <v>0</v>
      </c>
      <c r="E149" s="565">
        <v>0</v>
      </c>
      <c r="F149" s="566">
        <f t="shared" si="24"/>
        <v>0</v>
      </c>
    </row>
    <row r="150" spans="2:6" ht="15.75" hidden="1" customHeight="1">
      <c r="B150" s="311" t="str">
        <f t="shared" si="25"/>
        <v xml:space="preserve">SAO-BORJA </v>
      </c>
      <c r="C150" s="322" t="str">
        <f>'1-ABA-DE-CARREGAMENTO'!M33</f>
        <v>A NÃO TEM MAIS POSTOS-88</v>
      </c>
      <c r="D150" s="313">
        <v>0</v>
      </c>
      <c r="E150" s="565">
        <v>0</v>
      </c>
      <c r="F150" s="566">
        <f t="shared" si="24"/>
        <v>0</v>
      </c>
    </row>
    <row r="151" spans="2:6" ht="15.75" hidden="1" customHeight="1">
      <c r="B151" s="311" t="str">
        <f t="shared" si="25"/>
        <v xml:space="preserve">SAO-BORJA </v>
      </c>
      <c r="C151" s="322" t="str">
        <f>'1-ABA-DE-CARREGAMENTO'!N33</f>
        <v>A NÃO TEM MAIS POSTOS-99</v>
      </c>
      <c r="D151" s="313">
        <v>0</v>
      </c>
      <c r="E151" s="565">
        <v>0</v>
      </c>
      <c r="F151" s="566">
        <f t="shared" si="24"/>
        <v>0</v>
      </c>
    </row>
    <row r="152" spans="2:6" ht="15.75" hidden="1" customHeight="1">
      <c r="B152" s="324" t="str">
        <f t="shared" si="25"/>
        <v xml:space="preserve">SAO-BORJA </v>
      </c>
      <c r="C152" s="324" t="s">
        <v>297</v>
      </c>
      <c r="D152" s="325">
        <f t="shared" ref="D152:F152" si="26">SUM(D140:D151)</f>
        <v>0</v>
      </c>
      <c r="E152" s="567" t="e">
        <f t="shared" si="26"/>
        <v>#DIV/0!</v>
      </c>
      <c r="F152" s="327">
        <f t="shared" si="26"/>
        <v>0</v>
      </c>
    </row>
    <row r="153" spans="2:6" ht="15.75" customHeight="1">
      <c r="E153" s="552"/>
      <c r="F153" s="553"/>
    </row>
    <row r="154" spans="2:6" ht="15.75" customHeight="1">
      <c r="B154" s="311" t="str">
        <f>CAMPUS.CONTRATANTE!D20</f>
        <v>SAO-VICENTE-DO-SUL</v>
      </c>
      <c r="C154" s="311" t="str">
        <f>'1-ABA-DE-CARREGAMENTO'!C33</f>
        <v>5173-30_VIGILANTE_12×36_diurn</v>
      </c>
      <c r="D154" s="313">
        <v>1</v>
      </c>
      <c r="E154" s="565">
        <v>12081.01</v>
      </c>
      <c r="F154" s="566">
        <f t="shared" ref="F154:F165" si="27">IF(D154=0,0,E154)</f>
        <v>12081.01</v>
      </c>
    </row>
    <row r="155" spans="2:6" ht="15.75" customHeight="1">
      <c r="B155" s="311" t="str">
        <f t="shared" ref="B155:B166" si="28">B154</f>
        <v>SAO-VICENTE-DO-SUL</v>
      </c>
      <c r="C155" s="311" t="str">
        <f>'1-ABA-DE-CARREGAMENTO'!D33</f>
        <v>5173-30_VIGILANTE_12×36_notur</v>
      </c>
      <c r="D155" s="313">
        <v>3</v>
      </c>
      <c r="E155" s="565">
        <v>14920.85</v>
      </c>
      <c r="F155" s="566">
        <f t="shared" si="27"/>
        <v>14920.85</v>
      </c>
    </row>
    <row r="156" spans="2:6" ht="15.75" hidden="1" customHeight="1">
      <c r="B156" s="311" t="str">
        <f t="shared" si="28"/>
        <v>SAO-VICENTE-DO-SUL</v>
      </c>
      <c r="C156" s="322" t="str">
        <f>'1-ABA-DE-CARREGAMENTO'!E33</f>
        <v>A NÃO TEM MAIS POSTOS-00</v>
      </c>
      <c r="D156" s="313">
        <v>0</v>
      </c>
      <c r="E156" s="565">
        <v>0</v>
      </c>
      <c r="F156" s="566">
        <f t="shared" si="27"/>
        <v>0</v>
      </c>
    </row>
    <row r="157" spans="2:6" ht="15.75" hidden="1" customHeight="1">
      <c r="B157" s="311" t="str">
        <f t="shared" si="28"/>
        <v>SAO-VICENTE-DO-SUL</v>
      </c>
      <c r="C157" s="322" t="str">
        <f>'1-ABA-DE-CARREGAMENTO'!F33</f>
        <v>A NÃO TEM MAIS POSTOS-11</v>
      </c>
      <c r="D157" s="313">
        <v>0</v>
      </c>
      <c r="E157" s="565">
        <v>0</v>
      </c>
      <c r="F157" s="566">
        <f t="shared" si="27"/>
        <v>0</v>
      </c>
    </row>
    <row r="158" spans="2:6" ht="15.75" hidden="1" customHeight="1">
      <c r="B158" s="311" t="str">
        <f t="shared" si="28"/>
        <v>SAO-VICENTE-DO-SUL</v>
      </c>
      <c r="C158" s="322" t="str">
        <f>'1-ABA-DE-CARREGAMENTO'!G33</f>
        <v>A NÃO TEM MAIS POSTOS-22</v>
      </c>
      <c r="D158" s="313">
        <v>0</v>
      </c>
      <c r="E158" s="565">
        <v>0</v>
      </c>
      <c r="F158" s="566">
        <f t="shared" si="27"/>
        <v>0</v>
      </c>
    </row>
    <row r="159" spans="2:6" ht="15.75" hidden="1" customHeight="1">
      <c r="B159" s="311" t="str">
        <f t="shared" si="28"/>
        <v>SAO-VICENTE-DO-SUL</v>
      </c>
      <c r="C159" s="322" t="str">
        <f>'1-ABA-DE-CARREGAMENTO'!H33</f>
        <v>A NÃO TEM MAIS POSTOS-33</v>
      </c>
      <c r="D159" s="313">
        <v>0</v>
      </c>
      <c r="E159" s="565">
        <v>0</v>
      </c>
      <c r="F159" s="566">
        <f t="shared" si="27"/>
        <v>0</v>
      </c>
    </row>
    <row r="160" spans="2:6" ht="15.75" hidden="1" customHeight="1">
      <c r="B160" s="311" t="str">
        <f t="shared" si="28"/>
        <v>SAO-VICENTE-DO-SUL</v>
      </c>
      <c r="C160" s="322" t="str">
        <f>'1-ABA-DE-CARREGAMENTO'!I33</f>
        <v>A NÃO TEM MAIS POSTOS-44</v>
      </c>
      <c r="D160" s="313">
        <v>0</v>
      </c>
      <c r="E160" s="565">
        <v>0</v>
      </c>
      <c r="F160" s="566">
        <f t="shared" si="27"/>
        <v>0</v>
      </c>
    </row>
    <row r="161" spans="2:6" ht="15.75" hidden="1" customHeight="1">
      <c r="B161" s="311" t="str">
        <f t="shared" si="28"/>
        <v>SAO-VICENTE-DO-SUL</v>
      </c>
      <c r="C161" s="322" t="str">
        <f>'1-ABA-DE-CARREGAMENTO'!J33</f>
        <v>A NÃO TEM MAIS POSTOS-55</v>
      </c>
      <c r="D161" s="313">
        <v>0</v>
      </c>
      <c r="E161" s="565">
        <v>0</v>
      </c>
      <c r="F161" s="566">
        <f t="shared" si="27"/>
        <v>0</v>
      </c>
    </row>
    <row r="162" spans="2:6" ht="15.75" hidden="1" customHeight="1">
      <c r="B162" s="311" t="str">
        <f t="shared" si="28"/>
        <v>SAO-VICENTE-DO-SUL</v>
      </c>
      <c r="C162" s="322" t="str">
        <f>'1-ABA-DE-CARREGAMENTO'!K33</f>
        <v>A NÃO TEM MAIS POSTOS-66</v>
      </c>
      <c r="D162" s="313">
        <v>0</v>
      </c>
      <c r="E162" s="565">
        <v>0</v>
      </c>
      <c r="F162" s="566">
        <f t="shared" si="27"/>
        <v>0</v>
      </c>
    </row>
    <row r="163" spans="2:6" ht="15.75" hidden="1" customHeight="1">
      <c r="B163" s="311" t="str">
        <f t="shared" si="28"/>
        <v>SAO-VICENTE-DO-SUL</v>
      </c>
      <c r="C163" s="322" t="str">
        <f>'1-ABA-DE-CARREGAMENTO'!L33</f>
        <v>A NÃO TEM MAIS POSTOS-77</v>
      </c>
      <c r="D163" s="313">
        <v>0</v>
      </c>
      <c r="E163" s="565">
        <v>0</v>
      </c>
      <c r="F163" s="566">
        <f t="shared" si="27"/>
        <v>0</v>
      </c>
    </row>
    <row r="164" spans="2:6" ht="15.75" hidden="1" customHeight="1">
      <c r="B164" s="311" t="str">
        <f t="shared" si="28"/>
        <v>SAO-VICENTE-DO-SUL</v>
      </c>
      <c r="C164" s="322" t="str">
        <f>'1-ABA-DE-CARREGAMENTO'!M33</f>
        <v>A NÃO TEM MAIS POSTOS-88</v>
      </c>
      <c r="D164" s="313">
        <v>0</v>
      </c>
      <c r="E164" s="565">
        <v>0</v>
      </c>
      <c r="F164" s="566">
        <f t="shared" si="27"/>
        <v>0</v>
      </c>
    </row>
    <row r="165" spans="2:6" ht="15.75" hidden="1" customHeight="1">
      <c r="B165" s="311" t="str">
        <f t="shared" si="28"/>
        <v>SAO-VICENTE-DO-SUL</v>
      </c>
      <c r="C165" s="322" t="str">
        <f>'1-ABA-DE-CARREGAMENTO'!N33</f>
        <v>A NÃO TEM MAIS POSTOS-99</v>
      </c>
      <c r="D165" s="313">
        <v>0</v>
      </c>
      <c r="E165" s="565">
        <v>0</v>
      </c>
      <c r="F165" s="566">
        <f t="shared" si="27"/>
        <v>0</v>
      </c>
    </row>
    <row r="166" spans="2:6" ht="15.75" customHeight="1">
      <c r="B166" s="324" t="str">
        <f t="shared" si="28"/>
        <v>SAO-VICENTE-DO-SUL</v>
      </c>
      <c r="C166" s="324" t="s">
        <v>297</v>
      </c>
      <c r="D166" s="325">
        <f>SUM(D154:D165)</f>
        <v>4</v>
      </c>
      <c r="E166" s="567"/>
      <c r="F166" s="327">
        <f>SUM(F154:F165)</f>
        <v>27001.86</v>
      </c>
    </row>
    <row r="167" spans="2:6" ht="15.75" customHeight="1">
      <c r="E167" s="552"/>
      <c r="F167" s="553"/>
    </row>
    <row r="168" spans="2:6" ht="15.75" customHeight="1">
      <c r="B168" s="311" t="str">
        <f>CAMPUS.CONTRATANTE!D21</f>
        <v>URUGUAIANA</v>
      </c>
      <c r="C168" s="311" t="str">
        <f>'1-ABA-DE-CARREGAMENTO'!C33</f>
        <v>5173-30_VIGILANTE_12×36_diurn</v>
      </c>
      <c r="D168" s="313">
        <v>1</v>
      </c>
      <c r="E168" s="565">
        <v>11504.5</v>
      </c>
      <c r="F168" s="566">
        <f t="shared" ref="F168:F179" si="29">IF(D168=0,0,E168)</f>
        <v>11504.5</v>
      </c>
    </row>
    <row r="169" spans="2:6" ht="15.75" customHeight="1">
      <c r="B169" s="311" t="str">
        <f t="shared" ref="B169:B180" si="30">B168</f>
        <v>URUGUAIANA</v>
      </c>
      <c r="C169" s="311" t="str">
        <f>'1-ABA-DE-CARREGAMENTO'!D33</f>
        <v>5173-30_VIGILANTE_12×36_notur</v>
      </c>
      <c r="D169" s="313">
        <v>1</v>
      </c>
      <c r="E169" s="565">
        <v>14255.41</v>
      </c>
      <c r="F169" s="566">
        <f t="shared" si="29"/>
        <v>14255.41</v>
      </c>
    </row>
    <row r="170" spans="2:6" ht="15.75" hidden="1" customHeight="1">
      <c r="B170" s="311" t="str">
        <f t="shared" si="30"/>
        <v>URUGUAIANA</v>
      </c>
      <c r="C170" s="322" t="str">
        <f>'1-ABA-DE-CARREGAMENTO'!E33</f>
        <v>A NÃO TEM MAIS POSTOS-00</v>
      </c>
      <c r="D170" s="313">
        <v>0</v>
      </c>
      <c r="E170" s="565">
        <v>0</v>
      </c>
      <c r="F170" s="566">
        <f t="shared" si="29"/>
        <v>0</v>
      </c>
    </row>
    <row r="171" spans="2:6" ht="15.75" hidden="1" customHeight="1">
      <c r="B171" s="311" t="str">
        <f t="shared" si="30"/>
        <v>URUGUAIANA</v>
      </c>
      <c r="C171" s="322" t="str">
        <f>'1-ABA-DE-CARREGAMENTO'!F33</f>
        <v>A NÃO TEM MAIS POSTOS-11</v>
      </c>
      <c r="D171" s="313">
        <v>0</v>
      </c>
      <c r="E171" s="565">
        <v>0</v>
      </c>
      <c r="F171" s="566">
        <f t="shared" si="29"/>
        <v>0</v>
      </c>
    </row>
    <row r="172" spans="2:6" ht="15.75" hidden="1" customHeight="1">
      <c r="B172" s="311" t="str">
        <f t="shared" si="30"/>
        <v>URUGUAIANA</v>
      </c>
      <c r="C172" s="322" t="str">
        <f>'1-ABA-DE-CARREGAMENTO'!G33</f>
        <v>A NÃO TEM MAIS POSTOS-22</v>
      </c>
      <c r="D172" s="313">
        <v>0</v>
      </c>
      <c r="E172" s="565">
        <v>0</v>
      </c>
      <c r="F172" s="566">
        <f t="shared" si="29"/>
        <v>0</v>
      </c>
    </row>
    <row r="173" spans="2:6" ht="15.75" hidden="1" customHeight="1">
      <c r="B173" s="311" t="str">
        <f t="shared" si="30"/>
        <v>URUGUAIANA</v>
      </c>
      <c r="C173" s="322" t="str">
        <f>'1-ABA-DE-CARREGAMENTO'!H33</f>
        <v>A NÃO TEM MAIS POSTOS-33</v>
      </c>
      <c r="D173" s="313">
        <v>0</v>
      </c>
      <c r="E173" s="565">
        <v>0</v>
      </c>
      <c r="F173" s="566">
        <f t="shared" si="29"/>
        <v>0</v>
      </c>
    </row>
    <row r="174" spans="2:6" ht="15.75" hidden="1" customHeight="1">
      <c r="B174" s="311" t="str">
        <f t="shared" si="30"/>
        <v>URUGUAIANA</v>
      </c>
      <c r="C174" s="322" t="str">
        <f>'1-ABA-DE-CARREGAMENTO'!I33</f>
        <v>A NÃO TEM MAIS POSTOS-44</v>
      </c>
      <c r="D174" s="313">
        <v>0</v>
      </c>
      <c r="E174" s="565">
        <v>0</v>
      </c>
      <c r="F174" s="566">
        <f t="shared" si="29"/>
        <v>0</v>
      </c>
    </row>
    <row r="175" spans="2:6" ht="15.75" hidden="1" customHeight="1">
      <c r="B175" s="311" t="str">
        <f t="shared" si="30"/>
        <v>URUGUAIANA</v>
      </c>
      <c r="C175" s="322" t="str">
        <f>'1-ABA-DE-CARREGAMENTO'!J33</f>
        <v>A NÃO TEM MAIS POSTOS-55</v>
      </c>
      <c r="D175" s="313">
        <v>0</v>
      </c>
      <c r="E175" s="565">
        <v>0</v>
      </c>
      <c r="F175" s="566">
        <f t="shared" si="29"/>
        <v>0</v>
      </c>
    </row>
    <row r="176" spans="2:6" ht="15.75" hidden="1" customHeight="1">
      <c r="B176" s="311" t="str">
        <f t="shared" si="30"/>
        <v>URUGUAIANA</v>
      </c>
      <c r="C176" s="322" t="str">
        <f>'1-ABA-DE-CARREGAMENTO'!K33</f>
        <v>A NÃO TEM MAIS POSTOS-66</v>
      </c>
      <c r="D176" s="313">
        <v>0</v>
      </c>
      <c r="E176" s="565">
        <v>0</v>
      </c>
      <c r="F176" s="566">
        <f t="shared" si="29"/>
        <v>0</v>
      </c>
    </row>
    <row r="177" spans="2:6" ht="15.75" hidden="1" customHeight="1">
      <c r="B177" s="311" t="str">
        <f t="shared" si="30"/>
        <v>URUGUAIANA</v>
      </c>
      <c r="C177" s="322" t="str">
        <f>'1-ABA-DE-CARREGAMENTO'!L33</f>
        <v>A NÃO TEM MAIS POSTOS-77</v>
      </c>
      <c r="D177" s="313">
        <v>0</v>
      </c>
      <c r="E177" s="565">
        <v>0</v>
      </c>
      <c r="F177" s="566">
        <f t="shared" si="29"/>
        <v>0</v>
      </c>
    </row>
    <row r="178" spans="2:6" ht="15.75" hidden="1" customHeight="1">
      <c r="B178" s="311" t="str">
        <f t="shared" si="30"/>
        <v>URUGUAIANA</v>
      </c>
      <c r="C178" s="322" t="str">
        <f>'1-ABA-DE-CARREGAMENTO'!M33</f>
        <v>A NÃO TEM MAIS POSTOS-88</v>
      </c>
      <c r="D178" s="313">
        <v>0</v>
      </c>
      <c r="E178" s="565">
        <v>0</v>
      </c>
      <c r="F178" s="566">
        <f t="shared" si="29"/>
        <v>0</v>
      </c>
    </row>
    <row r="179" spans="2:6" ht="15.75" hidden="1" customHeight="1">
      <c r="B179" s="311" t="str">
        <f t="shared" si="30"/>
        <v>URUGUAIANA</v>
      </c>
      <c r="C179" s="322" t="str">
        <f>'1-ABA-DE-CARREGAMENTO'!N33</f>
        <v>A NÃO TEM MAIS POSTOS-99</v>
      </c>
      <c r="D179" s="313">
        <v>0</v>
      </c>
      <c r="E179" s="565">
        <v>0</v>
      </c>
      <c r="F179" s="566">
        <f t="shared" si="29"/>
        <v>0</v>
      </c>
    </row>
    <row r="180" spans="2:6" ht="15.75" customHeight="1">
      <c r="B180" s="324" t="str">
        <f t="shared" si="30"/>
        <v>URUGUAIANA</v>
      </c>
      <c r="C180" s="324" t="s">
        <v>297</v>
      </c>
      <c r="D180" s="325">
        <f>SUM(D168:D179)</f>
        <v>2</v>
      </c>
      <c r="E180" s="567"/>
      <c r="F180" s="327">
        <f>SUM(F168:F179)</f>
        <v>25759.91</v>
      </c>
    </row>
    <row r="181" spans="2:6" ht="15.75" customHeight="1">
      <c r="E181" s="552"/>
      <c r="F181" s="553"/>
    </row>
    <row r="182" spans="2:6" ht="15.75" customHeight="1">
      <c r="B182" s="569" t="s">
        <v>1210</v>
      </c>
      <c r="C182" s="570"/>
      <c r="D182" s="571">
        <f>D180+D166+D152+D138+D124+D110+D96+D82+D68+D54+D40+D26</f>
        <v>16</v>
      </c>
      <c r="E182" s="572"/>
      <c r="F182" s="573">
        <f>F180+F166+F152+F138+F124+F110+F96+F82+F68+F54+F40+F26</f>
        <v>130839.63999999998</v>
      </c>
    </row>
    <row r="183" spans="2:6" ht="15.75" customHeight="1">
      <c r="E183" s="552"/>
      <c r="F183" s="553"/>
    </row>
    <row r="184" spans="2:6" ht="15.75" customHeight="1">
      <c r="E184" s="552"/>
      <c r="F184" s="553"/>
    </row>
    <row r="185" spans="2:6" ht="15.75" customHeight="1">
      <c r="E185" s="552"/>
      <c r="F185" s="553"/>
    </row>
    <row r="186" spans="2:6" ht="15.75" customHeight="1">
      <c r="E186" s="552"/>
      <c r="F186" s="553"/>
    </row>
    <row r="187" spans="2:6" ht="15.75" customHeight="1">
      <c r="E187" s="552"/>
      <c r="F187" s="553"/>
    </row>
    <row r="188" spans="2:6" ht="15.75" customHeight="1">
      <c r="E188" s="552"/>
      <c r="F188" s="553"/>
    </row>
    <row r="189" spans="2:6" ht="15.75" customHeight="1">
      <c r="E189" s="552"/>
      <c r="F189" s="553"/>
    </row>
    <row r="190" spans="2:6" ht="15.75" customHeight="1">
      <c r="E190" s="552"/>
      <c r="F190" s="553"/>
    </row>
    <row r="191" spans="2:6" ht="15.75" customHeight="1">
      <c r="E191" s="552"/>
      <c r="F191" s="553"/>
    </row>
    <row r="192" spans="2:6" ht="15.75" customHeight="1">
      <c r="E192" s="552"/>
      <c r="F192" s="553"/>
    </row>
    <row r="193" spans="5:6" ht="15.75" customHeight="1">
      <c r="E193" s="552"/>
      <c r="F193" s="553"/>
    </row>
    <row r="194" spans="5:6" ht="15.75" customHeight="1">
      <c r="E194" s="552"/>
      <c r="F194" s="553"/>
    </row>
    <row r="195" spans="5:6" ht="15.75" customHeight="1">
      <c r="E195" s="552"/>
      <c r="F195" s="553"/>
    </row>
    <row r="196" spans="5:6" ht="15.75" customHeight="1">
      <c r="E196" s="552"/>
      <c r="F196" s="553"/>
    </row>
    <row r="197" spans="5:6" ht="15.75" customHeight="1">
      <c r="E197" s="552"/>
      <c r="F197" s="553"/>
    </row>
    <row r="198" spans="5:6" ht="15.75" customHeight="1">
      <c r="E198" s="552"/>
      <c r="F198" s="553"/>
    </row>
    <row r="199" spans="5:6" ht="15.75" customHeight="1">
      <c r="E199" s="552"/>
      <c r="F199" s="553"/>
    </row>
    <row r="200" spans="5:6" ht="15.75" customHeight="1">
      <c r="E200" s="552"/>
      <c r="F200" s="553"/>
    </row>
    <row r="201" spans="5:6" ht="15.75" customHeight="1">
      <c r="E201" s="552"/>
      <c r="F201" s="553"/>
    </row>
    <row r="202" spans="5:6" ht="15.75" customHeight="1">
      <c r="E202" s="552"/>
      <c r="F202" s="553"/>
    </row>
    <row r="203" spans="5:6" ht="15.75" customHeight="1">
      <c r="E203" s="552"/>
      <c r="F203" s="553"/>
    </row>
    <row r="204" spans="5:6" ht="15.75" customHeight="1">
      <c r="E204" s="552"/>
      <c r="F204" s="553"/>
    </row>
    <row r="205" spans="5:6" ht="15.75" customHeight="1">
      <c r="E205" s="552"/>
      <c r="F205" s="553"/>
    </row>
    <row r="206" spans="5:6" ht="15.75" customHeight="1">
      <c r="E206" s="552"/>
      <c r="F206" s="553"/>
    </row>
    <row r="207" spans="5:6" ht="15.75" customHeight="1">
      <c r="E207" s="552"/>
      <c r="F207" s="553"/>
    </row>
    <row r="208" spans="5:6" ht="15.75" customHeight="1">
      <c r="E208" s="552"/>
      <c r="F208" s="553"/>
    </row>
    <row r="209" spans="5:6" ht="15.75" customHeight="1">
      <c r="E209" s="552"/>
      <c r="F209" s="553"/>
    </row>
    <row r="210" spans="5:6" ht="15.75" customHeight="1">
      <c r="E210" s="552"/>
      <c r="F210" s="553"/>
    </row>
    <row r="211" spans="5:6" ht="15.75" customHeight="1">
      <c r="E211" s="552"/>
      <c r="F211" s="553"/>
    </row>
    <row r="212" spans="5:6" ht="15.75" customHeight="1">
      <c r="E212" s="552"/>
      <c r="F212" s="553"/>
    </row>
    <row r="213" spans="5:6" ht="15.75" customHeight="1">
      <c r="E213" s="552"/>
      <c r="F213" s="553"/>
    </row>
    <row r="214" spans="5:6" ht="15.75" customHeight="1">
      <c r="E214" s="552"/>
      <c r="F214" s="553"/>
    </row>
    <row r="215" spans="5:6" ht="15.75" customHeight="1">
      <c r="E215" s="552"/>
      <c r="F215" s="553"/>
    </row>
    <row r="216" spans="5:6" ht="15.75" customHeight="1">
      <c r="E216" s="552"/>
      <c r="F216" s="553"/>
    </row>
    <row r="217" spans="5:6" ht="15.75" customHeight="1">
      <c r="E217" s="552"/>
      <c r="F217" s="553"/>
    </row>
    <row r="218" spans="5:6" ht="15.75" customHeight="1">
      <c r="E218" s="552"/>
      <c r="F218" s="553"/>
    </row>
    <row r="219" spans="5:6" ht="15.75" customHeight="1">
      <c r="E219" s="552"/>
      <c r="F219" s="553"/>
    </row>
    <row r="220" spans="5:6" ht="15.75" customHeight="1">
      <c r="E220" s="552"/>
      <c r="F220" s="553"/>
    </row>
    <row r="221" spans="5:6" ht="15.75" customHeight="1">
      <c r="E221" s="552"/>
      <c r="F221" s="553"/>
    </row>
    <row r="222" spans="5:6" ht="15.75" customHeight="1">
      <c r="E222" s="552"/>
      <c r="F222" s="553"/>
    </row>
    <row r="223" spans="5:6" ht="15.75" customHeight="1">
      <c r="E223" s="552"/>
      <c r="F223" s="553"/>
    </row>
    <row r="224" spans="5:6" ht="15.75" customHeight="1">
      <c r="E224" s="552"/>
      <c r="F224" s="553"/>
    </row>
    <row r="225" spans="5:6" ht="15.75" customHeight="1">
      <c r="E225" s="552"/>
      <c r="F225" s="553"/>
    </row>
    <row r="226" spans="5:6" ht="15.75" customHeight="1">
      <c r="E226" s="552"/>
      <c r="F226" s="553"/>
    </row>
    <row r="227" spans="5:6" ht="15.75" customHeight="1">
      <c r="E227" s="552"/>
      <c r="F227" s="553"/>
    </row>
    <row r="228" spans="5:6" ht="15.75" customHeight="1">
      <c r="E228" s="552"/>
      <c r="F228" s="553"/>
    </row>
    <row r="229" spans="5:6" ht="15.75" customHeight="1">
      <c r="E229" s="552"/>
      <c r="F229" s="553"/>
    </row>
    <row r="230" spans="5:6" ht="15.75" customHeight="1">
      <c r="E230" s="552"/>
      <c r="F230" s="553"/>
    </row>
    <row r="231" spans="5:6" ht="15.75" customHeight="1">
      <c r="E231" s="552"/>
      <c r="F231" s="553"/>
    </row>
    <row r="232" spans="5:6" ht="15.75" customHeight="1">
      <c r="E232" s="552"/>
      <c r="F232" s="553"/>
    </row>
    <row r="233" spans="5:6" ht="15.75" customHeight="1">
      <c r="E233" s="552"/>
      <c r="F233" s="553"/>
    </row>
    <row r="234" spans="5:6" ht="15.75" customHeight="1">
      <c r="E234" s="552"/>
      <c r="F234" s="553"/>
    </row>
    <row r="235" spans="5:6" ht="15.75" customHeight="1">
      <c r="E235" s="552"/>
      <c r="F235" s="553"/>
    </row>
    <row r="236" spans="5:6" ht="15.75" customHeight="1">
      <c r="E236" s="552"/>
      <c r="F236" s="553"/>
    </row>
    <row r="237" spans="5:6" ht="15.75" customHeight="1">
      <c r="E237" s="552"/>
      <c r="F237" s="553"/>
    </row>
    <row r="238" spans="5:6" ht="15.75" customHeight="1">
      <c r="E238" s="552"/>
      <c r="F238" s="553"/>
    </row>
    <row r="239" spans="5:6" ht="15.75" customHeight="1">
      <c r="E239" s="552"/>
      <c r="F239" s="553"/>
    </row>
    <row r="240" spans="5:6" ht="15.75" customHeight="1">
      <c r="E240" s="552"/>
      <c r="F240" s="553"/>
    </row>
    <row r="241" spans="5:6" ht="15.75" customHeight="1">
      <c r="E241" s="552"/>
      <c r="F241" s="553"/>
    </row>
    <row r="242" spans="5:6" ht="15.75" customHeight="1">
      <c r="E242" s="552"/>
      <c r="F242" s="553"/>
    </row>
    <row r="243" spans="5:6" ht="15.75" customHeight="1">
      <c r="E243" s="552"/>
      <c r="F243" s="553"/>
    </row>
    <row r="244" spans="5:6" ht="15.75" customHeight="1">
      <c r="E244" s="552"/>
      <c r="F244" s="553"/>
    </row>
    <row r="245" spans="5:6" ht="15.75" customHeight="1">
      <c r="E245" s="552"/>
      <c r="F245" s="553"/>
    </row>
    <row r="246" spans="5:6" ht="15.75" customHeight="1">
      <c r="E246" s="552"/>
      <c r="F246" s="553"/>
    </row>
    <row r="247" spans="5:6" ht="15.75" customHeight="1">
      <c r="E247" s="552"/>
      <c r="F247" s="553"/>
    </row>
    <row r="248" spans="5:6" ht="15.75" customHeight="1">
      <c r="E248" s="552"/>
      <c r="F248" s="553"/>
    </row>
    <row r="249" spans="5:6" ht="15.75" customHeight="1">
      <c r="E249" s="552"/>
      <c r="F249" s="553"/>
    </row>
    <row r="250" spans="5:6" ht="15.75" customHeight="1">
      <c r="E250" s="552"/>
      <c r="F250" s="553"/>
    </row>
    <row r="251" spans="5:6" ht="15.75" customHeight="1">
      <c r="E251" s="552"/>
      <c r="F251" s="553"/>
    </row>
    <row r="252" spans="5:6" ht="15.75" customHeight="1">
      <c r="E252" s="552"/>
      <c r="F252" s="553"/>
    </row>
    <row r="253" spans="5:6" ht="15.75" customHeight="1">
      <c r="E253" s="552"/>
      <c r="F253" s="553"/>
    </row>
    <row r="254" spans="5:6" ht="15.75" customHeight="1">
      <c r="E254" s="552"/>
      <c r="F254" s="553"/>
    </row>
    <row r="255" spans="5:6" ht="15.75" customHeight="1">
      <c r="E255" s="552"/>
      <c r="F255" s="553"/>
    </row>
    <row r="256" spans="5:6" ht="15.75" customHeight="1">
      <c r="E256" s="552"/>
      <c r="F256" s="553"/>
    </row>
    <row r="257" spans="5:6" ht="15.75" customHeight="1">
      <c r="E257" s="552"/>
      <c r="F257" s="553"/>
    </row>
    <row r="258" spans="5:6" ht="15.75" customHeight="1">
      <c r="E258" s="552"/>
      <c r="F258" s="553"/>
    </row>
    <row r="259" spans="5:6" ht="15.75" customHeight="1">
      <c r="E259" s="552"/>
      <c r="F259" s="553"/>
    </row>
    <row r="260" spans="5:6" ht="15.75" customHeight="1">
      <c r="E260" s="552"/>
      <c r="F260" s="553"/>
    </row>
    <row r="261" spans="5:6" ht="15.75" customHeight="1">
      <c r="E261" s="552"/>
      <c r="F261" s="553"/>
    </row>
    <row r="262" spans="5:6" ht="15.75" customHeight="1">
      <c r="E262" s="552"/>
      <c r="F262" s="553"/>
    </row>
    <row r="263" spans="5:6" ht="15.75" customHeight="1">
      <c r="E263" s="552"/>
      <c r="F263" s="553"/>
    </row>
    <row r="264" spans="5:6" ht="15.75" customHeight="1">
      <c r="E264" s="552"/>
      <c r="F264" s="553"/>
    </row>
    <row r="265" spans="5:6" ht="15.75" customHeight="1">
      <c r="E265" s="552"/>
      <c r="F265" s="553"/>
    </row>
    <row r="266" spans="5:6" ht="15.75" customHeight="1">
      <c r="E266" s="552"/>
      <c r="F266" s="553"/>
    </row>
    <row r="267" spans="5:6" ht="15.75" customHeight="1">
      <c r="E267" s="552"/>
      <c r="F267" s="553"/>
    </row>
    <row r="268" spans="5:6" ht="15.75" customHeight="1">
      <c r="E268" s="552"/>
      <c r="F268" s="553"/>
    </row>
    <row r="269" spans="5:6" ht="15.75" customHeight="1">
      <c r="E269" s="552"/>
      <c r="F269" s="553"/>
    </row>
    <row r="270" spans="5:6" ht="15.75" customHeight="1">
      <c r="E270" s="552"/>
      <c r="F270" s="553"/>
    </row>
    <row r="271" spans="5:6" ht="15.75" customHeight="1">
      <c r="E271" s="552"/>
      <c r="F271" s="553"/>
    </row>
    <row r="272" spans="5:6" ht="15.75" customHeight="1">
      <c r="E272" s="552"/>
      <c r="F272" s="553"/>
    </row>
    <row r="273" spans="5:6" ht="15.75" customHeight="1">
      <c r="E273" s="552"/>
      <c r="F273" s="553"/>
    </row>
    <row r="274" spans="5:6" ht="15.75" customHeight="1">
      <c r="E274" s="552"/>
      <c r="F274" s="553"/>
    </row>
    <row r="275" spans="5:6" ht="15.75" customHeight="1">
      <c r="E275" s="552"/>
      <c r="F275" s="553"/>
    </row>
    <row r="276" spans="5:6" ht="15.75" customHeight="1">
      <c r="E276" s="552"/>
      <c r="F276" s="553"/>
    </row>
    <row r="277" spans="5:6" ht="15.75" customHeight="1">
      <c r="E277" s="552"/>
      <c r="F277" s="553"/>
    </row>
    <row r="278" spans="5:6" ht="15.75" customHeight="1">
      <c r="E278" s="552"/>
      <c r="F278" s="553"/>
    </row>
    <row r="279" spans="5:6" ht="15.75" customHeight="1">
      <c r="E279" s="552"/>
      <c r="F279" s="553"/>
    </row>
    <row r="280" spans="5:6" ht="15.75" customHeight="1">
      <c r="E280" s="552"/>
      <c r="F280" s="553"/>
    </row>
    <row r="281" spans="5:6" ht="15.75" customHeight="1">
      <c r="E281" s="552"/>
      <c r="F281" s="553"/>
    </row>
    <row r="282" spans="5:6" ht="15.75" customHeight="1">
      <c r="E282" s="552"/>
      <c r="F282" s="553"/>
    </row>
    <row r="283" spans="5:6" ht="15.75" customHeight="1">
      <c r="E283" s="552"/>
      <c r="F283" s="553"/>
    </row>
    <row r="284" spans="5:6" ht="15.75" customHeight="1">
      <c r="E284" s="552"/>
      <c r="F284" s="553"/>
    </row>
    <row r="285" spans="5:6" ht="15.75" customHeight="1">
      <c r="E285" s="552"/>
      <c r="F285" s="553"/>
    </row>
    <row r="286" spans="5:6" ht="15.75" customHeight="1">
      <c r="E286" s="552"/>
      <c r="F286" s="553"/>
    </row>
    <row r="287" spans="5:6" ht="15.75" customHeight="1">
      <c r="E287" s="552"/>
      <c r="F287" s="553"/>
    </row>
    <row r="288" spans="5:6" ht="15.75" customHeight="1">
      <c r="E288" s="552"/>
      <c r="F288" s="553"/>
    </row>
    <row r="289" spans="5:6" ht="15.75" customHeight="1">
      <c r="E289" s="552"/>
      <c r="F289" s="553"/>
    </row>
    <row r="290" spans="5:6" ht="15.75" customHeight="1">
      <c r="E290" s="552"/>
      <c r="F290" s="553"/>
    </row>
    <row r="291" spans="5:6" ht="15.75" customHeight="1">
      <c r="E291" s="552"/>
      <c r="F291" s="553"/>
    </row>
    <row r="292" spans="5:6" ht="15.75" customHeight="1">
      <c r="E292" s="552"/>
      <c r="F292" s="553"/>
    </row>
    <row r="293" spans="5:6" ht="15.75" customHeight="1">
      <c r="E293" s="552"/>
      <c r="F293" s="553"/>
    </row>
    <row r="294" spans="5:6" ht="15.75" customHeight="1">
      <c r="E294" s="552"/>
      <c r="F294" s="553"/>
    </row>
    <row r="295" spans="5:6" ht="15.75" customHeight="1">
      <c r="E295" s="552"/>
      <c r="F295" s="553"/>
    </row>
    <row r="296" spans="5:6" ht="15.75" customHeight="1">
      <c r="E296" s="552"/>
      <c r="F296" s="553"/>
    </row>
    <row r="297" spans="5:6" ht="15.75" customHeight="1">
      <c r="E297" s="552"/>
      <c r="F297" s="553"/>
    </row>
    <row r="298" spans="5:6" ht="15.75" customHeight="1">
      <c r="E298" s="552"/>
      <c r="F298" s="553"/>
    </row>
    <row r="299" spans="5:6" ht="15.75" customHeight="1">
      <c r="E299" s="552"/>
      <c r="F299" s="553"/>
    </row>
    <row r="300" spans="5:6" ht="15.75" customHeight="1">
      <c r="E300" s="552"/>
      <c r="F300" s="553"/>
    </row>
    <row r="301" spans="5:6" ht="15.75" customHeight="1">
      <c r="E301" s="552"/>
      <c r="F301" s="553"/>
    </row>
    <row r="302" spans="5:6" ht="15.75" customHeight="1">
      <c r="E302" s="552"/>
      <c r="F302" s="553"/>
    </row>
    <row r="303" spans="5:6" ht="15.75" customHeight="1">
      <c r="E303" s="552"/>
      <c r="F303" s="553"/>
    </row>
    <row r="304" spans="5:6" ht="15.75" customHeight="1">
      <c r="E304" s="552"/>
      <c r="F304" s="553"/>
    </row>
    <row r="305" spans="5:6" ht="15.75" customHeight="1">
      <c r="E305" s="552"/>
      <c r="F305" s="553"/>
    </row>
    <row r="306" spans="5:6" ht="15.75" customHeight="1">
      <c r="E306" s="552"/>
      <c r="F306" s="553"/>
    </row>
    <row r="307" spans="5:6" ht="15.75" customHeight="1">
      <c r="E307" s="552"/>
      <c r="F307" s="553"/>
    </row>
    <row r="308" spans="5:6" ht="15.75" customHeight="1">
      <c r="E308" s="552"/>
      <c r="F308" s="553"/>
    </row>
    <row r="309" spans="5:6" ht="15.75" customHeight="1">
      <c r="E309" s="552"/>
      <c r="F309" s="553"/>
    </row>
    <row r="310" spans="5:6" ht="15.75" customHeight="1">
      <c r="E310" s="552"/>
      <c r="F310" s="553"/>
    </row>
    <row r="311" spans="5:6" ht="15.75" customHeight="1">
      <c r="E311" s="552"/>
      <c r="F311" s="553"/>
    </row>
    <row r="312" spans="5:6" ht="15.75" customHeight="1">
      <c r="E312" s="552"/>
      <c r="F312" s="553"/>
    </row>
    <row r="313" spans="5:6" ht="15.75" customHeight="1">
      <c r="E313" s="552"/>
      <c r="F313" s="553"/>
    </row>
    <row r="314" spans="5:6" ht="15.75" customHeight="1">
      <c r="E314" s="552"/>
      <c r="F314" s="553"/>
    </row>
    <row r="315" spans="5:6" ht="15.75" customHeight="1">
      <c r="E315" s="552"/>
      <c r="F315" s="553"/>
    </row>
    <row r="316" spans="5:6" ht="15.75" customHeight="1">
      <c r="E316" s="552"/>
      <c r="F316" s="553"/>
    </row>
    <row r="317" spans="5:6" ht="15.75" customHeight="1">
      <c r="E317" s="552"/>
      <c r="F317" s="553"/>
    </row>
    <row r="318" spans="5:6" ht="15.75" customHeight="1">
      <c r="E318" s="552"/>
      <c r="F318" s="553"/>
    </row>
    <row r="319" spans="5:6" ht="15.75" customHeight="1">
      <c r="E319" s="552"/>
      <c r="F319" s="553"/>
    </row>
    <row r="320" spans="5:6" ht="15.75" customHeight="1">
      <c r="E320" s="552"/>
      <c r="F320" s="553"/>
    </row>
    <row r="321" spans="5:6" ht="15.75" customHeight="1">
      <c r="E321" s="552"/>
      <c r="F321" s="553"/>
    </row>
    <row r="322" spans="5:6" ht="15.75" customHeight="1">
      <c r="E322" s="552"/>
      <c r="F322" s="553"/>
    </row>
    <row r="323" spans="5:6" ht="15.75" customHeight="1">
      <c r="E323" s="552"/>
      <c r="F323" s="553"/>
    </row>
    <row r="324" spans="5:6" ht="15.75" customHeight="1">
      <c r="E324" s="552"/>
      <c r="F324" s="553"/>
    </row>
    <row r="325" spans="5:6" ht="15.75" customHeight="1">
      <c r="E325" s="552"/>
      <c r="F325" s="553"/>
    </row>
    <row r="326" spans="5:6" ht="15.75" customHeight="1">
      <c r="E326" s="552"/>
      <c r="F326" s="553"/>
    </row>
    <row r="327" spans="5:6" ht="15.75" customHeight="1">
      <c r="E327" s="552"/>
      <c r="F327" s="553"/>
    </row>
    <row r="328" spans="5:6" ht="15.75" customHeight="1">
      <c r="E328" s="552"/>
      <c r="F328" s="553"/>
    </row>
    <row r="329" spans="5:6" ht="15.75" customHeight="1">
      <c r="E329" s="552"/>
      <c r="F329" s="553"/>
    </row>
    <row r="330" spans="5:6" ht="15.75" customHeight="1">
      <c r="E330" s="552"/>
      <c r="F330" s="553"/>
    </row>
    <row r="331" spans="5:6" ht="15.75" customHeight="1">
      <c r="E331" s="552"/>
      <c r="F331" s="553"/>
    </row>
    <row r="332" spans="5:6" ht="15.75" customHeight="1">
      <c r="E332" s="552"/>
      <c r="F332" s="553"/>
    </row>
    <row r="333" spans="5:6" ht="15.75" customHeight="1">
      <c r="E333" s="552"/>
      <c r="F333" s="553"/>
    </row>
    <row r="334" spans="5:6" ht="15.75" customHeight="1">
      <c r="E334" s="552"/>
      <c r="F334" s="553"/>
    </row>
    <row r="335" spans="5:6" ht="15.75" customHeight="1">
      <c r="E335" s="552"/>
      <c r="F335" s="553"/>
    </row>
    <row r="336" spans="5:6" ht="15.75" customHeight="1">
      <c r="E336" s="552"/>
      <c r="F336" s="553"/>
    </row>
    <row r="337" spans="5:6" ht="15.75" customHeight="1">
      <c r="E337" s="552"/>
      <c r="F337" s="553"/>
    </row>
    <row r="338" spans="5:6" ht="15.75" customHeight="1">
      <c r="E338" s="552"/>
      <c r="F338" s="553"/>
    </row>
    <row r="339" spans="5:6" ht="15.75" customHeight="1">
      <c r="E339" s="552"/>
      <c r="F339" s="553"/>
    </row>
    <row r="340" spans="5:6" ht="15.75" customHeight="1">
      <c r="E340" s="552"/>
      <c r="F340" s="553"/>
    </row>
    <row r="341" spans="5:6" ht="15.75" customHeight="1">
      <c r="E341" s="552"/>
      <c r="F341" s="553"/>
    </row>
    <row r="342" spans="5:6" ht="15.75" customHeight="1">
      <c r="E342" s="552"/>
      <c r="F342" s="553"/>
    </row>
    <row r="343" spans="5:6" ht="15.75" customHeight="1">
      <c r="E343" s="552"/>
      <c r="F343" s="553"/>
    </row>
    <row r="344" spans="5:6" ht="15.75" customHeight="1">
      <c r="E344" s="552"/>
      <c r="F344" s="553"/>
    </row>
    <row r="345" spans="5:6" ht="15.75" customHeight="1">
      <c r="E345" s="552"/>
      <c r="F345" s="553"/>
    </row>
    <row r="346" spans="5:6" ht="15.75" customHeight="1">
      <c r="E346" s="552"/>
      <c r="F346" s="553"/>
    </row>
    <row r="347" spans="5:6" ht="15.75" customHeight="1">
      <c r="E347" s="552"/>
      <c r="F347" s="553"/>
    </row>
    <row r="348" spans="5:6" ht="15.75" customHeight="1">
      <c r="E348" s="552"/>
      <c r="F348" s="553"/>
    </row>
    <row r="349" spans="5:6" ht="15.75" customHeight="1">
      <c r="E349" s="552"/>
      <c r="F349" s="553"/>
    </row>
    <row r="350" spans="5:6" ht="15.75" customHeight="1">
      <c r="E350" s="552"/>
      <c r="F350" s="553"/>
    </row>
    <row r="351" spans="5:6" ht="15.75" customHeight="1">
      <c r="E351" s="552"/>
      <c r="F351" s="553"/>
    </row>
    <row r="352" spans="5:6" ht="15.75" customHeight="1">
      <c r="E352" s="552"/>
      <c r="F352" s="553"/>
    </row>
    <row r="353" spans="5:6" ht="15.75" customHeight="1">
      <c r="E353" s="552"/>
      <c r="F353" s="553"/>
    </row>
    <row r="354" spans="5:6" ht="15.75" customHeight="1">
      <c r="E354" s="552"/>
      <c r="F354" s="553"/>
    </row>
    <row r="355" spans="5:6" ht="15.75" customHeight="1">
      <c r="E355" s="552"/>
      <c r="F355" s="553"/>
    </row>
    <row r="356" spans="5:6" ht="15.75" customHeight="1">
      <c r="E356" s="552"/>
      <c r="F356" s="553"/>
    </row>
    <row r="357" spans="5:6" ht="15.75" customHeight="1">
      <c r="E357" s="552"/>
      <c r="F357" s="553"/>
    </row>
    <row r="358" spans="5:6" ht="15.75" customHeight="1">
      <c r="E358" s="552"/>
      <c r="F358" s="553"/>
    </row>
    <row r="359" spans="5:6" ht="15.75" customHeight="1">
      <c r="E359" s="552"/>
      <c r="F359" s="553"/>
    </row>
    <row r="360" spans="5:6" ht="15.75" customHeight="1">
      <c r="E360" s="552"/>
      <c r="F360" s="553"/>
    </row>
    <row r="361" spans="5:6" ht="15.75" customHeight="1">
      <c r="E361" s="552"/>
      <c r="F361" s="553"/>
    </row>
    <row r="362" spans="5:6" ht="15.75" customHeight="1">
      <c r="E362" s="552"/>
      <c r="F362" s="553"/>
    </row>
    <row r="363" spans="5:6" ht="15.75" customHeight="1">
      <c r="E363" s="552"/>
      <c r="F363" s="553"/>
    </row>
    <row r="364" spans="5:6" ht="15.75" customHeight="1">
      <c r="E364" s="552"/>
      <c r="F364" s="553"/>
    </row>
    <row r="365" spans="5:6" ht="15.75" customHeight="1">
      <c r="E365" s="552"/>
      <c r="F365" s="553"/>
    </row>
    <row r="366" spans="5:6" ht="15.75" customHeight="1">
      <c r="E366" s="552"/>
      <c r="F366" s="553"/>
    </row>
    <row r="367" spans="5:6" ht="15.75" customHeight="1">
      <c r="E367" s="552"/>
      <c r="F367" s="553"/>
    </row>
    <row r="368" spans="5:6" ht="15.75" customHeight="1">
      <c r="E368" s="552"/>
      <c r="F368" s="553"/>
    </row>
    <row r="369" spans="5:6" ht="15.75" customHeight="1">
      <c r="E369" s="552"/>
      <c r="F369" s="553"/>
    </row>
    <row r="370" spans="5:6" ht="15.75" customHeight="1">
      <c r="E370" s="552"/>
      <c r="F370" s="553"/>
    </row>
    <row r="371" spans="5:6" ht="15.75" customHeight="1">
      <c r="E371" s="552"/>
      <c r="F371" s="553"/>
    </row>
    <row r="372" spans="5:6" ht="15.75" customHeight="1">
      <c r="E372" s="552"/>
      <c r="F372" s="553"/>
    </row>
    <row r="373" spans="5:6" ht="15.75" customHeight="1">
      <c r="E373" s="552"/>
      <c r="F373" s="553"/>
    </row>
    <row r="374" spans="5:6" ht="15.75" customHeight="1">
      <c r="E374" s="552"/>
      <c r="F374" s="553"/>
    </row>
    <row r="375" spans="5:6" ht="15.75" customHeight="1">
      <c r="E375" s="552"/>
      <c r="F375" s="553"/>
    </row>
    <row r="376" spans="5:6" ht="15.75" customHeight="1">
      <c r="E376" s="552"/>
      <c r="F376" s="553"/>
    </row>
    <row r="377" spans="5:6" ht="15.75" customHeight="1">
      <c r="E377" s="552"/>
      <c r="F377" s="553"/>
    </row>
    <row r="378" spans="5:6" ht="15.75" customHeight="1">
      <c r="E378" s="552"/>
      <c r="F378" s="553"/>
    </row>
    <row r="379" spans="5:6" ht="15.75" customHeight="1">
      <c r="E379" s="552"/>
      <c r="F379" s="553"/>
    </row>
    <row r="380" spans="5:6" ht="15.75" customHeight="1">
      <c r="E380" s="552"/>
      <c r="F380" s="553"/>
    </row>
    <row r="381" spans="5:6" ht="15.75" customHeight="1">
      <c r="E381" s="552"/>
      <c r="F381" s="553"/>
    </row>
    <row r="382" spans="5:6" ht="15.75" customHeight="1">
      <c r="E382" s="552"/>
      <c r="F382" s="553"/>
    </row>
    <row r="383" spans="5:6" ht="15.75" customHeight="1"/>
    <row r="384" spans="5: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J4:K4"/>
    <mergeCell ref="B6:C6"/>
    <mergeCell ref="B10:C10"/>
    <mergeCell ref="B12:E12"/>
    <mergeCell ref="B7:C7"/>
    <mergeCell ref="D7:E7"/>
    <mergeCell ref="F7:G7"/>
    <mergeCell ref="H7:I7"/>
    <mergeCell ref="J7:K7"/>
    <mergeCell ref="B8:C8"/>
    <mergeCell ref="B9:C9"/>
    <mergeCell ref="B2:E2"/>
    <mergeCell ref="B4:C4"/>
    <mergeCell ref="D4:E4"/>
    <mergeCell ref="F4:G4"/>
    <mergeCell ref="H4:I4"/>
  </mergeCells>
  <conditionalFormatting sqref="E84">
    <cfRule type="expression" dxfId="69" priority="1">
      <formula>$K$14&gt;0</formula>
    </cfRule>
  </conditionalFormatting>
  <conditionalFormatting sqref="E85">
    <cfRule type="expression" dxfId="68" priority="2">
      <formula>$K$15&gt;0</formula>
    </cfRule>
  </conditionalFormatting>
  <conditionalFormatting sqref="E86">
    <cfRule type="expression" dxfId="67" priority="3">
      <formula>$K$16&gt;0</formula>
    </cfRule>
  </conditionalFormatting>
  <conditionalFormatting sqref="E87">
    <cfRule type="expression" dxfId="66" priority="4">
      <formula>$K$17&gt;0</formula>
    </cfRule>
  </conditionalFormatting>
  <conditionalFormatting sqref="E88">
    <cfRule type="expression" dxfId="65" priority="5">
      <formula>$K$18&gt;0</formula>
    </cfRule>
  </conditionalFormatting>
  <conditionalFormatting sqref="E88">
    <cfRule type="expression" dxfId="64" priority="6">
      <formula>$K$17&gt;0</formula>
    </cfRule>
  </conditionalFormatting>
  <conditionalFormatting sqref="E84 E89">
    <cfRule type="expression" dxfId="63" priority="7">
      <formula>$K$19&gt;0</formula>
    </cfRule>
  </conditionalFormatting>
  <conditionalFormatting sqref="E90">
    <cfRule type="expression" dxfId="62" priority="8">
      <formula>$K$20&gt;0</formula>
    </cfRule>
  </conditionalFormatting>
  <conditionalFormatting sqref="E91">
    <cfRule type="expression" dxfId="61" priority="9">
      <formula>$K$21&gt;0</formula>
    </cfRule>
  </conditionalFormatting>
  <conditionalFormatting sqref="E92">
    <cfRule type="expression" dxfId="60" priority="10">
      <formula>$K$22&gt;0</formula>
    </cfRule>
  </conditionalFormatting>
  <conditionalFormatting sqref="E93">
    <cfRule type="expression" dxfId="59" priority="11">
      <formula>$K$23&gt;0</formula>
    </cfRule>
  </conditionalFormatting>
  <conditionalFormatting sqref="E94">
    <cfRule type="expression" dxfId="58" priority="12">
      <formula>$K$24&gt;0</formula>
    </cfRule>
  </conditionalFormatting>
  <conditionalFormatting sqref="E95">
    <cfRule type="expression" dxfId="57" priority="13">
      <formula>$K$25&gt;0</formula>
    </cfRule>
  </conditionalFormatting>
  <conditionalFormatting sqref="E14:F14 F28 F42 F56 F70 F84 F98 F112 F126 F140 F154 F168">
    <cfRule type="expression" dxfId="56" priority="14">
      <formula>$J$14&gt;0</formula>
    </cfRule>
  </conditionalFormatting>
  <conditionalFormatting sqref="E15:F15 F29 F43 F57 F71 F85 F99 F113 F127 F141 F155 F169">
    <cfRule type="expression" dxfId="55" priority="15">
      <formula>$J$15&gt;0</formula>
    </cfRule>
  </conditionalFormatting>
  <conditionalFormatting sqref="E16:F16 F30 F44 F58 F72 F86 F100 F114 F128 F142 F156 F170">
    <cfRule type="expression" dxfId="54" priority="16">
      <formula>$J$16&gt;0</formula>
    </cfRule>
  </conditionalFormatting>
  <conditionalFormatting sqref="E17:F18 F31:F32 F45:F46 F59:F60 F73:F74 F87:F88 F101:F102 F115:F116 F129:F130 F143:F144 F157:F158 F171:F172">
    <cfRule type="expression" dxfId="53" priority="17">
      <formula>$J$17&gt;0</formula>
    </cfRule>
  </conditionalFormatting>
  <conditionalFormatting sqref="E18:F18 F32 F46 F60 F74 F88 F102 F116 F130 F144 F158 F172">
    <cfRule type="expression" dxfId="52" priority="18">
      <formula>$J$18&gt;0</formula>
    </cfRule>
  </conditionalFormatting>
  <conditionalFormatting sqref="E18:F18 F32 F46 F60 F74 F88 F102 F116 F130 F144 F158 F172">
    <cfRule type="expression" dxfId="51" priority="19">
      <formula>$J$17&gt;0</formula>
    </cfRule>
  </conditionalFormatting>
  <conditionalFormatting sqref="E19:F19 F33 F47 F61 F75 F89 F103 F117 F131 F145 F159 F173">
    <cfRule type="expression" dxfId="50" priority="20">
      <formula>$J$19&gt;0</formula>
    </cfRule>
  </conditionalFormatting>
  <conditionalFormatting sqref="E20:F20 F34 F48 F62 F76 F90 F104 F118 F132 F146 F160 F174">
    <cfRule type="expression" dxfId="49" priority="21">
      <formula>$J$20&gt;0</formula>
    </cfRule>
  </conditionalFormatting>
  <conditionalFormatting sqref="E21:F21 F35 F49 F63 F77 F91 F105 F119 F133 F147 F161 F175">
    <cfRule type="expression" dxfId="48" priority="22">
      <formula>$J$21&gt;0</formula>
    </cfRule>
  </conditionalFormatting>
  <conditionalFormatting sqref="E22:F22 F36 F50 F64 F78 F92 F106 F120 F134 F148 F162 F176">
    <cfRule type="expression" dxfId="47" priority="23">
      <formula>$J$22&gt;0</formula>
    </cfRule>
  </conditionalFormatting>
  <conditionalFormatting sqref="E23:F23 F37 F51 F65 F79 F93 F107 F121 F135 F149 F163 F177">
    <cfRule type="expression" dxfId="46" priority="24">
      <formula>$J$23&gt;0</formula>
    </cfRule>
  </conditionalFormatting>
  <conditionalFormatting sqref="E24:F24 F38 F52 F66 F80 F94 F108 F122 F136 F150 F164 F178">
    <cfRule type="expression" dxfId="45" priority="25">
      <formula>$J$24&gt;0</formula>
    </cfRule>
  </conditionalFormatting>
  <conditionalFormatting sqref="E25:F25 F39 F53 F67 F81 F95 F109 F123 F137 F151 F165 F179">
    <cfRule type="expression" dxfId="44" priority="26">
      <formula>$J$25&gt;0</formula>
    </cfRule>
  </conditionalFormatting>
  <conditionalFormatting sqref="E14:F14 E28:F28 E42:F42 E56:F56 E70:F70 E84:F84 E98:F98 E112:F112 E126:F126 E140:E151 E154:F154 E168:F168 F140">
    <cfRule type="expression" dxfId="43" priority="27">
      <formula>#REF!&gt;0</formula>
    </cfRule>
  </conditionalFormatting>
  <conditionalFormatting sqref="E15:F15 E29:F29 E43:F43 E57:F57 E71:F71 E85:F85 E99:F99 E113:F113 E127:F127 E141:E151 E155:F155 E169:F169 F141">
    <cfRule type="expression" dxfId="42" priority="28">
      <formula>#REF!&gt;0</formula>
    </cfRule>
  </conditionalFormatting>
  <conditionalFormatting sqref="E16:F16 E30:F30 E44:F44 E58:F58 E72:F72 E86:F86 E100:F100 E114:F114 E128:F128 E142:E151 E156:F156 E170:F170 F142">
    <cfRule type="expression" dxfId="41" priority="29">
      <formula>#REF!&gt;0</formula>
    </cfRule>
  </conditionalFormatting>
  <conditionalFormatting sqref="E17:F17 E31:F31 E45:F45 E59:F59 E73:F73 E87:F87 E101:F101 E115:F115 E129:E137 E143:E151 E157:F157 E171:F171 F129 F143">
    <cfRule type="expression" dxfId="40" priority="30">
      <formula>#REF!&gt;0</formula>
    </cfRule>
  </conditionalFormatting>
  <conditionalFormatting sqref="E18:F18 E32:F32 E46:F46 E60:F60 E74:F74 E88:F88 E102:F102 E116:F116 E130:E137 E144:E151 E158:F158 E172:F172 F130 F144">
    <cfRule type="expression" dxfId="39" priority="31">
      <formula>#REF!&gt;0</formula>
    </cfRule>
  </conditionalFormatting>
  <conditionalFormatting sqref="E18:F18 E32:F32 E46:F46 E60:F60 E74:F74 E88:F88 E102:F102 E116:F116 E130:E137 E144:E151 E158:F158 E172:F172 F130 F144">
    <cfRule type="expression" dxfId="38" priority="32">
      <formula>#REF!&gt;0</formula>
    </cfRule>
  </conditionalFormatting>
  <conditionalFormatting sqref="E19:F19 E33:F33 E47:F47 E61:F61 E75:F75 E84 E89:F89 E103:F103 E117:F117 E131:E137 E145:E151 E159:F159 E173:F173 F131 F145">
    <cfRule type="expression" dxfId="37" priority="33">
      <formula>#REF!&gt;0</formula>
    </cfRule>
  </conditionalFormatting>
  <conditionalFormatting sqref="E20:F20 E34:F34 E48:F48 E62:F62 E76:F76 E90:F90 E104:F104 E118:F118 E132:E137 E146:E151 E160:F160 E174:F174 F132 F146">
    <cfRule type="expression" dxfId="36" priority="34">
      <formula>#REF!&gt;0</formula>
    </cfRule>
  </conditionalFormatting>
  <conditionalFormatting sqref="E21:F21 E35:F35 E49:F49 E63:F63 E77:F77 E91:F91 E105:F105 E119:F119 E133:E137 E147:E151 E161:F161 E175:F175 F133 F147">
    <cfRule type="expression" dxfId="35" priority="35">
      <formula>#REF!&gt;0</formula>
    </cfRule>
  </conditionalFormatting>
  <conditionalFormatting sqref="E22:F22 E36:F36 E50:F50 E64:F64 E78:F78 E92:F92 E106:F106 E120:F120 E134:E137 E148:E151 E162:F162 E176:F176 F134 F148">
    <cfRule type="expression" dxfId="34" priority="36">
      <formula>#REF!&gt;0</formula>
    </cfRule>
  </conditionalFormatting>
  <conditionalFormatting sqref="E23:F23 E37:F37 E51:F51 E65:F65 E79:F79 E93:F93 E107:F107 E121:F121 E135:E137 E149:E151 E163:F163 E177:F177 F135 F149">
    <cfRule type="expression" dxfId="33" priority="37">
      <formula>#REF!&gt;0</formula>
    </cfRule>
  </conditionalFormatting>
  <conditionalFormatting sqref="E24:F24 E38:F38 E52:F52 E66:F66 E80:F80 E94:F94 E108:F108 E122:F122 E136:E137 E150:E151 E164:F164 E178:F178 F136 F150">
    <cfRule type="expression" dxfId="32" priority="38">
      <formula>#REF!&gt;0</formula>
    </cfRule>
  </conditionalFormatting>
  <conditionalFormatting sqref="E25:F25 E39:F39 E53:F53 E67:F67 E81:F81 E95:F95 E109:F109 E123:F123 E137:F137 E151:F151 E165:F165 E179:F179">
    <cfRule type="expression" dxfId="31" priority="39">
      <formula>#REF!&gt;0</formula>
    </cfRule>
  </conditionalFormatting>
  <conditionalFormatting sqref="D14:D25 D28 D42 D56 D58:D67 D70 D72:D81 D84 D86:D95 D98 D112 D114:E123 D126 D128:E137 D140 D142:E151 D154 D156:D165 D168 E84:E93 F12:F14">
    <cfRule type="cellIs" dxfId="30" priority="40" operator="greaterThan">
      <formula>0</formula>
    </cfRule>
  </conditionalFormatting>
  <conditionalFormatting sqref="D14:D15 D28 D42 D56 D70 D84 D98 D112 D126 D140 D154 D168">
    <cfRule type="cellIs" dxfId="29" priority="41" operator="greaterThan">
      <formula>0</formula>
    </cfRule>
  </conditionalFormatting>
  <conditionalFormatting sqref="D15:D16 D29:D30 D43:D44 D57:D58 D71:D73 D85:D86 D99:D100 D113:D114 D127:D128 D141:D142 D155:D156 D169:D170">
    <cfRule type="cellIs" dxfId="28" priority="42" operator="greaterThan">
      <formula>0</formula>
    </cfRule>
  </conditionalFormatting>
  <conditionalFormatting sqref="D15:D16 D29:D30 D43:D44 D57:D58 D71:D73 D85:D86 D99:D100 D113:D114 D127:D128 D141:D142 D155:D156 D169:D170">
    <cfRule type="cellIs" dxfId="27" priority="43" operator="greaterThan">
      <formula>0</formula>
    </cfRule>
  </conditionalFormatting>
  <conditionalFormatting sqref="D16:D25 D30:D39 D44:D53 D58:D67 D72:D81 D86:D95 D100:D109 D114:D123 D128:D137 D142:D151 D156:D165 D170:D179">
    <cfRule type="cellIs" dxfId="26" priority="44" operator="greaterThan">
      <formula>0</formula>
    </cfRule>
  </conditionalFormatting>
  <conditionalFormatting sqref="D16:D25 D30:D39 D44:D53 D58:D67 D72:D81 D86:D95 D100:D109 D114:D123 D128:D137 D142:D151 D156:D165 D170:D179">
    <cfRule type="cellIs" dxfId="25" priority="45" operator="greaterThan">
      <formula>0</formula>
    </cfRule>
  </conditionalFormatting>
  <conditionalFormatting sqref="B14:C14 B28:C28 B42:C42 B56:C56 B70:C70 B84:C84 B98:C98 B112:C112 B126:C126 B140:C140 B154:C154 B168:C168">
    <cfRule type="expression" dxfId="24" priority="46">
      <formula>$D$14&gt;0</formula>
    </cfRule>
  </conditionalFormatting>
  <conditionalFormatting sqref="B14:C14 B28:C28 B42:C42 B56:C56 B70:C70 B84:C84 B98:C98 B112:C112 B126:C126 B140:C140 B154:C154 B168:C168">
    <cfRule type="expression" dxfId="23" priority="47">
      <formula>$C$14&gt;0</formula>
    </cfRule>
  </conditionalFormatting>
  <conditionalFormatting sqref="B16:C16 B30:C30 B44:C44 B58:C58 B72:C72 B86:C86 B100:C100 B114:C114 B128:C128 B142:C142 B156:C156 B170:C170">
    <cfRule type="expression" dxfId="22" priority="48">
      <formula>$D$16&gt;0</formula>
    </cfRule>
  </conditionalFormatting>
  <conditionalFormatting sqref="B17:C17 B31:C31 B45:C45 B59:C59 B73:C73 B87:C87 B101:C101 B115:C115 B129:C129 B143:C143 B157:C157 B171:C171">
    <cfRule type="expression" dxfId="21" priority="49">
      <formula>$D$17&gt;0</formula>
    </cfRule>
  </conditionalFormatting>
  <conditionalFormatting sqref="B18:C18 B32:C32 B46:C46 B60:C60 B74:C74 B88:C88 B102:C102 B116:C116 B130:C130 B144:C144 B158:C158 B172:C172">
    <cfRule type="expression" dxfId="20" priority="50">
      <formula>$D$18&gt;0</formula>
    </cfRule>
  </conditionalFormatting>
  <conditionalFormatting sqref="B19:C19 B33:C33 B47:C47 B61:C61 B75:C75 B89:C89 B103:C103 B117:C117 B131:C131 B145:C145 B159:C159 B173:C173">
    <cfRule type="expression" dxfId="19" priority="51">
      <formula>$D$19&gt;0</formula>
    </cfRule>
  </conditionalFormatting>
  <conditionalFormatting sqref="B20:C20 B34:C34 B48:C48 B62:C62 B76:C76 B90:C90 B104:C104 B118:C118 B132:C132 B146:C146 B160:C160 B174:C174">
    <cfRule type="expression" dxfId="18" priority="52">
      <formula>$D$20&gt;0</formula>
    </cfRule>
  </conditionalFormatting>
  <conditionalFormatting sqref="B21:C21 B35:C35 B49:C49 B63:C63 B77:C77 B91:C91 B105:C105 B119:C119 B133:C133 B147:C147 B161:C161 B175:C175">
    <cfRule type="expression" dxfId="17" priority="53">
      <formula>$D$21&gt;0</formula>
    </cfRule>
  </conditionalFormatting>
  <conditionalFormatting sqref="B22:C22 B36:C36 B50:C50 B64:C64 B78:C78 B92:C92 B106:C106 B120:C120 B134:C134 B148:C148 B162:C162 B176:C176">
    <cfRule type="expression" dxfId="16" priority="54">
      <formula>$D$22&gt;0</formula>
    </cfRule>
  </conditionalFormatting>
  <conditionalFormatting sqref="B23:C23 B37:C37 B51:C51 B65:C65 B79:C79 B93:C93 B107:C107 B121:C121 B135:C135 B149:C149 B163:C163 B177:C177">
    <cfRule type="expression" dxfId="15" priority="55">
      <formula>$D$23&gt;0</formula>
    </cfRule>
  </conditionalFormatting>
  <conditionalFormatting sqref="B24:C24 B38:C38 B52:C52 B66:C66 B80:C80 B94:C94 B108:C108 B122:C122 B136:C136 B150:C150 B164:C164 B178:C178">
    <cfRule type="expression" dxfId="14" priority="56">
      <formula>$D$24&gt;0</formula>
    </cfRule>
  </conditionalFormatting>
  <conditionalFormatting sqref="B25:C25 B39:C39 B53:C53 B67:C67 B81:C81 B95:C95 B109:C109 B123:C123 B137:C137 B151:C151 B165:C165 B179:C179">
    <cfRule type="expression" dxfId="13" priority="57">
      <formula>$D$25&gt;0</formula>
    </cfRule>
  </conditionalFormatting>
  <conditionalFormatting sqref="B15:B25 B29:B39 B43:B53 B57:B67 B71:B81 B85:B95 B99:B109 B113:B123 B127:B137 B141:B151 B155:B165 B169:B179 C14:C15 C29 C43 C57 C71 C85 C99 C113 C127 C141 C155 C169">
    <cfRule type="expression" dxfId="12" priority="58">
      <formula>$D$15&gt;0</formula>
    </cfRule>
  </conditionalFormatting>
  <conditionalFormatting sqref="D15:D16 D24 D29:D30 D43:D44 D57:D58 D66 D71:D73 D80 D85:D86 D94 D99:D100 D113:D114 D122:E122 D127:D128 D136 D141:D142 D150 D155:D156 D164 D169:D170 E92 E136:E137 E150:E151 F13">
    <cfRule type="cellIs" dxfId="11" priority="59" operator="greaterThan">
      <formula>0</formula>
    </cfRule>
  </conditionalFormatting>
  <conditionalFormatting sqref="D14:D15 D28 D42 D56 D70 D84 D98 D112:E112 D126:E126 D140 D154 D168 E140:E151">
    <cfRule type="cellIs" dxfId="10" priority="60" operator="lessThan">
      <formula>0</formula>
    </cfRule>
  </conditionalFormatting>
  <conditionalFormatting sqref="D16 D30 D44 D58 D72 D86 D100 D114:E114 D128:E128 D142 D156 D170 E84 E142:E151">
    <cfRule type="cellIs" dxfId="9" priority="61" operator="greaterThan">
      <formula>0</formula>
    </cfRule>
  </conditionalFormatting>
  <conditionalFormatting sqref="D17 D31 D45 D59 D73 D87 D101 D115 D129 D143 D157 D171">
    <cfRule type="cellIs" dxfId="8" priority="62" operator="greaterThan">
      <formula>0</formula>
    </cfRule>
  </conditionalFormatting>
  <conditionalFormatting sqref="D18 D32 D46 D60 D74 D88 D102 D116 D130 D144 D158 D172">
    <cfRule type="cellIs" dxfId="7" priority="63" operator="greaterThan">
      <formula>0</formula>
    </cfRule>
  </conditionalFormatting>
  <conditionalFormatting sqref="D19 D33 D47 D61 D75 D89 D103 D117 D131 D145 D159 D173">
    <cfRule type="cellIs" dxfId="6" priority="64" operator="greaterThan">
      <formula>0</formula>
    </cfRule>
  </conditionalFormatting>
  <conditionalFormatting sqref="D20 D25 D34 D48 D62 D67 D76 D81 D90 D95 D104 D118 D123:E123 D132 D137:E137 D146 D151:E151 D160 D165 D174 E93 F14">
    <cfRule type="cellIs" dxfId="5" priority="65" operator="lessThan">
      <formula>0</formula>
    </cfRule>
  </conditionalFormatting>
  <conditionalFormatting sqref="D21 D35 D49 D63 D77 D91 D105 D119:E119 D133 D147 D161 D175 E84 E89 E133:E137 E147:E151">
    <cfRule type="cellIs" dxfId="4" priority="66" operator="greaterThan">
      <formula>0</formula>
    </cfRule>
  </conditionalFormatting>
  <conditionalFormatting sqref="D22 D36 D50 D64 D78 D92 D106 D120 D134 D148 D162 D176">
    <cfRule type="cellIs" dxfId="3" priority="67" operator="greaterThan">
      <formula>0</formula>
    </cfRule>
  </conditionalFormatting>
  <conditionalFormatting sqref="D23 D37 D51 D65 D79 D93 D107 D121 D135 D149 D163 D177">
    <cfRule type="cellIs" dxfId="2" priority="68" operator="greaterThan">
      <formula>0</formula>
    </cfRule>
  </conditionalFormatting>
  <conditionalFormatting sqref="D24 D38 D52 D66 D80 D94 D108 D122 D136 D150 D164 D178">
    <cfRule type="cellIs" dxfId="1" priority="69" operator="greaterThan">
      <formula>0</formula>
    </cfRule>
  </conditionalFormatting>
  <conditionalFormatting sqref="D25 D39 D53 D67 D81 D95 D109 D123 D137 D151 D165 D179">
    <cfRule type="cellIs" dxfId="0" priority="70" operator="greater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D6E3BC"/>
    <pageSetUpPr fitToPage="1"/>
  </sheetPr>
  <dimension ref="A1:HN1000"/>
  <sheetViews>
    <sheetView workbookViewId="0">
      <pane xSplit="4" topLeftCell="E1" activePane="topRight" state="frozen"/>
      <selection pane="topRight" activeCell="E5" sqref="E5"/>
    </sheetView>
  </sheetViews>
  <sheetFormatPr defaultColWidth="14.42578125" defaultRowHeight="15" customHeight="1"/>
  <cols>
    <col min="1" max="1" width="1.5703125" hidden="1" customWidth="1"/>
    <col min="2" max="2" width="11.42578125" customWidth="1"/>
    <col min="3" max="3" width="26.85546875" customWidth="1"/>
    <col min="4" max="4" width="19.7109375" customWidth="1"/>
    <col min="5" max="5" width="13.28515625" customWidth="1"/>
    <col min="6" max="6" width="9.5703125" customWidth="1"/>
    <col min="7" max="7" width="5.28515625" customWidth="1"/>
    <col min="8" max="8" width="9.7109375" customWidth="1"/>
    <col min="9" max="9" width="21.140625" customWidth="1"/>
    <col min="10" max="10" width="20" customWidth="1"/>
    <col min="11" max="11" width="13.28515625" customWidth="1"/>
    <col min="12" max="13" width="16.85546875" customWidth="1"/>
    <col min="14" max="14" width="16.5703125" customWidth="1"/>
    <col min="15" max="15" width="27.85546875" customWidth="1"/>
    <col min="16" max="16" width="20.140625" customWidth="1"/>
    <col min="17" max="17" width="19.5703125" customWidth="1"/>
    <col min="18" max="18" width="24.42578125" customWidth="1"/>
    <col min="19" max="20" width="13.7109375" customWidth="1"/>
    <col min="21" max="21" width="9.140625" customWidth="1"/>
    <col min="22" max="22" width="13.7109375" customWidth="1"/>
    <col min="23" max="23" width="15.28515625" customWidth="1"/>
    <col min="24" max="24" width="5.28515625" customWidth="1"/>
    <col min="25" max="25" width="9.7109375" customWidth="1"/>
    <col min="26" max="26" width="19.28515625" customWidth="1"/>
    <col min="27" max="27" width="20" customWidth="1"/>
    <col min="28" max="28" width="10.5703125" customWidth="1"/>
    <col min="29" max="30" width="15.28515625" customWidth="1"/>
    <col min="31" max="31" width="17.28515625" customWidth="1"/>
    <col min="32" max="32" width="27.85546875" customWidth="1"/>
    <col min="33" max="33" width="20.140625" customWidth="1"/>
    <col min="34" max="34" width="19.5703125" customWidth="1"/>
    <col min="35" max="35" width="24.42578125" customWidth="1"/>
    <col min="36" max="37" width="15.28515625" customWidth="1"/>
    <col min="38" max="38" width="8" customWidth="1"/>
    <col min="39" max="39" width="15.28515625" customWidth="1"/>
    <col min="40" max="40" width="9.7109375" customWidth="1"/>
    <col min="41" max="41" width="7.28515625" customWidth="1"/>
    <col min="42" max="42" width="10" customWidth="1"/>
    <col min="43" max="43" width="15.28515625" customWidth="1"/>
    <col min="44" max="44" width="20" customWidth="1"/>
    <col min="45" max="48" width="14.42578125" customWidth="1"/>
    <col min="49" max="49" width="27.85546875" customWidth="1"/>
    <col min="50" max="50" width="20.140625" customWidth="1"/>
    <col min="51" max="51" width="19.5703125" customWidth="1"/>
    <col min="52" max="52" width="24.42578125" customWidth="1"/>
    <col min="53" max="53" width="18.42578125" customWidth="1"/>
    <col min="54" max="54" width="15.28515625" customWidth="1"/>
    <col min="55" max="55" width="8" customWidth="1"/>
    <col min="56" max="56" width="15.28515625" customWidth="1"/>
    <col min="57" max="57" width="11.7109375" customWidth="1"/>
    <col min="58" max="58" width="7" customWidth="1"/>
    <col min="59" max="59" width="9.7109375" customWidth="1"/>
    <col min="60" max="60" width="15.28515625" customWidth="1"/>
    <col min="61" max="61" width="20" customWidth="1"/>
    <col min="62" max="65" width="14.42578125" customWidth="1"/>
    <col min="66" max="66" width="27.85546875" customWidth="1"/>
    <col min="67" max="67" width="20.140625" customWidth="1"/>
    <col min="68" max="68" width="19.5703125" customWidth="1"/>
    <col min="69" max="69" width="24.85546875" customWidth="1"/>
    <col min="70" max="70" width="18.42578125" customWidth="1"/>
    <col min="71" max="71" width="15.28515625" customWidth="1"/>
    <col min="72" max="72" width="8" customWidth="1"/>
    <col min="73" max="73" width="15.28515625" customWidth="1"/>
    <col min="74" max="74" width="11.7109375" customWidth="1"/>
    <col min="75" max="75" width="6.28515625" customWidth="1"/>
    <col min="76" max="76" width="10" customWidth="1"/>
    <col min="77" max="77" width="15.28515625" customWidth="1"/>
    <col min="78" max="78" width="20" customWidth="1"/>
    <col min="79" max="82" width="14.42578125" customWidth="1"/>
    <col min="83" max="83" width="27.85546875" customWidth="1"/>
    <col min="84" max="84" width="20.140625" customWidth="1"/>
    <col min="85" max="85" width="19.5703125" customWidth="1"/>
    <col min="86" max="86" width="24.85546875" customWidth="1"/>
    <col min="87" max="87" width="18.42578125" customWidth="1"/>
    <col min="88" max="88" width="15.28515625" customWidth="1"/>
    <col min="89" max="89" width="8" customWidth="1"/>
    <col min="90" max="90" width="15.28515625" customWidth="1"/>
    <col min="91" max="91" width="11.7109375" customWidth="1"/>
    <col min="92" max="92" width="7" customWidth="1"/>
    <col min="93" max="93" width="9.7109375" customWidth="1"/>
    <col min="94" max="94" width="15.28515625" customWidth="1"/>
    <col min="95" max="95" width="20" customWidth="1"/>
    <col min="96" max="99" width="14.42578125" customWidth="1"/>
    <col min="100" max="100" width="27.85546875" customWidth="1"/>
    <col min="101" max="101" width="20.140625" customWidth="1"/>
    <col min="102" max="102" width="19.5703125" customWidth="1"/>
    <col min="103" max="103" width="24.42578125" customWidth="1"/>
    <col min="104" max="104" width="18.42578125" customWidth="1"/>
    <col min="105" max="105" width="15.28515625" customWidth="1"/>
    <col min="106" max="106" width="8" customWidth="1"/>
    <col min="107" max="107" width="15.28515625" customWidth="1"/>
    <col min="108" max="108" width="11.7109375" customWidth="1"/>
    <col min="109" max="109" width="7.28515625" customWidth="1"/>
    <col min="110" max="110" width="9.7109375" customWidth="1"/>
    <col min="111" max="111" width="15.28515625" customWidth="1"/>
    <col min="112" max="112" width="20" customWidth="1"/>
    <col min="113" max="116" width="14.42578125" customWidth="1"/>
    <col min="117" max="117" width="27.85546875" customWidth="1"/>
    <col min="118" max="118" width="20.140625" customWidth="1"/>
    <col min="119" max="119" width="19.5703125" customWidth="1"/>
    <col min="120" max="120" width="24.42578125" customWidth="1"/>
    <col min="121" max="121" width="18.42578125" customWidth="1"/>
    <col min="122" max="122" width="15.28515625" customWidth="1"/>
    <col min="123" max="123" width="8" customWidth="1"/>
    <col min="124" max="124" width="15.28515625" customWidth="1"/>
    <col min="125" max="125" width="11.7109375" customWidth="1"/>
    <col min="126" max="126" width="7.28515625" customWidth="1"/>
    <col min="127" max="127" width="9.7109375" customWidth="1"/>
    <col min="128" max="128" width="15.28515625" customWidth="1"/>
    <col min="129" max="129" width="20" customWidth="1"/>
    <col min="130" max="133" width="14.42578125" customWidth="1"/>
    <col min="134" max="134" width="27.85546875" customWidth="1"/>
    <col min="135" max="135" width="20.140625" customWidth="1"/>
    <col min="136" max="136" width="19.5703125" customWidth="1"/>
    <col min="137" max="137" width="24.42578125" customWidth="1"/>
    <col min="138" max="138" width="18.42578125" customWidth="1"/>
    <col min="139" max="139" width="15.28515625" customWidth="1"/>
    <col min="140" max="140" width="8" customWidth="1"/>
    <col min="141" max="141" width="15.28515625" customWidth="1"/>
    <col min="142" max="142" width="11.7109375" customWidth="1"/>
    <col min="143" max="143" width="9" customWidth="1"/>
    <col min="144" max="144" width="9.7109375" customWidth="1"/>
    <col min="145" max="145" width="15.28515625" customWidth="1"/>
    <col min="146" max="146" width="20" customWidth="1"/>
    <col min="147" max="150" width="14.42578125" customWidth="1"/>
    <col min="151" max="151" width="27.85546875" customWidth="1"/>
    <col min="152" max="152" width="20.140625" customWidth="1"/>
    <col min="153" max="153" width="19.5703125" customWidth="1"/>
    <col min="154" max="154" width="24.42578125" customWidth="1"/>
    <col min="155" max="155" width="18.42578125" customWidth="1"/>
    <col min="156" max="156" width="15.28515625" customWidth="1"/>
    <col min="157" max="157" width="8" customWidth="1"/>
    <col min="158" max="158" width="15.28515625" customWidth="1"/>
    <col min="159" max="159" width="11.7109375" customWidth="1"/>
    <col min="160" max="160" width="8.7109375" customWidth="1"/>
    <col min="161" max="161" width="9.7109375" customWidth="1"/>
    <col min="162" max="162" width="15.28515625" customWidth="1"/>
    <col min="163" max="163" width="20" customWidth="1"/>
    <col min="164" max="167" width="14.42578125" customWidth="1"/>
    <col min="168" max="168" width="27.85546875" customWidth="1"/>
    <col min="169" max="169" width="20.140625" customWidth="1"/>
    <col min="170" max="170" width="19.5703125" customWidth="1"/>
    <col min="171" max="171" width="24.42578125" customWidth="1"/>
    <col min="172" max="172" width="18.42578125" customWidth="1"/>
    <col min="173" max="173" width="15.28515625" customWidth="1"/>
    <col min="174" max="174" width="8" customWidth="1"/>
    <col min="175" max="175" width="15.28515625" customWidth="1"/>
    <col min="176" max="176" width="11.7109375" customWidth="1"/>
    <col min="177" max="177" width="8.42578125" customWidth="1"/>
    <col min="178" max="178" width="9.7109375" customWidth="1"/>
    <col min="179" max="179" width="15.28515625" customWidth="1"/>
    <col min="180" max="180" width="20" customWidth="1"/>
    <col min="181" max="184" width="14.42578125" customWidth="1"/>
    <col min="185" max="185" width="27.85546875" customWidth="1"/>
    <col min="186" max="186" width="20.140625" customWidth="1"/>
    <col min="187" max="187" width="19.5703125" customWidth="1"/>
    <col min="188" max="188" width="24.42578125" customWidth="1"/>
    <col min="189" max="189" width="18.42578125" customWidth="1"/>
    <col min="190" max="190" width="15.28515625" customWidth="1"/>
    <col min="191" max="191" width="8" customWidth="1"/>
    <col min="192" max="192" width="15.28515625" customWidth="1"/>
    <col min="193" max="193" width="11.7109375" customWidth="1"/>
    <col min="194" max="194" width="7.28515625" customWidth="1"/>
    <col min="195" max="195" width="9.7109375" customWidth="1"/>
    <col min="196" max="196" width="15.28515625" customWidth="1"/>
    <col min="197" max="197" width="20" customWidth="1"/>
    <col min="198" max="201" width="14.42578125" customWidth="1"/>
    <col min="202" max="202" width="27.85546875" customWidth="1"/>
    <col min="203" max="203" width="20.140625" customWidth="1"/>
    <col min="204" max="204" width="15.28515625" customWidth="1"/>
    <col min="205" max="205" width="24.42578125" customWidth="1"/>
    <col min="206" max="206" width="18.42578125" customWidth="1"/>
    <col min="207" max="207" width="15.28515625" customWidth="1"/>
    <col min="208" max="208" width="9.7109375" customWidth="1"/>
    <col min="209" max="209" width="15.28515625" customWidth="1"/>
    <col min="210" max="210" width="11.7109375" customWidth="1"/>
    <col min="211" max="212" width="14.42578125" customWidth="1"/>
  </cols>
  <sheetData>
    <row r="1" spans="1:222" ht="35.25" customHeight="1">
      <c r="A1" s="1"/>
      <c r="B1" s="599" t="s">
        <v>115</v>
      </c>
      <c r="C1" s="600"/>
      <c r="D1" s="600"/>
      <c r="E1" s="1">
        <v>5</v>
      </c>
      <c r="F1" s="1">
        <f t="shared" ref="F1:HC1" si="0">E1+1</f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si="0"/>
        <v>67</v>
      </c>
      <c r="BP1" s="1">
        <f t="shared" si="0"/>
        <v>68</v>
      </c>
      <c r="BQ1" s="1">
        <f t="shared" si="0"/>
        <v>69</v>
      </c>
      <c r="BR1" s="1">
        <f t="shared" si="0"/>
        <v>70</v>
      </c>
      <c r="BS1" s="1">
        <f t="shared" si="0"/>
        <v>71</v>
      </c>
      <c r="BT1" s="1">
        <f t="shared" si="0"/>
        <v>72</v>
      </c>
      <c r="BU1" s="1">
        <f t="shared" si="0"/>
        <v>73</v>
      </c>
      <c r="BV1" s="1">
        <f t="shared" si="0"/>
        <v>74</v>
      </c>
      <c r="BW1" s="1">
        <f t="shared" si="0"/>
        <v>75</v>
      </c>
      <c r="BX1" s="1">
        <f t="shared" si="0"/>
        <v>76</v>
      </c>
      <c r="BY1" s="1">
        <f t="shared" si="0"/>
        <v>77</v>
      </c>
      <c r="BZ1" s="1">
        <f t="shared" si="0"/>
        <v>78</v>
      </c>
      <c r="CA1" s="1">
        <f t="shared" si="0"/>
        <v>79</v>
      </c>
      <c r="CB1" s="1">
        <f t="shared" si="0"/>
        <v>80</v>
      </c>
      <c r="CC1" s="1">
        <f t="shared" si="0"/>
        <v>81</v>
      </c>
      <c r="CD1" s="1">
        <f t="shared" si="0"/>
        <v>82</v>
      </c>
      <c r="CE1" s="1">
        <f t="shared" si="0"/>
        <v>83</v>
      </c>
      <c r="CF1" s="1">
        <f t="shared" si="0"/>
        <v>84</v>
      </c>
      <c r="CG1" s="1">
        <f t="shared" si="0"/>
        <v>85</v>
      </c>
      <c r="CH1" s="1">
        <f t="shared" si="0"/>
        <v>86</v>
      </c>
      <c r="CI1" s="1">
        <f t="shared" si="0"/>
        <v>87</v>
      </c>
      <c r="CJ1" s="1">
        <f t="shared" si="0"/>
        <v>88</v>
      </c>
      <c r="CK1" s="1">
        <f t="shared" si="0"/>
        <v>89</v>
      </c>
      <c r="CL1" s="1">
        <f t="shared" si="0"/>
        <v>90</v>
      </c>
      <c r="CM1" s="1">
        <f t="shared" si="0"/>
        <v>91</v>
      </c>
      <c r="CN1" s="1">
        <f t="shared" si="0"/>
        <v>92</v>
      </c>
      <c r="CO1" s="1">
        <f t="shared" si="0"/>
        <v>93</v>
      </c>
      <c r="CP1" s="1">
        <f t="shared" si="0"/>
        <v>94</v>
      </c>
      <c r="CQ1" s="1">
        <f t="shared" si="0"/>
        <v>95</v>
      </c>
      <c r="CR1" s="1">
        <f t="shared" si="0"/>
        <v>96</v>
      </c>
      <c r="CS1" s="1">
        <f t="shared" si="0"/>
        <v>97</v>
      </c>
      <c r="CT1" s="1">
        <f t="shared" si="0"/>
        <v>98</v>
      </c>
      <c r="CU1" s="1">
        <f t="shared" si="0"/>
        <v>99</v>
      </c>
      <c r="CV1" s="1">
        <f t="shared" si="0"/>
        <v>100</v>
      </c>
      <c r="CW1" s="1">
        <f t="shared" si="0"/>
        <v>101</v>
      </c>
      <c r="CX1" s="1">
        <f t="shared" si="0"/>
        <v>102</v>
      </c>
      <c r="CY1" s="1">
        <f t="shared" si="0"/>
        <v>103</v>
      </c>
      <c r="CZ1" s="1">
        <f t="shared" si="0"/>
        <v>104</v>
      </c>
      <c r="DA1" s="1">
        <f t="shared" si="0"/>
        <v>105</v>
      </c>
      <c r="DB1" s="1">
        <f t="shared" si="0"/>
        <v>106</v>
      </c>
      <c r="DC1" s="1">
        <f t="shared" si="0"/>
        <v>107</v>
      </c>
      <c r="DD1" s="1">
        <f t="shared" si="0"/>
        <v>108</v>
      </c>
      <c r="DE1" s="1">
        <f t="shared" si="0"/>
        <v>109</v>
      </c>
      <c r="DF1" s="1">
        <f t="shared" si="0"/>
        <v>110</v>
      </c>
      <c r="DG1" s="1">
        <f t="shared" si="0"/>
        <v>111</v>
      </c>
      <c r="DH1" s="1">
        <f t="shared" si="0"/>
        <v>112</v>
      </c>
      <c r="DI1" s="1">
        <f t="shared" si="0"/>
        <v>113</v>
      </c>
      <c r="DJ1" s="1">
        <f t="shared" si="0"/>
        <v>114</v>
      </c>
      <c r="DK1" s="1">
        <f t="shared" si="0"/>
        <v>115</v>
      </c>
      <c r="DL1" s="1">
        <f t="shared" si="0"/>
        <v>116</v>
      </c>
      <c r="DM1" s="1">
        <f t="shared" si="0"/>
        <v>117</v>
      </c>
      <c r="DN1" s="1">
        <f t="shared" si="0"/>
        <v>118</v>
      </c>
      <c r="DO1" s="1">
        <f t="shared" si="0"/>
        <v>119</v>
      </c>
      <c r="DP1" s="1">
        <f t="shared" si="0"/>
        <v>120</v>
      </c>
      <c r="DQ1" s="1">
        <f t="shared" si="0"/>
        <v>121</v>
      </c>
      <c r="DR1" s="1">
        <f t="shared" si="0"/>
        <v>122</v>
      </c>
      <c r="DS1" s="1">
        <f t="shared" si="0"/>
        <v>123</v>
      </c>
      <c r="DT1" s="1">
        <f t="shared" si="0"/>
        <v>124</v>
      </c>
      <c r="DU1" s="1">
        <f t="shared" si="0"/>
        <v>125</v>
      </c>
      <c r="DV1" s="1">
        <f t="shared" si="0"/>
        <v>126</v>
      </c>
      <c r="DW1" s="1">
        <f t="shared" si="0"/>
        <v>127</v>
      </c>
      <c r="DX1" s="1">
        <f t="shared" si="0"/>
        <v>128</v>
      </c>
      <c r="DY1" s="1">
        <f t="shared" si="0"/>
        <v>129</v>
      </c>
      <c r="DZ1" s="1">
        <f t="shared" si="0"/>
        <v>130</v>
      </c>
      <c r="EA1" s="1">
        <f t="shared" si="0"/>
        <v>131</v>
      </c>
      <c r="EB1" s="1">
        <f t="shared" si="0"/>
        <v>132</v>
      </c>
      <c r="EC1" s="1">
        <f t="shared" si="0"/>
        <v>133</v>
      </c>
      <c r="ED1" s="1">
        <f t="shared" si="0"/>
        <v>134</v>
      </c>
      <c r="EE1" s="1">
        <f t="shared" si="0"/>
        <v>135</v>
      </c>
      <c r="EF1" s="1">
        <f t="shared" si="0"/>
        <v>136</v>
      </c>
      <c r="EG1" s="1">
        <f t="shared" si="0"/>
        <v>137</v>
      </c>
      <c r="EH1" s="1">
        <f t="shared" si="0"/>
        <v>138</v>
      </c>
      <c r="EI1" s="1">
        <f t="shared" si="0"/>
        <v>139</v>
      </c>
      <c r="EJ1" s="1">
        <f t="shared" si="0"/>
        <v>140</v>
      </c>
      <c r="EK1" s="1">
        <f t="shared" si="0"/>
        <v>141</v>
      </c>
      <c r="EL1" s="1">
        <f t="shared" si="0"/>
        <v>142</v>
      </c>
      <c r="EM1" s="1">
        <f t="shared" si="0"/>
        <v>143</v>
      </c>
      <c r="EN1" s="1">
        <f t="shared" si="0"/>
        <v>144</v>
      </c>
      <c r="EO1" s="1">
        <f t="shared" si="0"/>
        <v>145</v>
      </c>
      <c r="EP1" s="1">
        <f t="shared" si="0"/>
        <v>146</v>
      </c>
      <c r="EQ1" s="1">
        <f t="shared" si="0"/>
        <v>147</v>
      </c>
      <c r="ER1" s="1">
        <f t="shared" si="0"/>
        <v>148</v>
      </c>
      <c r="ES1" s="1">
        <f t="shared" si="0"/>
        <v>149</v>
      </c>
      <c r="ET1" s="1">
        <f t="shared" si="0"/>
        <v>150</v>
      </c>
      <c r="EU1" s="1">
        <f t="shared" si="0"/>
        <v>151</v>
      </c>
      <c r="EV1" s="1">
        <f t="shared" si="0"/>
        <v>152</v>
      </c>
      <c r="EW1" s="1">
        <f t="shared" si="0"/>
        <v>153</v>
      </c>
      <c r="EX1" s="1">
        <f t="shared" si="0"/>
        <v>154</v>
      </c>
      <c r="EY1" s="1">
        <f t="shared" si="0"/>
        <v>155</v>
      </c>
      <c r="EZ1" s="1">
        <f t="shared" si="0"/>
        <v>156</v>
      </c>
      <c r="FA1" s="1">
        <f t="shared" si="0"/>
        <v>157</v>
      </c>
      <c r="FB1" s="1">
        <f t="shared" si="0"/>
        <v>158</v>
      </c>
      <c r="FC1" s="1">
        <f t="shared" si="0"/>
        <v>159</v>
      </c>
      <c r="FD1" s="1">
        <f t="shared" si="0"/>
        <v>160</v>
      </c>
      <c r="FE1" s="1">
        <f t="shared" si="0"/>
        <v>161</v>
      </c>
      <c r="FF1" s="1">
        <f t="shared" si="0"/>
        <v>162</v>
      </c>
      <c r="FG1" s="1">
        <f t="shared" si="0"/>
        <v>163</v>
      </c>
      <c r="FH1" s="1">
        <f t="shared" si="0"/>
        <v>164</v>
      </c>
      <c r="FI1" s="1">
        <f t="shared" si="0"/>
        <v>165</v>
      </c>
      <c r="FJ1" s="1">
        <f t="shared" si="0"/>
        <v>166</v>
      </c>
      <c r="FK1" s="1">
        <f t="shared" si="0"/>
        <v>167</v>
      </c>
      <c r="FL1" s="1">
        <f t="shared" si="0"/>
        <v>168</v>
      </c>
      <c r="FM1" s="1">
        <f t="shared" si="0"/>
        <v>169</v>
      </c>
      <c r="FN1" s="1">
        <f t="shared" si="0"/>
        <v>170</v>
      </c>
      <c r="FO1" s="1">
        <f t="shared" si="0"/>
        <v>171</v>
      </c>
      <c r="FP1" s="1">
        <f t="shared" si="0"/>
        <v>172</v>
      </c>
      <c r="FQ1" s="1">
        <f t="shared" si="0"/>
        <v>173</v>
      </c>
      <c r="FR1" s="1">
        <f t="shared" si="0"/>
        <v>174</v>
      </c>
      <c r="FS1" s="1">
        <f t="shared" si="0"/>
        <v>175</v>
      </c>
      <c r="FT1" s="1">
        <f t="shared" si="0"/>
        <v>176</v>
      </c>
      <c r="FU1" s="1">
        <f t="shared" si="0"/>
        <v>177</v>
      </c>
      <c r="FV1" s="1">
        <f t="shared" si="0"/>
        <v>178</v>
      </c>
      <c r="FW1" s="1">
        <f t="shared" si="0"/>
        <v>179</v>
      </c>
      <c r="FX1" s="1">
        <f t="shared" si="0"/>
        <v>180</v>
      </c>
      <c r="FY1" s="1">
        <f t="shared" si="0"/>
        <v>181</v>
      </c>
      <c r="FZ1" s="1">
        <f t="shared" si="0"/>
        <v>182</v>
      </c>
      <c r="GA1" s="1">
        <f t="shared" si="0"/>
        <v>183</v>
      </c>
      <c r="GB1" s="1">
        <f t="shared" si="0"/>
        <v>184</v>
      </c>
      <c r="GC1" s="1">
        <f t="shared" si="0"/>
        <v>185</v>
      </c>
      <c r="GD1" s="1">
        <f t="shared" si="0"/>
        <v>186</v>
      </c>
      <c r="GE1" s="1">
        <f t="shared" si="0"/>
        <v>187</v>
      </c>
      <c r="GF1" s="1">
        <f t="shared" si="0"/>
        <v>188</v>
      </c>
      <c r="GG1" s="1">
        <f t="shared" si="0"/>
        <v>189</v>
      </c>
      <c r="GH1" s="1">
        <f t="shared" si="0"/>
        <v>190</v>
      </c>
      <c r="GI1" s="1">
        <f t="shared" si="0"/>
        <v>191</v>
      </c>
      <c r="GJ1" s="1">
        <f t="shared" si="0"/>
        <v>192</v>
      </c>
      <c r="GK1" s="1">
        <f t="shared" si="0"/>
        <v>193</v>
      </c>
      <c r="GL1" s="1">
        <f t="shared" si="0"/>
        <v>194</v>
      </c>
      <c r="GM1" s="1">
        <f t="shared" si="0"/>
        <v>195</v>
      </c>
      <c r="GN1" s="1">
        <f t="shared" si="0"/>
        <v>196</v>
      </c>
      <c r="GO1" s="1">
        <f t="shared" si="0"/>
        <v>197</v>
      </c>
      <c r="GP1" s="1">
        <f t="shared" si="0"/>
        <v>198</v>
      </c>
      <c r="GQ1" s="1">
        <f t="shared" si="0"/>
        <v>199</v>
      </c>
      <c r="GR1" s="1">
        <f t="shared" si="0"/>
        <v>200</v>
      </c>
      <c r="GS1" s="1">
        <f t="shared" si="0"/>
        <v>201</v>
      </c>
      <c r="GT1" s="1">
        <f t="shared" si="0"/>
        <v>202</v>
      </c>
      <c r="GU1" s="1">
        <f t="shared" si="0"/>
        <v>203</v>
      </c>
      <c r="GV1" s="1">
        <f t="shared" si="0"/>
        <v>204</v>
      </c>
      <c r="GW1" s="1">
        <f t="shared" si="0"/>
        <v>205</v>
      </c>
      <c r="GX1" s="1">
        <f t="shared" si="0"/>
        <v>206</v>
      </c>
      <c r="GY1" s="1">
        <f t="shared" si="0"/>
        <v>207</v>
      </c>
      <c r="GZ1" s="1">
        <f t="shared" si="0"/>
        <v>208</v>
      </c>
      <c r="HA1" s="1">
        <f t="shared" si="0"/>
        <v>209</v>
      </c>
      <c r="HB1" s="1">
        <f t="shared" si="0"/>
        <v>210</v>
      </c>
      <c r="HC1" s="1">
        <f t="shared" si="0"/>
        <v>211</v>
      </c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ht="36" customHeight="1">
      <c r="A2" s="1"/>
      <c r="B2" s="41"/>
      <c r="C2" s="41"/>
      <c r="D2" s="41"/>
      <c r="E2" s="42"/>
      <c r="F2" s="43"/>
      <c r="G2" s="44"/>
      <c r="H2" s="4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ht="39.75" customHeight="1">
      <c r="A3" s="1"/>
      <c r="B3" s="45"/>
      <c r="C3" s="45"/>
      <c r="D3" s="45"/>
      <c r="E3" s="43"/>
      <c r="F3" s="43"/>
      <c r="G3" s="44">
        <v>1</v>
      </c>
      <c r="H3" s="44"/>
      <c r="I3" s="44">
        <f t="shared" ref="I3:W3" si="1">H3+1</f>
        <v>1</v>
      </c>
      <c r="J3" s="44">
        <f t="shared" si="1"/>
        <v>2</v>
      </c>
      <c r="K3" s="44">
        <f t="shared" si="1"/>
        <v>3</v>
      </c>
      <c r="L3" s="44">
        <f t="shared" si="1"/>
        <v>4</v>
      </c>
      <c r="M3" s="44">
        <f t="shared" si="1"/>
        <v>5</v>
      </c>
      <c r="N3" s="44">
        <f t="shared" si="1"/>
        <v>6</v>
      </c>
      <c r="O3" s="44">
        <f t="shared" si="1"/>
        <v>7</v>
      </c>
      <c r="P3" s="44">
        <f t="shared" si="1"/>
        <v>8</v>
      </c>
      <c r="Q3" s="44">
        <f t="shared" si="1"/>
        <v>9</v>
      </c>
      <c r="R3" s="44">
        <f t="shared" si="1"/>
        <v>10</v>
      </c>
      <c r="S3" s="44">
        <f t="shared" si="1"/>
        <v>11</v>
      </c>
      <c r="T3" s="44">
        <f t="shared" si="1"/>
        <v>12</v>
      </c>
      <c r="U3" s="44">
        <f t="shared" si="1"/>
        <v>13</v>
      </c>
      <c r="V3" s="44">
        <f t="shared" si="1"/>
        <v>14</v>
      </c>
      <c r="W3" s="44">
        <f t="shared" si="1"/>
        <v>15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>
        <f>56+17</f>
        <v>73</v>
      </c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ht="52.5" customHeight="1">
      <c r="A4" s="46"/>
      <c r="B4" s="47"/>
      <c r="C4" s="47"/>
      <c r="D4" s="47"/>
      <c r="E4" s="46">
        <v>2</v>
      </c>
      <c r="F4" s="46">
        <f t="shared" ref="F4:HC4" si="2">E4+1</f>
        <v>3</v>
      </c>
      <c r="G4" s="48">
        <f t="shared" si="2"/>
        <v>4</v>
      </c>
      <c r="H4" s="46">
        <f t="shared" si="2"/>
        <v>5</v>
      </c>
      <c r="I4" s="46">
        <f t="shared" si="2"/>
        <v>6</v>
      </c>
      <c r="J4" s="46">
        <f t="shared" si="2"/>
        <v>7</v>
      </c>
      <c r="K4" s="46">
        <f t="shared" si="2"/>
        <v>8</v>
      </c>
      <c r="L4" s="46">
        <f t="shared" si="2"/>
        <v>9</v>
      </c>
      <c r="M4" s="46">
        <f t="shared" si="2"/>
        <v>10</v>
      </c>
      <c r="N4" s="46">
        <f t="shared" si="2"/>
        <v>11</v>
      </c>
      <c r="O4" s="49">
        <f t="shared" si="2"/>
        <v>12</v>
      </c>
      <c r="P4" s="46">
        <f t="shared" si="2"/>
        <v>13</v>
      </c>
      <c r="Q4" s="46">
        <f t="shared" si="2"/>
        <v>14</v>
      </c>
      <c r="R4" s="46">
        <f t="shared" si="2"/>
        <v>15</v>
      </c>
      <c r="S4" s="46">
        <f t="shared" si="2"/>
        <v>16</v>
      </c>
      <c r="T4" s="46">
        <f t="shared" si="2"/>
        <v>17</v>
      </c>
      <c r="U4" s="46">
        <f t="shared" si="2"/>
        <v>18</v>
      </c>
      <c r="V4" s="46">
        <f t="shared" si="2"/>
        <v>19</v>
      </c>
      <c r="W4" s="46">
        <f t="shared" si="2"/>
        <v>20</v>
      </c>
      <c r="X4" s="48">
        <f t="shared" si="2"/>
        <v>21</v>
      </c>
      <c r="Y4" s="46">
        <f t="shared" si="2"/>
        <v>22</v>
      </c>
      <c r="Z4" s="46">
        <f t="shared" si="2"/>
        <v>23</v>
      </c>
      <c r="AA4" s="46">
        <f t="shared" si="2"/>
        <v>24</v>
      </c>
      <c r="AB4" s="46">
        <f t="shared" si="2"/>
        <v>25</v>
      </c>
      <c r="AC4" s="46">
        <f t="shared" si="2"/>
        <v>26</v>
      </c>
      <c r="AD4" s="46">
        <f t="shared" si="2"/>
        <v>27</v>
      </c>
      <c r="AE4" s="46">
        <f t="shared" si="2"/>
        <v>28</v>
      </c>
      <c r="AF4" s="49">
        <f t="shared" si="2"/>
        <v>29</v>
      </c>
      <c r="AG4" s="46">
        <f t="shared" si="2"/>
        <v>30</v>
      </c>
      <c r="AH4" s="46">
        <f t="shared" si="2"/>
        <v>31</v>
      </c>
      <c r="AI4" s="46">
        <f t="shared" si="2"/>
        <v>32</v>
      </c>
      <c r="AJ4" s="46">
        <f t="shared" si="2"/>
        <v>33</v>
      </c>
      <c r="AK4" s="46">
        <f t="shared" si="2"/>
        <v>34</v>
      </c>
      <c r="AL4" s="46">
        <f t="shared" si="2"/>
        <v>35</v>
      </c>
      <c r="AM4" s="46">
        <f t="shared" si="2"/>
        <v>36</v>
      </c>
      <c r="AN4" s="46">
        <f t="shared" si="2"/>
        <v>37</v>
      </c>
      <c r="AO4" s="48">
        <f t="shared" si="2"/>
        <v>38</v>
      </c>
      <c r="AP4" s="46">
        <f t="shared" si="2"/>
        <v>39</v>
      </c>
      <c r="AQ4" s="46">
        <f t="shared" si="2"/>
        <v>40</v>
      </c>
      <c r="AR4" s="46">
        <f t="shared" si="2"/>
        <v>41</v>
      </c>
      <c r="AS4" s="46">
        <f t="shared" si="2"/>
        <v>42</v>
      </c>
      <c r="AT4" s="46">
        <f t="shared" si="2"/>
        <v>43</v>
      </c>
      <c r="AU4" s="46">
        <f t="shared" si="2"/>
        <v>44</v>
      </c>
      <c r="AV4" s="46">
        <f t="shared" si="2"/>
        <v>45</v>
      </c>
      <c r="AW4" s="49">
        <f t="shared" si="2"/>
        <v>46</v>
      </c>
      <c r="AX4" s="46">
        <f t="shared" si="2"/>
        <v>47</v>
      </c>
      <c r="AY4" s="46">
        <f t="shared" si="2"/>
        <v>48</v>
      </c>
      <c r="AZ4" s="46">
        <f t="shared" si="2"/>
        <v>49</v>
      </c>
      <c r="BA4" s="46">
        <f t="shared" si="2"/>
        <v>50</v>
      </c>
      <c r="BB4" s="46">
        <f t="shared" si="2"/>
        <v>51</v>
      </c>
      <c r="BC4" s="46">
        <f t="shared" si="2"/>
        <v>52</v>
      </c>
      <c r="BD4" s="46">
        <f t="shared" si="2"/>
        <v>53</v>
      </c>
      <c r="BE4" s="46">
        <f t="shared" si="2"/>
        <v>54</v>
      </c>
      <c r="BF4" s="48">
        <f t="shared" si="2"/>
        <v>55</v>
      </c>
      <c r="BG4" s="46">
        <f t="shared" si="2"/>
        <v>56</v>
      </c>
      <c r="BH4" s="46">
        <f t="shared" si="2"/>
        <v>57</v>
      </c>
      <c r="BI4" s="46">
        <f t="shared" si="2"/>
        <v>58</v>
      </c>
      <c r="BJ4" s="46">
        <f t="shared" si="2"/>
        <v>59</v>
      </c>
      <c r="BK4" s="46">
        <f t="shared" si="2"/>
        <v>60</v>
      </c>
      <c r="BL4" s="46">
        <f t="shared" si="2"/>
        <v>61</v>
      </c>
      <c r="BM4" s="46">
        <f t="shared" si="2"/>
        <v>62</v>
      </c>
      <c r="BN4" s="49">
        <f t="shared" si="2"/>
        <v>63</v>
      </c>
      <c r="BO4" s="46">
        <f t="shared" si="2"/>
        <v>64</v>
      </c>
      <c r="BP4" s="46">
        <f t="shared" si="2"/>
        <v>65</v>
      </c>
      <c r="BQ4" s="46">
        <f t="shared" si="2"/>
        <v>66</v>
      </c>
      <c r="BR4" s="46">
        <f t="shared" si="2"/>
        <v>67</v>
      </c>
      <c r="BS4" s="46">
        <f t="shared" si="2"/>
        <v>68</v>
      </c>
      <c r="BT4" s="46">
        <f t="shared" si="2"/>
        <v>69</v>
      </c>
      <c r="BU4" s="46">
        <f t="shared" si="2"/>
        <v>70</v>
      </c>
      <c r="BV4" s="46">
        <f t="shared" si="2"/>
        <v>71</v>
      </c>
      <c r="BW4" s="48">
        <f t="shared" si="2"/>
        <v>72</v>
      </c>
      <c r="BX4" s="46">
        <f t="shared" si="2"/>
        <v>73</v>
      </c>
      <c r="BY4" s="46">
        <f t="shared" si="2"/>
        <v>74</v>
      </c>
      <c r="BZ4" s="46">
        <f t="shared" si="2"/>
        <v>75</v>
      </c>
      <c r="CA4" s="46">
        <f t="shared" si="2"/>
        <v>76</v>
      </c>
      <c r="CB4" s="46">
        <f t="shared" si="2"/>
        <v>77</v>
      </c>
      <c r="CC4" s="46">
        <f t="shared" si="2"/>
        <v>78</v>
      </c>
      <c r="CD4" s="46">
        <f t="shared" si="2"/>
        <v>79</v>
      </c>
      <c r="CE4" s="49">
        <f t="shared" si="2"/>
        <v>80</v>
      </c>
      <c r="CF4" s="46">
        <f t="shared" si="2"/>
        <v>81</v>
      </c>
      <c r="CG4" s="46">
        <f t="shared" si="2"/>
        <v>82</v>
      </c>
      <c r="CH4" s="46">
        <f t="shared" si="2"/>
        <v>83</v>
      </c>
      <c r="CI4" s="46">
        <f t="shared" si="2"/>
        <v>84</v>
      </c>
      <c r="CJ4" s="46">
        <f t="shared" si="2"/>
        <v>85</v>
      </c>
      <c r="CK4" s="46">
        <f t="shared" si="2"/>
        <v>86</v>
      </c>
      <c r="CL4" s="46">
        <f t="shared" si="2"/>
        <v>87</v>
      </c>
      <c r="CM4" s="46">
        <f t="shared" si="2"/>
        <v>88</v>
      </c>
      <c r="CN4" s="48">
        <f t="shared" si="2"/>
        <v>89</v>
      </c>
      <c r="CO4" s="46">
        <f t="shared" si="2"/>
        <v>90</v>
      </c>
      <c r="CP4" s="46">
        <f t="shared" si="2"/>
        <v>91</v>
      </c>
      <c r="CQ4" s="46">
        <f t="shared" si="2"/>
        <v>92</v>
      </c>
      <c r="CR4" s="46">
        <f t="shared" si="2"/>
        <v>93</v>
      </c>
      <c r="CS4" s="46">
        <f t="shared" si="2"/>
        <v>94</v>
      </c>
      <c r="CT4" s="46">
        <f t="shared" si="2"/>
        <v>95</v>
      </c>
      <c r="CU4" s="46">
        <f t="shared" si="2"/>
        <v>96</v>
      </c>
      <c r="CV4" s="49">
        <f t="shared" si="2"/>
        <v>97</v>
      </c>
      <c r="CW4" s="46">
        <f t="shared" si="2"/>
        <v>98</v>
      </c>
      <c r="CX4" s="46">
        <f t="shared" si="2"/>
        <v>99</v>
      </c>
      <c r="CY4" s="46">
        <f t="shared" si="2"/>
        <v>100</v>
      </c>
      <c r="CZ4" s="46">
        <f t="shared" si="2"/>
        <v>101</v>
      </c>
      <c r="DA4" s="46">
        <f t="shared" si="2"/>
        <v>102</v>
      </c>
      <c r="DB4" s="46">
        <f t="shared" si="2"/>
        <v>103</v>
      </c>
      <c r="DC4" s="46">
        <f t="shared" si="2"/>
        <v>104</v>
      </c>
      <c r="DD4" s="46">
        <f t="shared" si="2"/>
        <v>105</v>
      </c>
      <c r="DE4" s="48">
        <f t="shared" si="2"/>
        <v>106</v>
      </c>
      <c r="DF4" s="46">
        <f t="shared" si="2"/>
        <v>107</v>
      </c>
      <c r="DG4" s="46">
        <f t="shared" si="2"/>
        <v>108</v>
      </c>
      <c r="DH4" s="46">
        <f t="shared" si="2"/>
        <v>109</v>
      </c>
      <c r="DI4" s="46">
        <f t="shared" si="2"/>
        <v>110</v>
      </c>
      <c r="DJ4" s="46">
        <f t="shared" si="2"/>
        <v>111</v>
      </c>
      <c r="DK4" s="46">
        <f t="shared" si="2"/>
        <v>112</v>
      </c>
      <c r="DL4" s="46">
        <f t="shared" si="2"/>
        <v>113</v>
      </c>
      <c r="DM4" s="49">
        <f t="shared" si="2"/>
        <v>114</v>
      </c>
      <c r="DN4" s="46">
        <f t="shared" si="2"/>
        <v>115</v>
      </c>
      <c r="DO4" s="46">
        <f t="shared" si="2"/>
        <v>116</v>
      </c>
      <c r="DP4" s="46">
        <f t="shared" si="2"/>
        <v>117</v>
      </c>
      <c r="DQ4" s="46">
        <f t="shared" si="2"/>
        <v>118</v>
      </c>
      <c r="DR4" s="46">
        <f t="shared" si="2"/>
        <v>119</v>
      </c>
      <c r="DS4" s="46">
        <f t="shared" si="2"/>
        <v>120</v>
      </c>
      <c r="DT4" s="46">
        <f t="shared" si="2"/>
        <v>121</v>
      </c>
      <c r="DU4" s="46">
        <f t="shared" si="2"/>
        <v>122</v>
      </c>
      <c r="DV4" s="48">
        <f t="shared" si="2"/>
        <v>123</v>
      </c>
      <c r="DW4" s="46">
        <f t="shared" si="2"/>
        <v>124</v>
      </c>
      <c r="DX4" s="46">
        <f t="shared" si="2"/>
        <v>125</v>
      </c>
      <c r="DY4" s="46">
        <f t="shared" si="2"/>
        <v>126</v>
      </c>
      <c r="DZ4" s="46">
        <f t="shared" si="2"/>
        <v>127</v>
      </c>
      <c r="EA4" s="46">
        <f t="shared" si="2"/>
        <v>128</v>
      </c>
      <c r="EB4" s="46">
        <f t="shared" si="2"/>
        <v>129</v>
      </c>
      <c r="EC4" s="46">
        <f t="shared" si="2"/>
        <v>130</v>
      </c>
      <c r="ED4" s="49">
        <f t="shared" si="2"/>
        <v>131</v>
      </c>
      <c r="EE4" s="46">
        <f t="shared" si="2"/>
        <v>132</v>
      </c>
      <c r="EF4" s="46">
        <f t="shared" si="2"/>
        <v>133</v>
      </c>
      <c r="EG4" s="46">
        <f t="shared" si="2"/>
        <v>134</v>
      </c>
      <c r="EH4" s="46">
        <f t="shared" si="2"/>
        <v>135</v>
      </c>
      <c r="EI4" s="46">
        <f t="shared" si="2"/>
        <v>136</v>
      </c>
      <c r="EJ4" s="46">
        <f t="shared" si="2"/>
        <v>137</v>
      </c>
      <c r="EK4" s="46">
        <f t="shared" si="2"/>
        <v>138</v>
      </c>
      <c r="EL4" s="46">
        <f t="shared" si="2"/>
        <v>139</v>
      </c>
      <c r="EM4" s="48">
        <f t="shared" si="2"/>
        <v>140</v>
      </c>
      <c r="EN4" s="46">
        <f t="shared" si="2"/>
        <v>141</v>
      </c>
      <c r="EO4" s="46">
        <f t="shared" si="2"/>
        <v>142</v>
      </c>
      <c r="EP4" s="46">
        <f t="shared" si="2"/>
        <v>143</v>
      </c>
      <c r="EQ4" s="46">
        <f t="shared" si="2"/>
        <v>144</v>
      </c>
      <c r="ER4" s="46">
        <f t="shared" si="2"/>
        <v>145</v>
      </c>
      <c r="ES4" s="46">
        <f t="shared" si="2"/>
        <v>146</v>
      </c>
      <c r="ET4" s="46">
        <f t="shared" si="2"/>
        <v>147</v>
      </c>
      <c r="EU4" s="49">
        <f t="shared" si="2"/>
        <v>148</v>
      </c>
      <c r="EV4" s="46">
        <f t="shared" si="2"/>
        <v>149</v>
      </c>
      <c r="EW4" s="46">
        <f t="shared" si="2"/>
        <v>150</v>
      </c>
      <c r="EX4" s="46">
        <f t="shared" si="2"/>
        <v>151</v>
      </c>
      <c r="EY4" s="46">
        <f t="shared" si="2"/>
        <v>152</v>
      </c>
      <c r="EZ4" s="46">
        <f t="shared" si="2"/>
        <v>153</v>
      </c>
      <c r="FA4" s="46">
        <f t="shared" si="2"/>
        <v>154</v>
      </c>
      <c r="FB4" s="46">
        <f t="shared" si="2"/>
        <v>155</v>
      </c>
      <c r="FC4" s="46">
        <f t="shared" si="2"/>
        <v>156</v>
      </c>
      <c r="FD4" s="48">
        <f t="shared" si="2"/>
        <v>157</v>
      </c>
      <c r="FE4" s="46">
        <f t="shared" si="2"/>
        <v>158</v>
      </c>
      <c r="FF4" s="46">
        <f t="shared" si="2"/>
        <v>159</v>
      </c>
      <c r="FG4" s="46">
        <f t="shared" si="2"/>
        <v>160</v>
      </c>
      <c r="FH4" s="46">
        <f t="shared" si="2"/>
        <v>161</v>
      </c>
      <c r="FI4" s="46">
        <f t="shared" si="2"/>
        <v>162</v>
      </c>
      <c r="FJ4" s="46">
        <f t="shared" si="2"/>
        <v>163</v>
      </c>
      <c r="FK4" s="46">
        <f t="shared" si="2"/>
        <v>164</v>
      </c>
      <c r="FL4" s="49">
        <f t="shared" si="2"/>
        <v>165</v>
      </c>
      <c r="FM4" s="46">
        <f t="shared" si="2"/>
        <v>166</v>
      </c>
      <c r="FN4" s="46">
        <f t="shared" si="2"/>
        <v>167</v>
      </c>
      <c r="FO4" s="46">
        <f t="shared" si="2"/>
        <v>168</v>
      </c>
      <c r="FP4" s="46">
        <f t="shared" si="2"/>
        <v>169</v>
      </c>
      <c r="FQ4" s="46">
        <f t="shared" si="2"/>
        <v>170</v>
      </c>
      <c r="FR4" s="46">
        <f t="shared" si="2"/>
        <v>171</v>
      </c>
      <c r="FS4" s="46">
        <f t="shared" si="2"/>
        <v>172</v>
      </c>
      <c r="FT4" s="46">
        <f t="shared" si="2"/>
        <v>173</v>
      </c>
      <c r="FU4" s="48">
        <f t="shared" si="2"/>
        <v>174</v>
      </c>
      <c r="FV4" s="46">
        <f t="shared" si="2"/>
        <v>175</v>
      </c>
      <c r="FW4" s="46">
        <f t="shared" si="2"/>
        <v>176</v>
      </c>
      <c r="FX4" s="46">
        <f t="shared" si="2"/>
        <v>177</v>
      </c>
      <c r="FY4" s="46">
        <f t="shared" si="2"/>
        <v>178</v>
      </c>
      <c r="FZ4" s="46">
        <f t="shared" si="2"/>
        <v>179</v>
      </c>
      <c r="GA4" s="46">
        <f t="shared" si="2"/>
        <v>180</v>
      </c>
      <c r="GB4" s="46">
        <f t="shared" si="2"/>
        <v>181</v>
      </c>
      <c r="GC4" s="49">
        <f t="shared" si="2"/>
        <v>182</v>
      </c>
      <c r="GD4" s="46">
        <f t="shared" si="2"/>
        <v>183</v>
      </c>
      <c r="GE4" s="46">
        <f t="shared" si="2"/>
        <v>184</v>
      </c>
      <c r="GF4" s="46">
        <f t="shared" si="2"/>
        <v>185</v>
      </c>
      <c r="GG4" s="46">
        <f t="shared" si="2"/>
        <v>186</v>
      </c>
      <c r="GH4" s="46">
        <f t="shared" si="2"/>
        <v>187</v>
      </c>
      <c r="GI4" s="46">
        <f t="shared" si="2"/>
        <v>188</v>
      </c>
      <c r="GJ4" s="46">
        <f t="shared" si="2"/>
        <v>189</v>
      </c>
      <c r="GK4" s="46">
        <f t="shared" si="2"/>
        <v>190</v>
      </c>
      <c r="GL4" s="48">
        <f t="shared" si="2"/>
        <v>191</v>
      </c>
      <c r="GM4" s="46">
        <f t="shared" si="2"/>
        <v>192</v>
      </c>
      <c r="GN4" s="46">
        <f t="shared" si="2"/>
        <v>193</v>
      </c>
      <c r="GO4" s="46">
        <f t="shared" si="2"/>
        <v>194</v>
      </c>
      <c r="GP4" s="46">
        <f t="shared" si="2"/>
        <v>195</v>
      </c>
      <c r="GQ4" s="46">
        <f t="shared" si="2"/>
        <v>196</v>
      </c>
      <c r="GR4" s="46">
        <f t="shared" si="2"/>
        <v>197</v>
      </c>
      <c r="GS4" s="46">
        <f t="shared" si="2"/>
        <v>198</v>
      </c>
      <c r="GT4" s="49">
        <f t="shared" si="2"/>
        <v>199</v>
      </c>
      <c r="GU4" s="46">
        <f t="shared" si="2"/>
        <v>200</v>
      </c>
      <c r="GV4" s="46">
        <f t="shared" si="2"/>
        <v>201</v>
      </c>
      <c r="GW4" s="46">
        <f t="shared" si="2"/>
        <v>202</v>
      </c>
      <c r="GX4" s="46">
        <f t="shared" si="2"/>
        <v>203</v>
      </c>
      <c r="GY4" s="46">
        <f t="shared" si="2"/>
        <v>204</v>
      </c>
      <c r="GZ4" s="46">
        <f t="shared" si="2"/>
        <v>205</v>
      </c>
      <c r="HA4" s="46">
        <f t="shared" si="2"/>
        <v>206</v>
      </c>
      <c r="HB4" s="46">
        <f t="shared" si="2"/>
        <v>207</v>
      </c>
      <c r="HC4" s="46">
        <f t="shared" si="2"/>
        <v>208</v>
      </c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</row>
    <row r="5" spans="1:222" ht="22.5" customHeight="1">
      <c r="A5" s="1"/>
      <c r="B5" s="601" t="s">
        <v>116</v>
      </c>
      <c r="C5" s="602"/>
      <c r="D5" s="603"/>
      <c r="E5" s="50" t="s">
        <v>117</v>
      </c>
      <c r="F5" s="51"/>
      <c r="G5" s="604" t="s">
        <v>118</v>
      </c>
      <c r="H5" s="598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  <c r="U5" s="598"/>
      <c r="V5" s="598"/>
      <c r="W5" s="598"/>
      <c r="X5" s="597" t="str">
        <f>G5</f>
        <v xml:space="preserve"> S E R V I Ç O S   de VIGILANCIA,  DESARMADA-diruna __ ARMADA-noturna</v>
      </c>
      <c r="Y5" s="598"/>
      <c r="Z5" s="598"/>
      <c r="AA5" s="598"/>
      <c r="AB5" s="598"/>
      <c r="AC5" s="598"/>
      <c r="AD5" s="598"/>
      <c r="AE5" s="598"/>
      <c r="AF5" s="598"/>
      <c r="AG5" s="598"/>
      <c r="AH5" s="598"/>
      <c r="AI5" s="598"/>
      <c r="AJ5" s="598"/>
      <c r="AK5" s="598"/>
      <c r="AL5" s="598"/>
      <c r="AM5" s="598"/>
      <c r="AN5" s="598"/>
      <c r="AO5" s="597" t="str">
        <f>X5</f>
        <v xml:space="preserve"> S E R V I Ç O S   de VIGILANCIA,  DESARMADA-diruna __ ARMADA-noturna</v>
      </c>
      <c r="AP5" s="598"/>
      <c r="AQ5" s="598"/>
      <c r="AR5" s="598"/>
      <c r="AS5" s="598"/>
      <c r="AT5" s="598"/>
      <c r="AU5" s="598"/>
      <c r="AV5" s="598"/>
      <c r="AW5" s="598"/>
      <c r="AX5" s="598"/>
      <c r="AY5" s="598"/>
      <c r="AZ5" s="598"/>
      <c r="BA5" s="598"/>
      <c r="BB5" s="598"/>
      <c r="BC5" s="598"/>
      <c r="BD5" s="598"/>
      <c r="BE5" s="598"/>
      <c r="BF5" s="605" t="str">
        <f>AO5</f>
        <v xml:space="preserve"> S E R V I Ç O S   de VIGILANCIA,  DESARMADA-diruna __ ARMADA-noturna</v>
      </c>
      <c r="BG5" s="606"/>
      <c r="BH5" s="606"/>
      <c r="BI5" s="606"/>
      <c r="BJ5" s="606"/>
      <c r="BK5" s="606"/>
      <c r="BL5" s="606"/>
      <c r="BM5" s="606"/>
      <c r="BN5" s="606"/>
      <c r="BO5" s="606"/>
      <c r="BP5" s="606"/>
      <c r="BQ5" s="606"/>
      <c r="BR5" s="606"/>
      <c r="BS5" s="606"/>
      <c r="BT5" s="606"/>
      <c r="BU5" s="606"/>
      <c r="BV5" s="606"/>
      <c r="BW5" s="597" t="str">
        <f>AO5</f>
        <v xml:space="preserve"> S E R V I Ç O S   de VIGILANCIA,  DESARMADA-diruna __ ARMADA-noturna</v>
      </c>
      <c r="BX5" s="598"/>
      <c r="BY5" s="598"/>
      <c r="BZ5" s="598"/>
      <c r="CA5" s="598"/>
      <c r="CB5" s="598"/>
      <c r="CC5" s="598"/>
      <c r="CD5" s="598"/>
      <c r="CE5" s="598"/>
      <c r="CF5" s="598"/>
      <c r="CG5" s="598"/>
      <c r="CH5" s="598"/>
      <c r="CI5" s="598"/>
      <c r="CJ5" s="598"/>
      <c r="CK5" s="598"/>
      <c r="CL5" s="598"/>
      <c r="CM5" s="598"/>
      <c r="CN5" s="597" t="str">
        <f>AO5</f>
        <v xml:space="preserve"> S E R V I Ç O S   de VIGILANCIA,  DESARMADA-diruna __ ARMADA-noturna</v>
      </c>
      <c r="CO5" s="598"/>
      <c r="CP5" s="598"/>
      <c r="CQ5" s="598"/>
      <c r="CR5" s="598"/>
      <c r="CS5" s="598"/>
      <c r="CT5" s="598"/>
      <c r="CU5" s="598"/>
      <c r="CV5" s="598"/>
      <c r="CW5" s="598"/>
      <c r="CX5" s="598"/>
      <c r="CY5" s="598"/>
      <c r="CZ5" s="598"/>
      <c r="DA5" s="598"/>
      <c r="DB5" s="598"/>
      <c r="DC5" s="598"/>
      <c r="DD5" s="598"/>
      <c r="DE5" s="597" t="str">
        <f>AO5</f>
        <v xml:space="preserve"> S E R V I Ç O S   de VIGILANCIA,  DESARMADA-diruna __ ARMADA-noturna</v>
      </c>
      <c r="DF5" s="598"/>
      <c r="DG5" s="598"/>
      <c r="DH5" s="598"/>
      <c r="DI5" s="598"/>
      <c r="DJ5" s="598"/>
      <c r="DK5" s="598"/>
      <c r="DL5" s="598"/>
      <c r="DM5" s="598"/>
      <c r="DN5" s="598"/>
      <c r="DO5" s="598"/>
      <c r="DP5" s="598"/>
      <c r="DQ5" s="598"/>
      <c r="DR5" s="598"/>
      <c r="DS5" s="598"/>
      <c r="DT5" s="598"/>
      <c r="DU5" s="598"/>
      <c r="DV5" s="597" t="str">
        <f>AO5</f>
        <v xml:space="preserve"> S E R V I Ç O S   de VIGILANCIA,  DESARMADA-diruna __ ARMADA-noturna</v>
      </c>
      <c r="DW5" s="598"/>
      <c r="DX5" s="598"/>
      <c r="DY5" s="598"/>
      <c r="DZ5" s="598"/>
      <c r="EA5" s="598"/>
      <c r="EB5" s="598"/>
      <c r="EC5" s="598"/>
      <c r="ED5" s="598"/>
      <c r="EE5" s="598"/>
      <c r="EF5" s="598"/>
      <c r="EG5" s="598"/>
      <c r="EH5" s="598"/>
      <c r="EI5" s="598"/>
      <c r="EJ5" s="598"/>
      <c r="EK5" s="598"/>
      <c r="EL5" s="598"/>
      <c r="EM5" s="597" t="str">
        <f>AO5</f>
        <v xml:space="preserve"> S E R V I Ç O S   de VIGILANCIA,  DESARMADA-diruna __ ARMADA-noturna</v>
      </c>
      <c r="EN5" s="598"/>
      <c r="EO5" s="598"/>
      <c r="EP5" s="598"/>
      <c r="EQ5" s="598"/>
      <c r="ER5" s="598"/>
      <c r="ES5" s="598"/>
      <c r="ET5" s="598"/>
      <c r="EU5" s="598"/>
      <c r="EV5" s="598"/>
      <c r="EW5" s="598"/>
      <c r="EX5" s="598"/>
      <c r="EY5" s="598"/>
      <c r="EZ5" s="598"/>
      <c r="FA5" s="598"/>
      <c r="FB5" s="598"/>
      <c r="FC5" s="598"/>
      <c r="FD5" s="597" t="str">
        <f>AO5</f>
        <v xml:space="preserve"> S E R V I Ç O S   de VIGILANCIA,  DESARMADA-diruna __ ARMADA-noturna</v>
      </c>
      <c r="FE5" s="598"/>
      <c r="FF5" s="598"/>
      <c r="FG5" s="598"/>
      <c r="FH5" s="598"/>
      <c r="FI5" s="598"/>
      <c r="FJ5" s="598"/>
      <c r="FK5" s="598"/>
      <c r="FL5" s="598"/>
      <c r="FM5" s="598"/>
      <c r="FN5" s="598"/>
      <c r="FO5" s="598"/>
      <c r="FP5" s="598"/>
      <c r="FQ5" s="598"/>
      <c r="FR5" s="598"/>
      <c r="FS5" s="598"/>
      <c r="FT5" s="598"/>
      <c r="FU5" s="597" t="str">
        <f>AO5</f>
        <v xml:space="preserve"> S E R V I Ç O S   de VIGILANCIA,  DESARMADA-diruna __ ARMADA-noturna</v>
      </c>
      <c r="FV5" s="598"/>
      <c r="FW5" s="598"/>
      <c r="FX5" s="598"/>
      <c r="FY5" s="598"/>
      <c r="FZ5" s="598"/>
      <c r="GA5" s="598"/>
      <c r="GB5" s="598"/>
      <c r="GC5" s="598"/>
      <c r="GD5" s="598"/>
      <c r="GE5" s="598"/>
      <c r="GF5" s="598"/>
      <c r="GG5" s="598"/>
      <c r="GH5" s="598"/>
      <c r="GI5" s="598"/>
      <c r="GJ5" s="598"/>
      <c r="GK5" s="598"/>
      <c r="GL5" s="597" t="str">
        <f>AO5</f>
        <v xml:space="preserve"> S E R V I Ç O S   de VIGILANCIA,  DESARMADA-diruna __ ARMADA-noturna</v>
      </c>
      <c r="GM5" s="598"/>
      <c r="GN5" s="598"/>
      <c r="GO5" s="598"/>
      <c r="GP5" s="598"/>
      <c r="GQ5" s="598"/>
      <c r="GR5" s="598"/>
      <c r="GS5" s="598"/>
      <c r="GT5" s="598"/>
      <c r="GU5" s="598"/>
      <c r="GV5" s="598"/>
      <c r="GW5" s="598"/>
      <c r="GX5" s="598"/>
      <c r="GY5" s="598"/>
      <c r="GZ5" s="598"/>
      <c r="HA5" s="598"/>
      <c r="HB5" s="598"/>
    </row>
    <row r="6" spans="1:222" ht="24.75" customHeight="1">
      <c r="A6" s="52"/>
      <c r="B6" s="629" t="s">
        <v>119</v>
      </c>
      <c r="C6" s="629" t="s">
        <v>120</v>
      </c>
      <c r="D6" s="629" t="s">
        <v>121</v>
      </c>
      <c r="E6" s="632" t="s">
        <v>122</v>
      </c>
      <c r="F6" s="633" t="s">
        <v>123</v>
      </c>
      <c r="G6" s="634" t="s">
        <v>124</v>
      </c>
      <c r="H6" s="608"/>
      <c r="I6" s="608"/>
      <c r="J6" s="608"/>
      <c r="K6" s="608"/>
      <c r="L6" s="608"/>
      <c r="M6" s="608"/>
      <c r="N6" s="608"/>
      <c r="O6" s="608"/>
      <c r="P6" s="608"/>
      <c r="Q6" s="608"/>
      <c r="R6" s="608"/>
      <c r="S6" s="608"/>
      <c r="T6" s="608"/>
      <c r="U6" s="608"/>
      <c r="V6" s="608"/>
      <c r="W6" s="609"/>
      <c r="X6" s="635" t="s">
        <v>125</v>
      </c>
      <c r="Y6" s="608"/>
      <c r="Z6" s="608"/>
      <c r="AA6" s="608"/>
      <c r="AB6" s="608"/>
      <c r="AC6" s="608"/>
      <c r="AD6" s="608"/>
      <c r="AE6" s="608"/>
      <c r="AF6" s="608"/>
      <c r="AG6" s="608"/>
      <c r="AH6" s="608"/>
      <c r="AI6" s="608"/>
      <c r="AJ6" s="608"/>
      <c r="AK6" s="608"/>
      <c r="AL6" s="608"/>
      <c r="AM6" s="608"/>
      <c r="AN6" s="609"/>
      <c r="AO6" s="607" t="s">
        <v>126</v>
      </c>
      <c r="AP6" s="608"/>
      <c r="AQ6" s="608"/>
      <c r="AR6" s="608"/>
      <c r="AS6" s="608"/>
      <c r="AT6" s="608"/>
      <c r="AU6" s="608"/>
      <c r="AV6" s="608"/>
      <c r="AW6" s="608"/>
      <c r="AX6" s="608"/>
      <c r="AY6" s="608"/>
      <c r="AZ6" s="608"/>
      <c r="BA6" s="608"/>
      <c r="BB6" s="608"/>
      <c r="BC6" s="608"/>
      <c r="BD6" s="608"/>
      <c r="BE6" s="609"/>
      <c r="BF6" s="607" t="s">
        <v>110</v>
      </c>
      <c r="BG6" s="608"/>
      <c r="BH6" s="608"/>
      <c r="BI6" s="608"/>
      <c r="BJ6" s="608"/>
      <c r="BK6" s="608"/>
      <c r="BL6" s="608"/>
      <c r="BM6" s="608"/>
      <c r="BN6" s="608"/>
      <c r="BO6" s="608"/>
      <c r="BP6" s="608"/>
      <c r="BQ6" s="608"/>
      <c r="BR6" s="608"/>
      <c r="BS6" s="608"/>
      <c r="BT6" s="608"/>
      <c r="BU6" s="608"/>
      <c r="BV6" s="609"/>
      <c r="BW6" s="607" t="s">
        <v>127</v>
      </c>
      <c r="BX6" s="608"/>
      <c r="BY6" s="608"/>
      <c r="BZ6" s="608"/>
      <c r="CA6" s="608"/>
      <c r="CB6" s="608"/>
      <c r="CC6" s="608"/>
      <c r="CD6" s="608"/>
      <c r="CE6" s="608"/>
      <c r="CF6" s="608"/>
      <c r="CG6" s="608"/>
      <c r="CH6" s="608"/>
      <c r="CI6" s="608"/>
      <c r="CJ6" s="608"/>
      <c r="CK6" s="608"/>
      <c r="CL6" s="608"/>
      <c r="CM6" s="609"/>
      <c r="CN6" s="607" t="s">
        <v>128</v>
      </c>
      <c r="CO6" s="608"/>
      <c r="CP6" s="608"/>
      <c r="CQ6" s="608"/>
      <c r="CR6" s="608"/>
      <c r="CS6" s="608"/>
      <c r="CT6" s="608"/>
      <c r="CU6" s="608"/>
      <c r="CV6" s="608"/>
      <c r="CW6" s="608"/>
      <c r="CX6" s="608"/>
      <c r="CY6" s="608"/>
      <c r="CZ6" s="608"/>
      <c r="DA6" s="608"/>
      <c r="DB6" s="608"/>
      <c r="DC6" s="608"/>
      <c r="DD6" s="609"/>
      <c r="DE6" s="607" t="s">
        <v>129</v>
      </c>
      <c r="DF6" s="608"/>
      <c r="DG6" s="608"/>
      <c r="DH6" s="608"/>
      <c r="DI6" s="608"/>
      <c r="DJ6" s="608"/>
      <c r="DK6" s="608"/>
      <c r="DL6" s="608"/>
      <c r="DM6" s="608"/>
      <c r="DN6" s="608"/>
      <c r="DO6" s="608"/>
      <c r="DP6" s="608"/>
      <c r="DQ6" s="608"/>
      <c r="DR6" s="608"/>
      <c r="DS6" s="608"/>
      <c r="DT6" s="608"/>
      <c r="DU6" s="609"/>
      <c r="DV6" s="607" t="s">
        <v>130</v>
      </c>
      <c r="DW6" s="608"/>
      <c r="DX6" s="608"/>
      <c r="DY6" s="608"/>
      <c r="DZ6" s="608"/>
      <c r="EA6" s="608"/>
      <c r="EB6" s="608"/>
      <c r="EC6" s="608"/>
      <c r="ED6" s="608"/>
      <c r="EE6" s="608"/>
      <c r="EF6" s="608"/>
      <c r="EG6" s="608"/>
      <c r="EH6" s="608"/>
      <c r="EI6" s="608"/>
      <c r="EJ6" s="608"/>
      <c r="EK6" s="608"/>
      <c r="EL6" s="609"/>
      <c r="EM6" s="607" t="s">
        <v>131</v>
      </c>
      <c r="EN6" s="608"/>
      <c r="EO6" s="608"/>
      <c r="EP6" s="608"/>
      <c r="EQ6" s="608"/>
      <c r="ER6" s="608"/>
      <c r="ES6" s="608"/>
      <c r="ET6" s="608"/>
      <c r="EU6" s="608"/>
      <c r="EV6" s="608"/>
      <c r="EW6" s="608"/>
      <c r="EX6" s="608"/>
      <c r="EY6" s="608"/>
      <c r="EZ6" s="608"/>
      <c r="FA6" s="608"/>
      <c r="FB6" s="608"/>
      <c r="FC6" s="609"/>
      <c r="FD6" s="607" t="s">
        <v>132</v>
      </c>
      <c r="FE6" s="608"/>
      <c r="FF6" s="608"/>
      <c r="FG6" s="608"/>
      <c r="FH6" s="608"/>
      <c r="FI6" s="608"/>
      <c r="FJ6" s="608"/>
      <c r="FK6" s="608"/>
      <c r="FL6" s="608"/>
      <c r="FM6" s="608"/>
      <c r="FN6" s="608"/>
      <c r="FO6" s="608"/>
      <c r="FP6" s="608"/>
      <c r="FQ6" s="608"/>
      <c r="FR6" s="608"/>
      <c r="FS6" s="608"/>
      <c r="FT6" s="609"/>
      <c r="FU6" s="607" t="s">
        <v>133</v>
      </c>
      <c r="FV6" s="608"/>
      <c r="FW6" s="608"/>
      <c r="FX6" s="608"/>
      <c r="FY6" s="608"/>
      <c r="FZ6" s="608"/>
      <c r="GA6" s="608"/>
      <c r="GB6" s="608"/>
      <c r="GC6" s="608"/>
      <c r="GD6" s="608"/>
      <c r="GE6" s="608"/>
      <c r="GF6" s="608"/>
      <c r="GG6" s="608"/>
      <c r="GH6" s="608"/>
      <c r="GI6" s="608"/>
      <c r="GJ6" s="608"/>
      <c r="GK6" s="609"/>
      <c r="GL6" s="607" t="s">
        <v>134</v>
      </c>
      <c r="GM6" s="608"/>
      <c r="GN6" s="608"/>
      <c r="GO6" s="608"/>
      <c r="GP6" s="608"/>
      <c r="GQ6" s="608"/>
      <c r="GR6" s="608"/>
      <c r="GS6" s="608"/>
      <c r="GT6" s="608"/>
      <c r="GU6" s="608"/>
      <c r="GV6" s="608"/>
      <c r="GW6" s="608"/>
      <c r="GX6" s="608"/>
      <c r="GY6" s="608"/>
      <c r="GZ6" s="608"/>
      <c r="HA6" s="608"/>
      <c r="HB6" s="609"/>
      <c r="HC6" s="53"/>
      <c r="HD6" s="53"/>
      <c r="HE6" s="53"/>
      <c r="HF6" s="52"/>
      <c r="HG6" s="52"/>
      <c r="HH6" s="52"/>
      <c r="HI6" s="52"/>
      <c r="HJ6" s="52"/>
      <c r="HK6" s="52"/>
      <c r="HL6" s="52"/>
      <c r="HM6" s="52"/>
      <c r="HN6" s="52"/>
    </row>
    <row r="7" spans="1:222" ht="97.5" customHeight="1">
      <c r="A7" s="1"/>
      <c r="B7" s="630"/>
      <c r="C7" s="630"/>
      <c r="D7" s="630"/>
      <c r="E7" s="630"/>
      <c r="F7" s="630"/>
      <c r="G7" s="610" t="s">
        <v>135</v>
      </c>
      <c r="H7" s="54" t="s">
        <v>136</v>
      </c>
      <c r="I7" s="613" t="s">
        <v>137</v>
      </c>
      <c r="J7" s="614" t="s">
        <v>138</v>
      </c>
      <c r="K7" s="593" t="s">
        <v>139</v>
      </c>
      <c r="L7" s="594"/>
      <c r="M7" s="595"/>
      <c r="N7" s="593" t="s">
        <v>140</v>
      </c>
      <c r="O7" s="594"/>
      <c r="P7" s="595"/>
      <c r="Q7" s="596" t="s">
        <v>141</v>
      </c>
      <c r="R7" s="596" t="s">
        <v>142</v>
      </c>
      <c r="S7" s="55" t="s">
        <v>143</v>
      </c>
      <c r="T7" s="55" t="s">
        <v>144</v>
      </c>
      <c r="U7" s="54" t="s">
        <v>145</v>
      </c>
      <c r="V7" s="596" t="s">
        <v>146</v>
      </c>
      <c r="W7" s="596" t="s">
        <v>146</v>
      </c>
      <c r="X7" s="627" t="s">
        <v>135</v>
      </c>
      <c r="Y7" s="56" t="s">
        <v>136</v>
      </c>
      <c r="Z7" s="638" t="s">
        <v>137</v>
      </c>
      <c r="AA7" s="639" t="s">
        <v>138</v>
      </c>
      <c r="AB7" s="628" t="s">
        <v>139</v>
      </c>
      <c r="AC7" s="588"/>
      <c r="AD7" s="589"/>
      <c r="AE7" s="628" t="s">
        <v>147</v>
      </c>
      <c r="AF7" s="588"/>
      <c r="AG7" s="589"/>
      <c r="AH7" s="625" t="s">
        <v>141</v>
      </c>
      <c r="AI7" s="626" t="s">
        <v>142</v>
      </c>
      <c r="AJ7" s="57" t="s">
        <v>143</v>
      </c>
      <c r="AK7" s="57" t="s">
        <v>144</v>
      </c>
      <c r="AL7" s="56" t="s">
        <v>145</v>
      </c>
      <c r="AM7" s="625" t="s">
        <v>146</v>
      </c>
      <c r="AN7" s="56" t="s">
        <v>136</v>
      </c>
      <c r="AO7" s="577" t="s">
        <v>135</v>
      </c>
      <c r="AP7" s="58" t="s">
        <v>136</v>
      </c>
      <c r="AQ7" s="580" t="s">
        <v>137</v>
      </c>
      <c r="AR7" s="583" t="s">
        <v>138</v>
      </c>
      <c r="AS7" s="587" t="s">
        <v>139</v>
      </c>
      <c r="AT7" s="588"/>
      <c r="AU7" s="589"/>
      <c r="AV7" s="587" t="s">
        <v>148</v>
      </c>
      <c r="AW7" s="588"/>
      <c r="AX7" s="589"/>
      <c r="AY7" s="574" t="s">
        <v>141</v>
      </c>
      <c r="AZ7" s="583" t="s">
        <v>142</v>
      </c>
      <c r="BA7" s="59" t="s">
        <v>143</v>
      </c>
      <c r="BB7" s="59" t="s">
        <v>144</v>
      </c>
      <c r="BC7" s="58" t="s">
        <v>145</v>
      </c>
      <c r="BD7" s="59" t="s">
        <v>146</v>
      </c>
      <c r="BE7" s="574" t="s">
        <v>146</v>
      </c>
      <c r="BF7" s="577" t="s">
        <v>135</v>
      </c>
      <c r="BG7" s="58" t="s">
        <v>136</v>
      </c>
      <c r="BH7" s="580" t="s">
        <v>137</v>
      </c>
      <c r="BI7" s="583" t="s">
        <v>138</v>
      </c>
      <c r="BJ7" s="587" t="s">
        <v>139</v>
      </c>
      <c r="BK7" s="588"/>
      <c r="BL7" s="589"/>
      <c r="BM7" s="587" t="s">
        <v>149</v>
      </c>
      <c r="BN7" s="588"/>
      <c r="BO7" s="589"/>
      <c r="BP7" s="574" t="s">
        <v>141</v>
      </c>
      <c r="BQ7" s="583" t="s">
        <v>142</v>
      </c>
      <c r="BR7" s="59" t="s">
        <v>143</v>
      </c>
      <c r="BS7" s="59" t="s">
        <v>144</v>
      </c>
      <c r="BT7" s="58" t="s">
        <v>145</v>
      </c>
      <c r="BU7" s="583" t="s">
        <v>144</v>
      </c>
      <c r="BV7" s="622" t="s">
        <v>150</v>
      </c>
      <c r="BW7" s="577" t="s">
        <v>135</v>
      </c>
      <c r="BX7" s="58" t="s">
        <v>136</v>
      </c>
      <c r="BY7" s="580" t="s">
        <v>137</v>
      </c>
      <c r="BZ7" s="583" t="s">
        <v>138</v>
      </c>
      <c r="CA7" s="587" t="s">
        <v>139</v>
      </c>
      <c r="CB7" s="588"/>
      <c r="CC7" s="589"/>
      <c r="CD7" s="587" t="s">
        <v>151</v>
      </c>
      <c r="CE7" s="588"/>
      <c r="CF7" s="589"/>
      <c r="CG7" s="574" t="s">
        <v>141</v>
      </c>
      <c r="CH7" s="583" t="s">
        <v>142</v>
      </c>
      <c r="CI7" s="59" t="s">
        <v>143</v>
      </c>
      <c r="CJ7" s="59" t="s">
        <v>144</v>
      </c>
      <c r="CK7" s="58" t="s">
        <v>145</v>
      </c>
      <c r="CL7" s="59" t="s">
        <v>146</v>
      </c>
      <c r="CM7" s="574" t="s">
        <v>146</v>
      </c>
      <c r="CN7" s="577" t="s">
        <v>135</v>
      </c>
      <c r="CO7" s="58" t="s">
        <v>136</v>
      </c>
      <c r="CP7" s="580" t="s">
        <v>137</v>
      </c>
      <c r="CQ7" s="583" t="s">
        <v>138</v>
      </c>
      <c r="CR7" s="587" t="s">
        <v>139</v>
      </c>
      <c r="CS7" s="588"/>
      <c r="CT7" s="589"/>
      <c r="CU7" s="587" t="s">
        <v>152</v>
      </c>
      <c r="CV7" s="588"/>
      <c r="CW7" s="589"/>
      <c r="CX7" s="574" t="s">
        <v>141</v>
      </c>
      <c r="CY7" s="583" t="s">
        <v>142</v>
      </c>
      <c r="CZ7" s="59" t="s">
        <v>143</v>
      </c>
      <c r="DA7" s="59" t="s">
        <v>144</v>
      </c>
      <c r="DB7" s="58" t="s">
        <v>145</v>
      </c>
      <c r="DC7" s="59" t="s">
        <v>146</v>
      </c>
      <c r="DD7" s="574" t="s">
        <v>146</v>
      </c>
      <c r="DE7" s="577" t="s">
        <v>135</v>
      </c>
      <c r="DF7" s="58" t="s">
        <v>136</v>
      </c>
      <c r="DG7" s="580" t="s">
        <v>137</v>
      </c>
      <c r="DH7" s="583" t="s">
        <v>138</v>
      </c>
      <c r="DI7" s="587" t="s">
        <v>139</v>
      </c>
      <c r="DJ7" s="588"/>
      <c r="DK7" s="589"/>
      <c r="DL7" s="587" t="s">
        <v>153</v>
      </c>
      <c r="DM7" s="588"/>
      <c r="DN7" s="589"/>
      <c r="DO7" s="574" t="s">
        <v>141</v>
      </c>
      <c r="DP7" s="583" t="s">
        <v>142</v>
      </c>
      <c r="DQ7" s="59" t="s">
        <v>143</v>
      </c>
      <c r="DR7" s="59" t="s">
        <v>144</v>
      </c>
      <c r="DS7" s="58" t="s">
        <v>145</v>
      </c>
      <c r="DT7" s="59" t="s">
        <v>146</v>
      </c>
      <c r="DU7" s="574" t="s">
        <v>146</v>
      </c>
      <c r="DV7" s="577" t="s">
        <v>135</v>
      </c>
      <c r="DW7" s="58" t="s">
        <v>136</v>
      </c>
      <c r="DX7" s="580" t="s">
        <v>137</v>
      </c>
      <c r="DY7" s="583" t="s">
        <v>138</v>
      </c>
      <c r="DZ7" s="587" t="s">
        <v>139</v>
      </c>
      <c r="EA7" s="588"/>
      <c r="EB7" s="589"/>
      <c r="EC7" s="587" t="s">
        <v>154</v>
      </c>
      <c r="ED7" s="588"/>
      <c r="EE7" s="589"/>
      <c r="EF7" s="574" t="s">
        <v>141</v>
      </c>
      <c r="EG7" s="583" t="s">
        <v>142</v>
      </c>
      <c r="EH7" s="59" t="s">
        <v>143</v>
      </c>
      <c r="EI7" s="59" t="s">
        <v>144</v>
      </c>
      <c r="EJ7" s="58" t="s">
        <v>145</v>
      </c>
      <c r="EK7" s="59" t="s">
        <v>146</v>
      </c>
      <c r="EL7" s="574" t="s">
        <v>146</v>
      </c>
      <c r="EM7" s="577" t="s">
        <v>135</v>
      </c>
      <c r="EN7" s="58" t="s">
        <v>136</v>
      </c>
      <c r="EO7" s="580" t="s">
        <v>137</v>
      </c>
      <c r="EP7" s="583" t="s">
        <v>138</v>
      </c>
      <c r="EQ7" s="587" t="s">
        <v>139</v>
      </c>
      <c r="ER7" s="588"/>
      <c r="ES7" s="589"/>
      <c r="ET7" s="587" t="s">
        <v>155</v>
      </c>
      <c r="EU7" s="588"/>
      <c r="EV7" s="589"/>
      <c r="EW7" s="574" t="s">
        <v>141</v>
      </c>
      <c r="EX7" s="583" t="s">
        <v>142</v>
      </c>
      <c r="EY7" s="59" t="s">
        <v>143</v>
      </c>
      <c r="EZ7" s="59" t="s">
        <v>144</v>
      </c>
      <c r="FA7" s="58" t="s">
        <v>145</v>
      </c>
      <c r="FB7" s="59" t="s">
        <v>146</v>
      </c>
      <c r="FC7" s="574" t="s">
        <v>146</v>
      </c>
      <c r="FD7" s="577" t="s">
        <v>135</v>
      </c>
      <c r="FE7" s="58" t="s">
        <v>136</v>
      </c>
      <c r="FF7" s="580" t="s">
        <v>137</v>
      </c>
      <c r="FG7" s="583" t="s">
        <v>138</v>
      </c>
      <c r="FH7" s="587" t="s">
        <v>139</v>
      </c>
      <c r="FI7" s="588"/>
      <c r="FJ7" s="589"/>
      <c r="FK7" s="587" t="s">
        <v>156</v>
      </c>
      <c r="FL7" s="588"/>
      <c r="FM7" s="589"/>
      <c r="FN7" s="574" t="s">
        <v>141</v>
      </c>
      <c r="FO7" s="583" t="s">
        <v>142</v>
      </c>
      <c r="FP7" s="59" t="s">
        <v>143</v>
      </c>
      <c r="FQ7" s="59" t="s">
        <v>144</v>
      </c>
      <c r="FR7" s="58" t="s">
        <v>145</v>
      </c>
      <c r="FS7" s="59" t="s">
        <v>146</v>
      </c>
      <c r="FT7" s="574" t="s">
        <v>146</v>
      </c>
      <c r="FU7" s="577" t="s">
        <v>135</v>
      </c>
      <c r="FV7" s="58" t="s">
        <v>136</v>
      </c>
      <c r="FW7" s="580" t="s">
        <v>137</v>
      </c>
      <c r="FX7" s="583" t="s">
        <v>138</v>
      </c>
      <c r="FY7" s="587" t="s">
        <v>139</v>
      </c>
      <c r="FZ7" s="588"/>
      <c r="GA7" s="589"/>
      <c r="GB7" s="587" t="s">
        <v>157</v>
      </c>
      <c r="GC7" s="588"/>
      <c r="GD7" s="589"/>
      <c r="GE7" s="574" t="s">
        <v>141</v>
      </c>
      <c r="GF7" s="583" t="s">
        <v>142</v>
      </c>
      <c r="GG7" s="59" t="s">
        <v>143</v>
      </c>
      <c r="GH7" s="59" t="s">
        <v>144</v>
      </c>
      <c r="GI7" s="58" t="s">
        <v>145</v>
      </c>
      <c r="GJ7" s="59" t="s">
        <v>146</v>
      </c>
      <c r="GK7" s="574" t="s">
        <v>146</v>
      </c>
      <c r="GL7" s="577" t="s">
        <v>135</v>
      </c>
      <c r="GM7" s="58" t="s">
        <v>136</v>
      </c>
      <c r="GN7" s="580" t="s">
        <v>137</v>
      </c>
      <c r="GO7" s="583" t="s">
        <v>138</v>
      </c>
      <c r="GP7" s="587" t="s">
        <v>139</v>
      </c>
      <c r="GQ7" s="588"/>
      <c r="GR7" s="589"/>
      <c r="GS7" s="587" t="s">
        <v>158</v>
      </c>
      <c r="GT7" s="588"/>
      <c r="GU7" s="589"/>
      <c r="GV7" s="574" t="s">
        <v>159</v>
      </c>
      <c r="GW7" s="574" t="s">
        <v>142</v>
      </c>
      <c r="GX7" s="59" t="s">
        <v>143</v>
      </c>
      <c r="GY7" s="59" t="s">
        <v>144</v>
      </c>
      <c r="GZ7" s="58" t="s">
        <v>145</v>
      </c>
      <c r="HA7" s="59" t="s">
        <v>146</v>
      </c>
      <c r="HB7" s="574" t="s">
        <v>146</v>
      </c>
      <c r="HC7" s="60"/>
      <c r="HD7" s="60"/>
      <c r="HE7" s="60"/>
    </row>
    <row r="8" spans="1:222" ht="13.5" customHeight="1">
      <c r="A8" s="1"/>
      <c r="B8" s="630"/>
      <c r="C8" s="630"/>
      <c r="D8" s="630"/>
      <c r="E8" s="630"/>
      <c r="F8" s="630"/>
      <c r="G8" s="611"/>
      <c r="H8" s="61" t="s">
        <v>67</v>
      </c>
      <c r="I8" s="581"/>
      <c r="J8" s="615"/>
      <c r="K8" s="62" t="s">
        <v>160</v>
      </c>
      <c r="L8" s="590" t="s">
        <v>161</v>
      </c>
      <c r="M8" s="616" t="s">
        <v>162</v>
      </c>
      <c r="N8" s="63" t="s">
        <v>163</v>
      </c>
      <c r="O8" s="590" t="s">
        <v>164</v>
      </c>
      <c r="P8" s="64" t="s">
        <v>165</v>
      </c>
      <c r="Q8" s="575"/>
      <c r="R8" s="575"/>
      <c r="S8" s="65"/>
      <c r="T8" s="65"/>
      <c r="U8" s="61" t="s">
        <v>67</v>
      </c>
      <c r="V8" s="575"/>
      <c r="W8" s="575"/>
      <c r="X8" s="578"/>
      <c r="Y8" s="66" t="s">
        <v>67</v>
      </c>
      <c r="Z8" s="581"/>
      <c r="AA8" s="615"/>
      <c r="AB8" s="67" t="s">
        <v>160</v>
      </c>
      <c r="AC8" s="592" t="s">
        <v>161</v>
      </c>
      <c r="AD8" s="592" t="s">
        <v>162</v>
      </c>
      <c r="AE8" s="68" t="s">
        <v>163</v>
      </c>
      <c r="AF8" s="592" t="s">
        <v>164</v>
      </c>
      <c r="AG8" s="69" t="s">
        <v>165</v>
      </c>
      <c r="AH8" s="575"/>
      <c r="AI8" s="575"/>
      <c r="AJ8" s="70"/>
      <c r="AK8" s="70"/>
      <c r="AL8" s="66" t="s">
        <v>67</v>
      </c>
      <c r="AM8" s="575"/>
      <c r="AN8" s="66" t="s">
        <v>67</v>
      </c>
      <c r="AO8" s="578"/>
      <c r="AP8" s="71" t="s">
        <v>67</v>
      </c>
      <c r="AQ8" s="581"/>
      <c r="AR8" s="575"/>
      <c r="AS8" s="72" t="s">
        <v>160</v>
      </c>
      <c r="AT8" s="585" t="s">
        <v>161</v>
      </c>
      <c r="AU8" s="585" t="s">
        <v>162</v>
      </c>
      <c r="AV8" s="73" t="s">
        <v>163</v>
      </c>
      <c r="AW8" s="585" t="s">
        <v>164</v>
      </c>
      <c r="AX8" s="74" t="s">
        <v>165</v>
      </c>
      <c r="AY8" s="575"/>
      <c r="AZ8" s="575"/>
      <c r="BA8" s="75"/>
      <c r="BB8" s="75"/>
      <c r="BC8" s="71" t="s">
        <v>67</v>
      </c>
      <c r="BD8" s="75"/>
      <c r="BE8" s="575"/>
      <c r="BF8" s="578"/>
      <c r="BG8" s="71" t="s">
        <v>67</v>
      </c>
      <c r="BH8" s="581"/>
      <c r="BI8" s="575"/>
      <c r="BJ8" s="72"/>
      <c r="BK8" s="585" t="s">
        <v>161</v>
      </c>
      <c r="BL8" s="585" t="s">
        <v>162</v>
      </c>
      <c r="BM8" s="73" t="s">
        <v>163</v>
      </c>
      <c r="BN8" s="585" t="s">
        <v>161</v>
      </c>
      <c r="BO8" s="74" t="s">
        <v>165</v>
      </c>
      <c r="BP8" s="575"/>
      <c r="BQ8" s="575"/>
      <c r="BR8" s="75"/>
      <c r="BS8" s="75"/>
      <c r="BT8" s="71" t="s">
        <v>67</v>
      </c>
      <c r="BU8" s="575"/>
      <c r="BV8" s="623"/>
      <c r="BW8" s="578"/>
      <c r="BX8" s="71" t="s">
        <v>67</v>
      </c>
      <c r="BY8" s="581"/>
      <c r="BZ8" s="575"/>
      <c r="CA8" s="72"/>
      <c r="CB8" s="585" t="s">
        <v>161</v>
      </c>
      <c r="CC8" s="585" t="s">
        <v>162</v>
      </c>
      <c r="CD8" s="73" t="s">
        <v>163</v>
      </c>
      <c r="CE8" s="585" t="s">
        <v>161</v>
      </c>
      <c r="CF8" s="74" t="s">
        <v>165</v>
      </c>
      <c r="CG8" s="575"/>
      <c r="CH8" s="575"/>
      <c r="CI8" s="75"/>
      <c r="CJ8" s="75"/>
      <c r="CK8" s="71" t="s">
        <v>67</v>
      </c>
      <c r="CL8" s="75"/>
      <c r="CM8" s="575"/>
      <c r="CN8" s="578"/>
      <c r="CO8" s="71" t="s">
        <v>67</v>
      </c>
      <c r="CP8" s="581"/>
      <c r="CQ8" s="575"/>
      <c r="CR8" s="72"/>
      <c r="CS8" s="585" t="s">
        <v>161</v>
      </c>
      <c r="CT8" s="585" t="s">
        <v>162</v>
      </c>
      <c r="CU8" s="73" t="s">
        <v>163</v>
      </c>
      <c r="CV8" s="585" t="s">
        <v>161</v>
      </c>
      <c r="CW8" s="74" t="s">
        <v>165</v>
      </c>
      <c r="CX8" s="575"/>
      <c r="CY8" s="575"/>
      <c r="CZ8" s="75"/>
      <c r="DA8" s="75"/>
      <c r="DB8" s="71" t="s">
        <v>67</v>
      </c>
      <c r="DC8" s="75"/>
      <c r="DD8" s="575"/>
      <c r="DE8" s="578"/>
      <c r="DF8" s="71" t="s">
        <v>67</v>
      </c>
      <c r="DG8" s="581"/>
      <c r="DH8" s="575"/>
      <c r="DI8" s="72"/>
      <c r="DJ8" s="585" t="s">
        <v>161</v>
      </c>
      <c r="DK8" s="585" t="s">
        <v>162</v>
      </c>
      <c r="DL8" s="73" t="s">
        <v>163</v>
      </c>
      <c r="DM8" s="585" t="s">
        <v>161</v>
      </c>
      <c r="DN8" s="74" t="s">
        <v>165</v>
      </c>
      <c r="DO8" s="575"/>
      <c r="DP8" s="575"/>
      <c r="DQ8" s="75"/>
      <c r="DR8" s="75"/>
      <c r="DS8" s="71" t="s">
        <v>67</v>
      </c>
      <c r="DT8" s="75"/>
      <c r="DU8" s="575"/>
      <c r="DV8" s="578"/>
      <c r="DW8" s="71" t="s">
        <v>67</v>
      </c>
      <c r="DX8" s="581"/>
      <c r="DY8" s="575"/>
      <c r="DZ8" s="72"/>
      <c r="EA8" s="585" t="s">
        <v>161</v>
      </c>
      <c r="EB8" s="585" t="s">
        <v>162</v>
      </c>
      <c r="EC8" s="73" t="s">
        <v>163</v>
      </c>
      <c r="ED8" s="585" t="s">
        <v>161</v>
      </c>
      <c r="EE8" s="74" t="s">
        <v>165</v>
      </c>
      <c r="EF8" s="575"/>
      <c r="EG8" s="575"/>
      <c r="EH8" s="75"/>
      <c r="EI8" s="75"/>
      <c r="EJ8" s="71" t="s">
        <v>67</v>
      </c>
      <c r="EK8" s="75"/>
      <c r="EL8" s="575"/>
      <c r="EM8" s="578"/>
      <c r="EN8" s="71" t="s">
        <v>67</v>
      </c>
      <c r="EO8" s="581"/>
      <c r="EP8" s="575"/>
      <c r="EQ8" s="72"/>
      <c r="ER8" s="585" t="s">
        <v>161</v>
      </c>
      <c r="ES8" s="585" t="s">
        <v>162</v>
      </c>
      <c r="ET8" s="73" t="s">
        <v>163</v>
      </c>
      <c r="EU8" s="585" t="s">
        <v>161</v>
      </c>
      <c r="EV8" s="74" t="s">
        <v>165</v>
      </c>
      <c r="EW8" s="575"/>
      <c r="EX8" s="575"/>
      <c r="EY8" s="75"/>
      <c r="EZ8" s="75"/>
      <c r="FA8" s="71" t="s">
        <v>67</v>
      </c>
      <c r="FB8" s="75"/>
      <c r="FC8" s="575"/>
      <c r="FD8" s="578"/>
      <c r="FE8" s="71" t="s">
        <v>67</v>
      </c>
      <c r="FF8" s="581"/>
      <c r="FG8" s="575"/>
      <c r="FH8" s="72"/>
      <c r="FI8" s="585" t="s">
        <v>161</v>
      </c>
      <c r="FJ8" s="585" t="s">
        <v>162</v>
      </c>
      <c r="FK8" s="73" t="s">
        <v>163</v>
      </c>
      <c r="FL8" s="585" t="s">
        <v>161</v>
      </c>
      <c r="FM8" s="74" t="s">
        <v>165</v>
      </c>
      <c r="FN8" s="575"/>
      <c r="FO8" s="575"/>
      <c r="FP8" s="75"/>
      <c r="FQ8" s="75"/>
      <c r="FR8" s="71" t="s">
        <v>67</v>
      </c>
      <c r="FS8" s="75"/>
      <c r="FT8" s="575"/>
      <c r="FU8" s="578"/>
      <c r="FV8" s="71" t="s">
        <v>67</v>
      </c>
      <c r="FW8" s="581"/>
      <c r="FX8" s="575"/>
      <c r="FY8" s="72"/>
      <c r="FZ8" s="585" t="s">
        <v>161</v>
      </c>
      <c r="GA8" s="585" t="s">
        <v>162</v>
      </c>
      <c r="GB8" s="73" t="s">
        <v>163</v>
      </c>
      <c r="GC8" s="585" t="s">
        <v>161</v>
      </c>
      <c r="GD8" s="74" t="s">
        <v>165</v>
      </c>
      <c r="GE8" s="575"/>
      <c r="GF8" s="575"/>
      <c r="GG8" s="75"/>
      <c r="GH8" s="75"/>
      <c r="GI8" s="71" t="s">
        <v>67</v>
      </c>
      <c r="GJ8" s="75"/>
      <c r="GK8" s="575"/>
      <c r="GL8" s="578"/>
      <c r="GM8" s="71" t="s">
        <v>67</v>
      </c>
      <c r="GN8" s="581"/>
      <c r="GO8" s="575"/>
      <c r="GP8" s="72"/>
      <c r="GQ8" s="585" t="s">
        <v>161</v>
      </c>
      <c r="GR8" s="585" t="s">
        <v>162</v>
      </c>
      <c r="GS8" s="73" t="s">
        <v>163</v>
      </c>
      <c r="GT8" s="585" t="s">
        <v>161</v>
      </c>
      <c r="GU8" s="74" t="s">
        <v>165</v>
      </c>
      <c r="GV8" s="575"/>
      <c r="GW8" s="575"/>
      <c r="GX8" s="75"/>
      <c r="GY8" s="75"/>
      <c r="GZ8" s="71" t="s">
        <v>67</v>
      </c>
      <c r="HA8" s="75"/>
      <c r="HB8" s="575"/>
      <c r="HC8" s="60"/>
      <c r="HD8" s="60"/>
      <c r="HE8" s="60"/>
    </row>
    <row r="9" spans="1:222" ht="15.75">
      <c r="A9" s="1"/>
      <c r="B9" s="631"/>
      <c r="C9" s="631"/>
      <c r="D9" s="631"/>
      <c r="E9" s="631"/>
      <c r="F9" s="631"/>
      <c r="G9" s="612"/>
      <c r="H9" s="76" t="s">
        <v>166</v>
      </c>
      <c r="I9" s="582"/>
      <c r="J9" s="591"/>
      <c r="K9" s="77" t="s">
        <v>167</v>
      </c>
      <c r="L9" s="591"/>
      <c r="M9" s="591"/>
      <c r="N9" s="78" t="s">
        <v>168</v>
      </c>
      <c r="O9" s="591"/>
      <c r="P9" s="79"/>
      <c r="Q9" s="576"/>
      <c r="R9" s="576"/>
      <c r="S9" s="80"/>
      <c r="T9" s="80"/>
      <c r="U9" s="76" t="s">
        <v>166</v>
      </c>
      <c r="V9" s="576"/>
      <c r="W9" s="576"/>
      <c r="X9" s="579"/>
      <c r="Y9" s="81" t="s">
        <v>166</v>
      </c>
      <c r="Z9" s="582"/>
      <c r="AA9" s="586"/>
      <c r="AB9" s="82" t="s">
        <v>167</v>
      </c>
      <c r="AC9" s="586"/>
      <c r="AD9" s="586"/>
      <c r="AE9" s="83" t="s">
        <v>168</v>
      </c>
      <c r="AF9" s="591"/>
      <c r="AG9" s="84"/>
      <c r="AH9" s="576"/>
      <c r="AI9" s="584"/>
      <c r="AJ9" s="85"/>
      <c r="AK9" s="85"/>
      <c r="AL9" s="81" t="s">
        <v>166</v>
      </c>
      <c r="AM9" s="576"/>
      <c r="AN9" s="81" t="s">
        <v>166</v>
      </c>
      <c r="AO9" s="579"/>
      <c r="AP9" s="86" t="s">
        <v>166</v>
      </c>
      <c r="AQ9" s="582"/>
      <c r="AR9" s="584"/>
      <c r="AS9" s="87" t="s">
        <v>167</v>
      </c>
      <c r="AT9" s="586"/>
      <c r="AU9" s="586"/>
      <c r="AV9" s="88" t="s">
        <v>168</v>
      </c>
      <c r="AW9" s="591"/>
      <c r="AX9" s="89"/>
      <c r="AY9" s="576"/>
      <c r="AZ9" s="584"/>
      <c r="BA9" s="90"/>
      <c r="BB9" s="90"/>
      <c r="BC9" s="91" t="s">
        <v>166</v>
      </c>
      <c r="BD9" s="90"/>
      <c r="BE9" s="576"/>
      <c r="BF9" s="579"/>
      <c r="BG9" s="91" t="s">
        <v>166</v>
      </c>
      <c r="BH9" s="582"/>
      <c r="BI9" s="584"/>
      <c r="BJ9" s="87"/>
      <c r="BK9" s="586"/>
      <c r="BL9" s="586"/>
      <c r="BM9" s="92" t="s">
        <v>168</v>
      </c>
      <c r="BN9" s="586"/>
      <c r="BO9" s="89"/>
      <c r="BP9" s="576"/>
      <c r="BQ9" s="584"/>
      <c r="BR9" s="90"/>
      <c r="BS9" s="90"/>
      <c r="BT9" s="91" t="s">
        <v>166</v>
      </c>
      <c r="BU9" s="584"/>
      <c r="BV9" s="624"/>
      <c r="BW9" s="579"/>
      <c r="BX9" s="91" t="s">
        <v>166</v>
      </c>
      <c r="BY9" s="582"/>
      <c r="BZ9" s="584"/>
      <c r="CA9" s="87"/>
      <c r="CB9" s="586"/>
      <c r="CC9" s="586"/>
      <c r="CD9" s="92" t="s">
        <v>168</v>
      </c>
      <c r="CE9" s="586"/>
      <c r="CF9" s="89"/>
      <c r="CG9" s="576"/>
      <c r="CH9" s="584"/>
      <c r="CI9" s="90"/>
      <c r="CJ9" s="90"/>
      <c r="CK9" s="91" t="s">
        <v>166</v>
      </c>
      <c r="CL9" s="90"/>
      <c r="CM9" s="576"/>
      <c r="CN9" s="579"/>
      <c r="CO9" s="91" t="s">
        <v>166</v>
      </c>
      <c r="CP9" s="582"/>
      <c r="CQ9" s="584"/>
      <c r="CR9" s="87"/>
      <c r="CS9" s="586"/>
      <c r="CT9" s="586"/>
      <c r="CU9" s="92" t="s">
        <v>168</v>
      </c>
      <c r="CV9" s="586"/>
      <c r="CW9" s="89"/>
      <c r="CX9" s="576"/>
      <c r="CY9" s="584"/>
      <c r="CZ9" s="90"/>
      <c r="DA9" s="90"/>
      <c r="DB9" s="91" t="s">
        <v>166</v>
      </c>
      <c r="DC9" s="90"/>
      <c r="DD9" s="576"/>
      <c r="DE9" s="579"/>
      <c r="DF9" s="91" t="s">
        <v>166</v>
      </c>
      <c r="DG9" s="582"/>
      <c r="DH9" s="584"/>
      <c r="DI9" s="87"/>
      <c r="DJ9" s="586"/>
      <c r="DK9" s="586"/>
      <c r="DL9" s="92" t="s">
        <v>168</v>
      </c>
      <c r="DM9" s="586"/>
      <c r="DN9" s="89"/>
      <c r="DO9" s="576"/>
      <c r="DP9" s="584"/>
      <c r="DQ9" s="90"/>
      <c r="DR9" s="90"/>
      <c r="DS9" s="91" t="s">
        <v>166</v>
      </c>
      <c r="DT9" s="90"/>
      <c r="DU9" s="576"/>
      <c r="DV9" s="579"/>
      <c r="DW9" s="91" t="s">
        <v>166</v>
      </c>
      <c r="DX9" s="582"/>
      <c r="DY9" s="584"/>
      <c r="DZ9" s="87"/>
      <c r="EA9" s="586"/>
      <c r="EB9" s="586"/>
      <c r="EC9" s="92" t="s">
        <v>168</v>
      </c>
      <c r="ED9" s="586"/>
      <c r="EE9" s="89"/>
      <c r="EF9" s="576"/>
      <c r="EG9" s="584"/>
      <c r="EH9" s="90"/>
      <c r="EI9" s="90"/>
      <c r="EJ9" s="91" t="s">
        <v>166</v>
      </c>
      <c r="EK9" s="90"/>
      <c r="EL9" s="576"/>
      <c r="EM9" s="579"/>
      <c r="EN9" s="91" t="s">
        <v>166</v>
      </c>
      <c r="EO9" s="582"/>
      <c r="EP9" s="584"/>
      <c r="EQ9" s="87"/>
      <c r="ER9" s="586"/>
      <c r="ES9" s="586"/>
      <c r="ET9" s="92" t="s">
        <v>168</v>
      </c>
      <c r="EU9" s="586"/>
      <c r="EV9" s="89"/>
      <c r="EW9" s="576"/>
      <c r="EX9" s="584"/>
      <c r="EY9" s="90"/>
      <c r="EZ9" s="90"/>
      <c r="FA9" s="91" t="s">
        <v>166</v>
      </c>
      <c r="FB9" s="90"/>
      <c r="FC9" s="576"/>
      <c r="FD9" s="579"/>
      <c r="FE9" s="91" t="s">
        <v>166</v>
      </c>
      <c r="FF9" s="582"/>
      <c r="FG9" s="584"/>
      <c r="FH9" s="87"/>
      <c r="FI9" s="586"/>
      <c r="FJ9" s="586"/>
      <c r="FK9" s="92" t="s">
        <v>168</v>
      </c>
      <c r="FL9" s="586"/>
      <c r="FM9" s="89"/>
      <c r="FN9" s="576"/>
      <c r="FO9" s="584"/>
      <c r="FP9" s="90"/>
      <c r="FQ9" s="90"/>
      <c r="FR9" s="91" t="s">
        <v>166</v>
      </c>
      <c r="FS9" s="90"/>
      <c r="FT9" s="576"/>
      <c r="FU9" s="579"/>
      <c r="FV9" s="91" t="s">
        <v>166</v>
      </c>
      <c r="FW9" s="582"/>
      <c r="FX9" s="584"/>
      <c r="FY9" s="87"/>
      <c r="FZ9" s="586"/>
      <c r="GA9" s="586"/>
      <c r="GB9" s="92" t="s">
        <v>168</v>
      </c>
      <c r="GC9" s="586"/>
      <c r="GD9" s="89"/>
      <c r="GE9" s="576"/>
      <c r="GF9" s="584"/>
      <c r="GG9" s="90"/>
      <c r="GH9" s="90"/>
      <c r="GI9" s="91" t="s">
        <v>166</v>
      </c>
      <c r="GJ9" s="90"/>
      <c r="GK9" s="576"/>
      <c r="GL9" s="579"/>
      <c r="GM9" s="91" t="s">
        <v>166</v>
      </c>
      <c r="GN9" s="582"/>
      <c r="GO9" s="584"/>
      <c r="GP9" s="87"/>
      <c r="GQ9" s="586"/>
      <c r="GR9" s="586"/>
      <c r="GS9" s="92" t="s">
        <v>168</v>
      </c>
      <c r="GT9" s="586"/>
      <c r="GU9" s="89"/>
      <c r="GV9" s="576"/>
      <c r="GW9" s="576"/>
      <c r="GX9" s="90"/>
      <c r="GY9" s="90"/>
      <c r="GZ9" s="91" t="s">
        <v>166</v>
      </c>
      <c r="HA9" s="90"/>
      <c r="HB9" s="576"/>
      <c r="HC9" s="60"/>
      <c r="HD9" s="60"/>
      <c r="HE9" s="60"/>
    </row>
    <row r="10" spans="1:222" ht="22.5" customHeight="1">
      <c r="A10" s="1"/>
      <c r="B10" s="93">
        <v>158267</v>
      </c>
      <c r="C10" s="93" t="s">
        <v>169</v>
      </c>
      <c r="D10" s="94" t="s">
        <v>31</v>
      </c>
      <c r="E10" s="95">
        <v>3.5</v>
      </c>
      <c r="F10" s="95">
        <v>3</v>
      </c>
      <c r="G10" s="96">
        <v>2</v>
      </c>
      <c r="H10" s="96" t="s">
        <v>166</v>
      </c>
      <c r="I10" s="97" t="s">
        <v>65</v>
      </c>
      <c r="J10" s="98">
        <v>1764.4</v>
      </c>
      <c r="K10" s="99">
        <v>0.25</v>
      </c>
      <c r="L10" s="636" t="s">
        <v>170</v>
      </c>
      <c r="M10" s="618"/>
      <c r="N10" s="99">
        <v>0.2</v>
      </c>
      <c r="O10" s="100" t="s">
        <v>171</v>
      </c>
      <c r="P10" s="101"/>
      <c r="Q10" s="102">
        <f t="shared" ref="Q10:Q21" si="3">IFERROR((52/(IF(H10="S",G10+(IF(Y10="S",X10,0))+(IF(AP10="S",AO10,0)),0)))/12,0)</f>
        <v>0</v>
      </c>
      <c r="R10" s="102">
        <f t="shared" ref="R10:R21" si="4">IFERROR(((52+12)/(IF(H10="S",G10+(IF(Y10="S",X10,0))+(IF(AP10="S",AO10,0)),0)))/12,0)</f>
        <v>0</v>
      </c>
      <c r="S10" s="97">
        <v>30</v>
      </c>
      <c r="T10" s="97">
        <v>30</v>
      </c>
      <c r="U10" s="97" t="s">
        <v>166</v>
      </c>
      <c r="V10" s="97"/>
      <c r="W10" s="103" t="s">
        <v>67</v>
      </c>
      <c r="X10" s="104">
        <v>3</v>
      </c>
      <c r="Y10" s="105" t="s">
        <v>166</v>
      </c>
      <c r="Z10" s="106" t="s">
        <v>65</v>
      </c>
      <c r="AA10" s="107">
        <v>1764.4</v>
      </c>
      <c r="AB10" s="108">
        <v>0.25</v>
      </c>
      <c r="AC10" s="637" t="s">
        <v>170</v>
      </c>
      <c r="AD10" s="618"/>
      <c r="AE10" s="108">
        <v>0.2</v>
      </c>
      <c r="AF10" s="109" t="s">
        <v>171</v>
      </c>
      <c r="AG10" s="110"/>
      <c r="AH10" s="111">
        <v>0</v>
      </c>
      <c r="AI10" s="111">
        <f t="shared" ref="AI10:AI21" si="5">IFERROR(((52+12)/(IF(Y10="S",X10+(IF(H10="S",G10,0))+(IF(AP10="S",AO10,0)),0)))/12,0)</f>
        <v>0</v>
      </c>
      <c r="AJ10" s="106">
        <v>30</v>
      </c>
      <c r="AK10" s="106">
        <v>30</v>
      </c>
      <c r="AL10" s="106" t="s">
        <v>67</v>
      </c>
      <c r="AM10" s="106"/>
      <c r="AN10" s="105" t="s">
        <v>166</v>
      </c>
      <c r="AO10" s="112">
        <v>0</v>
      </c>
      <c r="AP10" s="113" t="s">
        <v>67</v>
      </c>
      <c r="AQ10" s="114" t="s">
        <v>54</v>
      </c>
      <c r="AR10" s="115">
        <v>1741.45</v>
      </c>
      <c r="AS10" s="116">
        <v>0.25</v>
      </c>
      <c r="AT10" s="617" t="s">
        <v>170</v>
      </c>
      <c r="AU10" s="618"/>
      <c r="AV10" s="116">
        <v>0.2</v>
      </c>
      <c r="AW10" s="117" t="s">
        <v>172</v>
      </c>
      <c r="AX10" s="118"/>
      <c r="AY10" s="119">
        <f t="shared" ref="AY10:AY21" si="6">IFERROR((52/(IF(AP10="S",AO10+(IF(H10="S",G10,0))+(IF(Y10="S",X10,0)),0)))/12,0)</f>
        <v>0</v>
      </c>
      <c r="AZ10" s="119">
        <f t="shared" ref="AZ10:AZ21" si="7">IFERROR(((52+12)/(IF(AP10="S",AO10+(IF(H10="S",G10,0))+(IF(Y10="S",X10,0)),0)))/12,0)</f>
        <v>0</v>
      </c>
      <c r="BA10" s="114">
        <v>22</v>
      </c>
      <c r="BB10" s="114">
        <v>22</v>
      </c>
      <c r="BC10" s="114" t="s">
        <v>166</v>
      </c>
      <c r="BD10" s="114"/>
      <c r="BE10" s="114"/>
      <c r="BF10" s="112">
        <v>0</v>
      </c>
      <c r="BG10" s="113" t="s">
        <v>67</v>
      </c>
      <c r="BH10" s="114" t="s">
        <v>26</v>
      </c>
      <c r="BI10" s="115">
        <v>4435.2</v>
      </c>
      <c r="BJ10" s="116">
        <v>0.25</v>
      </c>
      <c r="BK10" s="617" t="s">
        <v>170</v>
      </c>
      <c r="BL10" s="618"/>
      <c r="BM10" s="116">
        <v>0.2</v>
      </c>
      <c r="BN10" s="117" t="s">
        <v>173</v>
      </c>
      <c r="BO10" s="118"/>
      <c r="BP10" s="119">
        <f t="shared" ref="BP10:BP21" si="8">IFERROR((52/(IF(BG10="S",BF10+(IF(Y10="S",X10,0))+(IF(AS10="S",AR10,0)),0)))/12,0)</f>
        <v>0</v>
      </c>
      <c r="BQ10" s="119">
        <f t="shared" ref="BQ10:BQ12" si="9">IFERROR(((52+12)/(IF(BG10="S",BF10+(IF(Y10="S",X10,0))+(IF(AS10="S",AR10,0)),0)))/12,0)</f>
        <v>0</v>
      </c>
      <c r="BR10" s="114">
        <v>22</v>
      </c>
      <c r="BS10" s="114">
        <v>22</v>
      </c>
      <c r="BT10" s="114" t="s">
        <v>67</v>
      </c>
      <c r="BU10" s="114"/>
      <c r="BV10" s="120"/>
      <c r="BW10" s="112">
        <v>0</v>
      </c>
      <c r="BX10" s="113" t="s">
        <v>67</v>
      </c>
      <c r="BY10" s="114" t="s">
        <v>26</v>
      </c>
      <c r="BZ10" s="115">
        <v>4435.2</v>
      </c>
      <c r="CA10" s="116">
        <v>0.25</v>
      </c>
      <c r="CB10" s="617" t="s">
        <v>170</v>
      </c>
      <c r="CC10" s="618"/>
      <c r="CD10" s="116">
        <v>0.2</v>
      </c>
      <c r="CE10" s="117" t="s">
        <v>173</v>
      </c>
      <c r="CF10" s="118"/>
      <c r="CG10" s="119">
        <f t="shared" ref="CG10:CG21" si="10">IFERROR((52/(IF(BX10="S",BW10+(IF(Y10="S",X10,0))+(IF(AS10="S",AR10,0)),0)))/12,0)</f>
        <v>0</v>
      </c>
      <c r="CH10" s="119">
        <f>IFERROR(((52+12)/(IF(BG10="S",BF10+(IF(Y10="S",X10,0))+(IF(AS10="S",AR10,0)),0)))/12,0)</f>
        <v>0</v>
      </c>
      <c r="CI10" s="114">
        <v>22</v>
      </c>
      <c r="CJ10" s="114">
        <v>22</v>
      </c>
      <c r="CK10" s="114" t="s">
        <v>67</v>
      </c>
      <c r="CL10" s="114"/>
      <c r="CM10" s="114"/>
      <c r="CN10" s="112">
        <v>0</v>
      </c>
      <c r="CO10" s="113" t="s">
        <v>67</v>
      </c>
      <c r="CP10" s="114" t="s">
        <v>26</v>
      </c>
      <c r="CQ10" s="115">
        <v>1396.01</v>
      </c>
      <c r="CR10" s="116">
        <v>0.25</v>
      </c>
      <c r="CS10" s="617" t="s">
        <v>170</v>
      </c>
      <c r="CT10" s="618"/>
      <c r="CU10" s="116">
        <v>0.2</v>
      </c>
      <c r="CV10" s="117" t="s">
        <v>173</v>
      </c>
      <c r="CW10" s="118"/>
      <c r="CX10" s="119">
        <f t="shared" ref="CX10:CX21" si="11">IFERROR((52/(IF(CO10="S",CN10+(IF(Y10="S",X10,0))+(IF(AS10="S",AR10,0)),0)))/12,0)</f>
        <v>0</v>
      </c>
      <c r="CY10" s="119">
        <f>IFERROR(((52+12)/(IF(BG10="S",BF10+(IF(Y10="S",X10,0))+(IF(AS10="S",AR10,0)),0)))/12,0)</f>
        <v>0</v>
      </c>
      <c r="CZ10" s="114">
        <v>22</v>
      </c>
      <c r="DA10" s="114">
        <v>22</v>
      </c>
      <c r="DB10" s="114" t="s">
        <v>67</v>
      </c>
      <c r="DC10" s="114"/>
      <c r="DD10" s="114"/>
      <c r="DE10" s="112">
        <v>0</v>
      </c>
      <c r="DF10" s="113" t="s">
        <v>67</v>
      </c>
      <c r="DG10" s="114" t="s">
        <v>26</v>
      </c>
      <c r="DH10" s="115">
        <v>1396.01</v>
      </c>
      <c r="DI10" s="116">
        <v>0.25</v>
      </c>
      <c r="DJ10" s="617" t="s">
        <v>170</v>
      </c>
      <c r="DK10" s="618"/>
      <c r="DL10" s="116">
        <v>0.2</v>
      </c>
      <c r="DM10" s="117" t="s">
        <v>173</v>
      </c>
      <c r="DN10" s="118"/>
      <c r="DO10" s="119">
        <f t="shared" ref="DO10:DO21" si="12">IFERROR((52/(IF(DF10="S",DE10+(IF(Y10="S",X10,0))+(IF(AS10="S",AR10,0)),0)))/12,0)</f>
        <v>0</v>
      </c>
      <c r="DP10" s="119">
        <f>IFERROR(((52+12)/(IF(BG10="S",BF10+(IF(Y10="S",X10,0))+(IF(AS10="S",AR10,0)),0)))/12,0)</f>
        <v>0</v>
      </c>
      <c r="DQ10" s="114">
        <v>22</v>
      </c>
      <c r="DR10" s="114">
        <v>22</v>
      </c>
      <c r="DS10" s="114" t="s">
        <v>67</v>
      </c>
      <c r="DT10" s="114"/>
      <c r="DU10" s="114"/>
      <c r="DV10" s="112">
        <v>0</v>
      </c>
      <c r="DW10" s="113" t="s">
        <v>166</v>
      </c>
      <c r="DX10" s="114" t="s">
        <v>43</v>
      </c>
      <c r="DY10" s="115">
        <v>4128.0200000000004</v>
      </c>
      <c r="DZ10" s="116">
        <v>0.25</v>
      </c>
      <c r="EA10" s="617" t="s">
        <v>170</v>
      </c>
      <c r="EB10" s="618"/>
      <c r="EC10" s="116">
        <v>0.2</v>
      </c>
      <c r="ED10" s="117" t="s">
        <v>173</v>
      </c>
      <c r="EE10" s="118"/>
      <c r="EF10" s="119">
        <f t="shared" ref="EF10:EF21" si="13">IFERROR((52/(IF(DW10="S",DV10+(IF(Y10="S",X10,0))+(IF(AS10="S",AR10,0)),0)))/12,0)</f>
        <v>0</v>
      </c>
      <c r="EG10" s="119">
        <f>IFERROR(((52+12)/(IF(BG10="S",BF10+(IF(Y10="S",X10,0))+(IF(AS10="S",AR10,0)),0)))/12,0)</f>
        <v>0</v>
      </c>
      <c r="EH10" s="114">
        <v>22</v>
      </c>
      <c r="EI10" s="114">
        <v>22</v>
      </c>
      <c r="EJ10" s="114" t="s">
        <v>67</v>
      </c>
      <c r="EK10" s="114"/>
      <c r="EL10" s="114"/>
      <c r="EM10" s="112">
        <v>0</v>
      </c>
      <c r="EN10" s="113" t="s">
        <v>166</v>
      </c>
      <c r="EO10" s="114" t="s">
        <v>43</v>
      </c>
      <c r="EP10" s="115">
        <v>4128.0200000000004</v>
      </c>
      <c r="EQ10" s="116">
        <v>0.25</v>
      </c>
      <c r="ER10" s="617" t="s">
        <v>170</v>
      </c>
      <c r="ES10" s="618"/>
      <c r="ET10" s="116">
        <v>0.2</v>
      </c>
      <c r="EU10" s="117" t="s">
        <v>173</v>
      </c>
      <c r="EV10" s="118"/>
      <c r="EW10" s="119">
        <f t="shared" ref="EW10:EW21" si="14">IFERROR((52/(IF(EN10="S",EM10+(IF(Y10="S",X10,0))+(IF(AS10="S",AR10,0)),0)))/12,0)</f>
        <v>0</v>
      </c>
      <c r="EX10" s="119">
        <f>IFERROR(((52+12)/(IF(BG10="S",BF10+(IF(Y10="S",X10,0))+(IF(AS10="S",AR10,0)),0)))/12,0)</f>
        <v>0</v>
      </c>
      <c r="EY10" s="114">
        <v>22</v>
      </c>
      <c r="EZ10" s="114">
        <v>22</v>
      </c>
      <c r="FA10" s="114" t="s">
        <v>67</v>
      </c>
      <c r="FB10" s="114"/>
      <c r="FC10" s="114"/>
      <c r="FD10" s="112">
        <v>0</v>
      </c>
      <c r="FE10" s="113" t="s">
        <v>166</v>
      </c>
      <c r="FF10" s="114" t="s">
        <v>54</v>
      </c>
      <c r="FG10" s="115">
        <v>1741.45</v>
      </c>
      <c r="FH10" s="116">
        <v>0.25</v>
      </c>
      <c r="FI10" s="617" t="s">
        <v>170</v>
      </c>
      <c r="FJ10" s="618"/>
      <c r="FK10" s="116">
        <v>0.2</v>
      </c>
      <c r="FL10" s="117" t="s">
        <v>172</v>
      </c>
      <c r="FM10" s="118"/>
      <c r="FN10" s="119">
        <f t="shared" ref="FN10:FN21" si="15">IFERROR((52/(IF(FE10="S",FD10+(IF(Y10="S",X10,0))+(IF(AS10="S",AR10,0)),0)))/12,0)</f>
        <v>0</v>
      </c>
      <c r="FO10" s="119">
        <f>IFERROR(((52+12)/(IF(BG10="S",BF10+(IF(Y10="S",X10,0))+(IF(AS10="S",AR10,0)),0)))/12,0)</f>
        <v>0</v>
      </c>
      <c r="FP10" s="114">
        <v>9</v>
      </c>
      <c r="FQ10" s="114"/>
      <c r="FR10" s="114" t="s">
        <v>67</v>
      </c>
      <c r="FS10" s="114"/>
      <c r="FT10" s="114"/>
      <c r="FU10" s="112">
        <v>0</v>
      </c>
      <c r="FV10" s="113" t="s">
        <v>166</v>
      </c>
      <c r="FW10" s="114" t="s">
        <v>15</v>
      </c>
      <c r="FX10" s="115">
        <v>0</v>
      </c>
      <c r="FY10" s="116">
        <v>0.25</v>
      </c>
      <c r="FZ10" s="617" t="s">
        <v>161</v>
      </c>
      <c r="GA10" s="618"/>
      <c r="GB10" s="116">
        <v>0.2</v>
      </c>
      <c r="GC10" s="117" t="s">
        <v>173</v>
      </c>
      <c r="GD10" s="118"/>
      <c r="GE10" s="119">
        <f t="shared" ref="GE10:GE21" si="16">IFERROR((52/(IF(FV10="S",FU10+(IF(Y10="S",X10,0))+(IF(AS10="S",AR10,0)),0)))/12,0)</f>
        <v>0</v>
      </c>
      <c r="GF10" s="119">
        <f>IFERROR(((52+12)/(IF(BG10="S",BF10+(IF(Y10="S",X10,0))+(IF(AS10="S",AR10,0)),0)))/12,0)</f>
        <v>0</v>
      </c>
      <c r="GG10" s="114">
        <v>0</v>
      </c>
      <c r="GH10" s="114"/>
      <c r="GI10" s="114" t="s">
        <v>67</v>
      </c>
      <c r="GJ10" s="114"/>
      <c r="GK10" s="114"/>
      <c r="GL10" s="112">
        <v>0</v>
      </c>
      <c r="GM10" s="113" t="s">
        <v>166</v>
      </c>
      <c r="GN10" s="114" t="s">
        <v>15</v>
      </c>
      <c r="GO10" s="115">
        <v>0</v>
      </c>
      <c r="GP10" s="116">
        <v>0.25</v>
      </c>
      <c r="GQ10" s="617" t="s">
        <v>161</v>
      </c>
      <c r="GR10" s="618"/>
      <c r="GS10" s="116">
        <v>0.2</v>
      </c>
      <c r="GT10" s="117" t="s">
        <v>173</v>
      </c>
      <c r="GU10" s="118"/>
      <c r="GV10" s="119" t="e">
        <f>IFERROR((52/(IF(GM10="S",GL10+(IF(Y10="S",X10,0))+(IF(AS10="S",AR10,0)),0)))/12,0)*#REF!</f>
        <v>#REF!</v>
      </c>
      <c r="GW10" s="119">
        <f t="shared" ref="GW10:GW12" si="17">IFERROR(((52+12)/(IF(GM10="S",GL10+(IF(Y10="S",X10,0))+(IF(AS10="S",AR10,0)),0)))/12,0)</f>
        <v>0</v>
      </c>
      <c r="GX10" s="114">
        <v>0</v>
      </c>
      <c r="GY10" s="114"/>
      <c r="GZ10" s="114" t="s">
        <v>67</v>
      </c>
      <c r="HA10" s="114"/>
      <c r="HB10" s="114"/>
      <c r="HC10" s="60"/>
      <c r="HD10" s="60"/>
      <c r="HE10" s="60"/>
      <c r="HN10" s="121">
        <f t="shared" ref="HN10:HN22" si="18">G10+X10+AO10+BF10+BW10+CN10+DE10+DV10+EM10+FD10+FU10+GL10</f>
        <v>5</v>
      </c>
    </row>
    <row r="11" spans="1:222" ht="22.5" customHeight="1">
      <c r="A11" s="1"/>
      <c r="B11" s="122">
        <v>155570</v>
      </c>
      <c r="C11" s="122" t="s">
        <v>174</v>
      </c>
      <c r="D11" s="123" t="s">
        <v>37</v>
      </c>
      <c r="E11" s="124">
        <v>3.34</v>
      </c>
      <c r="F11" s="124">
        <v>3</v>
      </c>
      <c r="G11" s="125">
        <v>0</v>
      </c>
      <c r="H11" s="125" t="s">
        <v>166</v>
      </c>
      <c r="I11" s="97" t="s">
        <v>54</v>
      </c>
      <c r="J11" s="126">
        <f t="shared" ref="J11:J12" si="19">J10+1</f>
        <v>1765.4</v>
      </c>
      <c r="K11" s="127">
        <v>0.25</v>
      </c>
      <c r="L11" s="636" t="s">
        <v>170</v>
      </c>
      <c r="M11" s="618"/>
      <c r="N11" s="127">
        <v>0.2</v>
      </c>
      <c r="O11" s="100" t="s">
        <v>172</v>
      </c>
      <c r="P11" s="101"/>
      <c r="Q11" s="102">
        <f t="shared" si="3"/>
        <v>0</v>
      </c>
      <c r="R11" s="102">
        <f t="shared" si="4"/>
        <v>0</v>
      </c>
      <c r="S11" s="128">
        <v>22</v>
      </c>
      <c r="T11" s="128">
        <v>22</v>
      </c>
      <c r="U11" s="97" t="s">
        <v>166</v>
      </c>
      <c r="V11" s="128"/>
      <c r="W11" s="129" t="s">
        <v>67</v>
      </c>
      <c r="X11" s="130">
        <v>0</v>
      </c>
      <c r="Y11" s="131" t="s">
        <v>166</v>
      </c>
      <c r="Z11" s="106" t="s">
        <v>26</v>
      </c>
      <c r="AA11" s="132">
        <v>1717.39</v>
      </c>
      <c r="AB11" s="133">
        <v>0.25</v>
      </c>
      <c r="AC11" s="637" t="s">
        <v>170</v>
      </c>
      <c r="AD11" s="618"/>
      <c r="AE11" s="133">
        <v>0.2</v>
      </c>
      <c r="AF11" s="109" t="s">
        <v>173</v>
      </c>
      <c r="AG11" s="110"/>
      <c r="AH11" s="111">
        <f t="shared" ref="AH11:AH21" si="20">IFERROR((52/(IF(Y11="S",X11+(IF(H11="S",G11,0))+(IF(AP11="S",AO11,0)),0)))/12,0)</f>
        <v>0</v>
      </c>
      <c r="AI11" s="111">
        <f t="shared" si="5"/>
        <v>0</v>
      </c>
      <c r="AJ11" s="134">
        <v>22</v>
      </c>
      <c r="AK11" s="134">
        <v>22</v>
      </c>
      <c r="AL11" s="106" t="s">
        <v>166</v>
      </c>
      <c r="AM11" s="134"/>
      <c r="AN11" s="131" t="s">
        <v>166</v>
      </c>
      <c r="AO11" s="135">
        <v>0</v>
      </c>
      <c r="AP11" s="136" t="s">
        <v>67</v>
      </c>
      <c r="AQ11" s="114" t="s">
        <v>54</v>
      </c>
      <c r="AR11" s="137">
        <v>1741.45</v>
      </c>
      <c r="AS11" s="138">
        <v>0.25</v>
      </c>
      <c r="AT11" s="617" t="s">
        <v>170</v>
      </c>
      <c r="AU11" s="618"/>
      <c r="AV11" s="138">
        <v>0.2</v>
      </c>
      <c r="AW11" s="117" t="s">
        <v>172</v>
      </c>
      <c r="AX11" s="118"/>
      <c r="AY11" s="119">
        <f t="shared" si="6"/>
        <v>0</v>
      </c>
      <c r="AZ11" s="119">
        <f t="shared" si="7"/>
        <v>0</v>
      </c>
      <c r="BA11" s="139">
        <v>22</v>
      </c>
      <c r="BB11" s="139">
        <v>22</v>
      </c>
      <c r="BC11" s="114" t="s">
        <v>166</v>
      </c>
      <c r="BD11" s="139"/>
      <c r="BE11" s="139"/>
      <c r="BF11" s="135">
        <v>0</v>
      </c>
      <c r="BG11" s="136" t="s">
        <v>67</v>
      </c>
      <c r="BH11" s="114" t="s">
        <v>26</v>
      </c>
      <c r="BI11" s="115">
        <v>4435.2</v>
      </c>
      <c r="BJ11" s="138">
        <v>0.25</v>
      </c>
      <c r="BK11" s="617" t="s">
        <v>170</v>
      </c>
      <c r="BL11" s="618"/>
      <c r="BM11" s="138">
        <v>0.2</v>
      </c>
      <c r="BN11" s="117" t="s">
        <v>173</v>
      </c>
      <c r="BO11" s="118"/>
      <c r="BP11" s="119">
        <f t="shared" si="8"/>
        <v>0</v>
      </c>
      <c r="BQ11" s="119">
        <f t="shared" si="9"/>
        <v>0</v>
      </c>
      <c r="BR11" s="139">
        <v>22</v>
      </c>
      <c r="BS11" s="139">
        <v>22</v>
      </c>
      <c r="BT11" s="114" t="s">
        <v>67</v>
      </c>
      <c r="BU11" s="139"/>
      <c r="BV11" s="140"/>
      <c r="BW11" s="135">
        <v>0</v>
      </c>
      <c r="BX11" s="136" t="s">
        <v>67</v>
      </c>
      <c r="BY11" s="114" t="s">
        <v>26</v>
      </c>
      <c r="BZ11" s="137">
        <v>4435.2</v>
      </c>
      <c r="CA11" s="138">
        <v>0.25</v>
      </c>
      <c r="CB11" s="617" t="s">
        <v>170</v>
      </c>
      <c r="CC11" s="618"/>
      <c r="CD11" s="138">
        <v>0.2</v>
      </c>
      <c r="CE11" s="117" t="s">
        <v>173</v>
      </c>
      <c r="CF11" s="118"/>
      <c r="CG11" s="119">
        <f t="shared" si="10"/>
        <v>0</v>
      </c>
      <c r="CH11" s="119">
        <f t="shared" ref="CH11:CH12" si="21">IFERROR(((52+12)/(IF(BX11="S",BW11+(IF(Y11="S",X11,0))+(IF(AS11="S",AR11,0)),0)))/12,0)</f>
        <v>0</v>
      </c>
      <c r="CI11" s="139">
        <v>22</v>
      </c>
      <c r="CJ11" s="139">
        <v>22</v>
      </c>
      <c r="CK11" s="114" t="s">
        <v>67</v>
      </c>
      <c r="CL11" s="139"/>
      <c r="CM11" s="139"/>
      <c r="CN11" s="135">
        <v>0</v>
      </c>
      <c r="CO11" s="136" t="s">
        <v>67</v>
      </c>
      <c r="CP11" s="114" t="s">
        <v>26</v>
      </c>
      <c r="CQ11" s="137">
        <v>1396.01</v>
      </c>
      <c r="CR11" s="138">
        <v>0.25</v>
      </c>
      <c r="CS11" s="617" t="s">
        <v>170</v>
      </c>
      <c r="CT11" s="618"/>
      <c r="CU11" s="138">
        <v>0.2</v>
      </c>
      <c r="CV11" s="117" t="s">
        <v>173</v>
      </c>
      <c r="CW11" s="118"/>
      <c r="CX11" s="119">
        <f t="shared" si="11"/>
        <v>0</v>
      </c>
      <c r="CY11" s="119">
        <f t="shared" ref="CY11:CY12" si="22">IFERROR(((52+12)/(IF(CO11="S",CN11+(IF(Y11="S",X11,0))+(IF(AS11="S",AR11,0)),0)))/12,0)</f>
        <v>0</v>
      </c>
      <c r="CZ11" s="139">
        <v>22</v>
      </c>
      <c r="DA11" s="139">
        <v>22</v>
      </c>
      <c r="DB11" s="114" t="s">
        <v>67</v>
      </c>
      <c r="DC11" s="139"/>
      <c r="DD11" s="139"/>
      <c r="DE11" s="135">
        <v>0</v>
      </c>
      <c r="DF11" s="136" t="s">
        <v>67</v>
      </c>
      <c r="DG11" s="114" t="s">
        <v>26</v>
      </c>
      <c r="DH11" s="137">
        <v>1396.01</v>
      </c>
      <c r="DI11" s="138">
        <v>0.25</v>
      </c>
      <c r="DJ11" s="617" t="s">
        <v>170</v>
      </c>
      <c r="DK11" s="618"/>
      <c r="DL11" s="138">
        <v>0.2</v>
      </c>
      <c r="DM11" s="117" t="s">
        <v>173</v>
      </c>
      <c r="DN11" s="118"/>
      <c r="DO11" s="119">
        <f t="shared" si="12"/>
        <v>0</v>
      </c>
      <c r="DP11" s="119">
        <f t="shared" ref="DP11:DP12" si="23">IFERROR(((52+12)/(IF(DF11="S",DE11+(IF(Y11="S",X11,0))+(IF(AS11="S",AR11,0)),0)))/12,0)</f>
        <v>0</v>
      </c>
      <c r="DQ11" s="139">
        <v>22</v>
      </c>
      <c r="DR11" s="139">
        <v>22</v>
      </c>
      <c r="DS11" s="114" t="s">
        <v>67</v>
      </c>
      <c r="DT11" s="139"/>
      <c r="DU11" s="139"/>
      <c r="DV11" s="135">
        <v>0</v>
      </c>
      <c r="DW11" s="136" t="s">
        <v>166</v>
      </c>
      <c r="DX11" s="114" t="s">
        <v>43</v>
      </c>
      <c r="DY11" s="137">
        <v>4128.0200000000004</v>
      </c>
      <c r="DZ11" s="138">
        <v>0.25</v>
      </c>
      <c r="EA11" s="617" t="s">
        <v>170</v>
      </c>
      <c r="EB11" s="618"/>
      <c r="EC11" s="138">
        <v>0.2</v>
      </c>
      <c r="ED11" s="117" t="s">
        <v>173</v>
      </c>
      <c r="EE11" s="118"/>
      <c r="EF11" s="119">
        <f t="shared" si="13"/>
        <v>0</v>
      </c>
      <c r="EG11" s="119">
        <f t="shared" ref="EG11:EG12" si="24">IFERROR(((52+12)/(IF(DW11="S",DV11+(IF(Y11="S",X11,0))+(IF(AS11="S",AR11,0)),0)))/12,0)</f>
        <v>0</v>
      </c>
      <c r="EH11" s="139">
        <v>22</v>
      </c>
      <c r="EI11" s="139">
        <v>22</v>
      </c>
      <c r="EJ11" s="114" t="s">
        <v>67</v>
      </c>
      <c r="EK11" s="139"/>
      <c r="EL11" s="139"/>
      <c r="EM11" s="135">
        <v>0</v>
      </c>
      <c r="EN11" s="136" t="s">
        <v>166</v>
      </c>
      <c r="EO11" s="114" t="s">
        <v>43</v>
      </c>
      <c r="EP11" s="137">
        <v>4128.0200000000004</v>
      </c>
      <c r="EQ11" s="138">
        <v>0.25</v>
      </c>
      <c r="ER11" s="617" t="s">
        <v>170</v>
      </c>
      <c r="ES11" s="618"/>
      <c r="ET11" s="138">
        <v>0.2</v>
      </c>
      <c r="EU11" s="117" t="s">
        <v>173</v>
      </c>
      <c r="EV11" s="118"/>
      <c r="EW11" s="119">
        <f t="shared" si="14"/>
        <v>0</v>
      </c>
      <c r="EX11" s="119">
        <f t="shared" ref="EX11:EX12" si="25">IFERROR(((52+12)/(IF(EN11="S",EM11+(IF(Y11="S",X11,0))+(IF(AS11="S",AR11,0)),0)))/12,0)</f>
        <v>0</v>
      </c>
      <c r="EY11" s="139">
        <v>22</v>
      </c>
      <c r="EZ11" s="139">
        <v>22</v>
      </c>
      <c r="FA11" s="114" t="s">
        <v>67</v>
      </c>
      <c r="FB11" s="139"/>
      <c r="FC11" s="139"/>
      <c r="FD11" s="135">
        <v>0</v>
      </c>
      <c r="FE11" s="136" t="s">
        <v>166</v>
      </c>
      <c r="FF11" s="114" t="s">
        <v>54</v>
      </c>
      <c r="FG11" s="137">
        <v>1741.45</v>
      </c>
      <c r="FH11" s="138">
        <v>0.25</v>
      </c>
      <c r="FI11" s="617" t="s">
        <v>170</v>
      </c>
      <c r="FJ11" s="618"/>
      <c r="FK11" s="138">
        <v>0.2</v>
      </c>
      <c r="FL11" s="117" t="s">
        <v>172</v>
      </c>
      <c r="FM11" s="118"/>
      <c r="FN11" s="119">
        <f t="shared" si="15"/>
        <v>0</v>
      </c>
      <c r="FO11" s="119">
        <f t="shared" ref="FO11:FO12" si="26">IFERROR(((52+12)/(IF(FE11="S",FD11+(IF(Y11="S",X11,0))+(IF(AS11="S",AR11,0)),0)))/12,0)</f>
        <v>0</v>
      </c>
      <c r="FP11" s="139">
        <v>9</v>
      </c>
      <c r="FQ11" s="139"/>
      <c r="FR11" s="114" t="s">
        <v>67</v>
      </c>
      <c r="FS11" s="139"/>
      <c r="FT11" s="139"/>
      <c r="FU11" s="135">
        <v>0</v>
      </c>
      <c r="FV11" s="136" t="s">
        <v>166</v>
      </c>
      <c r="FW11" s="114" t="s">
        <v>175</v>
      </c>
      <c r="FX11" s="137">
        <v>0</v>
      </c>
      <c r="FY11" s="138">
        <v>0.25</v>
      </c>
      <c r="FZ11" s="619" t="s">
        <v>162</v>
      </c>
      <c r="GA11" s="620"/>
      <c r="GB11" s="138">
        <v>0.2</v>
      </c>
      <c r="GC11" s="117" t="s">
        <v>173</v>
      </c>
      <c r="GD11" s="118"/>
      <c r="GE11" s="119">
        <f t="shared" si="16"/>
        <v>0</v>
      </c>
      <c r="GF11" s="119">
        <f t="shared" ref="GF11:GF12" si="27">IFERROR(((52+12)/(IF(FV11="S",FU11+(IF(Y11="S",X11,0))+(IF(AS11="S",AR11,0)),0)))/12,0)</f>
        <v>0</v>
      </c>
      <c r="GG11" s="139">
        <v>0</v>
      </c>
      <c r="GH11" s="139"/>
      <c r="GI11" s="114" t="s">
        <v>67</v>
      </c>
      <c r="GJ11" s="139"/>
      <c r="GK11" s="139"/>
      <c r="GL11" s="135">
        <v>0</v>
      </c>
      <c r="GM11" s="136" t="s">
        <v>166</v>
      </c>
      <c r="GN11" s="114" t="s">
        <v>175</v>
      </c>
      <c r="GO11" s="137">
        <v>0</v>
      </c>
      <c r="GP11" s="138">
        <v>0.25</v>
      </c>
      <c r="GQ11" s="619" t="s">
        <v>162</v>
      </c>
      <c r="GR11" s="620"/>
      <c r="GS11" s="138">
        <v>0.2</v>
      </c>
      <c r="GT11" s="117" t="s">
        <v>173</v>
      </c>
      <c r="GU11" s="118"/>
      <c r="GV11" s="119">
        <f t="shared" ref="GV11:GV21" si="28">IFERROR((52/(IF(GM11="S",GL11+(IF(Y11="S",X11,0))+(IF(AS11="S",AR11,0)),0)))/12,0)</f>
        <v>0</v>
      </c>
      <c r="GW11" s="119">
        <f t="shared" si="17"/>
        <v>0</v>
      </c>
      <c r="GX11" s="139">
        <v>0</v>
      </c>
      <c r="GY11" s="139"/>
      <c r="GZ11" s="114" t="s">
        <v>67</v>
      </c>
      <c r="HA11" s="139"/>
      <c r="HB11" s="139"/>
      <c r="HC11" s="60"/>
      <c r="HD11" s="60"/>
      <c r="HE11" s="60"/>
      <c r="HN11" s="121">
        <f t="shared" si="18"/>
        <v>0</v>
      </c>
    </row>
    <row r="12" spans="1:222" ht="22.5" customHeight="1">
      <c r="A12" s="1"/>
      <c r="B12" s="122">
        <v>154628</v>
      </c>
      <c r="C12" s="122" t="s">
        <v>176</v>
      </c>
      <c r="D12" s="123" t="s">
        <v>42</v>
      </c>
      <c r="E12" s="124">
        <v>6.6</v>
      </c>
      <c r="F12" s="124">
        <v>3</v>
      </c>
      <c r="G12" s="125">
        <v>0</v>
      </c>
      <c r="H12" s="125" t="s">
        <v>166</v>
      </c>
      <c r="I12" s="97" t="s">
        <v>54</v>
      </c>
      <c r="J12" s="126">
        <f t="shared" si="19"/>
        <v>1766.4</v>
      </c>
      <c r="K12" s="127">
        <v>0.25</v>
      </c>
      <c r="L12" s="636" t="s">
        <v>170</v>
      </c>
      <c r="M12" s="618"/>
      <c r="N12" s="127">
        <v>0.3</v>
      </c>
      <c r="O12" s="100" t="s">
        <v>172</v>
      </c>
      <c r="P12" s="101"/>
      <c r="Q12" s="102">
        <f t="shared" si="3"/>
        <v>0</v>
      </c>
      <c r="R12" s="102">
        <f t="shared" si="4"/>
        <v>0</v>
      </c>
      <c r="S12" s="128">
        <v>22</v>
      </c>
      <c r="T12" s="128">
        <v>22</v>
      </c>
      <c r="U12" s="97" t="s">
        <v>166</v>
      </c>
      <c r="V12" s="128"/>
      <c r="W12" s="129" t="s">
        <v>166</v>
      </c>
      <c r="X12" s="130">
        <v>0</v>
      </c>
      <c r="Y12" s="131" t="s">
        <v>166</v>
      </c>
      <c r="Z12" s="106" t="s">
        <v>26</v>
      </c>
      <c r="AA12" s="132">
        <v>1717.39</v>
      </c>
      <c r="AB12" s="133">
        <v>0.25</v>
      </c>
      <c r="AC12" s="637" t="s">
        <v>170</v>
      </c>
      <c r="AD12" s="618"/>
      <c r="AE12" s="133">
        <v>0.2</v>
      </c>
      <c r="AF12" s="109" t="s">
        <v>173</v>
      </c>
      <c r="AG12" s="110"/>
      <c r="AH12" s="111">
        <f t="shared" si="20"/>
        <v>0</v>
      </c>
      <c r="AI12" s="111">
        <f t="shared" si="5"/>
        <v>0</v>
      </c>
      <c r="AJ12" s="134">
        <v>22</v>
      </c>
      <c r="AK12" s="134">
        <v>22</v>
      </c>
      <c r="AL12" s="106" t="s">
        <v>166</v>
      </c>
      <c r="AM12" s="134"/>
      <c r="AN12" s="131" t="s">
        <v>166</v>
      </c>
      <c r="AO12" s="135">
        <v>0</v>
      </c>
      <c r="AP12" s="136" t="s">
        <v>67</v>
      </c>
      <c r="AQ12" s="114" t="s">
        <v>54</v>
      </c>
      <c r="AR12" s="137">
        <v>1741.45</v>
      </c>
      <c r="AS12" s="138">
        <v>0.25</v>
      </c>
      <c r="AT12" s="617" t="s">
        <v>170</v>
      </c>
      <c r="AU12" s="618"/>
      <c r="AV12" s="138">
        <v>0.2</v>
      </c>
      <c r="AW12" s="117" t="s">
        <v>172</v>
      </c>
      <c r="AX12" s="118"/>
      <c r="AY12" s="119">
        <f t="shared" si="6"/>
        <v>0</v>
      </c>
      <c r="AZ12" s="119">
        <f t="shared" si="7"/>
        <v>0</v>
      </c>
      <c r="BA12" s="139">
        <v>22</v>
      </c>
      <c r="BB12" s="139">
        <v>22</v>
      </c>
      <c r="BC12" s="114" t="s">
        <v>166</v>
      </c>
      <c r="BD12" s="139"/>
      <c r="BE12" s="139"/>
      <c r="BF12" s="135">
        <v>0</v>
      </c>
      <c r="BG12" s="136" t="s">
        <v>67</v>
      </c>
      <c r="BH12" s="114" t="s">
        <v>26</v>
      </c>
      <c r="BI12" s="137">
        <v>4435.2</v>
      </c>
      <c r="BJ12" s="138">
        <v>0.25</v>
      </c>
      <c r="BK12" s="617" t="s">
        <v>170</v>
      </c>
      <c r="BL12" s="618"/>
      <c r="BM12" s="138">
        <v>0.2</v>
      </c>
      <c r="BN12" s="117" t="s">
        <v>173</v>
      </c>
      <c r="BO12" s="118"/>
      <c r="BP12" s="119">
        <f t="shared" si="8"/>
        <v>0</v>
      </c>
      <c r="BQ12" s="119">
        <f t="shared" si="9"/>
        <v>0</v>
      </c>
      <c r="BR12" s="139">
        <v>22</v>
      </c>
      <c r="BS12" s="139">
        <v>22</v>
      </c>
      <c r="BT12" s="114" t="s">
        <v>67</v>
      </c>
      <c r="BU12" s="139"/>
      <c r="BV12" s="140"/>
      <c r="BW12" s="135">
        <v>0</v>
      </c>
      <c r="BX12" s="136" t="s">
        <v>67</v>
      </c>
      <c r="BY12" s="114" t="s">
        <v>26</v>
      </c>
      <c r="BZ12" s="137">
        <v>4435.2</v>
      </c>
      <c r="CA12" s="138">
        <v>0.25</v>
      </c>
      <c r="CB12" s="617" t="s">
        <v>170</v>
      </c>
      <c r="CC12" s="618"/>
      <c r="CD12" s="138">
        <v>0.2</v>
      </c>
      <c r="CE12" s="117" t="s">
        <v>173</v>
      </c>
      <c r="CF12" s="118"/>
      <c r="CG12" s="119">
        <f t="shared" si="10"/>
        <v>0</v>
      </c>
      <c r="CH12" s="119">
        <f t="shared" si="21"/>
        <v>0</v>
      </c>
      <c r="CI12" s="139">
        <v>22</v>
      </c>
      <c r="CJ12" s="139">
        <v>22</v>
      </c>
      <c r="CK12" s="114" t="s">
        <v>67</v>
      </c>
      <c r="CL12" s="139"/>
      <c r="CM12" s="139"/>
      <c r="CN12" s="135">
        <v>0</v>
      </c>
      <c r="CO12" s="136" t="s">
        <v>67</v>
      </c>
      <c r="CP12" s="114" t="s">
        <v>26</v>
      </c>
      <c r="CQ12" s="137">
        <v>1396.01</v>
      </c>
      <c r="CR12" s="138">
        <v>0.25</v>
      </c>
      <c r="CS12" s="617" t="s">
        <v>170</v>
      </c>
      <c r="CT12" s="618"/>
      <c r="CU12" s="138">
        <v>0.2</v>
      </c>
      <c r="CV12" s="117" t="s">
        <v>173</v>
      </c>
      <c r="CW12" s="118"/>
      <c r="CX12" s="119">
        <f t="shared" si="11"/>
        <v>0</v>
      </c>
      <c r="CY12" s="119">
        <f t="shared" si="22"/>
        <v>0</v>
      </c>
      <c r="CZ12" s="139">
        <v>22</v>
      </c>
      <c r="DA12" s="139">
        <v>22</v>
      </c>
      <c r="DB12" s="114" t="s">
        <v>67</v>
      </c>
      <c r="DC12" s="139"/>
      <c r="DD12" s="139"/>
      <c r="DE12" s="135">
        <v>0</v>
      </c>
      <c r="DF12" s="136" t="s">
        <v>67</v>
      </c>
      <c r="DG12" s="114" t="s">
        <v>26</v>
      </c>
      <c r="DH12" s="137">
        <v>1396.01</v>
      </c>
      <c r="DI12" s="138">
        <v>0.25</v>
      </c>
      <c r="DJ12" s="617" t="s">
        <v>170</v>
      </c>
      <c r="DK12" s="618"/>
      <c r="DL12" s="138">
        <v>0.2</v>
      </c>
      <c r="DM12" s="117" t="s">
        <v>173</v>
      </c>
      <c r="DN12" s="118"/>
      <c r="DO12" s="119">
        <f t="shared" si="12"/>
        <v>0</v>
      </c>
      <c r="DP12" s="119">
        <f t="shared" si="23"/>
        <v>0</v>
      </c>
      <c r="DQ12" s="139">
        <v>22</v>
      </c>
      <c r="DR12" s="139">
        <v>22</v>
      </c>
      <c r="DS12" s="114" t="s">
        <v>67</v>
      </c>
      <c r="DT12" s="139"/>
      <c r="DU12" s="139"/>
      <c r="DV12" s="135">
        <v>0</v>
      </c>
      <c r="DW12" s="136" t="s">
        <v>166</v>
      </c>
      <c r="DX12" s="114" t="s">
        <v>43</v>
      </c>
      <c r="DY12" s="137">
        <v>4128.0200000000004</v>
      </c>
      <c r="DZ12" s="138">
        <v>0.25</v>
      </c>
      <c r="EA12" s="617" t="s">
        <v>170</v>
      </c>
      <c r="EB12" s="618"/>
      <c r="EC12" s="138">
        <v>0.2</v>
      </c>
      <c r="ED12" s="117" t="s">
        <v>173</v>
      </c>
      <c r="EE12" s="118"/>
      <c r="EF12" s="119">
        <f t="shared" si="13"/>
        <v>0</v>
      </c>
      <c r="EG12" s="119">
        <f t="shared" si="24"/>
        <v>0</v>
      </c>
      <c r="EH12" s="139">
        <v>22</v>
      </c>
      <c r="EI12" s="139">
        <v>22</v>
      </c>
      <c r="EJ12" s="114" t="s">
        <v>67</v>
      </c>
      <c r="EK12" s="139"/>
      <c r="EL12" s="139"/>
      <c r="EM12" s="135">
        <v>0</v>
      </c>
      <c r="EN12" s="136" t="s">
        <v>166</v>
      </c>
      <c r="EO12" s="114" t="s">
        <v>43</v>
      </c>
      <c r="EP12" s="137">
        <v>4128.0200000000004</v>
      </c>
      <c r="EQ12" s="138">
        <v>0.25</v>
      </c>
      <c r="ER12" s="617" t="s">
        <v>170</v>
      </c>
      <c r="ES12" s="618"/>
      <c r="ET12" s="138">
        <v>0.2</v>
      </c>
      <c r="EU12" s="117" t="s">
        <v>173</v>
      </c>
      <c r="EV12" s="118"/>
      <c r="EW12" s="119">
        <f t="shared" si="14"/>
        <v>0</v>
      </c>
      <c r="EX12" s="119">
        <f t="shared" si="25"/>
        <v>0</v>
      </c>
      <c r="EY12" s="139">
        <v>22</v>
      </c>
      <c r="EZ12" s="139">
        <v>22</v>
      </c>
      <c r="FA12" s="114" t="s">
        <v>67</v>
      </c>
      <c r="FB12" s="139"/>
      <c r="FC12" s="139"/>
      <c r="FD12" s="135">
        <v>0</v>
      </c>
      <c r="FE12" s="136" t="s">
        <v>166</v>
      </c>
      <c r="FF12" s="114" t="s">
        <v>54</v>
      </c>
      <c r="FG12" s="137">
        <v>1741.45</v>
      </c>
      <c r="FH12" s="138">
        <v>0.25</v>
      </c>
      <c r="FI12" s="617" t="s">
        <v>170</v>
      </c>
      <c r="FJ12" s="618"/>
      <c r="FK12" s="138">
        <v>0.2</v>
      </c>
      <c r="FL12" s="117" t="s">
        <v>172</v>
      </c>
      <c r="FM12" s="118"/>
      <c r="FN12" s="119">
        <f t="shared" si="15"/>
        <v>0</v>
      </c>
      <c r="FO12" s="119">
        <f t="shared" si="26"/>
        <v>0</v>
      </c>
      <c r="FP12" s="139">
        <v>9</v>
      </c>
      <c r="FQ12" s="139"/>
      <c r="FR12" s="114" t="s">
        <v>67</v>
      </c>
      <c r="FS12" s="139"/>
      <c r="FT12" s="139"/>
      <c r="FU12" s="135">
        <v>0</v>
      </c>
      <c r="FV12" s="136" t="s">
        <v>166</v>
      </c>
      <c r="FW12" s="114" t="s">
        <v>175</v>
      </c>
      <c r="FX12" s="137">
        <v>0</v>
      </c>
      <c r="FY12" s="138">
        <v>0.25</v>
      </c>
      <c r="FZ12" s="619" t="s">
        <v>162</v>
      </c>
      <c r="GA12" s="620"/>
      <c r="GB12" s="138">
        <v>0.2</v>
      </c>
      <c r="GC12" s="117" t="s">
        <v>173</v>
      </c>
      <c r="GD12" s="118"/>
      <c r="GE12" s="119">
        <f t="shared" si="16"/>
        <v>0</v>
      </c>
      <c r="GF12" s="119">
        <f t="shared" si="27"/>
        <v>0</v>
      </c>
      <c r="GG12" s="139">
        <v>0</v>
      </c>
      <c r="GH12" s="139"/>
      <c r="GI12" s="114" t="s">
        <v>67</v>
      </c>
      <c r="GJ12" s="139"/>
      <c r="GK12" s="139"/>
      <c r="GL12" s="135">
        <v>0</v>
      </c>
      <c r="GM12" s="136" t="s">
        <v>166</v>
      </c>
      <c r="GN12" s="114" t="s">
        <v>175</v>
      </c>
      <c r="GO12" s="137">
        <v>0</v>
      </c>
      <c r="GP12" s="138">
        <v>0.25</v>
      </c>
      <c r="GQ12" s="619" t="s">
        <v>162</v>
      </c>
      <c r="GR12" s="620"/>
      <c r="GS12" s="138">
        <v>0.2</v>
      </c>
      <c r="GT12" s="117" t="s">
        <v>173</v>
      </c>
      <c r="GU12" s="118"/>
      <c r="GV12" s="119">
        <f t="shared" si="28"/>
        <v>0</v>
      </c>
      <c r="GW12" s="119">
        <f t="shared" si="17"/>
        <v>0</v>
      </c>
      <c r="GX12" s="139">
        <v>0</v>
      </c>
      <c r="GY12" s="139"/>
      <c r="GZ12" s="114" t="s">
        <v>67</v>
      </c>
      <c r="HA12" s="139"/>
      <c r="HB12" s="139"/>
      <c r="HC12" s="60"/>
      <c r="HD12" s="60"/>
      <c r="HE12" s="60"/>
      <c r="HN12" s="121">
        <f t="shared" si="18"/>
        <v>0</v>
      </c>
    </row>
    <row r="13" spans="1:222" ht="22.5" customHeight="1">
      <c r="A13" s="141"/>
      <c r="B13" s="122">
        <v>158269</v>
      </c>
      <c r="C13" s="122" t="s">
        <v>177</v>
      </c>
      <c r="D13" s="123" t="s">
        <v>48</v>
      </c>
      <c r="E13" s="124">
        <v>3.2</v>
      </c>
      <c r="F13" s="124">
        <v>4</v>
      </c>
      <c r="G13" s="125">
        <v>1</v>
      </c>
      <c r="H13" s="125" t="s">
        <v>166</v>
      </c>
      <c r="I13" s="97" t="s">
        <v>76</v>
      </c>
      <c r="J13" s="98">
        <v>1764.4</v>
      </c>
      <c r="K13" s="142">
        <v>0.25</v>
      </c>
      <c r="L13" s="636" t="s">
        <v>170</v>
      </c>
      <c r="M13" s="618"/>
      <c r="N13" s="142">
        <v>0.2</v>
      </c>
      <c r="O13" s="100" t="s">
        <v>171</v>
      </c>
      <c r="P13" s="101"/>
      <c r="Q13" s="143">
        <f t="shared" si="3"/>
        <v>0</v>
      </c>
      <c r="R13" s="143">
        <f t="shared" si="4"/>
        <v>0</v>
      </c>
      <c r="S13" s="144">
        <v>30</v>
      </c>
      <c r="T13" s="145">
        <v>30</v>
      </c>
      <c r="U13" s="146" t="s">
        <v>166</v>
      </c>
      <c r="V13" s="145">
        <v>0</v>
      </c>
      <c r="W13" s="129" t="s">
        <v>67</v>
      </c>
      <c r="X13" s="130">
        <v>2</v>
      </c>
      <c r="Y13" s="131" t="s">
        <v>166</v>
      </c>
      <c r="Z13" s="106" t="s">
        <v>76</v>
      </c>
      <c r="AA13" s="107">
        <v>1764.4</v>
      </c>
      <c r="AB13" s="147">
        <v>0</v>
      </c>
      <c r="AC13" s="637" t="s">
        <v>170</v>
      </c>
      <c r="AD13" s="618"/>
      <c r="AE13" s="147">
        <v>0.2</v>
      </c>
      <c r="AF13" s="109" t="s">
        <v>171</v>
      </c>
      <c r="AG13" s="110"/>
      <c r="AH13" s="148">
        <f t="shared" si="20"/>
        <v>0</v>
      </c>
      <c r="AI13" s="148">
        <f t="shared" si="5"/>
        <v>0</v>
      </c>
      <c r="AJ13" s="149">
        <v>30</v>
      </c>
      <c r="AK13" s="149">
        <v>30</v>
      </c>
      <c r="AL13" s="106" t="s">
        <v>67</v>
      </c>
      <c r="AM13" s="149"/>
      <c r="AN13" s="131" t="s">
        <v>166</v>
      </c>
      <c r="AO13" s="135">
        <v>0</v>
      </c>
      <c r="AP13" s="136" t="s">
        <v>67</v>
      </c>
      <c r="AQ13" s="114" t="s">
        <v>54</v>
      </c>
      <c r="AR13" s="150">
        <v>1741.45</v>
      </c>
      <c r="AS13" s="151">
        <v>0.25</v>
      </c>
      <c r="AT13" s="617" t="s">
        <v>170</v>
      </c>
      <c r="AU13" s="618"/>
      <c r="AV13" s="151">
        <v>0.2</v>
      </c>
      <c r="AW13" s="117" t="s">
        <v>172</v>
      </c>
      <c r="AX13" s="118"/>
      <c r="AY13" s="152">
        <f t="shared" si="6"/>
        <v>0</v>
      </c>
      <c r="AZ13" s="152">
        <f t="shared" si="7"/>
        <v>0</v>
      </c>
      <c r="BA13" s="153">
        <v>22</v>
      </c>
      <c r="BB13" s="153">
        <v>22</v>
      </c>
      <c r="BC13" s="114" t="s">
        <v>166</v>
      </c>
      <c r="BD13" s="153"/>
      <c r="BE13" s="153"/>
      <c r="BF13" s="135">
        <v>0</v>
      </c>
      <c r="BG13" s="136" t="s">
        <v>67</v>
      </c>
      <c r="BH13" s="114" t="s">
        <v>15</v>
      </c>
      <c r="BI13" s="150">
        <v>4435.2</v>
      </c>
      <c r="BJ13" s="151">
        <v>0.25</v>
      </c>
      <c r="BK13" s="617" t="s">
        <v>170</v>
      </c>
      <c r="BL13" s="618"/>
      <c r="BM13" s="151">
        <v>0.2</v>
      </c>
      <c r="BN13" s="117" t="s">
        <v>173</v>
      </c>
      <c r="BO13" s="118"/>
      <c r="BP13" s="152">
        <f t="shared" si="8"/>
        <v>0</v>
      </c>
      <c r="BQ13" s="152">
        <f>IFERROR(((52+12)/(IF(AP13="S",AO13+(IF(H13="S",G13,0))+(IF(Y13="S",X13,0)),0)))/12,0)</f>
        <v>0</v>
      </c>
      <c r="BR13" s="153">
        <v>22</v>
      </c>
      <c r="BS13" s="153">
        <v>22</v>
      </c>
      <c r="BT13" s="114" t="s">
        <v>67</v>
      </c>
      <c r="BU13" s="153"/>
      <c r="BV13" s="154"/>
      <c r="BW13" s="135">
        <v>0</v>
      </c>
      <c r="BX13" s="136" t="s">
        <v>67</v>
      </c>
      <c r="BY13" s="114" t="s">
        <v>15</v>
      </c>
      <c r="BZ13" s="150">
        <v>4435.2</v>
      </c>
      <c r="CA13" s="151">
        <v>0.25</v>
      </c>
      <c r="CB13" s="617" t="s">
        <v>170</v>
      </c>
      <c r="CC13" s="618"/>
      <c r="CD13" s="151">
        <v>0.2</v>
      </c>
      <c r="CE13" s="117" t="s">
        <v>173</v>
      </c>
      <c r="CF13" s="118"/>
      <c r="CG13" s="152">
        <f t="shared" si="10"/>
        <v>0</v>
      </c>
      <c r="CH13" s="152">
        <f>IFERROR(((52+12)/(IF(AP13="S",AO13+(IF(H13="S",G13,0))+(IF(Y13="S",X13,0)),0)))/12,0)</f>
        <v>0</v>
      </c>
      <c r="CI13" s="153">
        <v>22</v>
      </c>
      <c r="CJ13" s="153">
        <v>22</v>
      </c>
      <c r="CK13" s="114" t="s">
        <v>67</v>
      </c>
      <c r="CL13" s="153"/>
      <c r="CM13" s="153"/>
      <c r="CN13" s="135">
        <v>0</v>
      </c>
      <c r="CO13" s="136" t="s">
        <v>67</v>
      </c>
      <c r="CP13" s="114" t="s">
        <v>26</v>
      </c>
      <c r="CQ13" s="150">
        <v>1396.01</v>
      </c>
      <c r="CR13" s="151">
        <v>0.25</v>
      </c>
      <c r="CS13" s="617" t="s">
        <v>170</v>
      </c>
      <c r="CT13" s="618"/>
      <c r="CU13" s="151">
        <v>0.2</v>
      </c>
      <c r="CV13" s="117" t="s">
        <v>173</v>
      </c>
      <c r="CW13" s="118"/>
      <c r="CX13" s="152">
        <f t="shared" si="11"/>
        <v>0</v>
      </c>
      <c r="CY13" s="152">
        <f>IFERROR(((52+12)/(IF(AP13="S",AO13+(IF(H13="S",G13,0))+(IF(Y13="S",X13,0)),0)))/12,0)</f>
        <v>0</v>
      </c>
      <c r="CZ13" s="153">
        <v>22</v>
      </c>
      <c r="DA13" s="153">
        <v>22</v>
      </c>
      <c r="DB13" s="114" t="s">
        <v>67</v>
      </c>
      <c r="DC13" s="153"/>
      <c r="DD13" s="153"/>
      <c r="DE13" s="135">
        <v>0</v>
      </c>
      <c r="DF13" s="136" t="s">
        <v>67</v>
      </c>
      <c r="DG13" s="114" t="s">
        <v>26</v>
      </c>
      <c r="DH13" s="150">
        <v>1396.01</v>
      </c>
      <c r="DI13" s="151">
        <v>0.25</v>
      </c>
      <c r="DJ13" s="617" t="s">
        <v>170</v>
      </c>
      <c r="DK13" s="618"/>
      <c r="DL13" s="151">
        <v>0.2</v>
      </c>
      <c r="DM13" s="117" t="s">
        <v>173</v>
      </c>
      <c r="DN13" s="118"/>
      <c r="DO13" s="152">
        <f t="shared" si="12"/>
        <v>0</v>
      </c>
      <c r="DP13" s="152">
        <f>IFERROR(((52+12)/(IF(AP13="S",AO13+(IF(H13="S",G13,0))+(IF(Y13="S",X13,0)),0)))/12,0)</f>
        <v>0</v>
      </c>
      <c r="DQ13" s="153">
        <v>22</v>
      </c>
      <c r="DR13" s="153">
        <v>22</v>
      </c>
      <c r="DS13" s="114" t="s">
        <v>67</v>
      </c>
      <c r="DT13" s="153"/>
      <c r="DU13" s="153"/>
      <c r="DV13" s="135">
        <v>0</v>
      </c>
      <c r="DW13" s="136" t="s">
        <v>166</v>
      </c>
      <c r="DX13" s="114" t="s">
        <v>43</v>
      </c>
      <c r="DY13" s="150">
        <v>4128.0200000000004</v>
      </c>
      <c r="DZ13" s="151">
        <v>0.25</v>
      </c>
      <c r="EA13" s="617" t="s">
        <v>170</v>
      </c>
      <c r="EB13" s="618"/>
      <c r="EC13" s="151">
        <v>0.2</v>
      </c>
      <c r="ED13" s="117" t="s">
        <v>173</v>
      </c>
      <c r="EE13" s="118"/>
      <c r="EF13" s="152">
        <f t="shared" si="13"/>
        <v>0</v>
      </c>
      <c r="EG13" s="152">
        <f>IFERROR(((52+12)/(IF(AP13="S",AO13+(IF(H13="S",G13,0))+(IF(Y13="S",X13,0)),0)))/12,0)</f>
        <v>0</v>
      </c>
      <c r="EH13" s="153">
        <v>22</v>
      </c>
      <c r="EI13" s="153">
        <v>22</v>
      </c>
      <c r="EJ13" s="114" t="s">
        <v>67</v>
      </c>
      <c r="EK13" s="153"/>
      <c r="EL13" s="153"/>
      <c r="EM13" s="135">
        <v>0</v>
      </c>
      <c r="EN13" s="136" t="s">
        <v>166</v>
      </c>
      <c r="EO13" s="114" t="s">
        <v>43</v>
      </c>
      <c r="EP13" s="150">
        <v>4128.0200000000004</v>
      </c>
      <c r="EQ13" s="151">
        <v>0.25</v>
      </c>
      <c r="ER13" s="617" t="s">
        <v>170</v>
      </c>
      <c r="ES13" s="618"/>
      <c r="ET13" s="151">
        <v>0.2</v>
      </c>
      <c r="EU13" s="117" t="s">
        <v>173</v>
      </c>
      <c r="EV13" s="118"/>
      <c r="EW13" s="152">
        <f t="shared" si="14"/>
        <v>0</v>
      </c>
      <c r="EX13" s="152">
        <f>IFERROR(((52+12)/(IF(AP13="S",AO13+(IF(H13="S",G13,0))+(IF(Y13="S",X13,0)),0)))/12,0)</f>
        <v>0</v>
      </c>
      <c r="EY13" s="153">
        <v>22</v>
      </c>
      <c r="EZ13" s="153">
        <v>22</v>
      </c>
      <c r="FA13" s="114" t="s">
        <v>67</v>
      </c>
      <c r="FB13" s="153"/>
      <c r="FC13" s="153"/>
      <c r="FD13" s="135">
        <v>0</v>
      </c>
      <c r="FE13" s="136" t="s">
        <v>166</v>
      </c>
      <c r="FF13" s="114" t="s">
        <v>54</v>
      </c>
      <c r="FG13" s="150">
        <v>1741.45</v>
      </c>
      <c r="FH13" s="151">
        <v>0.25</v>
      </c>
      <c r="FI13" s="617" t="s">
        <v>170</v>
      </c>
      <c r="FJ13" s="618"/>
      <c r="FK13" s="151">
        <v>0.2</v>
      </c>
      <c r="FL13" s="117" t="s">
        <v>172</v>
      </c>
      <c r="FM13" s="118"/>
      <c r="FN13" s="152">
        <f t="shared" si="15"/>
        <v>0</v>
      </c>
      <c r="FO13" s="152">
        <f>IFERROR(((52+12)/(IF(AP13="S",AO13+(IF(H13="S",G13,0))+(IF(Y13="S",X13,0)),0)))/12,0)</f>
        <v>0</v>
      </c>
      <c r="FP13" s="153">
        <v>25</v>
      </c>
      <c r="FQ13" s="153"/>
      <c r="FR13" s="114" t="s">
        <v>67</v>
      </c>
      <c r="FS13" s="153"/>
      <c r="FT13" s="153"/>
      <c r="FU13" s="135">
        <v>0</v>
      </c>
      <c r="FV13" s="136" t="s">
        <v>166</v>
      </c>
      <c r="FW13" s="114" t="s">
        <v>15</v>
      </c>
      <c r="FX13" s="150">
        <v>0</v>
      </c>
      <c r="FY13" s="151">
        <v>0.25</v>
      </c>
      <c r="FZ13" s="621" t="s">
        <v>162</v>
      </c>
      <c r="GA13" s="620"/>
      <c r="GB13" s="151">
        <v>0.2</v>
      </c>
      <c r="GC13" s="117" t="s">
        <v>173</v>
      </c>
      <c r="GD13" s="118"/>
      <c r="GE13" s="152">
        <f t="shared" si="16"/>
        <v>0</v>
      </c>
      <c r="GF13" s="152">
        <f>IFERROR(((52+12)/(IF(AP13="S",AO13+(IF(H13="S",G13,0))+(IF(Y13="S",X13,0)),0)))/12,0)</f>
        <v>0</v>
      </c>
      <c r="GG13" s="153">
        <v>0</v>
      </c>
      <c r="GH13" s="153">
        <v>0</v>
      </c>
      <c r="GI13" s="114" t="s">
        <v>67</v>
      </c>
      <c r="GJ13" s="153"/>
      <c r="GK13" s="153"/>
      <c r="GL13" s="135">
        <v>0</v>
      </c>
      <c r="GM13" s="136" t="s">
        <v>166</v>
      </c>
      <c r="GN13" s="114" t="s">
        <v>15</v>
      </c>
      <c r="GO13" s="150">
        <v>0</v>
      </c>
      <c r="GP13" s="151">
        <v>0.25</v>
      </c>
      <c r="GQ13" s="621" t="s">
        <v>162</v>
      </c>
      <c r="GR13" s="620"/>
      <c r="GS13" s="151">
        <v>0.2</v>
      </c>
      <c r="GT13" s="117" t="s">
        <v>173</v>
      </c>
      <c r="GU13" s="118"/>
      <c r="GV13" s="152">
        <f t="shared" si="28"/>
        <v>0</v>
      </c>
      <c r="GW13" s="152">
        <f>IFERROR(((52+12)/(IF(AP13="S",AO13+(IF(H13="S",G13,0))+(IF(Y13="S",X13,0)),0)))/12,0)</f>
        <v>0</v>
      </c>
      <c r="GX13" s="153">
        <v>0</v>
      </c>
      <c r="GY13" s="153">
        <v>0</v>
      </c>
      <c r="GZ13" s="114" t="s">
        <v>67</v>
      </c>
      <c r="HA13" s="153"/>
      <c r="HB13" s="153"/>
      <c r="HC13" s="155"/>
      <c r="HD13" s="155"/>
      <c r="HE13" s="155"/>
      <c r="HF13" s="141"/>
      <c r="HG13" s="141"/>
      <c r="HH13" s="141"/>
      <c r="HI13" s="141"/>
      <c r="HJ13" s="141"/>
      <c r="HK13" s="141"/>
      <c r="HL13" s="141"/>
      <c r="HM13" s="141"/>
      <c r="HN13" s="121">
        <f t="shared" si="18"/>
        <v>3</v>
      </c>
    </row>
    <row r="14" spans="1:222" ht="22.5" customHeight="1">
      <c r="A14" s="1"/>
      <c r="B14" s="122">
        <v>158505</v>
      </c>
      <c r="C14" s="122" t="s">
        <v>178</v>
      </c>
      <c r="D14" s="123" t="s">
        <v>179</v>
      </c>
      <c r="E14" s="124">
        <v>4.1500000000000004</v>
      </c>
      <c r="F14" s="124">
        <v>2</v>
      </c>
      <c r="G14" s="125">
        <v>0</v>
      </c>
      <c r="H14" s="125" t="s">
        <v>166</v>
      </c>
      <c r="I14" s="97" t="s">
        <v>54</v>
      </c>
      <c r="J14" s="126">
        <v>1004</v>
      </c>
      <c r="K14" s="127">
        <v>0.25</v>
      </c>
      <c r="L14" s="636" t="s">
        <v>170</v>
      </c>
      <c r="M14" s="618"/>
      <c r="N14" s="127">
        <v>0.2</v>
      </c>
      <c r="O14" s="100" t="s">
        <v>172</v>
      </c>
      <c r="P14" s="101"/>
      <c r="Q14" s="102">
        <f t="shared" si="3"/>
        <v>0</v>
      </c>
      <c r="R14" s="102">
        <f t="shared" si="4"/>
        <v>0</v>
      </c>
      <c r="S14" s="128">
        <v>22</v>
      </c>
      <c r="T14" s="128">
        <v>22</v>
      </c>
      <c r="U14" s="97" t="s">
        <v>166</v>
      </c>
      <c r="V14" s="128"/>
      <c r="W14" s="129" t="s">
        <v>67</v>
      </c>
      <c r="X14" s="130">
        <v>0</v>
      </c>
      <c r="Y14" s="131" t="s">
        <v>166</v>
      </c>
      <c r="Z14" s="106" t="s">
        <v>26</v>
      </c>
      <c r="AA14" s="132">
        <v>1717.39</v>
      </c>
      <c r="AB14" s="133">
        <v>0.25</v>
      </c>
      <c r="AC14" s="637" t="s">
        <v>170</v>
      </c>
      <c r="AD14" s="618"/>
      <c r="AE14" s="133">
        <v>0.2</v>
      </c>
      <c r="AF14" s="109" t="s">
        <v>173</v>
      </c>
      <c r="AG14" s="110"/>
      <c r="AH14" s="111">
        <f t="shared" si="20"/>
        <v>0</v>
      </c>
      <c r="AI14" s="111">
        <f t="shared" si="5"/>
        <v>0</v>
      </c>
      <c r="AJ14" s="134">
        <v>22</v>
      </c>
      <c r="AK14" s="134">
        <v>22</v>
      </c>
      <c r="AL14" s="106" t="s">
        <v>166</v>
      </c>
      <c r="AM14" s="134"/>
      <c r="AN14" s="131" t="s">
        <v>166</v>
      </c>
      <c r="AO14" s="135">
        <v>0</v>
      </c>
      <c r="AP14" s="136" t="s">
        <v>67</v>
      </c>
      <c r="AQ14" s="114" t="s">
        <v>54</v>
      </c>
      <c r="AR14" s="137">
        <v>1741.45</v>
      </c>
      <c r="AS14" s="138">
        <v>0.25</v>
      </c>
      <c r="AT14" s="617" t="s">
        <v>170</v>
      </c>
      <c r="AU14" s="618"/>
      <c r="AV14" s="138">
        <v>0.2</v>
      </c>
      <c r="AW14" s="117" t="s">
        <v>172</v>
      </c>
      <c r="AX14" s="118"/>
      <c r="AY14" s="119">
        <f t="shared" si="6"/>
        <v>0</v>
      </c>
      <c r="AZ14" s="119">
        <f t="shared" si="7"/>
        <v>0</v>
      </c>
      <c r="BA14" s="139">
        <v>22</v>
      </c>
      <c r="BB14" s="139">
        <v>22</v>
      </c>
      <c r="BC14" s="114" t="s">
        <v>166</v>
      </c>
      <c r="BD14" s="139"/>
      <c r="BE14" s="139"/>
      <c r="BF14" s="135">
        <v>0</v>
      </c>
      <c r="BG14" s="136" t="s">
        <v>67</v>
      </c>
      <c r="BH14" s="114" t="s">
        <v>26</v>
      </c>
      <c r="BI14" s="137">
        <v>4435.2</v>
      </c>
      <c r="BJ14" s="138">
        <v>0.25</v>
      </c>
      <c r="BK14" s="617" t="s">
        <v>170</v>
      </c>
      <c r="BL14" s="618"/>
      <c r="BM14" s="138">
        <v>0.2</v>
      </c>
      <c r="BN14" s="117" t="s">
        <v>173</v>
      </c>
      <c r="BO14" s="118"/>
      <c r="BP14" s="119">
        <f t="shared" si="8"/>
        <v>0</v>
      </c>
      <c r="BQ14" s="119">
        <f t="shared" ref="BQ14:BQ21" si="29">IFERROR(((52+12)/(IF(BG14="S",BF14+(IF(Y14="S",X14,0))+(IF(AS14="S",AR14,0)),0)))/12,0)</f>
        <v>0</v>
      </c>
      <c r="BR14" s="139">
        <v>22</v>
      </c>
      <c r="BS14" s="139">
        <v>22</v>
      </c>
      <c r="BT14" s="114" t="s">
        <v>67</v>
      </c>
      <c r="BU14" s="139"/>
      <c r="BV14" s="140"/>
      <c r="BW14" s="135">
        <v>0</v>
      </c>
      <c r="BX14" s="136" t="s">
        <v>67</v>
      </c>
      <c r="BY14" s="114" t="s">
        <v>26</v>
      </c>
      <c r="BZ14" s="137">
        <v>4435.2</v>
      </c>
      <c r="CA14" s="138">
        <v>0.25</v>
      </c>
      <c r="CB14" s="617" t="s">
        <v>170</v>
      </c>
      <c r="CC14" s="618"/>
      <c r="CD14" s="138">
        <v>0.2</v>
      </c>
      <c r="CE14" s="117" t="s">
        <v>173</v>
      </c>
      <c r="CF14" s="118"/>
      <c r="CG14" s="119">
        <f t="shared" si="10"/>
        <v>0</v>
      </c>
      <c r="CH14" s="119">
        <f t="shared" ref="CH14:CH21" si="30">IFERROR(((52+12)/(IF(BX14="S",BW14+(IF(Y14="S",X14,0))+(IF(AS14="S",AR14,0)),0)))/12,0)</f>
        <v>0</v>
      </c>
      <c r="CI14" s="139">
        <v>22</v>
      </c>
      <c r="CJ14" s="139">
        <v>22</v>
      </c>
      <c r="CK14" s="114" t="s">
        <v>67</v>
      </c>
      <c r="CL14" s="139"/>
      <c r="CM14" s="139"/>
      <c r="CN14" s="135">
        <v>0</v>
      </c>
      <c r="CO14" s="136" t="s">
        <v>67</v>
      </c>
      <c r="CP14" s="114" t="s">
        <v>26</v>
      </c>
      <c r="CQ14" s="137">
        <v>1396.01</v>
      </c>
      <c r="CR14" s="138">
        <v>0.25</v>
      </c>
      <c r="CS14" s="617" t="s">
        <v>170</v>
      </c>
      <c r="CT14" s="618"/>
      <c r="CU14" s="138">
        <v>0.2</v>
      </c>
      <c r="CV14" s="117" t="s">
        <v>173</v>
      </c>
      <c r="CW14" s="118"/>
      <c r="CX14" s="119">
        <f t="shared" si="11"/>
        <v>0</v>
      </c>
      <c r="CY14" s="119">
        <f t="shared" ref="CY14:CY21" si="31">IFERROR(((52+12)/(IF(CO14="S",CN14+(IF(Y14="S",X14,0))+(IF(AS14="S",AR14,0)),0)))/12,0)</f>
        <v>0</v>
      </c>
      <c r="CZ14" s="139">
        <v>22</v>
      </c>
      <c r="DA14" s="139">
        <v>22</v>
      </c>
      <c r="DB14" s="114" t="s">
        <v>67</v>
      </c>
      <c r="DC14" s="139"/>
      <c r="DD14" s="139"/>
      <c r="DE14" s="135">
        <v>0</v>
      </c>
      <c r="DF14" s="136" t="s">
        <v>67</v>
      </c>
      <c r="DG14" s="114" t="s">
        <v>26</v>
      </c>
      <c r="DH14" s="137">
        <v>1396.01</v>
      </c>
      <c r="DI14" s="138">
        <v>0.25</v>
      </c>
      <c r="DJ14" s="617" t="s">
        <v>170</v>
      </c>
      <c r="DK14" s="618"/>
      <c r="DL14" s="138">
        <v>0.2</v>
      </c>
      <c r="DM14" s="117" t="s">
        <v>173</v>
      </c>
      <c r="DN14" s="118"/>
      <c r="DO14" s="119">
        <f t="shared" si="12"/>
        <v>0</v>
      </c>
      <c r="DP14" s="119">
        <f t="shared" ref="DP14:DP21" si="32">IFERROR(((52+12)/(IF(DF14="S",DE14+(IF(Y14="S",X14,0))+(IF(AS14="S",AR14,0)),0)))/12,0)</f>
        <v>0</v>
      </c>
      <c r="DQ14" s="139">
        <v>22</v>
      </c>
      <c r="DR14" s="139">
        <v>22</v>
      </c>
      <c r="DS14" s="114" t="s">
        <v>67</v>
      </c>
      <c r="DT14" s="139"/>
      <c r="DU14" s="139"/>
      <c r="DV14" s="135">
        <v>0</v>
      </c>
      <c r="DW14" s="136" t="s">
        <v>166</v>
      </c>
      <c r="DX14" s="114" t="s">
        <v>43</v>
      </c>
      <c r="DY14" s="137">
        <v>4128.0200000000004</v>
      </c>
      <c r="DZ14" s="138">
        <v>0.25</v>
      </c>
      <c r="EA14" s="617" t="s">
        <v>170</v>
      </c>
      <c r="EB14" s="618"/>
      <c r="EC14" s="138">
        <v>0.2</v>
      </c>
      <c r="ED14" s="117" t="s">
        <v>173</v>
      </c>
      <c r="EE14" s="118"/>
      <c r="EF14" s="119">
        <f t="shared" si="13"/>
        <v>0</v>
      </c>
      <c r="EG14" s="119">
        <f t="shared" ref="EG14:EG21" si="33">IFERROR(((52+12)/(IF(DW14="S",DV14+(IF(Y14="S",X14,0))+(IF(AS14="S",AR14,0)),0)))/12,0)</f>
        <v>0</v>
      </c>
      <c r="EH14" s="139">
        <v>22</v>
      </c>
      <c r="EI14" s="139">
        <v>22</v>
      </c>
      <c r="EJ14" s="114" t="s">
        <v>67</v>
      </c>
      <c r="EK14" s="139"/>
      <c r="EL14" s="139"/>
      <c r="EM14" s="135">
        <v>0</v>
      </c>
      <c r="EN14" s="136" t="s">
        <v>166</v>
      </c>
      <c r="EO14" s="114" t="s">
        <v>43</v>
      </c>
      <c r="EP14" s="137">
        <v>4128.0200000000004</v>
      </c>
      <c r="EQ14" s="138">
        <v>0.25</v>
      </c>
      <c r="ER14" s="617" t="s">
        <v>170</v>
      </c>
      <c r="ES14" s="618"/>
      <c r="ET14" s="138">
        <v>0.2</v>
      </c>
      <c r="EU14" s="117" t="s">
        <v>173</v>
      </c>
      <c r="EV14" s="118"/>
      <c r="EW14" s="119">
        <f t="shared" si="14"/>
        <v>0</v>
      </c>
      <c r="EX14" s="119">
        <f t="shared" ref="EX14:EX21" si="34">IFERROR(((52+12)/(IF(EN14="S",EM14+(IF(Y14="S",X14,0))+(IF(AS14="S",AR14,0)),0)))/12,0)</f>
        <v>0</v>
      </c>
      <c r="EY14" s="139">
        <v>22</v>
      </c>
      <c r="EZ14" s="139">
        <v>22</v>
      </c>
      <c r="FA14" s="114" t="s">
        <v>67</v>
      </c>
      <c r="FB14" s="139"/>
      <c r="FC14" s="139"/>
      <c r="FD14" s="135">
        <v>0</v>
      </c>
      <c r="FE14" s="136" t="s">
        <v>166</v>
      </c>
      <c r="FF14" s="114" t="s">
        <v>54</v>
      </c>
      <c r="FG14" s="137">
        <v>1741.45</v>
      </c>
      <c r="FH14" s="138">
        <v>0.25</v>
      </c>
      <c r="FI14" s="617" t="s">
        <v>170</v>
      </c>
      <c r="FJ14" s="618"/>
      <c r="FK14" s="138">
        <v>0.2</v>
      </c>
      <c r="FL14" s="117" t="s">
        <v>172</v>
      </c>
      <c r="FM14" s="118"/>
      <c r="FN14" s="119">
        <f t="shared" si="15"/>
        <v>0</v>
      </c>
      <c r="FO14" s="119">
        <f t="shared" ref="FO14:FO21" si="35">IFERROR(((52+12)/(IF(FE14="S",FD14+(IF(Y14="S",X14,0))+(IF(AS14="S",AR14,0)),0)))/12,0)</f>
        <v>0</v>
      </c>
      <c r="FP14" s="139">
        <v>9</v>
      </c>
      <c r="FQ14" s="139"/>
      <c r="FR14" s="114" t="s">
        <v>67</v>
      </c>
      <c r="FS14" s="139"/>
      <c r="FT14" s="139"/>
      <c r="FU14" s="135">
        <v>0</v>
      </c>
      <c r="FV14" s="136" t="s">
        <v>166</v>
      </c>
      <c r="FW14" s="114" t="s">
        <v>175</v>
      </c>
      <c r="FX14" s="137">
        <v>0</v>
      </c>
      <c r="FY14" s="138">
        <v>0.25</v>
      </c>
      <c r="FZ14" s="619" t="s">
        <v>161</v>
      </c>
      <c r="GA14" s="620"/>
      <c r="GB14" s="138">
        <v>0.2</v>
      </c>
      <c r="GC14" s="117" t="s">
        <v>173</v>
      </c>
      <c r="GD14" s="118"/>
      <c r="GE14" s="119">
        <f t="shared" si="16"/>
        <v>0</v>
      </c>
      <c r="GF14" s="119">
        <f t="shared" ref="GF14:GF21" si="36">IFERROR(((52+12)/(IF(FV14="S",FU14+(IF(Y14="S",X14,0))+(IF(AS14="S",AR14,0)),0)))/12,0)</f>
        <v>0</v>
      </c>
      <c r="GG14" s="139">
        <v>0</v>
      </c>
      <c r="GH14" s="139"/>
      <c r="GI14" s="114" t="s">
        <v>67</v>
      </c>
      <c r="GJ14" s="139"/>
      <c r="GK14" s="139"/>
      <c r="GL14" s="135">
        <v>0</v>
      </c>
      <c r="GM14" s="136" t="s">
        <v>166</v>
      </c>
      <c r="GN14" s="114" t="s">
        <v>175</v>
      </c>
      <c r="GO14" s="137">
        <v>0</v>
      </c>
      <c r="GP14" s="138">
        <v>0.25</v>
      </c>
      <c r="GQ14" s="619" t="s">
        <v>161</v>
      </c>
      <c r="GR14" s="620"/>
      <c r="GS14" s="138">
        <v>0.2</v>
      </c>
      <c r="GT14" s="117" t="s">
        <v>173</v>
      </c>
      <c r="GU14" s="118"/>
      <c r="GV14" s="119">
        <f t="shared" si="28"/>
        <v>0</v>
      </c>
      <c r="GW14" s="119">
        <f t="shared" ref="GW14:GW21" si="37">IFERROR(((52+12)/(IF(GM14="S",GL14+(IF(Y14="S",X14,0))+(IF(AS14="S",AR14,0)),0)))/12,0)</f>
        <v>0</v>
      </c>
      <c r="GX14" s="139">
        <v>0</v>
      </c>
      <c r="GY14" s="139"/>
      <c r="GZ14" s="114" t="s">
        <v>67</v>
      </c>
      <c r="HA14" s="139"/>
      <c r="HB14" s="139"/>
      <c r="HC14" s="60"/>
      <c r="HD14" s="60"/>
      <c r="HE14" s="60"/>
      <c r="HN14" s="121">
        <f t="shared" si="18"/>
        <v>0</v>
      </c>
    </row>
    <row r="15" spans="1:222" ht="22.5" customHeight="1">
      <c r="A15" s="1"/>
      <c r="B15" s="122">
        <v>158127</v>
      </c>
      <c r="C15" s="122" t="s">
        <v>180</v>
      </c>
      <c r="D15" s="123" t="s">
        <v>53</v>
      </c>
      <c r="E15" s="124">
        <v>4.2</v>
      </c>
      <c r="F15" s="124">
        <v>4</v>
      </c>
      <c r="G15" s="125">
        <v>0</v>
      </c>
      <c r="H15" s="125" t="s">
        <v>166</v>
      </c>
      <c r="I15" s="97" t="s">
        <v>54</v>
      </c>
      <c r="J15" s="126">
        <v>1005</v>
      </c>
      <c r="K15" s="127">
        <v>0.25</v>
      </c>
      <c r="L15" s="636" t="s">
        <v>170</v>
      </c>
      <c r="M15" s="618"/>
      <c r="N15" s="127">
        <v>0.2</v>
      </c>
      <c r="O15" s="100" t="s">
        <v>172</v>
      </c>
      <c r="P15" s="101"/>
      <c r="Q15" s="102">
        <f t="shared" si="3"/>
        <v>0</v>
      </c>
      <c r="R15" s="102">
        <f t="shared" si="4"/>
        <v>0</v>
      </c>
      <c r="S15" s="128">
        <v>22</v>
      </c>
      <c r="T15" s="128">
        <v>22</v>
      </c>
      <c r="U15" s="97" t="s">
        <v>166</v>
      </c>
      <c r="V15" s="128"/>
      <c r="W15" s="129" t="s">
        <v>67</v>
      </c>
      <c r="X15" s="130">
        <v>0</v>
      </c>
      <c r="Y15" s="131" t="s">
        <v>166</v>
      </c>
      <c r="Z15" s="106" t="s">
        <v>26</v>
      </c>
      <c r="AA15" s="132">
        <v>1717.39</v>
      </c>
      <c r="AB15" s="133">
        <v>0.25</v>
      </c>
      <c r="AC15" s="637" t="s">
        <v>170</v>
      </c>
      <c r="AD15" s="618"/>
      <c r="AE15" s="133">
        <v>0.2</v>
      </c>
      <c r="AF15" s="109" t="s">
        <v>173</v>
      </c>
      <c r="AG15" s="110"/>
      <c r="AH15" s="111">
        <f t="shared" si="20"/>
        <v>0</v>
      </c>
      <c r="AI15" s="111">
        <f t="shared" si="5"/>
        <v>0</v>
      </c>
      <c r="AJ15" s="134">
        <v>22</v>
      </c>
      <c r="AK15" s="134">
        <v>22</v>
      </c>
      <c r="AL15" s="106" t="s">
        <v>166</v>
      </c>
      <c r="AM15" s="134"/>
      <c r="AN15" s="131" t="s">
        <v>166</v>
      </c>
      <c r="AO15" s="135">
        <v>0</v>
      </c>
      <c r="AP15" s="136" t="s">
        <v>67</v>
      </c>
      <c r="AQ15" s="114" t="s">
        <v>54</v>
      </c>
      <c r="AR15" s="137">
        <v>1741.45</v>
      </c>
      <c r="AS15" s="138">
        <v>0.25</v>
      </c>
      <c r="AT15" s="617" t="s">
        <v>170</v>
      </c>
      <c r="AU15" s="618"/>
      <c r="AV15" s="138">
        <v>0.2</v>
      </c>
      <c r="AW15" s="117" t="s">
        <v>172</v>
      </c>
      <c r="AX15" s="118"/>
      <c r="AY15" s="119">
        <f t="shared" si="6"/>
        <v>0</v>
      </c>
      <c r="AZ15" s="119">
        <f t="shared" si="7"/>
        <v>0</v>
      </c>
      <c r="BA15" s="139">
        <v>22</v>
      </c>
      <c r="BB15" s="139">
        <v>22</v>
      </c>
      <c r="BC15" s="114" t="s">
        <v>166</v>
      </c>
      <c r="BD15" s="139"/>
      <c r="BE15" s="139"/>
      <c r="BF15" s="135">
        <v>0</v>
      </c>
      <c r="BG15" s="136" t="s">
        <v>67</v>
      </c>
      <c r="BH15" s="114" t="s">
        <v>26</v>
      </c>
      <c r="BI15" s="137">
        <v>4435.2</v>
      </c>
      <c r="BJ15" s="138">
        <v>0.25</v>
      </c>
      <c r="BK15" s="617" t="s">
        <v>170</v>
      </c>
      <c r="BL15" s="618"/>
      <c r="BM15" s="138">
        <v>0.2</v>
      </c>
      <c r="BN15" s="117" t="s">
        <v>173</v>
      </c>
      <c r="BO15" s="118"/>
      <c r="BP15" s="119">
        <f t="shared" si="8"/>
        <v>0</v>
      </c>
      <c r="BQ15" s="119">
        <f t="shared" si="29"/>
        <v>0</v>
      </c>
      <c r="BR15" s="139">
        <v>22</v>
      </c>
      <c r="BS15" s="139">
        <v>22</v>
      </c>
      <c r="BT15" s="114" t="s">
        <v>67</v>
      </c>
      <c r="BU15" s="139"/>
      <c r="BV15" s="140"/>
      <c r="BW15" s="135">
        <v>0</v>
      </c>
      <c r="BX15" s="136" t="s">
        <v>67</v>
      </c>
      <c r="BY15" s="114" t="s">
        <v>26</v>
      </c>
      <c r="BZ15" s="137">
        <v>4435.2</v>
      </c>
      <c r="CA15" s="138">
        <v>0.25</v>
      </c>
      <c r="CB15" s="617" t="s">
        <v>170</v>
      </c>
      <c r="CC15" s="618"/>
      <c r="CD15" s="138">
        <v>0.2</v>
      </c>
      <c r="CE15" s="117" t="s">
        <v>173</v>
      </c>
      <c r="CF15" s="118"/>
      <c r="CG15" s="119">
        <f t="shared" si="10"/>
        <v>0</v>
      </c>
      <c r="CH15" s="119">
        <f t="shared" si="30"/>
        <v>0</v>
      </c>
      <c r="CI15" s="139">
        <v>22</v>
      </c>
      <c r="CJ15" s="139">
        <v>22</v>
      </c>
      <c r="CK15" s="114" t="s">
        <v>67</v>
      </c>
      <c r="CL15" s="139"/>
      <c r="CM15" s="139"/>
      <c r="CN15" s="135">
        <v>0</v>
      </c>
      <c r="CO15" s="136" t="s">
        <v>67</v>
      </c>
      <c r="CP15" s="114" t="s">
        <v>26</v>
      </c>
      <c r="CQ15" s="137">
        <v>1396.01</v>
      </c>
      <c r="CR15" s="138">
        <v>0.25</v>
      </c>
      <c r="CS15" s="617" t="s">
        <v>170</v>
      </c>
      <c r="CT15" s="618"/>
      <c r="CU15" s="138">
        <v>0.2</v>
      </c>
      <c r="CV15" s="117" t="s">
        <v>173</v>
      </c>
      <c r="CW15" s="118"/>
      <c r="CX15" s="119">
        <f t="shared" si="11"/>
        <v>0</v>
      </c>
      <c r="CY15" s="119">
        <f t="shared" si="31"/>
        <v>0</v>
      </c>
      <c r="CZ15" s="139">
        <v>22</v>
      </c>
      <c r="DA15" s="139">
        <v>22</v>
      </c>
      <c r="DB15" s="114" t="s">
        <v>67</v>
      </c>
      <c r="DC15" s="139"/>
      <c r="DD15" s="139"/>
      <c r="DE15" s="135">
        <v>0</v>
      </c>
      <c r="DF15" s="136" t="s">
        <v>67</v>
      </c>
      <c r="DG15" s="114" t="s">
        <v>26</v>
      </c>
      <c r="DH15" s="137">
        <v>1396.01</v>
      </c>
      <c r="DI15" s="138">
        <v>0.25</v>
      </c>
      <c r="DJ15" s="617" t="s">
        <v>170</v>
      </c>
      <c r="DK15" s="618"/>
      <c r="DL15" s="138">
        <v>0.2</v>
      </c>
      <c r="DM15" s="117" t="s">
        <v>173</v>
      </c>
      <c r="DN15" s="118"/>
      <c r="DO15" s="119">
        <f t="shared" si="12"/>
        <v>0</v>
      </c>
      <c r="DP15" s="119">
        <f t="shared" si="32"/>
        <v>0</v>
      </c>
      <c r="DQ15" s="139">
        <v>22</v>
      </c>
      <c r="DR15" s="139">
        <v>22</v>
      </c>
      <c r="DS15" s="114" t="s">
        <v>67</v>
      </c>
      <c r="DT15" s="139"/>
      <c r="DU15" s="139"/>
      <c r="DV15" s="135">
        <v>0</v>
      </c>
      <c r="DW15" s="136" t="s">
        <v>166</v>
      </c>
      <c r="DX15" s="114" t="s">
        <v>43</v>
      </c>
      <c r="DY15" s="137">
        <v>4128.0200000000004</v>
      </c>
      <c r="DZ15" s="138">
        <v>0.25</v>
      </c>
      <c r="EA15" s="617" t="s">
        <v>170</v>
      </c>
      <c r="EB15" s="618"/>
      <c r="EC15" s="138">
        <v>0.2</v>
      </c>
      <c r="ED15" s="117" t="s">
        <v>173</v>
      </c>
      <c r="EE15" s="118"/>
      <c r="EF15" s="119">
        <f t="shared" si="13"/>
        <v>0</v>
      </c>
      <c r="EG15" s="119">
        <f t="shared" si="33"/>
        <v>0</v>
      </c>
      <c r="EH15" s="139">
        <v>22</v>
      </c>
      <c r="EI15" s="139">
        <v>22</v>
      </c>
      <c r="EJ15" s="114" t="s">
        <v>67</v>
      </c>
      <c r="EK15" s="139"/>
      <c r="EL15" s="139"/>
      <c r="EM15" s="135">
        <v>0</v>
      </c>
      <c r="EN15" s="136" t="s">
        <v>166</v>
      </c>
      <c r="EO15" s="114" t="s">
        <v>43</v>
      </c>
      <c r="EP15" s="137">
        <v>4128.0200000000004</v>
      </c>
      <c r="EQ15" s="138">
        <v>0.25</v>
      </c>
      <c r="ER15" s="617" t="s">
        <v>170</v>
      </c>
      <c r="ES15" s="618"/>
      <c r="ET15" s="138">
        <v>0.2</v>
      </c>
      <c r="EU15" s="117" t="s">
        <v>173</v>
      </c>
      <c r="EV15" s="118"/>
      <c r="EW15" s="119">
        <f t="shared" si="14"/>
        <v>0</v>
      </c>
      <c r="EX15" s="119">
        <f t="shared" si="34"/>
        <v>0</v>
      </c>
      <c r="EY15" s="139">
        <v>22</v>
      </c>
      <c r="EZ15" s="139">
        <v>22</v>
      </c>
      <c r="FA15" s="114" t="s">
        <v>67</v>
      </c>
      <c r="FB15" s="139"/>
      <c r="FC15" s="139"/>
      <c r="FD15" s="135">
        <v>0</v>
      </c>
      <c r="FE15" s="136" t="s">
        <v>166</v>
      </c>
      <c r="FF15" s="114" t="s">
        <v>54</v>
      </c>
      <c r="FG15" s="137">
        <v>1741.45</v>
      </c>
      <c r="FH15" s="138">
        <v>0.25</v>
      </c>
      <c r="FI15" s="617" t="s">
        <v>170</v>
      </c>
      <c r="FJ15" s="618"/>
      <c r="FK15" s="138">
        <v>0.2</v>
      </c>
      <c r="FL15" s="117" t="s">
        <v>172</v>
      </c>
      <c r="FM15" s="118"/>
      <c r="FN15" s="119">
        <f t="shared" si="15"/>
        <v>0</v>
      </c>
      <c r="FO15" s="119">
        <f t="shared" si="35"/>
        <v>0</v>
      </c>
      <c r="FP15" s="139">
        <v>9</v>
      </c>
      <c r="FQ15" s="139"/>
      <c r="FR15" s="114" t="s">
        <v>67</v>
      </c>
      <c r="FS15" s="139"/>
      <c r="FT15" s="139"/>
      <c r="FU15" s="135">
        <v>0</v>
      </c>
      <c r="FV15" s="136" t="s">
        <v>166</v>
      </c>
      <c r="FW15" s="114" t="s">
        <v>175</v>
      </c>
      <c r="FX15" s="137">
        <v>0</v>
      </c>
      <c r="FY15" s="138">
        <v>0.25</v>
      </c>
      <c r="FZ15" s="619" t="s">
        <v>162</v>
      </c>
      <c r="GA15" s="620"/>
      <c r="GB15" s="138">
        <v>0.2</v>
      </c>
      <c r="GC15" s="117" t="s">
        <v>173</v>
      </c>
      <c r="GD15" s="118"/>
      <c r="GE15" s="119">
        <f t="shared" si="16"/>
        <v>0</v>
      </c>
      <c r="GF15" s="119">
        <f t="shared" si="36"/>
        <v>0</v>
      </c>
      <c r="GG15" s="139">
        <v>0</v>
      </c>
      <c r="GH15" s="139"/>
      <c r="GI15" s="114" t="s">
        <v>67</v>
      </c>
      <c r="GJ15" s="139"/>
      <c r="GK15" s="139"/>
      <c r="GL15" s="135">
        <v>0</v>
      </c>
      <c r="GM15" s="136" t="s">
        <v>166</v>
      </c>
      <c r="GN15" s="114" t="s">
        <v>175</v>
      </c>
      <c r="GO15" s="137">
        <v>0</v>
      </c>
      <c r="GP15" s="138">
        <v>0.25</v>
      </c>
      <c r="GQ15" s="619" t="s">
        <v>162</v>
      </c>
      <c r="GR15" s="620"/>
      <c r="GS15" s="138">
        <v>0.2</v>
      </c>
      <c r="GT15" s="117" t="s">
        <v>173</v>
      </c>
      <c r="GU15" s="118"/>
      <c r="GV15" s="119">
        <f t="shared" si="28"/>
        <v>0</v>
      </c>
      <c r="GW15" s="119">
        <f t="shared" si="37"/>
        <v>0</v>
      </c>
      <c r="GX15" s="139">
        <v>0</v>
      </c>
      <c r="GY15" s="139"/>
      <c r="GZ15" s="114" t="s">
        <v>67</v>
      </c>
      <c r="HA15" s="139"/>
      <c r="HB15" s="139"/>
      <c r="HC15" s="60"/>
      <c r="HD15" s="60"/>
      <c r="HE15" s="60"/>
      <c r="HN15" s="121">
        <f t="shared" si="18"/>
        <v>0</v>
      </c>
    </row>
    <row r="16" spans="1:222" ht="22.5" customHeight="1">
      <c r="A16" s="1"/>
      <c r="B16" s="122">
        <v>158504</v>
      </c>
      <c r="C16" s="122" t="s">
        <v>181</v>
      </c>
      <c r="D16" s="123" t="s">
        <v>59</v>
      </c>
      <c r="E16" s="124">
        <v>4</v>
      </c>
      <c r="F16" s="124">
        <v>3</v>
      </c>
      <c r="G16" s="125">
        <v>0</v>
      </c>
      <c r="H16" s="125" t="s">
        <v>166</v>
      </c>
      <c r="I16" s="97" t="s">
        <v>54</v>
      </c>
      <c r="J16" s="126">
        <v>1006</v>
      </c>
      <c r="K16" s="127">
        <v>0.25</v>
      </c>
      <c r="L16" s="636" t="s">
        <v>170</v>
      </c>
      <c r="M16" s="618"/>
      <c r="N16" s="127">
        <v>0.2</v>
      </c>
      <c r="O16" s="100" t="s">
        <v>172</v>
      </c>
      <c r="P16" s="101"/>
      <c r="Q16" s="102">
        <f t="shared" si="3"/>
        <v>0</v>
      </c>
      <c r="R16" s="102">
        <f t="shared" si="4"/>
        <v>0</v>
      </c>
      <c r="S16" s="128">
        <v>22</v>
      </c>
      <c r="T16" s="128">
        <v>22</v>
      </c>
      <c r="U16" s="97" t="s">
        <v>166</v>
      </c>
      <c r="V16" s="128"/>
      <c r="W16" s="129" t="s">
        <v>67</v>
      </c>
      <c r="X16" s="130">
        <v>0</v>
      </c>
      <c r="Y16" s="131" t="s">
        <v>166</v>
      </c>
      <c r="Z16" s="106" t="s">
        <v>26</v>
      </c>
      <c r="AA16" s="132">
        <v>1717.39</v>
      </c>
      <c r="AB16" s="133">
        <v>0.25</v>
      </c>
      <c r="AC16" s="637" t="s">
        <v>170</v>
      </c>
      <c r="AD16" s="618"/>
      <c r="AE16" s="133">
        <v>0.2</v>
      </c>
      <c r="AF16" s="109" t="s">
        <v>173</v>
      </c>
      <c r="AG16" s="110"/>
      <c r="AH16" s="111">
        <f t="shared" si="20"/>
        <v>0</v>
      </c>
      <c r="AI16" s="111">
        <f t="shared" si="5"/>
        <v>0</v>
      </c>
      <c r="AJ16" s="134">
        <v>22</v>
      </c>
      <c r="AK16" s="134">
        <v>22</v>
      </c>
      <c r="AL16" s="106" t="s">
        <v>166</v>
      </c>
      <c r="AM16" s="134"/>
      <c r="AN16" s="131" t="s">
        <v>166</v>
      </c>
      <c r="AO16" s="135">
        <v>0</v>
      </c>
      <c r="AP16" s="136" t="s">
        <v>67</v>
      </c>
      <c r="AQ16" s="114" t="s">
        <v>54</v>
      </c>
      <c r="AR16" s="137">
        <v>1741.45</v>
      </c>
      <c r="AS16" s="138">
        <v>0.25</v>
      </c>
      <c r="AT16" s="617" t="s">
        <v>170</v>
      </c>
      <c r="AU16" s="618"/>
      <c r="AV16" s="138">
        <v>0.2</v>
      </c>
      <c r="AW16" s="117" t="s">
        <v>172</v>
      </c>
      <c r="AX16" s="118"/>
      <c r="AY16" s="119">
        <f t="shared" si="6"/>
        <v>0</v>
      </c>
      <c r="AZ16" s="119">
        <f t="shared" si="7"/>
        <v>0</v>
      </c>
      <c r="BA16" s="139">
        <v>22</v>
      </c>
      <c r="BB16" s="139">
        <v>22</v>
      </c>
      <c r="BC16" s="114" t="s">
        <v>166</v>
      </c>
      <c r="BD16" s="139"/>
      <c r="BE16" s="139"/>
      <c r="BF16" s="135">
        <v>0</v>
      </c>
      <c r="BG16" s="136" t="s">
        <v>67</v>
      </c>
      <c r="BH16" s="114" t="s">
        <v>26</v>
      </c>
      <c r="BI16" s="137">
        <v>4435.2</v>
      </c>
      <c r="BJ16" s="138">
        <v>0.25</v>
      </c>
      <c r="BK16" s="617" t="s">
        <v>170</v>
      </c>
      <c r="BL16" s="618"/>
      <c r="BM16" s="138">
        <v>0.2</v>
      </c>
      <c r="BN16" s="117" t="s">
        <v>173</v>
      </c>
      <c r="BO16" s="118"/>
      <c r="BP16" s="119">
        <f t="shared" si="8"/>
        <v>0</v>
      </c>
      <c r="BQ16" s="119">
        <f t="shared" si="29"/>
        <v>0</v>
      </c>
      <c r="BR16" s="139">
        <v>22</v>
      </c>
      <c r="BS16" s="139">
        <v>22</v>
      </c>
      <c r="BT16" s="114" t="s">
        <v>67</v>
      </c>
      <c r="BU16" s="139"/>
      <c r="BV16" s="140"/>
      <c r="BW16" s="135">
        <v>0</v>
      </c>
      <c r="BX16" s="136" t="s">
        <v>67</v>
      </c>
      <c r="BY16" s="114" t="s">
        <v>26</v>
      </c>
      <c r="BZ16" s="137">
        <v>4435.2</v>
      </c>
      <c r="CA16" s="138">
        <v>0.25</v>
      </c>
      <c r="CB16" s="617" t="s">
        <v>170</v>
      </c>
      <c r="CC16" s="618"/>
      <c r="CD16" s="138">
        <v>0.2</v>
      </c>
      <c r="CE16" s="117" t="s">
        <v>173</v>
      </c>
      <c r="CF16" s="118"/>
      <c r="CG16" s="119">
        <f t="shared" si="10"/>
        <v>0</v>
      </c>
      <c r="CH16" s="119">
        <f t="shared" si="30"/>
        <v>0</v>
      </c>
      <c r="CI16" s="139">
        <v>22</v>
      </c>
      <c r="CJ16" s="139">
        <v>22</v>
      </c>
      <c r="CK16" s="114" t="s">
        <v>67</v>
      </c>
      <c r="CL16" s="139"/>
      <c r="CM16" s="139"/>
      <c r="CN16" s="135">
        <v>0</v>
      </c>
      <c r="CO16" s="136" t="s">
        <v>67</v>
      </c>
      <c r="CP16" s="114" t="s">
        <v>26</v>
      </c>
      <c r="CQ16" s="137">
        <v>1396.01</v>
      </c>
      <c r="CR16" s="138">
        <v>0.25</v>
      </c>
      <c r="CS16" s="617" t="s">
        <v>170</v>
      </c>
      <c r="CT16" s="618"/>
      <c r="CU16" s="138">
        <v>0.2</v>
      </c>
      <c r="CV16" s="117" t="s">
        <v>173</v>
      </c>
      <c r="CW16" s="118"/>
      <c r="CX16" s="119">
        <f t="shared" si="11"/>
        <v>0</v>
      </c>
      <c r="CY16" s="119">
        <f t="shared" si="31"/>
        <v>0</v>
      </c>
      <c r="CZ16" s="139">
        <v>22</v>
      </c>
      <c r="DA16" s="139">
        <v>22</v>
      </c>
      <c r="DB16" s="114" t="s">
        <v>67</v>
      </c>
      <c r="DC16" s="139"/>
      <c r="DD16" s="139"/>
      <c r="DE16" s="135">
        <v>0</v>
      </c>
      <c r="DF16" s="136" t="s">
        <v>67</v>
      </c>
      <c r="DG16" s="114" t="s">
        <v>26</v>
      </c>
      <c r="DH16" s="137">
        <v>1396.01</v>
      </c>
      <c r="DI16" s="138">
        <v>0.25</v>
      </c>
      <c r="DJ16" s="617" t="s">
        <v>170</v>
      </c>
      <c r="DK16" s="618"/>
      <c r="DL16" s="138">
        <v>0.2</v>
      </c>
      <c r="DM16" s="117" t="s">
        <v>173</v>
      </c>
      <c r="DN16" s="118"/>
      <c r="DO16" s="119">
        <f t="shared" si="12"/>
        <v>0</v>
      </c>
      <c r="DP16" s="119">
        <f t="shared" si="32"/>
        <v>0</v>
      </c>
      <c r="DQ16" s="139">
        <v>22</v>
      </c>
      <c r="DR16" s="139">
        <v>22</v>
      </c>
      <c r="DS16" s="114" t="s">
        <v>67</v>
      </c>
      <c r="DT16" s="139"/>
      <c r="DU16" s="139"/>
      <c r="DV16" s="135">
        <v>0</v>
      </c>
      <c r="DW16" s="136" t="s">
        <v>166</v>
      </c>
      <c r="DX16" s="114" t="s">
        <v>43</v>
      </c>
      <c r="DY16" s="137">
        <v>4128.0200000000004</v>
      </c>
      <c r="DZ16" s="138">
        <v>0.25</v>
      </c>
      <c r="EA16" s="617" t="s">
        <v>170</v>
      </c>
      <c r="EB16" s="618"/>
      <c r="EC16" s="138">
        <v>0.2</v>
      </c>
      <c r="ED16" s="117" t="s">
        <v>173</v>
      </c>
      <c r="EE16" s="118"/>
      <c r="EF16" s="119">
        <f t="shared" si="13"/>
        <v>0</v>
      </c>
      <c r="EG16" s="119">
        <f t="shared" si="33"/>
        <v>0</v>
      </c>
      <c r="EH16" s="139">
        <v>22</v>
      </c>
      <c r="EI16" s="139">
        <v>22</v>
      </c>
      <c r="EJ16" s="114" t="s">
        <v>67</v>
      </c>
      <c r="EK16" s="139"/>
      <c r="EL16" s="139"/>
      <c r="EM16" s="135">
        <v>0</v>
      </c>
      <c r="EN16" s="136" t="s">
        <v>166</v>
      </c>
      <c r="EO16" s="114" t="s">
        <v>43</v>
      </c>
      <c r="EP16" s="137">
        <v>4128.0200000000004</v>
      </c>
      <c r="EQ16" s="138">
        <v>0.25</v>
      </c>
      <c r="ER16" s="617" t="s">
        <v>170</v>
      </c>
      <c r="ES16" s="618"/>
      <c r="ET16" s="138">
        <v>0.2</v>
      </c>
      <c r="EU16" s="117" t="s">
        <v>173</v>
      </c>
      <c r="EV16" s="118"/>
      <c r="EW16" s="119">
        <f t="shared" si="14"/>
        <v>0</v>
      </c>
      <c r="EX16" s="119">
        <f t="shared" si="34"/>
        <v>0</v>
      </c>
      <c r="EY16" s="139">
        <v>22</v>
      </c>
      <c r="EZ16" s="139">
        <v>22</v>
      </c>
      <c r="FA16" s="114" t="s">
        <v>67</v>
      </c>
      <c r="FB16" s="139"/>
      <c r="FC16" s="139"/>
      <c r="FD16" s="135">
        <v>0</v>
      </c>
      <c r="FE16" s="136" t="s">
        <v>166</v>
      </c>
      <c r="FF16" s="114" t="s">
        <v>54</v>
      </c>
      <c r="FG16" s="137">
        <v>1741.45</v>
      </c>
      <c r="FH16" s="138">
        <v>0.25</v>
      </c>
      <c r="FI16" s="617" t="s">
        <v>170</v>
      </c>
      <c r="FJ16" s="618"/>
      <c r="FK16" s="138">
        <v>0.2</v>
      </c>
      <c r="FL16" s="117" t="s">
        <v>172</v>
      </c>
      <c r="FM16" s="118"/>
      <c r="FN16" s="119">
        <f t="shared" si="15"/>
        <v>0</v>
      </c>
      <c r="FO16" s="119">
        <f t="shared" si="35"/>
        <v>0</v>
      </c>
      <c r="FP16" s="139">
        <v>9</v>
      </c>
      <c r="FQ16" s="139"/>
      <c r="FR16" s="114" t="s">
        <v>67</v>
      </c>
      <c r="FS16" s="139"/>
      <c r="FT16" s="139"/>
      <c r="FU16" s="135">
        <v>0</v>
      </c>
      <c r="FV16" s="136" t="s">
        <v>166</v>
      </c>
      <c r="FW16" s="114" t="s">
        <v>175</v>
      </c>
      <c r="FX16" s="137">
        <v>0</v>
      </c>
      <c r="FY16" s="138">
        <v>0.25</v>
      </c>
      <c r="FZ16" s="619" t="s">
        <v>161</v>
      </c>
      <c r="GA16" s="620"/>
      <c r="GB16" s="138">
        <v>0.2</v>
      </c>
      <c r="GC16" s="117" t="s">
        <v>173</v>
      </c>
      <c r="GD16" s="118"/>
      <c r="GE16" s="119">
        <f t="shared" si="16"/>
        <v>0</v>
      </c>
      <c r="GF16" s="119">
        <f t="shared" si="36"/>
        <v>0</v>
      </c>
      <c r="GG16" s="139">
        <v>0</v>
      </c>
      <c r="GH16" s="139"/>
      <c r="GI16" s="114" t="s">
        <v>67</v>
      </c>
      <c r="GJ16" s="139"/>
      <c r="GK16" s="139"/>
      <c r="GL16" s="135">
        <v>0</v>
      </c>
      <c r="GM16" s="136" t="s">
        <v>166</v>
      </c>
      <c r="GN16" s="114" t="s">
        <v>175</v>
      </c>
      <c r="GO16" s="137">
        <v>0</v>
      </c>
      <c r="GP16" s="138">
        <v>0.25</v>
      </c>
      <c r="GQ16" s="619" t="s">
        <v>161</v>
      </c>
      <c r="GR16" s="620"/>
      <c r="GS16" s="138">
        <v>0.2</v>
      </c>
      <c r="GT16" s="117" t="s">
        <v>173</v>
      </c>
      <c r="GU16" s="118"/>
      <c r="GV16" s="119">
        <f t="shared" si="28"/>
        <v>0</v>
      </c>
      <c r="GW16" s="119">
        <f t="shared" si="37"/>
        <v>0</v>
      </c>
      <c r="GX16" s="139">
        <v>0</v>
      </c>
      <c r="GY16" s="139"/>
      <c r="GZ16" s="114" t="s">
        <v>67</v>
      </c>
      <c r="HA16" s="139"/>
      <c r="HB16" s="139"/>
      <c r="HC16" s="60"/>
      <c r="HD16" s="60"/>
      <c r="HE16" s="60"/>
      <c r="HN16" s="121">
        <f t="shared" si="18"/>
        <v>0</v>
      </c>
    </row>
    <row r="17" spans="1:222" ht="22.5" customHeight="1">
      <c r="A17" s="1"/>
      <c r="B17" s="122">
        <v>155081</v>
      </c>
      <c r="C17" s="122" t="s">
        <v>182</v>
      </c>
      <c r="D17" s="123" t="s">
        <v>64</v>
      </c>
      <c r="E17" s="124">
        <v>3.75</v>
      </c>
      <c r="F17" s="124">
        <v>3</v>
      </c>
      <c r="G17" s="125">
        <v>0</v>
      </c>
      <c r="H17" s="125" t="s">
        <v>166</v>
      </c>
      <c r="I17" s="97" t="s">
        <v>54</v>
      </c>
      <c r="J17" s="126">
        <f>J16+1</f>
        <v>1007</v>
      </c>
      <c r="K17" s="127">
        <v>0.25</v>
      </c>
      <c r="L17" s="636" t="s">
        <v>170</v>
      </c>
      <c r="M17" s="618"/>
      <c r="N17" s="127">
        <v>0.2</v>
      </c>
      <c r="O17" s="100" t="s">
        <v>172</v>
      </c>
      <c r="P17" s="101"/>
      <c r="Q17" s="102">
        <f t="shared" si="3"/>
        <v>0</v>
      </c>
      <c r="R17" s="102">
        <f t="shared" si="4"/>
        <v>0</v>
      </c>
      <c r="S17" s="128">
        <v>22</v>
      </c>
      <c r="T17" s="128">
        <v>22</v>
      </c>
      <c r="U17" s="97" t="s">
        <v>166</v>
      </c>
      <c r="V17" s="128"/>
      <c r="W17" s="129" t="s">
        <v>67</v>
      </c>
      <c r="X17" s="130">
        <v>0</v>
      </c>
      <c r="Y17" s="131" t="s">
        <v>166</v>
      </c>
      <c r="Z17" s="106" t="s">
        <v>26</v>
      </c>
      <c r="AA17" s="132">
        <v>1717.39</v>
      </c>
      <c r="AB17" s="133">
        <v>0.25</v>
      </c>
      <c r="AC17" s="637" t="s">
        <v>170</v>
      </c>
      <c r="AD17" s="618"/>
      <c r="AE17" s="133">
        <v>0.2</v>
      </c>
      <c r="AF17" s="109" t="s">
        <v>173</v>
      </c>
      <c r="AG17" s="110"/>
      <c r="AH17" s="111">
        <f t="shared" si="20"/>
        <v>0</v>
      </c>
      <c r="AI17" s="111">
        <f t="shared" si="5"/>
        <v>0</v>
      </c>
      <c r="AJ17" s="134">
        <v>22</v>
      </c>
      <c r="AK17" s="134">
        <v>22</v>
      </c>
      <c r="AL17" s="106" t="s">
        <v>166</v>
      </c>
      <c r="AM17" s="134"/>
      <c r="AN17" s="131" t="s">
        <v>166</v>
      </c>
      <c r="AO17" s="135">
        <v>0</v>
      </c>
      <c r="AP17" s="136" t="s">
        <v>67</v>
      </c>
      <c r="AQ17" s="114" t="s">
        <v>54</v>
      </c>
      <c r="AR17" s="137">
        <v>1741.45</v>
      </c>
      <c r="AS17" s="138">
        <v>0.25</v>
      </c>
      <c r="AT17" s="617" t="s">
        <v>170</v>
      </c>
      <c r="AU17" s="618"/>
      <c r="AV17" s="138">
        <v>0.2</v>
      </c>
      <c r="AW17" s="117" t="s">
        <v>172</v>
      </c>
      <c r="AX17" s="118"/>
      <c r="AY17" s="119">
        <f t="shared" si="6"/>
        <v>0</v>
      </c>
      <c r="AZ17" s="119">
        <f t="shared" si="7"/>
        <v>0</v>
      </c>
      <c r="BA17" s="139">
        <v>22</v>
      </c>
      <c r="BB17" s="139">
        <v>22</v>
      </c>
      <c r="BC17" s="114" t="s">
        <v>166</v>
      </c>
      <c r="BD17" s="139"/>
      <c r="BE17" s="139"/>
      <c r="BF17" s="135">
        <v>0</v>
      </c>
      <c r="BG17" s="136" t="s">
        <v>67</v>
      </c>
      <c r="BH17" s="114" t="s">
        <v>26</v>
      </c>
      <c r="BI17" s="137">
        <v>4435.2</v>
      </c>
      <c r="BJ17" s="138">
        <v>0.25</v>
      </c>
      <c r="BK17" s="617" t="s">
        <v>170</v>
      </c>
      <c r="BL17" s="618"/>
      <c r="BM17" s="138">
        <v>0.2</v>
      </c>
      <c r="BN17" s="117" t="s">
        <v>173</v>
      </c>
      <c r="BO17" s="118"/>
      <c r="BP17" s="119">
        <f t="shared" si="8"/>
        <v>0</v>
      </c>
      <c r="BQ17" s="119">
        <f t="shared" si="29"/>
        <v>0</v>
      </c>
      <c r="BR17" s="139">
        <v>22</v>
      </c>
      <c r="BS17" s="139">
        <v>22</v>
      </c>
      <c r="BT17" s="114" t="s">
        <v>67</v>
      </c>
      <c r="BU17" s="139"/>
      <c r="BV17" s="140"/>
      <c r="BW17" s="135">
        <v>0</v>
      </c>
      <c r="BX17" s="136" t="s">
        <v>67</v>
      </c>
      <c r="BY17" s="114" t="s">
        <v>26</v>
      </c>
      <c r="BZ17" s="137">
        <v>4435.2</v>
      </c>
      <c r="CA17" s="138">
        <v>0.25</v>
      </c>
      <c r="CB17" s="617" t="s">
        <v>170</v>
      </c>
      <c r="CC17" s="618"/>
      <c r="CD17" s="138">
        <v>0.2</v>
      </c>
      <c r="CE17" s="117" t="s">
        <v>173</v>
      </c>
      <c r="CF17" s="118"/>
      <c r="CG17" s="119">
        <f t="shared" si="10"/>
        <v>0</v>
      </c>
      <c r="CH17" s="119">
        <f t="shared" si="30"/>
        <v>0</v>
      </c>
      <c r="CI17" s="139">
        <v>22</v>
      </c>
      <c r="CJ17" s="139">
        <v>22</v>
      </c>
      <c r="CK17" s="114" t="s">
        <v>67</v>
      </c>
      <c r="CL17" s="139"/>
      <c r="CM17" s="139"/>
      <c r="CN17" s="135">
        <v>0</v>
      </c>
      <c r="CO17" s="136" t="s">
        <v>67</v>
      </c>
      <c r="CP17" s="114" t="s">
        <v>26</v>
      </c>
      <c r="CQ17" s="137">
        <v>1396.01</v>
      </c>
      <c r="CR17" s="138">
        <v>0.25</v>
      </c>
      <c r="CS17" s="617" t="s">
        <v>170</v>
      </c>
      <c r="CT17" s="618"/>
      <c r="CU17" s="138">
        <v>0.2</v>
      </c>
      <c r="CV17" s="117" t="s">
        <v>173</v>
      </c>
      <c r="CW17" s="118"/>
      <c r="CX17" s="119">
        <f t="shared" si="11"/>
        <v>0</v>
      </c>
      <c r="CY17" s="119">
        <f t="shared" si="31"/>
        <v>0</v>
      </c>
      <c r="CZ17" s="139">
        <v>22</v>
      </c>
      <c r="DA17" s="139">
        <v>22</v>
      </c>
      <c r="DB17" s="114" t="s">
        <v>67</v>
      </c>
      <c r="DC17" s="139"/>
      <c r="DD17" s="139"/>
      <c r="DE17" s="135">
        <v>0</v>
      </c>
      <c r="DF17" s="136" t="s">
        <v>67</v>
      </c>
      <c r="DG17" s="114" t="s">
        <v>26</v>
      </c>
      <c r="DH17" s="137">
        <v>1396.01</v>
      </c>
      <c r="DI17" s="138">
        <v>0.25</v>
      </c>
      <c r="DJ17" s="617" t="s">
        <v>170</v>
      </c>
      <c r="DK17" s="618"/>
      <c r="DL17" s="138">
        <v>0.2</v>
      </c>
      <c r="DM17" s="117" t="s">
        <v>173</v>
      </c>
      <c r="DN17" s="118"/>
      <c r="DO17" s="119">
        <f t="shared" si="12"/>
        <v>0</v>
      </c>
      <c r="DP17" s="119">
        <f t="shared" si="32"/>
        <v>0</v>
      </c>
      <c r="DQ17" s="139">
        <v>22</v>
      </c>
      <c r="DR17" s="139">
        <v>22</v>
      </c>
      <c r="DS17" s="114" t="s">
        <v>67</v>
      </c>
      <c r="DT17" s="139"/>
      <c r="DU17" s="139"/>
      <c r="DV17" s="135">
        <v>0</v>
      </c>
      <c r="DW17" s="136" t="s">
        <v>166</v>
      </c>
      <c r="DX17" s="114" t="s">
        <v>43</v>
      </c>
      <c r="DY17" s="137">
        <v>4128.0200000000004</v>
      </c>
      <c r="DZ17" s="138">
        <v>0.25</v>
      </c>
      <c r="EA17" s="617" t="s">
        <v>170</v>
      </c>
      <c r="EB17" s="618"/>
      <c r="EC17" s="138">
        <v>0.2</v>
      </c>
      <c r="ED17" s="117" t="s">
        <v>173</v>
      </c>
      <c r="EE17" s="118"/>
      <c r="EF17" s="119">
        <f t="shared" si="13"/>
        <v>0</v>
      </c>
      <c r="EG17" s="119">
        <f t="shared" si="33"/>
        <v>0</v>
      </c>
      <c r="EH17" s="139">
        <v>22</v>
      </c>
      <c r="EI17" s="139">
        <v>22</v>
      </c>
      <c r="EJ17" s="114" t="s">
        <v>67</v>
      </c>
      <c r="EK17" s="139"/>
      <c r="EL17" s="139"/>
      <c r="EM17" s="135">
        <v>0</v>
      </c>
      <c r="EN17" s="136" t="s">
        <v>166</v>
      </c>
      <c r="EO17" s="114" t="s">
        <v>43</v>
      </c>
      <c r="EP17" s="137">
        <v>4128.0200000000004</v>
      </c>
      <c r="EQ17" s="138">
        <v>0.25</v>
      </c>
      <c r="ER17" s="617" t="s">
        <v>170</v>
      </c>
      <c r="ES17" s="618"/>
      <c r="ET17" s="138">
        <v>0.2</v>
      </c>
      <c r="EU17" s="117" t="s">
        <v>173</v>
      </c>
      <c r="EV17" s="118"/>
      <c r="EW17" s="119">
        <f t="shared" si="14"/>
        <v>0</v>
      </c>
      <c r="EX17" s="119">
        <f t="shared" si="34"/>
        <v>0</v>
      </c>
      <c r="EY17" s="139">
        <v>22</v>
      </c>
      <c r="EZ17" s="139">
        <v>22</v>
      </c>
      <c r="FA17" s="114" t="s">
        <v>67</v>
      </c>
      <c r="FB17" s="139"/>
      <c r="FC17" s="139"/>
      <c r="FD17" s="135">
        <v>0</v>
      </c>
      <c r="FE17" s="136" t="s">
        <v>166</v>
      </c>
      <c r="FF17" s="114" t="s">
        <v>54</v>
      </c>
      <c r="FG17" s="137">
        <v>1741.45</v>
      </c>
      <c r="FH17" s="138">
        <v>0.25</v>
      </c>
      <c r="FI17" s="617" t="s">
        <v>170</v>
      </c>
      <c r="FJ17" s="618"/>
      <c r="FK17" s="138">
        <v>0.2</v>
      </c>
      <c r="FL17" s="117" t="s">
        <v>172</v>
      </c>
      <c r="FM17" s="118"/>
      <c r="FN17" s="119">
        <f t="shared" si="15"/>
        <v>0</v>
      </c>
      <c r="FO17" s="119">
        <f t="shared" si="35"/>
        <v>0</v>
      </c>
      <c r="FP17" s="139">
        <v>9</v>
      </c>
      <c r="FQ17" s="139"/>
      <c r="FR17" s="114" t="s">
        <v>67</v>
      </c>
      <c r="FS17" s="139"/>
      <c r="FT17" s="139"/>
      <c r="FU17" s="135">
        <v>0</v>
      </c>
      <c r="FV17" s="136" t="s">
        <v>166</v>
      </c>
      <c r="FW17" s="114" t="s">
        <v>175</v>
      </c>
      <c r="FX17" s="137">
        <v>0</v>
      </c>
      <c r="FY17" s="138">
        <v>0.25</v>
      </c>
      <c r="FZ17" s="619" t="s">
        <v>161</v>
      </c>
      <c r="GA17" s="620"/>
      <c r="GB17" s="138">
        <v>0.2</v>
      </c>
      <c r="GC17" s="117" t="s">
        <v>173</v>
      </c>
      <c r="GD17" s="118"/>
      <c r="GE17" s="119">
        <f t="shared" si="16"/>
        <v>0</v>
      </c>
      <c r="GF17" s="119">
        <f t="shared" si="36"/>
        <v>0</v>
      </c>
      <c r="GG17" s="139">
        <v>0</v>
      </c>
      <c r="GH17" s="139"/>
      <c r="GI17" s="114" t="s">
        <v>67</v>
      </c>
      <c r="GJ17" s="139"/>
      <c r="GK17" s="139"/>
      <c r="GL17" s="135">
        <v>0</v>
      </c>
      <c r="GM17" s="136" t="s">
        <v>166</v>
      </c>
      <c r="GN17" s="114" t="s">
        <v>175</v>
      </c>
      <c r="GO17" s="137">
        <v>0</v>
      </c>
      <c r="GP17" s="138">
        <v>0.25</v>
      </c>
      <c r="GQ17" s="619" t="s">
        <v>161</v>
      </c>
      <c r="GR17" s="620"/>
      <c r="GS17" s="138">
        <v>0.2</v>
      </c>
      <c r="GT17" s="117" t="s">
        <v>173</v>
      </c>
      <c r="GU17" s="118"/>
      <c r="GV17" s="119">
        <f t="shared" si="28"/>
        <v>0</v>
      </c>
      <c r="GW17" s="119">
        <f t="shared" si="37"/>
        <v>0</v>
      </c>
      <c r="GX17" s="139">
        <v>0</v>
      </c>
      <c r="GY17" s="139"/>
      <c r="GZ17" s="114" t="s">
        <v>67</v>
      </c>
      <c r="HA17" s="139"/>
      <c r="HB17" s="139"/>
      <c r="HC17" s="60"/>
      <c r="HD17" s="60"/>
      <c r="HE17" s="60"/>
      <c r="HN17" s="121">
        <f t="shared" si="18"/>
        <v>0</v>
      </c>
    </row>
    <row r="18" spans="1:222" ht="18.75">
      <c r="A18" s="1"/>
      <c r="B18" s="122">
        <v>158266</v>
      </c>
      <c r="C18" s="122" t="s">
        <v>183</v>
      </c>
      <c r="D18" s="123" t="s">
        <v>70</v>
      </c>
      <c r="E18" s="124">
        <v>0</v>
      </c>
      <c r="F18" s="124">
        <v>3</v>
      </c>
      <c r="G18" s="125">
        <v>1</v>
      </c>
      <c r="H18" s="125" t="s">
        <v>166</v>
      </c>
      <c r="I18" s="97" t="s">
        <v>76</v>
      </c>
      <c r="J18" s="98">
        <v>1764.4</v>
      </c>
      <c r="K18" s="127">
        <v>0.25</v>
      </c>
      <c r="L18" s="636" t="s">
        <v>170</v>
      </c>
      <c r="M18" s="618"/>
      <c r="N18" s="127">
        <v>0.2</v>
      </c>
      <c r="O18" s="100" t="s">
        <v>171</v>
      </c>
      <c r="P18" s="101"/>
      <c r="Q18" s="102">
        <f t="shared" si="3"/>
        <v>0</v>
      </c>
      <c r="R18" s="102">
        <f t="shared" si="4"/>
        <v>0</v>
      </c>
      <c r="S18" s="128">
        <v>30</v>
      </c>
      <c r="T18" s="128">
        <v>30</v>
      </c>
      <c r="U18" s="97" t="s">
        <v>166</v>
      </c>
      <c r="V18" s="128"/>
      <c r="W18" s="129" t="s">
        <v>67</v>
      </c>
      <c r="X18" s="130">
        <v>1</v>
      </c>
      <c r="Y18" s="131" t="s">
        <v>166</v>
      </c>
      <c r="Z18" s="106" t="s">
        <v>76</v>
      </c>
      <c r="AA18" s="107">
        <v>1764.4</v>
      </c>
      <c r="AB18" s="133">
        <v>0.25</v>
      </c>
      <c r="AC18" s="637" t="s">
        <v>170</v>
      </c>
      <c r="AD18" s="618"/>
      <c r="AE18" s="133">
        <v>0.2</v>
      </c>
      <c r="AF18" s="109" t="s">
        <v>171</v>
      </c>
      <c r="AG18" s="110"/>
      <c r="AH18" s="111">
        <f t="shared" si="20"/>
        <v>0</v>
      </c>
      <c r="AI18" s="111">
        <f t="shared" si="5"/>
        <v>0</v>
      </c>
      <c r="AJ18" s="134">
        <v>30</v>
      </c>
      <c r="AK18" s="134">
        <v>30</v>
      </c>
      <c r="AL18" s="106" t="s">
        <v>67</v>
      </c>
      <c r="AM18" s="134"/>
      <c r="AN18" s="131" t="s">
        <v>166</v>
      </c>
      <c r="AO18" s="135">
        <v>0</v>
      </c>
      <c r="AP18" s="136" t="s">
        <v>67</v>
      </c>
      <c r="AQ18" s="114" t="s">
        <v>54</v>
      </c>
      <c r="AR18" s="137">
        <v>1741.45</v>
      </c>
      <c r="AS18" s="138">
        <v>0.25</v>
      </c>
      <c r="AT18" s="617" t="s">
        <v>170</v>
      </c>
      <c r="AU18" s="618"/>
      <c r="AV18" s="138">
        <v>0.2</v>
      </c>
      <c r="AW18" s="117" t="s">
        <v>172</v>
      </c>
      <c r="AX18" s="118"/>
      <c r="AY18" s="119">
        <f t="shared" si="6"/>
        <v>0</v>
      </c>
      <c r="AZ18" s="119">
        <f t="shared" si="7"/>
        <v>0</v>
      </c>
      <c r="BA18" s="139">
        <v>22</v>
      </c>
      <c r="BB18" s="139">
        <v>22</v>
      </c>
      <c r="BC18" s="114" t="s">
        <v>166</v>
      </c>
      <c r="BD18" s="139"/>
      <c r="BE18" s="139"/>
      <c r="BF18" s="135">
        <v>0</v>
      </c>
      <c r="BG18" s="136" t="s">
        <v>67</v>
      </c>
      <c r="BH18" s="114" t="s">
        <v>26</v>
      </c>
      <c r="BI18" s="137">
        <v>4435.2</v>
      </c>
      <c r="BJ18" s="138">
        <v>0.25</v>
      </c>
      <c r="BK18" s="617" t="s">
        <v>170</v>
      </c>
      <c r="BL18" s="618"/>
      <c r="BM18" s="138">
        <v>0.2</v>
      </c>
      <c r="BN18" s="117" t="s">
        <v>173</v>
      </c>
      <c r="BO18" s="118"/>
      <c r="BP18" s="119">
        <f t="shared" si="8"/>
        <v>0</v>
      </c>
      <c r="BQ18" s="119">
        <f t="shared" si="29"/>
        <v>0</v>
      </c>
      <c r="BR18" s="139">
        <v>22</v>
      </c>
      <c r="BS18" s="139">
        <v>22</v>
      </c>
      <c r="BT18" s="114" t="s">
        <v>67</v>
      </c>
      <c r="BU18" s="139"/>
      <c r="BV18" s="140"/>
      <c r="BW18" s="135">
        <v>0</v>
      </c>
      <c r="BX18" s="136" t="s">
        <v>67</v>
      </c>
      <c r="BY18" s="114" t="s">
        <v>26</v>
      </c>
      <c r="BZ18" s="137">
        <v>4435.2</v>
      </c>
      <c r="CA18" s="138">
        <v>0.25</v>
      </c>
      <c r="CB18" s="617" t="s">
        <v>170</v>
      </c>
      <c r="CC18" s="618"/>
      <c r="CD18" s="138">
        <v>0.2</v>
      </c>
      <c r="CE18" s="117" t="s">
        <v>173</v>
      </c>
      <c r="CF18" s="118"/>
      <c r="CG18" s="119">
        <f t="shared" si="10"/>
        <v>0</v>
      </c>
      <c r="CH18" s="119">
        <f t="shared" si="30"/>
        <v>0</v>
      </c>
      <c r="CI18" s="139">
        <v>22</v>
      </c>
      <c r="CJ18" s="139">
        <v>22</v>
      </c>
      <c r="CK18" s="114" t="s">
        <v>67</v>
      </c>
      <c r="CL18" s="139"/>
      <c r="CM18" s="139"/>
      <c r="CN18" s="135">
        <v>0</v>
      </c>
      <c r="CO18" s="136" t="s">
        <v>67</v>
      </c>
      <c r="CP18" s="114" t="s">
        <v>26</v>
      </c>
      <c r="CQ18" s="137">
        <v>1396.01</v>
      </c>
      <c r="CR18" s="138">
        <v>0.25</v>
      </c>
      <c r="CS18" s="617" t="s">
        <v>170</v>
      </c>
      <c r="CT18" s="618"/>
      <c r="CU18" s="138">
        <v>0.2</v>
      </c>
      <c r="CV18" s="117" t="s">
        <v>173</v>
      </c>
      <c r="CW18" s="118"/>
      <c r="CX18" s="119">
        <f t="shared" si="11"/>
        <v>0</v>
      </c>
      <c r="CY18" s="119">
        <f t="shared" si="31"/>
        <v>0</v>
      </c>
      <c r="CZ18" s="139">
        <v>22</v>
      </c>
      <c r="DA18" s="139">
        <v>22</v>
      </c>
      <c r="DB18" s="114" t="s">
        <v>67</v>
      </c>
      <c r="DC18" s="139"/>
      <c r="DD18" s="139"/>
      <c r="DE18" s="135">
        <v>0</v>
      </c>
      <c r="DF18" s="136" t="s">
        <v>67</v>
      </c>
      <c r="DG18" s="114" t="s">
        <v>26</v>
      </c>
      <c r="DH18" s="137">
        <v>1396.01</v>
      </c>
      <c r="DI18" s="138">
        <v>0.25</v>
      </c>
      <c r="DJ18" s="617" t="s">
        <v>170</v>
      </c>
      <c r="DK18" s="618"/>
      <c r="DL18" s="138">
        <v>0.2</v>
      </c>
      <c r="DM18" s="117" t="s">
        <v>173</v>
      </c>
      <c r="DN18" s="118"/>
      <c r="DO18" s="119">
        <f t="shared" si="12"/>
        <v>0</v>
      </c>
      <c r="DP18" s="119">
        <f t="shared" si="32"/>
        <v>0</v>
      </c>
      <c r="DQ18" s="139">
        <v>22</v>
      </c>
      <c r="DR18" s="139">
        <v>22</v>
      </c>
      <c r="DS18" s="114" t="s">
        <v>67</v>
      </c>
      <c r="DT18" s="139"/>
      <c r="DU18" s="139"/>
      <c r="DV18" s="135">
        <v>0</v>
      </c>
      <c r="DW18" s="136" t="s">
        <v>166</v>
      </c>
      <c r="DX18" s="114" t="s">
        <v>43</v>
      </c>
      <c r="DY18" s="137">
        <v>4128.0200000000004</v>
      </c>
      <c r="DZ18" s="138">
        <v>0.25</v>
      </c>
      <c r="EA18" s="617" t="s">
        <v>170</v>
      </c>
      <c r="EB18" s="618"/>
      <c r="EC18" s="138">
        <v>0.2</v>
      </c>
      <c r="ED18" s="117" t="s">
        <v>173</v>
      </c>
      <c r="EE18" s="118"/>
      <c r="EF18" s="119">
        <f t="shared" si="13"/>
        <v>0</v>
      </c>
      <c r="EG18" s="119">
        <f t="shared" si="33"/>
        <v>0</v>
      </c>
      <c r="EH18" s="139">
        <v>22</v>
      </c>
      <c r="EI18" s="139">
        <v>22</v>
      </c>
      <c r="EJ18" s="114" t="s">
        <v>67</v>
      </c>
      <c r="EK18" s="139"/>
      <c r="EL18" s="139"/>
      <c r="EM18" s="135">
        <v>0</v>
      </c>
      <c r="EN18" s="136" t="s">
        <v>166</v>
      </c>
      <c r="EO18" s="114" t="s">
        <v>43</v>
      </c>
      <c r="EP18" s="137">
        <v>4128.0200000000004</v>
      </c>
      <c r="EQ18" s="138">
        <v>0.25</v>
      </c>
      <c r="ER18" s="617" t="s">
        <v>170</v>
      </c>
      <c r="ES18" s="618"/>
      <c r="ET18" s="138">
        <v>0.2</v>
      </c>
      <c r="EU18" s="117" t="s">
        <v>173</v>
      </c>
      <c r="EV18" s="118"/>
      <c r="EW18" s="119">
        <f t="shared" si="14"/>
        <v>0</v>
      </c>
      <c r="EX18" s="119">
        <f t="shared" si="34"/>
        <v>0</v>
      </c>
      <c r="EY18" s="139">
        <v>22</v>
      </c>
      <c r="EZ18" s="139">
        <v>22</v>
      </c>
      <c r="FA18" s="114" t="s">
        <v>67</v>
      </c>
      <c r="FB18" s="139"/>
      <c r="FC18" s="139"/>
      <c r="FD18" s="135">
        <v>0</v>
      </c>
      <c r="FE18" s="136" t="s">
        <v>166</v>
      </c>
      <c r="FF18" s="114" t="s">
        <v>54</v>
      </c>
      <c r="FG18" s="137">
        <v>1741.45</v>
      </c>
      <c r="FH18" s="138">
        <v>0.25</v>
      </c>
      <c r="FI18" s="617" t="s">
        <v>170</v>
      </c>
      <c r="FJ18" s="618"/>
      <c r="FK18" s="138">
        <v>0.2</v>
      </c>
      <c r="FL18" s="117" t="s">
        <v>172</v>
      </c>
      <c r="FM18" s="118"/>
      <c r="FN18" s="119">
        <f t="shared" si="15"/>
        <v>0</v>
      </c>
      <c r="FO18" s="119">
        <f t="shared" si="35"/>
        <v>0</v>
      </c>
      <c r="FP18" s="139">
        <v>9</v>
      </c>
      <c r="FQ18" s="139"/>
      <c r="FR18" s="114" t="s">
        <v>67</v>
      </c>
      <c r="FS18" s="139"/>
      <c r="FT18" s="139"/>
      <c r="FU18" s="135">
        <v>0</v>
      </c>
      <c r="FV18" s="136" t="s">
        <v>166</v>
      </c>
      <c r="FW18" s="114" t="s">
        <v>15</v>
      </c>
      <c r="FX18" s="137">
        <v>0</v>
      </c>
      <c r="FY18" s="138">
        <v>0.25</v>
      </c>
      <c r="FZ18" s="619" t="s">
        <v>162</v>
      </c>
      <c r="GA18" s="620"/>
      <c r="GB18" s="138">
        <v>0.2</v>
      </c>
      <c r="GC18" s="117" t="s">
        <v>173</v>
      </c>
      <c r="GD18" s="118"/>
      <c r="GE18" s="119">
        <f t="shared" si="16"/>
        <v>0</v>
      </c>
      <c r="GF18" s="119">
        <f t="shared" si="36"/>
        <v>0</v>
      </c>
      <c r="GG18" s="139">
        <v>0</v>
      </c>
      <c r="GH18" s="139"/>
      <c r="GI18" s="114" t="s">
        <v>67</v>
      </c>
      <c r="GJ18" s="139"/>
      <c r="GK18" s="139"/>
      <c r="GL18" s="135">
        <v>0</v>
      </c>
      <c r="GM18" s="136" t="s">
        <v>166</v>
      </c>
      <c r="GN18" s="114" t="s">
        <v>15</v>
      </c>
      <c r="GO18" s="137">
        <v>0</v>
      </c>
      <c r="GP18" s="138">
        <v>0.25</v>
      </c>
      <c r="GQ18" s="619" t="s">
        <v>162</v>
      </c>
      <c r="GR18" s="620"/>
      <c r="GS18" s="138">
        <v>0.2</v>
      </c>
      <c r="GT18" s="117" t="s">
        <v>173</v>
      </c>
      <c r="GU18" s="118"/>
      <c r="GV18" s="119">
        <f t="shared" si="28"/>
        <v>0</v>
      </c>
      <c r="GW18" s="119">
        <f t="shared" si="37"/>
        <v>0</v>
      </c>
      <c r="GX18" s="139">
        <v>0</v>
      </c>
      <c r="GY18" s="139"/>
      <c r="GZ18" s="114" t="s">
        <v>67</v>
      </c>
      <c r="HA18" s="139"/>
      <c r="HB18" s="139"/>
      <c r="HC18" s="60"/>
      <c r="HD18" s="60"/>
      <c r="HE18" s="60"/>
      <c r="HN18" s="121">
        <f t="shared" si="18"/>
        <v>2</v>
      </c>
    </row>
    <row r="19" spans="1:222" ht="22.5" customHeight="1">
      <c r="A19" s="1"/>
      <c r="B19" s="122">
        <v>158503</v>
      </c>
      <c r="C19" s="122" t="s">
        <v>184</v>
      </c>
      <c r="D19" s="123" t="s">
        <v>75</v>
      </c>
      <c r="E19" s="124">
        <v>3.5</v>
      </c>
      <c r="F19" s="124">
        <v>3</v>
      </c>
      <c r="G19" s="125">
        <v>0</v>
      </c>
      <c r="H19" s="125" t="s">
        <v>166</v>
      </c>
      <c r="I19" s="97" t="s">
        <v>54</v>
      </c>
      <c r="J19" s="126">
        <f>J18+1</f>
        <v>1765.4</v>
      </c>
      <c r="K19" s="127">
        <v>0.25</v>
      </c>
      <c r="L19" s="636" t="s">
        <v>170</v>
      </c>
      <c r="M19" s="618"/>
      <c r="N19" s="127">
        <v>0.2</v>
      </c>
      <c r="O19" s="100" t="s">
        <v>172</v>
      </c>
      <c r="P19" s="101"/>
      <c r="Q19" s="102">
        <f t="shared" si="3"/>
        <v>0</v>
      </c>
      <c r="R19" s="102">
        <f t="shared" si="4"/>
        <v>0</v>
      </c>
      <c r="S19" s="128">
        <v>22</v>
      </c>
      <c r="T19" s="128">
        <v>22</v>
      </c>
      <c r="U19" s="97" t="s">
        <v>166</v>
      </c>
      <c r="V19" s="128"/>
      <c r="W19" s="129" t="s">
        <v>67</v>
      </c>
      <c r="X19" s="130">
        <v>0</v>
      </c>
      <c r="Y19" s="131" t="s">
        <v>166</v>
      </c>
      <c r="Z19" s="106" t="s">
        <v>26</v>
      </c>
      <c r="AA19" s="132">
        <v>1717.39</v>
      </c>
      <c r="AB19" s="133">
        <v>0.25</v>
      </c>
      <c r="AC19" s="637" t="s">
        <v>170</v>
      </c>
      <c r="AD19" s="618"/>
      <c r="AE19" s="133">
        <v>0.2</v>
      </c>
      <c r="AF19" s="109" t="s">
        <v>173</v>
      </c>
      <c r="AG19" s="110"/>
      <c r="AH19" s="111">
        <f t="shared" si="20"/>
        <v>0</v>
      </c>
      <c r="AI19" s="111">
        <f t="shared" si="5"/>
        <v>0</v>
      </c>
      <c r="AJ19" s="134">
        <v>22</v>
      </c>
      <c r="AK19" s="134">
        <v>22</v>
      </c>
      <c r="AL19" s="106" t="s">
        <v>166</v>
      </c>
      <c r="AM19" s="134"/>
      <c r="AN19" s="131" t="s">
        <v>166</v>
      </c>
      <c r="AO19" s="135">
        <v>0</v>
      </c>
      <c r="AP19" s="136" t="s">
        <v>67</v>
      </c>
      <c r="AQ19" s="114" t="s">
        <v>54</v>
      </c>
      <c r="AR19" s="137">
        <v>1741.45</v>
      </c>
      <c r="AS19" s="138">
        <v>0.25</v>
      </c>
      <c r="AT19" s="617" t="s">
        <v>170</v>
      </c>
      <c r="AU19" s="618"/>
      <c r="AV19" s="138">
        <v>0.2</v>
      </c>
      <c r="AW19" s="117" t="s">
        <v>172</v>
      </c>
      <c r="AX19" s="118"/>
      <c r="AY19" s="119">
        <f t="shared" si="6"/>
        <v>0</v>
      </c>
      <c r="AZ19" s="119">
        <f t="shared" si="7"/>
        <v>0</v>
      </c>
      <c r="BA19" s="139">
        <v>22</v>
      </c>
      <c r="BB19" s="139">
        <v>22</v>
      </c>
      <c r="BC19" s="114" t="s">
        <v>166</v>
      </c>
      <c r="BD19" s="139"/>
      <c r="BE19" s="139"/>
      <c r="BF19" s="135">
        <v>0</v>
      </c>
      <c r="BG19" s="136" t="s">
        <v>67</v>
      </c>
      <c r="BH19" s="114" t="s">
        <v>26</v>
      </c>
      <c r="BI19" s="137">
        <v>4435.2</v>
      </c>
      <c r="BJ19" s="138">
        <v>0.25</v>
      </c>
      <c r="BK19" s="617" t="s">
        <v>170</v>
      </c>
      <c r="BL19" s="618"/>
      <c r="BM19" s="138">
        <v>0.2</v>
      </c>
      <c r="BN19" s="117" t="s">
        <v>173</v>
      </c>
      <c r="BO19" s="118"/>
      <c r="BP19" s="119">
        <f t="shared" si="8"/>
        <v>0</v>
      </c>
      <c r="BQ19" s="119">
        <f t="shared" si="29"/>
        <v>0</v>
      </c>
      <c r="BR19" s="139">
        <v>22</v>
      </c>
      <c r="BS19" s="139">
        <v>22</v>
      </c>
      <c r="BT19" s="114" t="s">
        <v>67</v>
      </c>
      <c r="BU19" s="139"/>
      <c r="BV19" s="140"/>
      <c r="BW19" s="135">
        <v>0</v>
      </c>
      <c r="BX19" s="136" t="s">
        <v>67</v>
      </c>
      <c r="BY19" s="114" t="s">
        <v>26</v>
      </c>
      <c r="BZ19" s="137">
        <v>4435.2</v>
      </c>
      <c r="CA19" s="138">
        <v>0.25</v>
      </c>
      <c r="CB19" s="617" t="s">
        <v>170</v>
      </c>
      <c r="CC19" s="618"/>
      <c r="CD19" s="138">
        <v>0.2</v>
      </c>
      <c r="CE19" s="117" t="s">
        <v>173</v>
      </c>
      <c r="CF19" s="118"/>
      <c r="CG19" s="119">
        <f t="shared" si="10"/>
        <v>0</v>
      </c>
      <c r="CH19" s="119">
        <f t="shared" si="30"/>
        <v>0</v>
      </c>
      <c r="CI19" s="139">
        <v>22</v>
      </c>
      <c r="CJ19" s="139">
        <v>22</v>
      </c>
      <c r="CK19" s="114" t="s">
        <v>67</v>
      </c>
      <c r="CL19" s="139"/>
      <c r="CM19" s="139"/>
      <c r="CN19" s="135">
        <v>0</v>
      </c>
      <c r="CO19" s="136" t="s">
        <v>67</v>
      </c>
      <c r="CP19" s="114" t="s">
        <v>26</v>
      </c>
      <c r="CQ19" s="137">
        <v>1396.01</v>
      </c>
      <c r="CR19" s="138">
        <v>0.25</v>
      </c>
      <c r="CS19" s="617" t="s">
        <v>170</v>
      </c>
      <c r="CT19" s="618"/>
      <c r="CU19" s="138">
        <v>0.2</v>
      </c>
      <c r="CV19" s="117" t="s">
        <v>173</v>
      </c>
      <c r="CW19" s="118"/>
      <c r="CX19" s="119">
        <f t="shared" si="11"/>
        <v>0</v>
      </c>
      <c r="CY19" s="119">
        <f t="shared" si="31"/>
        <v>0</v>
      </c>
      <c r="CZ19" s="139">
        <v>22</v>
      </c>
      <c r="DA19" s="139">
        <v>22</v>
      </c>
      <c r="DB19" s="114" t="s">
        <v>67</v>
      </c>
      <c r="DC19" s="139"/>
      <c r="DD19" s="139"/>
      <c r="DE19" s="135">
        <v>0</v>
      </c>
      <c r="DF19" s="136" t="s">
        <v>67</v>
      </c>
      <c r="DG19" s="114" t="s">
        <v>26</v>
      </c>
      <c r="DH19" s="137">
        <v>1396.01</v>
      </c>
      <c r="DI19" s="138">
        <v>0.25</v>
      </c>
      <c r="DJ19" s="617" t="s">
        <v>170</v>
      </c>
      <c r="DK19" s="618"/>
      <c r="DL19" s="138">
        <v>0.2</v>
      </c>
      <c r="DM19" s="117" t="s">
        <v>173</v>
      </c>
      <c r="DN19" s="118"/>
      <c r="DO19" s="119">
        <f t="shared" si="12"/>
        <v>0</v>
      </c>
      <c r="DP19" s="119">
        <f t="shared" si="32"/>
        <v>0</v>
      </c>
      <c r="DQ19" s="139">
        <v>22</v>
      </c>
      <c r="DR19" s="139">
        <v>22</v>
      </c>
      <c r="DS19" s="114" t="s">
        <v>67</v>
      </c>
      <c r="DT19" s="139"/>
      <c r="DU19" s="139"/>
      <c r="DV19" s="135">
        <v>0</v>
      </c>
      <c r="DW19" s="136" t="s">
        <v>166</v>
      </c>
      <c r="DX19" s="114" t="s">
        <v>43</v>
      </c>
      <c r="DY19" s="137">
        <v>4128.0200000000004</v>
      </c>
      <c r="DZ19" s="138">
        <v>0.25</v>
      </c>
      <c r="EA19" s="617" t="s">
        <v>170</v>
      </c>
      <c r="EB19" s="618"/>
      <c r="EC19" s="138">
        <v>0.2</v>
      </c>
      <c r="ED19" s="117" t="s">
        <v>173</v>
      </c>
      <c r="EE19" s="118"/>
      <c r="EF19" s="119">
        <f t="shared" si="13"/>
        <v>0</v>
      </c>
      <c r="EG19" s="119">
        <f t="shared" si="33"/>
        <v>0</v>
      </c>
      <c r="EH19" s="139">
        <v>22</v>
      </c>
      <c r="EI19" s="139">
        <v>22</v>
      </c>
      <c r="EJ19" s="114" t="s">
        <v>67</v>
      </c>
      <c r="EK19" s="139"/>
      <c r="EL19" s="139"/>
      <c r="EM19" s="135">
        <v>0</v>
      </c>
      <c r="EN19" s="136" t="s">
        <v>166</v>
      </c>
      <c r="EO19" s="114" t="s">
        <v>43</v>
      </c>
      <c r="EP19" s="137">
        <v>4128.0200000000004</v>
      </c>
      <c r="EQ19" s="138">
        <v>0.25</v>
      </c>
      <c r="ER19" s="617" t="s">
        <v>170</v>
      </c>
      <c r="ES19" s="618"/>
      <c r="ET19" s="138">
        <v>0.2</v>
      </c>
      <c r="EU19" s="117" t="s">
        <v>173</v>
      </c>
      <c r="EV19" s="118"/>
      <c r="EW19" s="119">
        <f t="shared" si="14"/>
        <v>0</v>
      </c>
      <c r="EX19" s="119">
        <f t="shared" si="34"/>
        <v>0</v>
      </c>
      <c r="EY19" s="139">
        <v>22</v>
      </c>
      <c r="EZ19" s="139">
        <v>22</v>
      </c>
      <c r="FA19" s="114" t="s">
        <v>67</v>
      </c>
      <c r="FB19" s="139"/>
      <c r="FC19" s="139"/>
      <c r="FD19" s="135">
        <v>0</v>
      </c>
      <c r="FE19" s="136" t="s">
        <v>166</v>
      </c>
      <c r="FF19" s="114" t="s">
        <v>54</v>
      </c>
      <c r="FG19" s="137">
        <v>1741.45</v>
      </c>
      <c r="FH19" s="138">
        <v>0.25</v>
      </c>
      <c r="FI19" s="617" t="s">
        <v>170</v>
      </c>
      <c r="FJ19" s="618"/>
      <c r="FK19" s="138">
        <v>0.2</v>
      </c>
      <c r="FL19" s="117" t="s">
        <v>172</v>
      </c>
      <c r="FM19" s="118"/>
      <c r="FN19" s="119">
        <f t="shared" si="15"/>
        <v>0</v>
      </c>
      <c r="FO19" s="119">
        <f t="shared" si="35"/>
        <v>0</v>
      </c>
      <c r="FP19" s="139">
        <v>9</v>
      </c>
      <c r="FQ19" s="139"/>
      <c r="FR19" s="114" t="s">
        <v>67</v>
      </c>
      <c r="FS19" s="139"/>
      <c r="FT19" s="139"/>
      <c r="FU19" s="135">
        <v>0</v>
      </c>
      <c r="FV19" s="136" t="s">
        <v>166</v>
      </c>
      <c r="FW19" s="114" t="s">
        <v>175</v>
      </c>
      <c r="FX19" s="137">
        <v>0</v>
      </c>
      <c r="FY19" s="138">
        <v>0.25</v>
      </c>
      <c r="FZ19" s="619" t="s">
        <v>161</v>
      </c>
      <c r="GA19" s="620"/>
      <c r="GB19" s="138">
        <v>0.2</v>
      </c>
      <c r="GC19" s="117" t="s">
        <v>173</v>
      </c>
      <c r="GD19" s="118"/>
      <c r="GE19" s="119">
        <f t="shared" si="16"/>
        <v>0</v>
      </c>
      <c r="GF19" s="119">
        <f t="shared" si="36"/>
        <v>0</v>
      </c>
      <c r="GG19" s="139">
        <v>0</v>
      </c>
      <c r="GH19" s="139"/>
      <c r="GI19" s="114" t="s">
        <v>67</v>
      </c>
      <c r="GJ19" s="139"/>
      <c r="GK19" s="139"/>
      <c r="GL19" s="135">
        <v>0</v>
      </c>
      <c r="GM19" s="136" t="s">
        <v>166</v>
      </c>
      <c r="GN19" s="114" t="s">
        <v>175</v>
      </c>
      <c r="GO19" s="137">
        <v>0</v>
      </c>
      <c r="GP19" s="138">
        <v>0.25</v>
      </c>
      <c r="GQ19" s="619" t="s">
        <v>161</v>
      </c>
      <c r="GR19" s="620"/>
      <c r="GS19" s="138">
        <v>0.2</v>
      </c>
      <c r="GT19" s="117" t="s">
        <v>173</v>
      </c>
      <c r="GU19" s="118"/>
      <c r="GV19" s="119">
        <f t="shared" si="28"/>
        <v>0</v>
      </c>
      <c r="GW19" s="119">
        <f t="shared" si="37"/>
        <v>0</v>
      </c>
      <c r="GX19" s="139">
        <v>0</v>
      </c>
      <c r="GY19" s="139"/>
      <c r="GZ19" s="114" t="s">
        <v>67</v>
      </c>
      <c r="HA19" s="139"/>
      <c r="HB19" s="139"/>
      <c r="HC19" s="60"/>
      <c r="HD19" s="60"/>
      <c r="HE19" s="60"/>
      <c r="HN19" s="121">
        <f t="shared" si="18"/>
        <v>0</v>
      </c>
    </row>
    <row r="20" spans="1:222" ht="22.5" customHeight="1">
      <c r="A20" s="1"/>
      <c r="B20" s="122">
        <v>158268</v>
      </c>
      <c r="C20" s="122" t="s">
        <v>185</v>
      </c>
      <c r="D20" s="123" t="s">
        <v>80</v>
      </c>
      <c r="E20" s="124">
        <v>0</v>
      </c>
      <c r="F20" s="124">
        <v>5</v>
      </c>
      <c r="G20" s="125">
        <v>1</v>
      </c>
      <c r="H20" s="125" t="s">
        <v>166</v>
      </c>
      <c r="I20" s="97" t="s">
        <v>76</v>
      </c>
      <c r="J20" s="98">
        <v>1764.4</v>
      </c>
      <c r="K20" s="127">
        <v>0.25</v>
      </c>
      <c r="L20" s="636" t="s">
        <v>170</v>
      </c>
      <c r="M20" s="618"/>
      <c r="N20" s="127">
        <v>0.2</v>
      </c>
      <c r="O20" s="100" t="s">
        <v>171</v>
      </c>
      <c r="P20" s="101"/>
      <c r="Q20" s="102">
        <f t="shared" si="3"/>
        <v>0</v>
      </c>
      <c r="R20" s="102">
        <f t="shared" si="4"/>
        <v>0</v>
      </c>
      <c r="S20" s="128">
        <v>30</v>
      </c>
      <c r="T20" s="128">
        <v>30</v>
      </c>
      <c r="U20" s="97" t="s">
        <v>166</v>
      </c>
      <c r="V20" s="128"/>
      <c r="W20" s="129" t="s">
        <v>67</v>
      </c>
      <c r="X20" s="130">
        <v>3</v>
      </c>
      <c r="Y20" s="131" t="s">
        <v>166</v>
      </c>
      <c r="Z20" s="106" t="s">
        <v>76</v>
      </c>
      <c r="AA20" s="107">
        <v>1764.4</v>
      </c>
      <c r="AB20" s="133">
        <v>0</v>
      </c>
      <c r="AC20" s="637" t="s">
        <v>170</v>
      </c>
      <c r="AD20" s="618"/>
      <c r="AE20" s="133">
        <v>0.2</v>
      </c>
      <c r="AF20" s="109" t="s">
        <v>171</v>
      </c>
      <c r="AG20" s="110"/>
      <c r="AH20" s="111">
        <f t="shared" si="20"/>
        <v>0</v>
      </c>
      <c r="AI20" s="111">
        <f t="shared" si="5"/>
        <v>0</v>
      </c>
      <c r="AJ20" s="134">
        <v>30</v>
      </c>
      <c r="AK20" s="134">
        <v>30</v>
      </c>
      <c r="AL20" s="106" t="s">
        <v>67</v>
      </c>
      <c r="AM20" s="134"/>
      <c r="AN20" s="131" t="s">
        <v>166</v>
      </c>
      <c r="AO20" s="135">
        <v>0</v>
      </c>
      <c r="AP20" s="136" t="s">
        <v>67</v>
      </c>
      <c r="AQ20" s="114" t="s">
        <v>54</v>
      </c>
      <c r="AR20" s="137">
        <v>1741.45</v>
      </c>
      <c r="AS20" s="138">
        <v>0.25</v>
      </c>
      <c r="AT20" s="617" t="s">
        <v>170</v>
      </c>
      <c r="AU20" s="618"/>
      <c r="AV20" s="138">
        <v>0.2</v>
      </c>
      <c r="AW20" s="117" t="s">
        <v>172</v>
      </c>
      <c r="AX20" s="118"/>
      <c r="AY20" s="119">
        <f t="shared" si="6"/>
        <v>0</v>
      </c>
      <c r="AZ20" s="119">
        <f t="shared" si="7"/>
        <v>0</v>
      </c>
      <c r="BA20" s="139">
        <v>22</v>
      </c>
      <c r="BB20" s="139">
        <v>22</v>
      </c>
      <c r="BC20" s="114" t="s">
        <v>166</v>
      </c>
      <c r="BD20" s="139"/>
      <c r="BE20" s="139"/>
      <c r="BF20" s="135">
        <v>0</v>
      </c>
      <c r="BG20" s="136" t="s">
        <v>67</v>
      </c>
      <c r="BH20" s="114" t="s">
        <v>26</v>
      </c>
      <c r="BI20" s="137">
        <v>4435.2</v>
      </c>
      <c r="BJ20" s="138">
        <v>0.25</v>
      </c>
      <c r="BK20" s="617" t="s">
        <v>170</v>
      </c>
      <c r="BL20" s="618"/>
      <c r="BM20" s="138">
        <v>0.2</v>
      </c>
      <c r="BN20" s="117" t="s">
        <v>173</v>
      </c>
      <c r="BO20" s="118"/>
      <c r="BP20" s="119">
        <f t="shared" si="8"/>
        <v>0</v>
      </c>
      <c r="BQ20" s="119">
        <f t="shared" si="29"/>
        <v>0</v>
      </c>
      <c r="BR20" s="139">
        <v>22</v>
      </c>
      <c r="BS20" s="139">
        <v>22</v>
      </c>
      <c r="BT20" s="114" t="s">
        <v>67</v>
      </c>
      <c r="BU20" s="139"/>
      <c r="BV20" s="140"/>
      <c r="BW20" s="135">
        <v>0</v>
      </c>
      <c r="BX20" s="136" t="s">
        <v>67</v>
      </c>
      <c r="BY20" s="114" t="s">
        <v>26</v>
      </c>
      <c r="BZ20" s="137">
        <v>4435.2</v>
      </c>
      <c r="CA20" s="138">
        <v>0.25</v>
      </c>
      <c r="CB20" s="617" t="s">
        <v>170</v>
      </c>
      <c r="CC20" s="618"/>
      <c r="CD20" s="138">
        <v>0.2</v>
      </c>
      <c r="CE20" s="117" t="s">
        <v>173</v>
      </c>
      <c r="CF20" s="118"/>
      <c r="CG20" s="119">
        <f t="shared" si="10"/>
        <v>0</v>
      </c>
      <c r="CH20" s="119">
        <f t="shared" si="30"/>
        <v>0</v>
      </c>
      <c r="CI20" s="139">
        <v>22</v>
      </c>
      <c r="CJ20" s="139">
        <v>22</v>
      </c>
      <c r="CK20" s="114" t="s">
        <v>67</v>
      </c>
      <c r="CL20" s="139"/>
      <c r="CM20" s="139"/>
      <c r="CN20" s="135">
        <v>0</v>
      </c>
      <c r="CO20" s="136" t="s">
        <v>67</v>
      </c>
      <c r="CP20" s="114" t="s">
        <v>26</v>
      </c>
      <c r="CQ20" s="137">
        <v>1396.01</v>
      </c>
      <c r="CR20" s="138">
        <v>0.25</v>
      </c>
      <c r="CS20" s="617" t="s">
        <v>170</v>
      </c>
      <c r="CT20" s="618"/>
      <c r="CU20" s="138">
        <v>0.2</v>
      </c>
      <c r="CV20" s="117" t="s">
        <v>173</v>
      </c>
      <c r="CW20" s="118"/>
      <c r="CX20" s="119">
        <f t="shared" si="11"/>
        <v>0</v>
      </c>
      <c r="CY20" s="119">
        <f t="shared" si="31"/>
        <v>0</v>
      </c>
      <c r="CZ20" s="139">
        <v>22</v>
      </c>
      <c r="DA20" s="139">
        <v>22</v>
      </c>
      <c r="DB20" s="114" t="s">
        <v>67</v>
      </c>
      <c r="DC20" s="139"/>
      <c r="DD20" s="139"/>
      <c r="DE20" s="135">
        <v>0</v>
      </c>
      <c r="DF20" s="136" t="s">
        <v>67</v>
      </c>
      <c r="DG20" s="114" t="s">
        <v>26</v>
      </c>
      <c r="DH20" s="137">
        <v>1396.01</v>
      </c>
      <c r="DI20" s="138">
        <v>0.25</v>
      </c>
      <c r="DJ20" s="617" t="s">
        <v>170</v>
      </c>
      <c r="DK20" s="618"/>
      <c r="DL20" s="138">
        <v>0.2</v>
      </c>
      <c r="DM20" s="117" t="s">
        <v>173</v>
      </c>
      <c r="DN20" s="118"/>
      <c r="DO20" s="119">
        <f t="shared" si="12"/>
        <v>0</v>
      </c>
      <c r="DP20" s="119">
        <f t="shared" si="32"/>
        <v>0</v>
      </c>
      <c r="DQ20" s="139">
        <v>22</v>
      </c>
      <c r="DR20" s="139">
        <v>22</v>
      </c>
      <c r="DS20" s="114" t="s">
        <v>67</v>
      </c>
      <c r="DT20" s="139"/>
      <c r="DU20" s="139"/>
      <c r="DV20" s="135">
        <v>0</v>
      </c>
      <c r="DW20" s="136" t="s">
        <v>166</v>
      </c>
      <c r="DX20" s="114" t="s">
        <v>43</v>
      </c>
      <c r="DY20" s="137">
        <v>4128.0200000000004</v>
      </c>
      <c r="DZ20" s="138">
        <v>0.25</v>
      </c>
      <c r="EA20" s="617" t="s">
        <v>170</v>
      </c>
      <c r="EB20" s="618"/>
      <c r="EC20" s="138">
        <v>0.2</v>
      </c>
      <c r="ED20" s="117" t="s">
        <v>173</v>
      </c>
      <c r="EE20" s="118"/>
      <c r="EF20" s="119">
        <f t="shared" si="13"/>
        <v>0</v>
      </c>
      <c r="EG20" s="119">
        <f t="shared" si="33"/>
        <v>0</v>
      </c>
      <c r="EH20" s="139">
        <v>22</v>
      </c>
      <c r="EI20" s="139">
        <v>22</v>
      </c>
      <c r="EJ20" s="114" t="s">
        <v>67</v>
      </c>
      <c r="EK20" s="139"/>
      <c r="EL20" s="139"/>
      <c r="EM20" s="135">
        <v>0</v>
      </c>
      <c r="EN20" s="136" t="s">
        <v>166</v>
      </c>
      <c r="EO20" s="114" t="s">
        <v>43</v>
      </c>
      <c r="EP20" s="137">
        <v>4128.0200000000004</v>
      </c>
      <c r="EQ20" s="138">
        <v>0.25</v>
      </c>
      <c r="ER20" s="617" t="s">
        <v>170</v>
      </c>
      <c r="ES20" s="618"/>
      <c r="ET20" s="138">
        <v>0.2</v>
      </c>
      <c r="EU20" s="117" t="s">
        <v>173</v>
      </c>
      <c r="EV20" s="118"/>
      <c r="EW20" s="119">
        <f t="shared" si="14"/>
        <v>0</v>
      </c>
      <c r="EX20" s="119">
        <f t="shared" si="34"/>
        <v>0</v>
      </c>
      <c r="EY20" s="139">
        <v>22</v>
      </c>
      <c r="EZ20" s="139">
        <v>22</v>
      </c>
      <c r="FA20" s="114" t="s">
        <v>67</v>
      </c>
      <c r="FB20" s="139"/>
      <c r="FC20" s="139"/>
      <c r="FD20" s="135">
        <v>0</v>
      </c>
      <c r="FE20" s="136" t="s">
        <v>166</v>
      </c>
      <c r="FF20" s="114" t="s">
        <v>54</v>
      </c>
      <c r="FG20" s="137">
        <v>1741.45</v>
      </c>
      <c r="FH20" s="138">
        <v>0.25</v>
      </c>
      <c r="FI20" s="617" t="s">
        <v>170</v>
      </c>
      <c r="FJ20" s="618"/>
      <c r="FK20" s="138">
        <v>0.2</v>
      </c>
      <c r="FL20" s="117" t="s">
        <v>172</v>
      </c>
      <c r="FM20" s="118"/>
      <c r="FN20" s="119">
        <f t="shared" si="15"/>
        <v>0</v>
      </c>
      <c r="FO20" s="119">
        <f t="shared" si="35"/>
        <v>0</v>
      </c>
      <c r="FP20" s="139">
        <v>9</v>
      </c>
      <c r="FQ20" s="139"/>
      <c r="FR20" s="114" t="s">
        <v>67</v>
      </c>
      <c r="FS20" s="139"/>
      <c r="FT20" s="139"/>
      <c r="FU20" s="135">
        <v>0</v>
      </c>
      <c r="FV20" s="136" t="s">
        <v>166</v>
      </c>
      <c r="FW20" s="114" t="s">
        <v>15</v>
      </c>
      <c r="FX20" s="137">
        <v>0</v>
      </c>
      <c r="FY20" s="138">
        <v>0.25</v>
      </c>
      <c r="FZ20" s="619" t="s">
        <v>162</v>
      </c>
      <c r="GA20" s="620"/>
      <c r="GB20" s="138">
        <v>0.2</v>
      </c>
      <c r="GC20" s="117" t="s">
        <v>173</v>
      </c>
      <c r="GD20" s="118"/>
      <c r="GE20" s="119">
        <f t="shared" si="16"/>
        <v>0</v>
      </c>
      <c r="GF20" s="119">
        <f t="shared" si="36"/>
        <v>0</v>
      </c>
      <c r="GG20" s="139">
        <v>0</v>
      </c>
      <c r="GH20" s="139"/>
      <c r="GI20" s="114" t="s">
        <v>67</v>
      </c>
      <c r="GJ20" s="139"/>
      <c r="GK20" s="139"/>
      <c r="GL20" s="135">
        <v>0</v>
      </c>
      <c r="GM20" s="136" t="s">
        <v>166</v>
      </c>
      <c r="GN20" s="114" t="s">
        <v>15</v>
      </c>
      <c r="GO20" s="137">
        <v>0</v>
      </c>
      <c r="GP20" s="138">
        <v>0.25</v>
      </c>
      <c r="GQ20" s="619" t="s">
        <v>162</v>
      </c>
      <c r="GR20" s="620"/>
      <c r="GS20" s="138">
        <v>0.2</v>
      </c>
      <c r="GT20" s="117" t="s">
        <v>173</v>
      </c>
      <c r="GU20" s="118"/>
      <c r="GV20" s="119">
        <f t="shared" si="28"/>
        <v>0</v>
      </c>
      <c r="GW20" s="119">
        <f t="shared" si="37"/>
        <v>0</v>
      </c>
      <c r="GX20" s="139">
        <v>0</v>
      </c>
      <c r="GY20" s="139"/>
      <c r="GZ20" s="114" t="s">
        <v>67</v>
      </c>
      <c r="HA20" s="139"/>
      <c r="HB20" s="139"/>
      <c r="HC20" s="60"/>
      <c r="HD20" s="60"/>
      <c r="HE20" s="60"/>
      <c r="HN20" s="121">
        <f t="shared" si="18"/>
        <v>4</v>
      </c>
    </row>
    <row r="21" spans="1:222" ht="22.5" customHeight="1">
      <c r="A21" s="1"/>
      <c r="B21" s="156"/>
      <c r="C21" s="156"/>
      <c r="D21" s="123" t="s">
        <v>84</v>
      </c>
      <c r="E21" s="124">
        <v>3.9</v>
      </c>
      <c r="F21" s="124">
        <v>3</v>
      </c>
      <c r="G21" s="125">
        <v>1</v>
      </c>
      <c r="H21" s="125" t="s">
        <v>166</v>
      </c>
      <c r="I21" s="97" t="s">
        <v>71</v>
      </c>
      <c r="J21" s="98">
        <v>1764.4</v>
      </c>
      <c r="K21" s="127">
        <v>0.25</v>
      </c>
      <c r="L21" s="636" t="s">
        <v>170</v>
      </c>
      <c r="M21" s="618"/>
      <c r="N21" s="127">
        <v>0.2</v>
      </c>
      <c r="O21" s="100" t="s">
        <v>171</v>
      </c>
      <c r="P21" s="101"/>
      <c r="Q21" s="102">
        <f t="shared" si="3"/>
        <v>0</v>
      </c>
      <c r="R21" s="102">
        <f t="shared" si="4"/>
        <v>0</v>
      </c>
      <c r="S21" s="128">
        <v>30</v>
      </c>
      <c r="T21" s="128">
        <v>30</v>
      </c>
      <c r="U21" s="97" t="s">
        <v>166</v>
      </c>
      <c r="V21" s="128"/>
      <c r="W21" s="129" t="s">
        <v>67</v>
      </c>
      <c r="X21" s="130">
        <v>1</v>
      </c>
      <c r="Y21" s="131" t="s">
        <v>166</v>
      </c>
      <c r="Z21" s="106" t="s">
        <v>71</v>
      </c>
      <c r="AA21" s="107">
        <v>1764.4</v>
      </c>
      <c r="AB21" s="133">
        <v>0.25</v>
      </c>
      <c r="AC21" s="637" t="s">
        <v>170</v>
      </c>
      <c r="AD21" s="618"/>
      <c r="AE21" s="133">
        <v>0.2</v>
      </c>
      <c r="AF21" s="109" t="s">
        <v>171</v>
      </c>
      <c r="AG21" s="110"/>
      <c r="AH21" s="111">
        <f t="shared" si="20"/>
        <v>0</v>
      </c>
      <c r="AI21" s="111">
        <f t="shared" si="5"/>
        <v>0</v>
      </c>
      <c r="AJ21" s="134">
        <v>30</v>
      </c>
      <c r="AK21" s="134">
        <v>30</v>
      </c>
      <c r="AL21" s="106" t="s">
        <v>67</v>
      </c>
      <c r="AM21" s="134"/>
      <c r="AN21" s="131" t="s">
        <v>166</v>
      </c>
      <c r="AO21" s="135">
        <v>0</v>
      </c>
      <c r="AP21" s="136" t="s">
        <v>67</v>
      </c>
      <c r="AQ21" s="114" t="s">
        <v>54</v>
      </c>
      <c r="AR21" s="137">
        <v>1741.45</v>
      </c>
      <c r="AS21" s="138">
        <v>0.25</v>
      </c>
      <c r="AT21" s="617" t="s">
        <v>170</v>
      </c>
      <c r="AU21" s="618"/>
      <c r="AV21" s="138">
        <v>0.2</v>
      </c>
      <c r="AW21" s="117" t="s">
        <v>172</v>
      </c>
      <c r="AX21" s="118"/>
      <c r="AY21" s="119">
        <f t="shared" si="6"/>
        <v>0</v>
      </c>
      <c r="AZ21" s="119">
        <f t="shared" si="7"/>
        <v>0</v>
      </c>
      <c r="BA21" s="139">
        <v>22</v>
      </c>
      <c r="BB21" s="139">
        <v>22</v>
      </c>
      <c r="BC21" s="114" t="s">
        <v>67</v>
      </c>
      <c r="BD21" s="139"/>
      <c r="BE21" s="139"/>
      <c r="BF21" s="135">
        <v>0</v>
      </c>
      <c r="BG21" s="136" t="s">
        <v>67</v>
      </c>
      <c r="BH21" s="114" t="s">
        <v>26</v>
      </c>
      <c r="BI21" s="137">
        <v>4435.2</v>
      </c>
      <c r="BJ21" s="138">
        <v>0.25</v>
      </c>
      <c r="BK21" s="617" t="s">
        <v>170</v>
      </c>
      <c r="BL21" s="618"/>
      <c r="BM21" s="138">
        <v>0.2</v>
      </c>
      <c r="BN21" s="117" t="s">
        <v>173</v>
      </c>
      <c r="BO21" s="118"/>
      <c r="BP21" s="119">
        <f t="shared" si="8"/>
        <v>0</v>
      </c>
      <c r="BQ21" s="119">
        <f t="shared" si="29"/>
        <v>0</v>
      </c>
      <c r="BR21" s="139">
        <v>22</v>
      </c>
      <c r="BS21" s="139">
        <v>22</v>
      </c>
      <c r="BT21" s="114" t="s">
        <v>67</v>
      </c>
      <c r="BU21" s="139"/>
      <c r="BV21" s="140"/>
      <c r="BW21" s="135">
        <v>0</v>
      </c>
      <c r="BX21" s="136" t="s">
        <v>67</v>
      </c>
      <c r="BY21" s="114" t="s">
        <v>26</v>
      </c>
      <c r="BZ21" s="137">
        <v>4435.2</v>
      </c>
      <c r="CA21" s="138">
        <v>0.25</v>
      </c>
      <c r="CB21" s="617" t="s">
        <v>170</v>
      </c>
      <c r="CC21" s="618"/>
      <c r="CD21" s="138">
        <v>0.2</v>
      </c>
      <c r="CE21" s="117" t="s">
        <v>173</v>
      </c>
      <c r="CF21" s="118"/>
      <c r="CG21" s="119">
        <f t="shared" si="10"/>
        <v>0</v>
      </c>
      <c r="CH21" s="119">
        <f t="shared" si="30"/>
        <v>0</v>
      </c>
      <c r="CI21" s="139">
        <v>22</v>
      </c>
      <c r="CJ21" s="139">
        <v>22</v>
      </c>
      <c r="CK21" s="114" t="s">
        <v>67</v>
      </c>
      <c r="CL21" s="139"/>
      <c r="CM21" s="139"/>
      <c r="CN21" s="135">
        <v>0</v>
      </c>
      <c r="CO21" s="136" t="s">
        <v>67</v>
      </c>
      <c r="CP21" s="114" t="s">
        <v>26</v>
      </c>
      <c r="CQ21" s="137">
        <v>1396.01</v>
      </c>
      <c r="CR21" s="138">
        <v>0.25</v>
      </c>
      <c r="CS21" s="617" t="s">
        <v>170</v>
      </c>
      <c r="CT21" s="618"/>
      <c r="CU21" s="138">
        <v>0.2</v>
      </c>
      <c r="CV21" s="117" t="s">
        <v>173</v>
      </c>
      <c r="CW21" s="118"/>
      <c r="CX21" s="119">
        <f t="shared" si="11"/>
        <v>0</v>
      </c>
      <c r="CY21" s="119">
        <f t="shared" si="31"/>
        <v>0</v>
      </c>
      <c r="CZ21" s="139">
        <v>22</v>
      </c>
      <c r="DA21" s="139">
        <v>22</v>
      </c>
      <c r="DB21" s="114" t="s">
        <v>67</v>
      </c>
      <c r="DC21" s="139"/>
      <c r="DD21" s="139"/>
      <c r="DE21" s="135">
        <v>0</v>
      </c>
      <c r="DF21" s="136" t="s">
        <v>67</v>
      </c>
      <c r="DG21" s="114" t="s">
        <v>26</v>
      </c>
      <c r="DH21" s="137">
        <v>1396.01</v>
      </c>
      <c r="DI21" s="138">
        <v>0.25</v>
      </c>
      <c r="DJ21" s="617" t="s">
        <v>170</v>
      </c>
      <c r="DK21" s="618"/>
      <c r="DL21" s="138">
        <v>0.2</v>
      </c>
      <c r="DM21" s="117" t="s">
        <v>173</v>
      </c>
      <c r="DN21" s="118"/>
      <c r="DO21" s="119">
        <f t="shared" si="12"/>
        <v>0</v>
      </c>
      <c r="DP21" s="119">
        <f t="shared" si="32"/>
        <v>0</v>
      </c>
      <c r="DQ21" s="139">
        <v>22</v>
      </c>
      <c r="DR21" s="139">
        <v>22</v>
      </c>
      <c r="DS21" s="114" t="s">
        <v>67</v>
      </c>
      <c r="DT21" s="139"/>
      <c r="DU21" s="139"/>
      <c r="DV21" s="135">
        <v>0</v>
      </c>
      <c r="DW21" s="136" t="s">
        <v>166</v>
      </c>
      <c r="DX21" s="114" t="s">
        <v>43</v>
      </c>
      <c r="DY21" s="137">
        <v>4128.0200000000004</v>
      </c>
      <c r="DZ21" s="138">
        <v>0.25</v>
      </c>
      <c r="EA21" s="617" t="s">
        <v>170</v>
      </c>
      <c r="EB21" s="618"/>
      <c r="EC21" s="138">
        <v>0.2</v>
      </c>
      <c r="ED21" s="117" t="s">
        <v>173</v>
      </c>
      <c r="EE21" s="118"/>
      <c r="EF21" s="119">
        <f t="shared" si="13"/>
        <v>0</v>
      </c>
      <c r="EG21" s="119">
        <f t="shared" si="33"/>
        <v>0</v>
      </c>
      <c r="EH21" s="139">
        <v>22</v>
      </c>
      <c r="EI21" s="139">
        <v>22</v>
      </c>
      <c r="EJ21" s="114" t="s">
        <v>67</v>
      </c>
      <c r="EK21" s="139"/>
      <c r="EL21" s="139"/>
      <c r="EM21" s="135">
        <v>0</v>
      </c>
      <c r="EN21" s="136" t="s">
        <v>166</v>
      </c>
      <c r="EO21" s="114" t="s">
        <v>43</v>
      </c>
      <c r="EP21" s="137">
        <v>4128.0200000000004</v>
      </c>
      <c r="EQ21" s="138">
        <v>0.25</v>
      </c>
      <c r="ER21" s="617" t="s">
        <v>170</v>
      </c>
      <c r="ES21" s="618"/>
      <c r="ET21" s="138">
        <v>0.2</v>
      </c>
      <c r="EU21" s="117" t="s">
        <v>173</v>
      </c>
      <c r="EV21" s="118"/>
      <c r="EW21" s="119">
        <f t="shared" si="14"/>
        <v>0</v>
      </c>
      <c r="EX21" s="119">
        <f t="shared" si="34"/>
        <v>0</v>
      </c>
      <c r="EY21" s="139">
        <v>22</v>
      </c>
      <c r="EZ21" s="139">
        <v>22</v>
      </c>
      <c r="FA21" s="114" t="s">
        <v>67</v>
      </c>
      <c r="FB21" s="139"/>
      <c r="FC21" s="139"/>
      <c r="FD21" s="135">
        <v>0</v>
      </c>
      <c r="FE21" s="136" t="s">
        <v>166</v>
      </c>
      <c r="FF21" s="114" t="s">
        <v>54</v>
      </c>
      <c r="FG21" s="137">
        <v>1741.45</v>
      </c>
      <c r="FH21" s="138">
        <v>0.25</v>
      </c>
      <c r="FI21" s="617" t="s">
        <v>170</v>
      </c>
      <c r="FJ21" s="618"/>
      <c r="FK21" s="138">
        <v>0.2</v>
      </c>
      <c r="FL21" s="117" t="s">
        <v>172</v>
      </c>
      <c r="FM21" s="118"/>
      <c r="FN21" s="119">
        <f t="shared" si="15"/>
        <v>0</v>
      </c>
      <c r="FO21" s="119">
        <f t="shared" si="35"/>
        <v>0</v>
      </c>
      <c r="FP21" s="139">
        <v>9</v>
      </c>
      <c r="FQ21" s="139"/>
      <c r="FR21" s="114" t="s">
        <v>67</v>
      </c>
      <c r="FS21" s="139"/>
      <c r="FT21" s="139"/>
      <c r="FU21" s="135">
        <v>0</v>
      </c>
      <c r="FV21" s="136" t="s">
        <v>166</v>
      </c>
      <c r="FW21" s="114" t="s">
        <v>15</v>
      </c>
      <c r="FX21" s="137">
        <v>0</v>
      </c>
      <c r="FY21" s="138">
        <v>0.25</v>
      </c>
      <c r="FZ21" s="619" t="s">
        <v>161</v>
      </c>
      <c r="GA21" s="620"/>
      <c r="GB21" s="138">
        <v>0.2</v>
      </c>
      <c r="GC21" s="117" t="s">
        <v>173</v>
      </c>
      <c r="GD21" s="118"/>
      <c r="GE21" s="119">
        <f t="shared" si="16"/>
        <v>0</v>
      </c>
      <c r="GF21" s="119">
        <f t="shared" si="36"/>
        <v>0</v>
      </c>
      <c r="GG21" s="139">
        <v>0</v>
      </c>
      <c r="GH21" s="139"/>
      <c r="GI21" s="114" t="s">
        <v>67</v>
      </c>
      <c r="GJ21" s="139"/>
      <c r="GK21" s="139"/>
      <c r="GL21" s="135">
        <v>0</v>
      </c>
      <c r="GM21" s="136" t="s">
        <v>166</v>
      </c>
      <c r="GN21" s="114" t="s">
        <v>15</v>
      </c>
      <c r="GO21" s="137">
        <v>0</v>
      </c>
      <c r="GP21" s="138">
        <v>0.25</v>
      </c>
      <c r="GQ21" s="619" t="s">
        <v>161</v>
      </c>
      <c r="GR21" s="620"/>
      <c r="GS21" s="138">
        <v>0.2</v>
      </c>
      <c r="GT21" s="117" t="s">
        <v>173</v>
      </c>
      <c r="GU21" s="118"/>
      <c r="GV21" s="119">
        <f t="shared" si="28"/>
        <v>0</v>
      </c>
      <c r="GW21" s="119">
        <f t="shared" si="37"/>
        <v>0</v>
      </c>
      <c r="GX21" s="139">
        <v>0</v>
      </c>
      <c r="GY21" s="139"/>
      <c r="GZ21" s="114" t="s">
        <v>67</v>
      </c>
      <c r="HA21" s="139"/>
      <c r="HB21" s="139"/>
      <c r="HC21" s="60"/>
      <c r="HD21" s="60"/>
      <c r="HE21" s="60"/>
      <c r="HN21" s="121">
        <f t="shared" si="18"/>
        <v>2</v>
      </c>
    </row>
    <row r="22" spans="1:222" ht="18.75" customHeight="1">
      <c r="A22" s="1"/>
      <c r="B22" s="1"/>
      <c r="C22" s="1"/>
      <c r="D22" s="1"/>
      <c r="E22" s="1"/>
      <c r="F22" s="157"/>
      <c r="G22" s="44">
        <f>SUM(G10:G21)</f>
        <v>6</v>
      </c>
      <c r="H22" s="4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58">
        <f>SUM(X10:X21)</f>
        <v>10</v>
      </c>
      <c r="Y22" s="158"/>
      <c r="Z22" s="159"/>
      <c r="AA22" s="158"/>
      <c r="AB22" s="158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8"/>
      <c r="AO22" s="158">
        <f>SUM(AO10:AO21)</f>
        <v>0</v>
      </c>
      <c r="AP22" s="158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8">
        <f>SUM(BF10:BF21)</f>
        <v>0</v>
      </c>
      <c r="BG22" s="158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8">
        <f>SUM(BW10:BW21)</f>
        <v>0</v>
      </c>
      <c r="BX22" s="158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8">
        <f>SUM(CN10:CN21)</f>
        <v>0</v>
      </c>
      <c r="CO22" s="158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8">
        <f>SUM(DE10:DE21)</f>
        <v>0</v>
      </c>
      <c r="DF22" s="158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8">
        <f>SUM(DV10:DV21)</f>
        <v>0</v>
      </c>
      <c r="DW22" s="158"/>
      <c r="DX22" s="159"/>
      <c r="DY22" s="159"/>
      <c r="DZ22" s="159"/>
      <c r="EA22" s="159"/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158">
        <f>SUM(EM10:EM21)</f>
        <v>0</v>
      </c>
      <c r="EN22" s="158"/>
      <c r="EO22" s="159"/>
      <c r="EP22" s="159"/>
      <c r="EQ22" s="159"/>
      <c r="ER22" s="159"/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8">
        <f>SUM(FD10:FD21)</f>
        <v>0</v>
      </c>
      <c r="FE22" s="158"/>
      <c r="FF22" s="159"/>
      <c r="FG22" s="159"/>
      <c r="FH22" s="159"/>
      <c r="FI22" s="159"/>
      <c r="FJ22" s="159"/>
      <c r="FK22" s="159"/>
      <c r="FL22" s="159"/>
      <c r="FM22" s="159"/>
      <c r="FN22" s="159"/>
      <c r="FO22" s="159"/>
      <c r="FP22" s="159"/>
      <c r="FQ22" s="159"/>
      <c r="FR22" s="159"/>
      <c r="FS22" s="159"/>
      <c r="FT22" s="159"/>
      <c r="FU22" s="158">
        <f>SUM(FU10:FU21)</f>
        <v>0</v>
      </c>
      <c r="FV22" s="158"/>
      <c r="FW22" s="75"/>
      <c r="FX22" s="159"/>
      <c r="FY22" s="159"/>
      <c r="FZ22" s="159"/>
      <c r="GA22" s="159"/>
      <c r="GB22" s="159"/>
      <c r="GC22" s="159"/>
      <c r="GD22" s="159"/>
      <c r="GE22" s="159"/>
      <c r="GF22" s="159"/>
      <c r="GG22" s="159"/>
      <c r="GH22" s="159"/>
      <c r="GI22" s="159"/>
      <c r="GJ22" s="159"/>
      <c r="GK22" s="159"/>
      <c r="GL22" s="158">
        <f>SUM(GL10:GL21)</f>
        <v>0</v>
      </c>
      <c r="GM22" s="158"/>
      <c r="GN22" s="75"/>
      <c r="GO22" s="159"/>
      <c r="GP22" s="159"/>
      <c r="GQ22" s="159"/>
      <c r="GR22" s="159"/>
      <c r="GS22" s="159"/>
      <c r="GT22" s="159"/>
      <c r="GU22" s="159"/>
      <c r="GV22" s="159"/>
      <c r="GW22" s="159"/>
      <c r="GX22" s="159"/>
      <c r="GY22" s="159"/>
      <c r="GZ22" s="159"/>
      <c r="HA22" s="159"/>
      <c r="HB22" s="159"/>
      <c r="HC22" s="159"/>
      <c r="HD22" s="159"/>
      <c r="HE22" s="159"/>
      <c r="HF22" s="1"/>
      <c r="HG22" s="1"/>
      <c r="HH22" s="1"/>
      <c r="HI22" s="1"/>
      <c r="HJ22" s="1"/>
      <c r="HK22" s="1"/>
      <c r="HL22" s="1"/>
      <c r="HM22" s="1"/>
      <c r="HN22" s="121">
        <f t="shared" si="18"/>
        <v>16</v>
      </c>
    </row>
    <row r="23" spans="1:222" ht="14.25" customHeight="1">
      <c r="A23" s="1"/>
      <c r="B23" s="160" t="s">
        <v>186</v>
      </c>
      <c r="C23" s="160"/>
      <c r="D23" s="161"/>
      <c r="E23" s="1"/>
      <c r="F23" s="157"/>
      <c r="G23" s="125" t="s">
        <v>187</v>
      </c>
      <c r="H23" s="44"/>
      <c r="I23" s="44"/>
      <c r="J23" s="44"/>
      <c r="K23" s="1"/>
      <c r="L23" s="162" t="s">
        <v>188</v>
      </c>
      <c r="M23" s="163"/>
      <c r="N23" s="164"/>
      <c r="O23" s="165" t="s">
        <v>172</v>
      </c>
      <c r="P23" s="166"/>
      <c r="Q23" s="164"/>
      <c r="R23" s="1"/>
      <c r="S23" s="1"/>
      <c r="T23" s="1"/>
      <c r="U23" s="1"/>
      <c r="V23" s="1"/>
      <c r="W23" s="1"/>
      <c r="X23" s="130" t="s">
        <v>189</v>
      </c>
      <c r="Y23" s="44"/>
      <c r="Z23" s="44"/>
      <c r="AA23" s="44"/>
      <c r="AB23" s="44"/>
      <c r="AC23" s="1"/>
      <c r="AD23" s="1"/>
      <c r="AE23" s="1"/>
      <c r="AF23" s="1"/>
      <c r="AG23" s="1"/>
      <c r="AH23" s="167" t="s">
        <v>190</v>
      </c>
      <c r="AI23" s="168">
        <f>52/11/12</f>
        <v>0.39393939393939398</v>
      </c>
      <c r="AJ23" s="1"/>
      <c r="AK23" s="1"/>
      <c r="AL23" s="1"/>
      <c r="AM23" s="1"/>
      <c r="AN23" s="1"/>
      <c r="AO23" s="44"/>
      <c r="AP23" s="44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44"/>
      <c r="BG23" s="44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44"/>
      <c r="BX23" s="44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44"/>
      <c r="CO23" s="44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44"/>
      <c r="DF23" s="44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44"/>
      <c r="DW23" s="44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44"/>
      <c r="EN23" s="44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44"/>
      <c r="FE23" s="44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44"/>
      <c r="FV23" s="44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44"/>
      <c r="GM23" s="44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69"/>
    </row>
    <row r="24" spans="1:222" ht="18" customHeight="1">
      <c r="A24" s="1"/>
      <c r="B24" s="1"/>
      <c r="C24" s="170"/>
      <c r="D24" s="1"/>
      <c r="E24" s="1"/>
      <c r="F24" s="157"/>
      <c r="G24" s="171"/>
      <c r="H24" s="44"/>
      <c r="I24" s="44"/>
      <c r="J24" s="44"/>
      <c r="K24" s="1"/>
      <c r="L24" s="162" t="s">
        <v>191</v>
      </c>
      <c r="M24" s="172"/>
      <c r="N24" s="1"/>
      <c r="O24" s="173" t="s">
        <v>192</v>
      </c>
      <c r="P24" s="166"/>
      <c r="Q24" s="1"/>
      <c r="R24" s="1"/>
      <c r="S24" s="1"/>
      <c r="T24" s="1"/>
      <c r="U24" s="1"/>
      <c r="V24" s="1"/>
      <c r="W24" s="1"/>
      <c r="X24" s="44"/>
      <c r="Y24" s="44"/>
      <c r="Z24" s="44"/>
      <c r="AA24" s="44"/>
      <c r="AB24" s="44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44"/>
      <c r="AP24" s="44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44"/>
      <c r="BG24" s="44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44"/>
      <c r="BX24" s="44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44"/>
      <c r="CO24" s="44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44"/>
      <c r="DF24" s="44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44"/>
      <c r="DW24" s="44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44"/>
      <c r="EN24" s="44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44"/>
      <c r="FE24" s="44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44"/>
      <c r="FV24" s="44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44"/>
      <c r="GM24" s="44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</row>
    <row r="25" spans="1:222" ht="18" customHeight="1">
      <c r="A25" s="174"/>
      <c r="B25" s="1"/>
      <c r="C25" s="170"/>
      <c r="E25" s="174"/>
      <c r="F25" s="174"/>
      <c r="G25" s="175"/>
      <c r="H25" s="175"/>
      <c r="I25" s="175"/>
      <c r="J25" s="175"/>
      <c r="K25" s="175"/>
      <c r="L25" s="176" t="s">
        <v>170</v>
      </c>
      <c r="M25" s="177"/>
      <c r="N25" s="174"/>
      <c r="O25" s="165" t="s">
        <v>171</v>
      </c>
      <c r="P25" s="178"/>
      <c r="Q25" s="174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5"/>
      <c r="BY25" s="175"/>
      <c r="BZ25" s="175"/>
      <c r="CA25" s="175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>
        <f t="shared" ref="GM25:HM25" si="38">GM6</f>
        <v>0</v>
      </c>
      <c r="GN25" s="175">
        <f t="shared" si="38"/>
        <v>0</v>
      </c>
      <c r="GO25" s="175">
        <f t="shared" si="38"/>
        <v>0</v>
      </c>
      <c r="GP25" s="175">
        <f t="shared" si="38"/>
        <v>0</v>
      </c>
      <c r="GQ25" s="175">
        <f t="shared" si="38"/>
        <v>0</v>
      </c>
      <c r="GR25" s="175">
        <f t="shared" si="38"/>
        <v>0</v>
      </c>
      <c r="GS25" s="175">
        <f t="shared" si="38"/>
        <v>0</v>
      </c>
      <c r="GT25" s="175">
        <f t="shared" si="38"/>
        <v>0</v>
      </c>
      <c r="GU25" s="175">
        <f t="shared" si="38"/>
        <v>0</v>
      </c>
      <c r="GV25" s="175">
        <f t="shared" si="38"/>
        <v>0</v>
      </c>
      <c r="GW25" s="175">
        <f t="shared" si="38"/>
        <v>0</v>
      </c>
      <c r="GX25" s="175">
        <f t="shared" si="38"/>
        <v>0</v>
      </c>
      <c r="GY25" s="175">
        <f t="shared" si="38"/>
        <v>0</v>
      </c>
      <c r="GZ25" s="175">
        <f t="shared" si="38"/>
        <v>0</v>
      </c>
      <c r="HA25" s="175">
        <f t="shared" si="38"/>
        <v>0</v>
      </c>
      <c r="HB25" s="175">
        <f t="shared" si="38"/>
        <v>0</v>
      </c>
      <c r="HC25" s="175">
        <f t="shared" si="38"/>
        <v>0</v>
      </c>
      <c r="HD25" s="175">
        <f t="shared" si="38"/>
        <v>0</v>
      </c>
      <c r="HE25" s="175">
        <f t="shared" si="38"/>
        <v>0</v>
      </c>
      <c r="HF25" s="175">
        <f t="shared" si="38"/>
        <v>0</v>
      </c>
      <c r="HG25" s="175">
        <f t="shared" si="38"/>
        <v>0</v>
      </c>
      <c r="HH25" s="175">
        <f t="shared" si="38"/>
        <v>0</v>
      </c>
      <c r="HI25" s="175">
        <f t="shared" si="38"/>
        <v>0</v>
      </c>
      <c r="HJ25" s="175">
        <f t="shared" si="38"/>
        <v>0</v>
      </c>
      <c r="HK25" s="175">
        <f t="shared" si="38"/>
        <v>0</v>
      </c>
      <c r="HL25" s="175">
        <f t="shared" si="38"/>
        <v>0</v>
      </c>
      <c r="HM25" s="175">
        <f t="shared" si="38"/>
        <v>0</v>
      </c>
      <c r="HN25" s="174"/>
    </row>
    <row r="26" spans="1:222" ht="18" customHeight="1">
      <c r="A26" s="174"/>
      <c r="B26" s="1"/>
      <c r="C26" s="179" t="s">
        <v>193</v>
      </c>
      <c r="D26" s="179" t="s">
        <v>194</v>
      </c>
      <c r="E26" s="180"/>
      <c r="F26" s="180"/>
      <c r="G26" s="175"/>
      <c r="H26" s="44"/>
      <c r="I26" s="44"/>
      <c r="J26" s="44"/>
      <c r="K26" s="180"/>
      <c r="L26" s="181" t="s">
        <v>195</v>
      </c>
      <c r="M26" s="182"/>
      <c r="N26" s="180"/>
      <c r="O26" s="173" t="s">
        <v>173</v>
      </c>
      <c r="P26" s="183"/>
      <c r="Q26" s="180"/>
      <c r="R26" s="180"/>
      <c r="S26" s="180"/>
      <c r="T26" s="180"/>
      <c r="U26" s="180"/>
      <c r="V26" s="180"/>
      <c r="W26" s="174"/>
      <c r="X26" s="44"/>
      <c r="Y26" s="44"/>
      <c r="Z26" s="44"/>
      <c r="AA26" s="44"/>
      <c r="AB26" s="4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44"/>
      <c r="AP26" s="4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44"/>
      <c r="BG26" s="4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44"/>
      <c r="BX26" s="44"/>
      <c r="BY26" s="174"/>
      <c r="BZ26" s="174"/>
      <c r="CA26" s="174"/>
      <c r="CB26" s="174"/>
      <c r="CC26" s="174"/>
      <c r="CD26" s="174"/>
      <c r="CE26" s="174"/>
      <c r="CF26" s="174"/>
      <c r="CG26" s="174"/>
      <c r="CH26" s="174"/>
      <c r="CI26" s="174"/>
      <c r="CJ26" s="174"/>
      <c r="CK26" s="174"/>
      <c r="CL26" s="174"/>
      <c r="CM26" s="174"/>
      <c r="CN26" s="44"/>
      <c r="CO26" s="44"/>
      <c r="CP26" s="174"/>
      <c r="CQ26" s="174"/>
      <c r="CR26" s="174"/>
      <c r="CS26" s="174"/>
      <c r="CT26" s="174"/>
      <c r="CU26" s="174"/>
      <c r="CV26" s="174"/>
      <c r="CW26" s="174"/>
      <c r="CX26" s="174"/>
      <c r="CY26" s="174"/>
      <c r="CZ26" s="174"/>
      <c r="DA26" s="174"/>
      <c r="DB26" s="174"/>
      <c r="DC26" s="174"/>
      <c r="DD26" s="174"/>
      <c r="DE26" s="44"/>
      <c r="DF26" s="44"/>
      <c r="DG26" s="174"/>
      <c r="DH26" s="174"/>
      <c r="DI26" s="174"/>
      <c r="DJ26" s="174"/>
      <c r="DK26" s="174"/>
      <c r="DL26" s="174"/>
      <c r="DM26" s="174"/>
      <c r="DN26" s="174"/>
      <c r="DO26" s="174"/>
      <c r="DP26" s="174"/>
      <c r="DQ26" s="174"/>
      <c r="DR26" s="174"/>
      <c r="DS26" s="174"/>
      <c r="DT26" s="174"/>
      <c r="DU26" s="174"/>
      <c r="DV26" s="44"/>
      <c r="DW26" s="44"/>
      <c r="DX26" s="174"/>
      <c r="DY26" s="174"/>
      <c r="DZ26" s="174"/>
      <c r="EA26" s="174"/>
      <c r="EB26" s="174"/>
      <c r="EC26" s="174"/>
      <c r="ED26" s="174"/>
      <c r="EE26" s="174"/>
      <c r="EF26" s="174"/>
      <c r="EG26" s="174"/>
      <c r="EH26" s="174"/>
      <c r="EI26" s="174"/>
      <c r="EJ26" s="174"/>
      <c r="EK26" s="174"/>
      <c r="EL26" s="174"/>
      <c r="EM26" s="44"/>
      <c r="EN26" s="44"/>
      <c r="EO26" s="174"/>
      <c r="EP26" s="174"/>
      <c r="EQ26" s="174"/>
      <c r="ER26" s="174"/>
      <c r="ES26" s="174"/>
      <c r="ET26" s="174"/>
      <c r="EU26" s="174"/>
      <c r="EV26" s="174"/>
      <c r="EW26" s="174"/>
      <c r="EX26" s="174"/>
      <c r="EY26" s="174"/>
      <c r="EZ26" s="174"/>
      <c r="FA26" s="174"/>
      <c r="FB26" s="174"/>
      <c r="FC26" s="174"/>
      <c r="FD26" s="44"/>
      <c r="FE26" s="44"/>
      <c r="FF26" s="174"/>
      <c r="FG26" s="174"/>
      <c r="FH26" s="174"/>
      <c r="FI26" s="174"/>
      <c r="FJ26" s="174"/>
      <c r="FK26" s="174"/>
      <c r="FL26" s="174"/>
      <c r="FM26" s="174"/>
      <c r="FN26" s="174"/>
      <c r="FO26" s="174"/>
      <c r="FP26" s="174"/>
      <c r="FQ26" s="174"/>
      <c r="FR26" s="174"/>
      <c r="FS26" s="174"/>
      <c r="FT26" s="174"/>
      <c r="FU26" s="44"/>
      <c r="FV26" s="44"/>
      <c r="FW26" s="174"/>
      <c r="FX26" s="174"/>
      <c r="FY26" s="174"/>
      <c r="FZ26" s="174"/>
      <c r="GA26" s="174"/>
      <c r="GB26" s="174"/>
      <c r="GC26" s="174"/>
      <c r="GD26" s="174"/>
      <c r="GE26" s="174"/>
      <c r="GF26" s="174"/>
      <c r="GG26" s="174"/>
      <c r="GH26" s="174"/>
      <c r="GI26" s="174"/>
      <c r="GJ26" s="174"/>
      <c r="GK26" s="174"/>
      <c r="GL26" s="44"/>
      <c r="GM26" s="44"/>
      <c r="GN26" s="174"/>
      <c r="GO26" s="174"/>
      <c r="GP26" s="174"/>
      <c r="GQ26" s="174"/>
      <c r="GR26" s="174"/>
      <c r="GS26" s="174"/>
      <c r="GT26" s="174"/>
      <c r="GU26" s="174"/>
      <c r="GV26" s="174"/>
      <c r="GW26" s="174"/>
      <c r="GX26" s="174"/>
      <c r="GY26" s="174"/>
      <c r="GZ26" s="174"/>
      <c r="HA26" s="174"/>
      <c r="HB26" s="174"/>
      <c r="HC26" s="174"/>
      <c r="HD26" s="174"/>
      <c r="HE26" s="174"/>
      <c r="HF26" s="174"/>
      <c r="HG26" s="174"/>
      <c r="HH26" s="174"/>
      <c r="HI26" s="174"/>
      <c r="HJ26" s="174"/>
      <c r="HK26" s="174"/>
      <c r="HL26" s="174"/>
      <c r="HM26" s="174"/>
      <c r="HN26" s="174"/>
    </row>
    <row r="27" spans="1:222" ht="18" customHeight="1">
      <c r="A27" s="1"/>
      <c r="B27" s="1">
        <v>0</v>
      </c>
      <c r="C27" s="184" t="e">
        <f t="shared" ref="C27:C31" ca="1" si="39">D27</f>
        <v>#NAME?</v>
      </c>
      <c r="D27" s="184" t="e">
        <f ca="1">nomeaba0()</f>
        <v>#NAME?</v>
      </c>
      <c r="E27" s="1"/>
      <c r="F27" s="157"/>
      <c r="G27" s="175"/>
      <c r="H27" s="44"/>
      <c r="I27" s="44"/>
      <c r="J27" s="44"/>
      <c r="K27" s="1"/>
      <c r="L27" s="1"/>
      <c r="M27" s="1"/>
      <c r="N27" s="1"/>
      <c r="O27" s="166" t="s">
        <v>195</v>
      </c>
      <c r="P27" s="166"/>
      <c r="Q27" s="1"/>
      <c r="R27" s="1"/>
      <c r="S27" s="1"/>
      <c r="T27" s="1"/>
      <c r="U27" s="1"/>
      <c r="V27" s="1"/>
      <c r="W27" s="1"/>
      <c r="X27" s="44"/>
      <c r="Y27" s="44"/>
      <c r="Z27" s="44"/>
      <c r="AA27" s="44"/>
      <c r="AB27" s="44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44"/>
      <c r="AP27" s="44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44"/>
      <c r="BG27" s="44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44"/>
      <c r="BX27" s="44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44"/>
      <c r="CO27" s="44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44"/>
      <c r="DF27" s="44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44"/>
      <c r="DW27" s="44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44"/>
      <c r="EN27" s="44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44"/>
      <c r="FE27" s="44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44"/>
      <c r="FV27" s="44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44"/>
      <c r="GM27" s="44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1:222" ht="18" customHeight="1">
      <c r="A28" s="1"/>
      <c r="B28" s="1">
        <f t="shared" ref="B28:B44" si="40">B27+1</f>
        <v>1</v>
      </c>
      <c r="C28" s="184" t="e">
        <f t="shared" ca="1" si="39"/>
        <v>#NAME?</v>
      </c>
      <c r="D28" s="184" t="e">
        <f ca="1">nomeaba1()</f>
        <v>#NAME?</v>
      </c>
      <c r="E28" s="1"/>
      <c r="F28" s="157"/>
      <c r="G28" s="175"/>
      <c r="H28" s="44"/>
      <c r="I28" s="1"/>
      <c r="J28" s="1"/>
      <c r="K28" s="1"/>
      <c r="L28" s="18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44"/>
      <c r="Y28" s="44"/>
      <c r="Z28" s="44"/>
      <c r="AA28" s="44"/>
      <c r="AB28" s="44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44"/>
      <c r="AP28" s="44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44"/>
      <c r="BG28" s="44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44"/>
      <c r="BX28" s="44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44"/>
      <c r="CO28" s="44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44"/>
      <c r="DF28" s="44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44"/>
      <c r="DW28" s="44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44"/>
      <c r="EN28" s="44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44"/>
      <c r="FE28" s="44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44"/>
      <c r="FV28" s="44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44"/>
      <c r="GM28" s="44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ht="18" customHeight="1">
      <c r="A29" s="1"/>
      <c r="B29" s="1">
        <f t="shared" si="40"/>
        <v>2</v>
      </c>
      <c r="C29" s="184" t="e">
        <f t="shared" ca="1" si="39"/>
        <v>#NAME?</v>
      </c>
      <c r="D29" s="184" t="e">
        <f ca="1">nomeaba2()</f>
        <v>#NAME?</v>
      </c>
      <c r="E29" s="1"/>
      <c r="F29" s="157"/>
      <c r="G29" s="175"/>
      <c r="H29" s="44"/>
      <c r="I29" s="1"/>
      <c r="J29" s="1"/>
      <c r="K29" s="1"/>
      <c r="L29" s="1"/>
      <c r="M29" s="1"/>
      <c r="N29" s="1"/>
      <c r="O29" s="1" t="str">
        <f>G6</f>
        <v>5173-30_VIGILANTE_12×36_diurn</v>
      </c>
      <c r="P29" s="1"/>
      <c r="Q29" s="1"/>
      <c r="R29" s="1"/>
      <c r="S29" s="1"/>
      <c r="T29" s="1"/>
      <c r="U29" s="1"/>
      <c r="V29" s="1"/>
      <c r="W29" s="1"/>
      <c r="X29" s="44"/>
      <c r="Y29" s="44"/>
      <c r="Z29" s="44"/>
      <c r="AA29" s="44"/>
      <c r="AB29" s="44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44"/>
      <c r="AP29" s="44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44"/>
      <c r="BG29" s="44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44"/>
      <c r="BX29" s="44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44"/>
      <c r="CO29" s="44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44"/>
      <c r="DF29" s="44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44"/>
      <c r="DW29" s="44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44"/>
      <c r="EN29" s="44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44"/>
      <c r="FE29" s="44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44"/>
      <c r="FV29" s="44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44"/>
      <c r="GM29" s="44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1:222" ht="18" customHeight="1">
      <c r="A30" s="1"/>
      <c r="B30" s="1">
        <f t="shared" si="40"/>
        <v>3</v>
      </c>
      <c r="C30" s="184" t="e">
        <f t="shared" ca="1" si="39"/>
        <v>#NAME?</v>
      </c>
      <c r="D30" s="184" t="e">
        <f ca="1">nomeaba3()</f>
        <v>#NAME?</v>
      </c>
      <c r="E30" s="1"/>
      <c r="F30" s="157"/>
      <c r="G30" s="175"/>
      <c r="H30" s="4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44"/>
      <c r="Y30" s="44"/>
      <c r="Z30" s="44"/>
      <c r="AA30" s="44"/>
      <c r="AB30" s="44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44"/>
      <c r="AP30" s="44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44"/>
      <c r="BG30" s="44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44"/>
      <c r="BX30" s="44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44"/>
      <c r="CO30" s="44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44"/>
      <c r="DF30" s="44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44"/>
      <c r="DW30" s="44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44"/>
      <c r="EN30" s="44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44"/>
      <c r="FE30" s="44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44"/>
      <c r="FV30" s="44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44"/>
      <c r="GM30" s="44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1" spans="1:222" ht="18" customHeight="1">
      <c r="A31" s="1"/>
      <c r="B31" s="1">
        <f t="shared" si="40"/>
        <v>4</v>
      </c>
      <c r="C31" s="184" t="e">
        <f t="shared" ca="1" si="39"/>
        <v>#NAME?</v>
      </c>
      <c r="D31" s="184" t="e">
        <f ca="1">nomeaba4()</f>
        <v>#NAME?</v>
      </c>
      <c r="E31" s="1"/>
      <c r="F31" s="157"/>
      <c r="G31" s="175"/>
      <c r="H31" s="4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44"/>
      <c r="Y31" s="44"/>
      <c r="Z31" s="44"/>
      <c r="AA31" s="44"/>
      <c r="AB31" s="44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44"/>
      <c r="AP31" s="44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44"/>
      <c r="BG31" s="44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44"/>
      <c r="BX31" s="44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44"/>
      <c r="CO31" s="44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44"/>
      <c r="DF31" s="44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44"/>
      <c r="DW31" s="44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44"/>
      <c r="EN31" s="44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44"/>
      <c r="FE31" s="44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44"/>
      <c r="FV31" s="44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44"/>
      <c r="GM31" s="44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ht="18" customHeight="1">
      <c r="A32" s="1"/>
      <c r="B32" s="1">
        <f t="shared" si="40"/>
        <v>5</v>
      </c>
      <c r="C32" s="186" t="s">
        <v>196</v>
      </c>
      <c r="D32" s="184" t="e">
        <f ca="1">nomeaba5()</f>
        <v>#NAME?</v>
      </c>
      <c r="E32" s="1"/>
      <c r="F32" s="157"/>
      <c r="G32" s="175"/>
      <c r="H32" s="4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44"/>
      <c r="Y32" s="44"/>
      <c r="Z32" s="44"/>
      <c r="AA32" s="44"/>
      <c r="AB32" s="44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44"/>
      <c r="AP32" s="44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44"/>
      <c r="BG32" s="44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44"/>
      <c r="BX32" s="44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44"/>
      <c r="CO32" s="44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44"/>
      <c r="DF32" s="44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44"/>
      <c r="DW32" s="44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44"/>
      <c r="EN32" s="44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44"/>
      <c r="FE32" s="44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44"/>
      <c r="FV32" s="44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44"/>
      <c r="GM32" s="44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:222" ht="18" customHeight="1">
      <c r="A33" s="1"/>
      <c r="B33" s="1">
        <f t="shared" si="40"/>
        <v>6</v>
      </c>
      <c r="C33" s="186" t="s">
        <v>197</v>
      </c>
      <c r="D33" s="184" t="e">
        <f ca="1">nomeaba6()</f>
        <v>#NAME?</v>
      </c>
      <c r="E33" s="1"/>
      <c r="F33" s="157"/>
      <c r="G33" s="175"/>
      <c r="H33" s="4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44"/>
      <c r="Y33" s="44"/>
      <c r="Z33" s="44"/>
      <c r="AA33" s="44"/>
      <c r="AB33" s="44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44"/>
      <c r="AP33" s="44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44"/>
      <c r="BG33" s="44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44"/>
      <c r="BX33" s="44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44"/>
      <c r="CO33" s="44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44"/>
      <c r="DF33" s="44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44"/>
      <c r="DW33" s="44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44"/>
      <c r="EN33" s="44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44"/>
      <c r="FE33" s="44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44"/>
      <c r="FV33" s="44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44"/>
      <c r="GM33" s="44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:222" ht="18" customHeight="1">
      <c r="A34" s="1"/>
      <c r="B34" s="1">
        <f t="shared" si="40"/>
        <v>7</v>
      </c>
      <c r="C34" s="186" t="s">
        <v>198</v>
      </c>
      <c r="D34" s="184" t="e">
        <f ca="1">nomeaba7()</f>
        <v>#NAME?</v>
      </c>
      <c r="E34" s="1"/>
      <c r="F34" s="157"/>
      <c r="G34" s="175"/>
      <c r="H34" s="4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44"/>
      <c r="Y34" s="44"/>
      <c r="Z34" s="44"/>
      <c r="AA34" s="44"/>
      <c r="AB34" s="44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44"/>
      <c r="AP34" s="44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44"/>
      <c r="BG34" s="44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44"/>
      <c r="BX34" s="44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44"/>
      <c r="CO34" s="44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44"/>
      <c r="DF34" s="44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44"/>
      <c r="DW34" s="44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44"/>
      <c r="EN34" s="44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44"/>
      <c r="FE34" s="44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44"/>
      <c r="FV34" s="44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44"/>
      <c r="GM34" s="44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</row>
    <row r="35" spans="1:222" ht="18" customHeight="1">
      <c r="A35" s="1"/>
      <c r="B35" s="1">
        <f t="shared" si="40"/>
        <v>8</v>
      </c>
      <c r="C35" s="186" t="s">
        <v>199</v>
      </c>
      <c r="D35" s="184" t="e">
        <f ca="1">nomeaba8()</f>
        <v>#NAME?</v>
      </c>
      <c r="E35" s="1"/>
      <c r="F35" s="157"/>
      <c r="G35" s="175"/>
      <c r="H35" s="4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44"/>
      <c r="Y35" s="44"/>
      <c r="Z35" s="44"/>
      <c r="AA35" s="44"/>
      <c r="AB35" s="44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44"/>
      <c r="AP35" s="44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44"/>
      <c r="BG35" s="44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44"/>
      <c r="BX35" s="44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44"/>
      <c r="CO35" s="44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44"/>
      <c r="DF35" s="44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44"/>
      <c r="DW35" s="44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44"/>
      <c r="EN35" s="44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44"/>
      <c r="FE35" s="44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44"/>
      <c r="FV35" s="44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44"/>
      <c r="GM35" s="44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ht="18" customHeight="1">
      <c r="A36" s="1"/>
      <c r="B36" s="1">
        <f t="shared" si="40"/>
        <v>9</v>
      </c>
      <c r="C36" s="186" t="s">
        <v>200</v>
      </c>
      <c r="D36" s="184" t="e">
        <f ca="1">nomeaba9()</f>
        <v>#NAME?</v>
      </c>
      <c r="E36" s="1"/>
      <c r="F36" s="157"/>
      <c r="G36" s="175"/>
      <c r="H36" s="4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44"/>
      <c r="Y36" s="44"/>
      <c r="Z36" s="44"/>
      <c r="AA36" s="44"/>
      <c r="AB36" s="44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44"/>
      <c r="AP36" s="44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44"/>
      <c r="BG36" s="44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44"/>
      <c r="BX36" s="44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44"/>
      <c r="CO36" s="44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44"/>
      <c r="DF36" s="44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44"/>
      <c r="DW36" s="44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44"/>
      <c r="EN36" s="44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44"/>
      <c r="FE36" s="44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44"/>
      <c r="FV36" s="44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44"/>
      <c r="GM36" s="44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ht="18" customHeight="1">
      <c r="A37" s="1"/>
      <c r="B37" s="1">
        <f t="shared" si="40"/>
        <v>10</v>
      </c>
      <c r="C37" s="186" t="s">
        <v>201</v>
      </c>
      <c r="D37" s="184" t="e">
        <f ca="1">nomeaba10()</f>
        <v>#NAME?</v>
      </c>
      <c r="E37" s="1"/>
      <c r="F37" s="157"/>
      <c r="G37" s="175"/>
      <c r="H37" s="4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44"/>
      <c r="Y37" s="44"/>
      <c r="Z37" s="44"/>
      <c r="AA37" s="44"/>
      <c r="AB37" s="44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44"/>
      <c r="AP37" s="44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44"/>
      <c r="BG37" s="44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44"/>
      <c r="BX37" s="44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44"/>
      <c r="CO37" s="44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44"/>
      <c r="DF37" s="44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44"/>
      <c r="DW37" s="44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44"/>
      <c r="EN37" s="44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44"/>
      <c r="FE37" s="44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44"/>
      <c r="FV37" s="44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44"/>
      <c r="GM37" s="44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ht="18" customHeight="1">
      <c r="A38" s="1"/>
      <c r="B38" s="1">
        <f t="shared" si="40"/>
        <v>11</v>
      </c>
      <c r="C38" s="186" t="s">
        <v>202</v>
      </c>
      <c r="D38" s="184" t="e">
        <f ca="1">nomeaba11()</f>
        <v>#NAME?</v>
      </c>
      <c r="E38" s="1"/>
      <c r="F38" s="157"/>
      <c r="G38" s="1"/>
      <c r="H38" s="4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44"/>
      <c r="Y38" s="44"/>
      <c r="Z38" s="44"/>
      <c r="AA38" s="44"/>
      <c r="AB38" s="44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44"/>
      <c r="AP38" s="44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44"/>
      <c r="BG38" s="44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44"/>
      <c r="BX38" s="44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44"/>
      <c r="CO38" s="44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44"/>
      <c r="DF38" s="44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44"/>
      <c r="DW38" s="44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44"/>
      <c r="EN38" s="44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44"/>
      <c r="FE38" s="44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44"/>
      <c r="FV38" s="44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44"/>
      <c r="GM38" s="44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ht="18" customHeight="1">
      <c r="A39" s="1"/>
      <c r="B39" s="1">
        <f t="shared" si="40"/>
        <v>12</v>
      </c>
      <c r="C39" s="186" t="s">
        <v>203</v>
      </c>
      <c r="D39" s="184" t="e">
        <f ca="1">nomeaba12()</f>
        <v>#NAME?</v>
      </c>
      <c r="E39" s="1"/>
      <c r="F39" s="157"/>
      <c r="G39" s="44"/>
      <c r="H39" s="4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44"/>
      <c r="Y39" s="44"/>
      <c r="Z39" s="44"/>
      <c r="AA39" s="44"/>
      <c r="AB39" s="44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44"/>
      <c r="AP39" s="44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44"/>
      <c r="BG39" s="44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44"/>
      <c r="BX39" s="44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44"/>
      <c r="CO39" s="44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44"/>
      <c r="DF39" s="44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44"/>
      <c r="DW39" s="44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44"/>
      <c r="EN39" s="44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44"/>
      <c r="FE39" s="44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44"/>
      <c r="FV39" s="44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44"/>
      <c r="GM39" s="44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ht="18" customHeight="1">
      <c r="A40" s="1"/>
      <c r="B40" s="1">
        <f t="shared" si="40"/>
        <v>13</v>
      </c>
      <c r="C40" s="186" t="s">
        <v>204</v>
      </c>
      <c r="D40" s="184" t="e">
        <f ca="1">nomeaba13()</f>
        <v>#NAME?</v>
      </c>
      <c r="E40" s="1"/>
      <c r="F40" s="157"/>
      <c r="G40" s="44"/>
      <c r="H40" s="4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44"/>
      <c r="Y40" s="44"/>
      <c r="Z40" s="44"/>
      <c r="AA40" s="44"/>
      <c r="AB40" s="44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44"/>
      <c r="AP40" s="44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44"/>
      <c r="BG40" s="44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44"/>
      <c r="BX40" s="44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44"/>
      <c r="CO40" s="44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44"/>
      <c r="DF40" s="44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44"/>
      <c r="DW40" s="44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44"/>
      <c r="EN40" s="44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44"/>
      <c r="FE40" s="44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44"/>
      <c r="FV40" s="44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44"/>
      <c r="GM40" s="44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15.75" customHeight="1">
      <c r="A41" s="1"/>
      <c r="B41" s="1">
        <f t="shared" si="40"/>
        <v>14</v>
      </c>
      <c r="C41" s="186" t="s">
        <v>205</v>
      </c>
      <c r="D41" s="184" t="e">
        <f ca="1">nomeaba14()</f>
        <v>#NAME?</v>
      </c>
      <c r="E41" s="1"/>
      <c r="F41" s="157"/>
      <c r="G41" s="44"/>
      <c r="H41" s="4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44"/>
      <c r="Y41" s="44"/>
      <c r="Z41" s="44"/>
      <c r="AA41" s="44"/>
      <c r="AB41" s="44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44"/>
      <c r="AP41" s="44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44"/>
      <c r="BG41" s="44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44"/>
      <c r="BX41" s="44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44"/>
      <c r="CO41" s="44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44"/>
      <c r="DF41" s="44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44"/>
      <c r="DW41" s="44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44"/>
      <c r="EN41" s="44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44"/>
      <c r="FE41" s="44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44"/>
      <c r="FV41" s="44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44"/>
      <c r="GM41" s="44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</row>
    <row r="42" spans="1:222" ht="15.75" customHeight="1">
      <c r="A42" s="1"/>
      <c r="B42" s="1">
        <f t="shared" si="40"/>
        <v>15</v>
      </c>
      <c r="C42" s="186" t="s">
        <v>206</v>
      </c>
      <c r="D42" s="184" t="e">
        <f ca="1">nomeaba15()</f>
        <v>#NAME?</v>
      </c>
      <c r="E42" s="1"/>
      <c r="F42" s="157"/>
      <c r="G42" s="44"/>
      <c r="H42" s="4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4"/>
      <c r="Y42" s="44"/>
      <c r="Z42" s="44"/>
      <c r="AA42" s="44"/>
      <c r="AB42" s="44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44"/>
      <c r="AP42" s="44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44"/>
      <c r="BG42" s="44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44"/>
      <c r="BX42" s="44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44"/>
      <c r="CO42" s="44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44"/>
      <c r="DF42" s="44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44"/>
      <c r="DW42" s="44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44"/>
      <c r="EN42" s="44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44"/>
      <c r="FE42" s="44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44"/>
      <c r="FV42" s="44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44"/>
      <c r="GM42" s="44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</row>
    <row r="43" spans="1:222" ht="15.75" customHeight="1">
      <c r="A43" s="1"/>
      <c r="B43" s="1">
        <f t="shared" si="40"/>
        <v>16</v>
      </c>
      <c r="C43" s="186" t="s">
        <v>207</v>
      </c>
      <c r="D43" s="184" t="e">
        <f ca="1">nomeaba16()</f>
        <v>#NAME?</v>
      </c>
      <c r="E43" s="1"/>
      <c r="F43" s="157"/>
      <c r="G43" s="44"/>
      <c r="H43" s="4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44"/>
      <c r="Y43" s="44"/>
      <c r="Z43" s="44"/>
      <c r="AA43" s="44"/>
      <c r="AB43" s="44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44"/>
      <c r="AP43" s="44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44"/>
      <c r="BG43" s="44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44"/>
      <c r="BX43" s="44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44"/>
      <c r="CO43" s="44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44"/>
      <c r="DF43" s="44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44"/>
      <c r="DW43" s="44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44"/>
      <c r="EN43" s="44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44"/>
      <c r="FE43" s="44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44"/>
      <c r="FV43" s="44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44"/>
      <c r="GM43" s="44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</row>
    <row r="44" spans="1:222" ht="15.75" customHeight="1">
      <c r="A44" s="1"/>
      <c r="B44" s="1">
        <f t="shared" si="40"/>
        <v>17</v>
      </c>
      <c r="C44" s="184" t="e">
        <f t="shared" ref="C44:D44" ca="1" si="41">nomeaba17()</f>
        <v>#NAME?</v>
      </c>
      <c r="D44" s="184" t="e">
        <f t="shared" ca="1" si="41"/>
        <v>#NAME?</v>
      </c>
      <c r="E44" s="1"/>
      <c r="F44" s="157"/>
      <c r="G44" s="44"/>
      <c r="H44" s="4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4"/>
      <c r="Y44" s="44"/>
      <c r="Z44" s="44"/>
      <c r="AA44" s="44"/>
      <c r="AB44" s="44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44"/>
      <c r="AP44" s="44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44"/>
      <c r="BG44" s="44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44"/>
      <c r="BX44" s="44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44"/>
      <c r="CO44" s="44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44"/>
      <c r="DF44" s="44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44"/>
      <c r="DW44" s="44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44"/>
      <c r="EN44" s="44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44"/>
      <c r="FE44" s="44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44"/>
      <c r="FV44" s="44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44"/>
      <c r="GM44" s="44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</row>
    <row r="45" spans="1:222" ht="15.75" customHeight="1">
      <c r="A45" s="1"/>
      <c r="B45" s="1"/>
      <c r="C45" s="170"/>
      <c r="D45" s="1"/>
      <c r="E45" s="1"/>
      <c r="F45" s="157"/>
      <c r="G45" s="44"/>
      <c r="H45" s="4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44"/>
      <c r="Y45" s="44"/>
      <c r="Z45" s="44"/>
      <c r="AA45" s="44"/>
      <c r="AB45" s="44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44"/>
      <c r="AP45" s="44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44"/>
      <c r="BG45" s="44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44"/>
      <c r="BX45" s="44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44"/>
      <c r="CO45" s="44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44"/>
      <c r="DF45" s="44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44"/>
      <c r="DW45" s="44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44"/>
      <c r="EN45" s="44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44"/>
      <c r="FE45" s="44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44"/>
      <c r="FV45" s="44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44"/>
      <c r="GM45" s="44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ht="15.75" customHeight="1">
      <c r="A46" s="1"/>
      <c r="B46" s="1"/>
      <c r="C46" s="170"/>
      <c r="D46" s="1"/>
      <c r="E46" s="1"/>
      <c r="F46" s="157"/>
      <c r="G46" s="44"/>
      <c r="H46" s="4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44"/>
      <c r="Y46" s="44"/>
      <c r="Z46" s="44"/>
      <c r="AA46" s="44"/>
      <c r="AB46" s="44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44"/>
      <c r="AP46" s="44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44"/>
      <c r="BG46" s="44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44"/>
      <c r="BX46" s="44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44"/>
      <c r="CO46" s="44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44"/>
      <c r="DF46" s="44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44"/>
      <c r="DW46" s="44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44"/>
      <c r="EN46" s="44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44"/>
      <c r="FE46" s="44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44"/>
      <c r="FV46" s="44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44"/>
      <c r="GM46" s="44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ht="15.75" customHeight="1">
      <c r="A47" s="1"/>
      <c r="B47" s="1"/>
      <c r="C47" s="170"/>
      <c r="D47" s="1"/>
      <c r="E47" s="1"/>
      <c r="F47" s="157"/>
      <c r="G47" s="44"/>
      <c r="H47" s="4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44"/>
      <c r="Y47" s="44"/>
      <c r="Z47" s="44"/>
      <c r="AA47" s="44"/>
      <c r="AB47" s="44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44"/>
      <c r="AP47" s="44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44"/>
      <c r="BG47" s="44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44"/>
      <c r="BX47" s="44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44"/>
      <c r="CO47" s="44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44"/>
      <c r="DF47" s="44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44"/>
      <c r="DW47" s="44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44"/>
      <c r="EN47" s="44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44"/>
      <c r="FE47" s="44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44"/>
      <c r="FV47" s="44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44"/>
      <c r="GM47" s="44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ht="15.75" customHeight="1">
      <c r="A48" s="1"/>
      <c r="B48" s="1"/>
      <c r="C48" s="170"/>
      <c r="D48" s="1"/>
      <c r="E48" s="1"/>
      <c r="F48" s="157"/>
      <c r="G48" s="44"/>
      <c r="H48" s="4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44"/>
      <c r="Y48" s="44"/>
      <c r="Z48" s="44"/>
      <c r="AA48" s="44"/>
      <c r="AB48" s="44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44"/>
      <c r="AP48" s="44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44"/>
      <c r="BG48" s="44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44"/>
      <c r="BX48" s="44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44"/>
      <c r="CO48" s="44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44"/>
      <c r="DF48" s="44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44"/>
      <c r="DW48" s="44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44"/>
      <c r="EN48" s="44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44"/>
      <c r="FE48" s="44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44"/>
      <c r="FV48" s="44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44"/>
      <c r="GM48" s="44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ht="15.75" customHeight="1">
      <c r="A49" s="1"/>
      <c r="B49" s="1"/>
      <c r="C49" s="170"/>
      <c r="D49" s="1"/>
      <c r="E49" s="1"/>
      <c r="F49" s="157"/>
      <c r="G49" s="44"/>
      <c r="H49" s="4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44"/>
      <c r="Y49" s="44"/>
      <c r="Z49" s="44"/>
      <c r="AA49" s="44"/>
      <c r="AB49" s="44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44"/>
      <c r="AP49" s="44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44"/>
      <c r="BG49" s="44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44"/>
      <c r="BX49" s="44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44"/>
      <c r="CO49" s="44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44"/>
      <c r="DF49" s="44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44"/>
      <c r="DW49" s="44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44"/>
      <c r="EN49" s="44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44"/>
      <c r="FE49" s="44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44"/>
      <c r="FV49" s="44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44"/>
      <c r="GM49" s="44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ht="15.75" customHeight="1">
      <c r="A50" s="1"/>
      <c r="B50" s="1"/>
      <c r="C50" s="170"/>
      <c r="D50" s="1"/>
      <c r="E50" s="1"/>
      <c r="F50" s="157"/>
      <c r="G50" s="44"/>
      <c r="H50" s="4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44"/>
      <c r="Y50" s="44"/>
      <c r="Z50" s="44"/>
      <c r="AA50" s="44"/>
      <c r="AB50" s="44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44"/>
      <c r="AP50" s="44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44"/>
      <c r="BG50" s="44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44"/>
      <c r="BX50" s="44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44"/>
      <c r="CO50" s="44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44"/>
      <c r="DF50" s="44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44"/>
      <c r="DW50" s="44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44"/>
      <c r="EN50" s="44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44"/>
      <c r="FE50" s="44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44"/>
      <c r="FV50" s="44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44"/>
      <c r="GM50" s="44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15.75" customHeight="1">
      <c r="A51" s="1"/>
      <c r="B51" s="1"/>
      <c r="C51" s="170"/>
      <c r="D51" s="1"/>
      <c r="E51" s="1"/>
      <c r="F51" s="157"/>
      <c r="G51" s="44"/>
      <c r="H51" s="4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44"/>
      <c r="Y51" s="44"/>
      <c r="Z51" s="44"/>
      <c r="AA51" s="44"/>
      <c r="AB51" s="44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44"/>
      <c r="AP51" s="44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44"/>
      <c r="BG51" s="44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44"/>
      <c r="BX51" s="44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44"/>
      <c r="CO51" s="44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44"/>
      <c r="DF51" s="44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44"/>
      <c r="DW51" s="44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44"/>
      <c r="EN51" s="44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44"/>
      <c r="FE51" s="44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44"/>
      <c r="FV51" s="44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44"/>
      <c r="GM51" s="44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</row>
    <row r="52" spans="1:222" ht="15.75" customHeight="1">
      <c r="A52" s="1"/>
      <c r="B52" s="1"/>
      <c r="C52" s="170"/>
      <c r="D52" s="1"/>
      <c r="E52" s="1"/>
      <c r="F52" s="157"/>
      <c r="G52" s="44"/>
      <c r="H52" s="4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44"/>
      <c r="Y52" s="44"/>
      <c r="Z52" s="44"/>
      <c r="AA52" s="44"/>
      <c r="AB52" s="44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44"/>
      <c r="AP52" s="44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44"/>
      <c r="BG52" s="44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44"/>
      <c r="BX52" s="44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44"/>
      <c r="CO52" s="44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44"/>
      <c r="DF52" s="44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44"/>
      <c r="DW52" s="44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44"/>
      <c r="EN52" s="44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44"/>
      <c r="FE52" s="44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44"/>
      <c r="FV52" s="44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44"/>
      <c r="GM52" s="44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</row>
    <row r="53" spans="1:222" ht="15.75" customHeight="1">
      <c r="A53" s="1"/>
      <c r="B53" s="1"/>
      <c r="C53" s="1"/>
      <c r="D53" s="1"/>
      <c r="E53" s="1"/>
      <c r="F53" s="157"/>
      <c r="G53" s="44"/>
      <c r="H53" s="4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44"/>
      <c r="Y53" s="44"/>
      <c r="Z53" s="44"/>
      <c r="AA53" s="44"/>
      <c r="AB53" s="44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44"/>
      <c r="AP53" s="44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44"/>
      <c r="BG53" s="44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44"/>
      <c r="BX53" s="44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44"/>
      <c r="CO53" s="44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44"/>
      <c r="DF53" s="44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44"/>
      <c r="DW53" s="44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44"/>
      <c r="EN53" s="44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44"/>
      <c r="FE53" s="44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44"/>
      <c r="FV53" s="44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44"/>
      <c r="GM53" s="44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</row>
    <row r="54" spans="1:222" ht="15.75" customHeight="1">
      <c r="A54" s="1"/>
      <c r="B54" s="1"/>
      <c r="C54" s="1"/>
      <c r="D54" s="1"/>
      <c r="E54" s="1"/>
      <c r="F54" s="157"/>
      <c r="G54" s="44"/>
      <c r="H54" s="4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44"/>
      <c r="Y54" s="44"/>
      <c r="Z54" s="44"/>
      <c r="AA54" s="44"/>
      <c r="AB54" s="44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44"/>
      <c r="AP54" s="44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44"/>
      <c r="BG54" s="44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44"/>
      <c r="BX54" s="44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44"/>
      <c r="CO54" s="44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44"/>
      <c r="DF54" s="44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44"/>
      <c r="DW54" s="44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44"/>
      <c r="EN54" s="44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44"/>
      <c r="FE54" s="44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44"/>
      <c r="FV54" s="44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44"/>
      <c r="GM54" s="44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</row>
    <row r="55" spans="1:222" ht="15.75" customHeight="1">
      <c r="A55" s="1"/>
      <c r="B55" s="1"/>
      <c r="C55" s="1"/>
      <c r="D55" s="1"/>
      <c r="E55" s="1"/>
      <c r="F55" s="157"/>
      <c r="G55" s="44"/>
      <c r="H55" s="4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44"/>
      <c r="Y55" s="44"/>
      <c r="Z55" s="44"/>
      <c r="AA55" s="44"/>
      <c r="AB55" s="44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4"/>
      <c r="AP55" s="44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44"/>
      <c r="BG55" s="44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44"/>
      <c r="BX55" s="44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44"/>
      <c r="CO55" s="44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44"/>
      <c r="DF55" s="44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44"/>
      <c r="DW55" s="44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44"/>
      <c r="EN55" s="44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44"/>
      <c r="FE55" s="44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44"/>
      <c r="FV55" s="44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44"/>
      <c r="GM55" s="44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15.75" customHeight="1">
      <c r="A56" s="1"/>
      <c r="B56" s="1"/>
      <c r="C56" s="1"/>
      <c r="D56" s="1"/>
      <c r="E56" s="1"/>
      <c r="F56" s="157"/>
      <c r="G56" s="44"/>
      <c r="H56" s="4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44"/>
      <c r="Y56" s="44"/>
      <c r="Z56" s="44"/>
      <c r="AA56" s="44"/>
      <c r="AB56" s="44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4"/>
      <c r="AP56" s="44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44"/>
      <c r="BG56" s="44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44"/>
      <c r="BX56" s="44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44"/>
      <c r="CO56" s="44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44"/>
      <c r="DF56" s="44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44"/>
      <c r="DW56" s="44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44"/>
      <c r="EN56" s="44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44"/>
      <c r="FE56" s="44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44"/>
      <c r="FV56" s="44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44"/>
      <c r="GM56" s="44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</row>
    <row r="57" spans="1:222" ht="15.75" customHeight="1">
      <c r="A57" s="1"/>
      <c r="B57" s="1"/>
      <c r="C57" s="1"/>
      <c r="D57" s="1"/>
      <c r="E57" s="1"/>
      <c r="F57" s="157"/>
      <c r="G57" s="44"/>
      <c r="H57" s="4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44"/>
      <c r="Y57" s="44"/>
      <c r="Z57" s="44"/>
      <c r="AA57" s="44"/>
      <c r="AB57" s="44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44"/>
      <c r="AP57" s="44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44"/>
      <c r="BG57" s="44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44"/>
      <c r="BX57" s="44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44"/>
      <c r="CO57" s="44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44"/>
      <c r="DF57" s="44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44"/>
      <c r="DW57" s="44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44"/>
      <c r="EN57" s="44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44"/>
      <c r="FE57" s="44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44"/>
      <c r="FV57" s="44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44"/>
      <c r="GM57" s="44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ht="15.75" customHeight="1">
      <c r="A58" s="1"/>
      <c r="B58" s="1"/>
      <c r="C58" s="1"/>
      <c r="D58" s="1"/>
      <c r="E58" s="1"/>
      <c r="F58" s="157"/>
      <c r="G58" s="44"/>
      <c r="H58" s="4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44"/>
      <c r="Y58" s="44"/>
      <c r="Z58" s="44"/>
      <c r="AA58" s="44"/>
      <c r="AB58" s="44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44"/>
      <c r="AP58" s="44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44"/>
      <c r="BG58" s="44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44"/>
      <c r="BX58" s="44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44"/>
      <c r="CO58" s="44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44"/>
      <c r="DF58" s="44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44"/>
      <c r="DW58" s="44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44"/>
      <c r="EN58" s="44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44"/>
      <c r="FE58" s="44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44"/>
      <c r="FV58" s="44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44"/>
      <c r="GM58" s="44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ht="15.75" customHeight="1">
      <c r="A59" s="1"/>
      <c r="B59" s="1"/>
      <c r="C59" s="1"/>
      <c r="D59" s="1"/>
      <c r="E59" s="1"/>
      <c r="F59" s="157"/>
      <c r="G59" s="44"/>
      <c r="H59" s="4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44"/>
      <c r="Y59" s="44"/>
      <c r="Z59" s="44"/>
      <c r="AA59" s="44"/>
      <c r="AB59" s="44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44"/>
      <c r="AP59" s="44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44"/>
      <c r="BG59" s="44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44"/>
      <c r="BX59" s="44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44"/>
      <c r="CO59" s="44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44"/>
      <c r="DF59" s="44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44"/>
      <c r="DW59" s="44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44"/>
      <c r="EN59" s="44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44"/>
      <c r="FE59" s="44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44"/>
      <c r="FV59" s="44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44"/>
      <c r="GM59" s="44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  <row r="60" spans="1:222" ht="15.75" customHeight="1"/>
    <row r="61" spans="1:222" ht="15.75" customHeight="1"/>
    <row r="62" spans="1:222" ht="15.75" customHeight="1"/>
    <row r="63" spans="1:222" ht="15.75" customHeight="1"/>
    <row r="64" spans="1:2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9">
    <mergeCell ref="FI20:FJ20"/>
    <mergeCell ref="FI21:FJ21"/>
    <mergeCell ref="FI13:FJ13"/>
    <mergeCell ref="FI14:FJ14"/>
    <mergeCell ref="FI15:FJ15"/>
    <mergeCell ref="FI16:FJ16"/>
    <mergeCell ref="FI17:FJ17"/>
    <mergeCell ref="FI18:FJ18"/>
    <mergeCell ref="FI19:FJ19"/>
    <mergeCell ref="AC16:AD16"/>
    <mergeCell ref="AC17:AD17"/>
    <mergeCell ref="AC18:AD18"/>
    <mergeCell ref="AC19:AD19"/>
    <mergeCell ref="AC20:AD20"/>
    <mergeCell ref="AC21:AD21"/>
    <mergeCell ref="Z7:Z9"/>
    <mergeCell ref="AA7:AA9"/>
    <mergeCell ref="AC10:AD10"/>
    <mergeCell ref="AC11:AD11"/>
    <mergeCell ref="AC12:AD12"/>
    <mergeCell ref="AC13:AD13"/>
    <mergeCell ref="AC14:AD14"/>
    <mergeCell ref="L16:M16"/>
    <mergeCell ref="L17:M17"/>
    <mergeCell ref="L18:M18"/>
    <mergeCell ref="L19:M19"/>
    <mergeCell ref="L20:M20"/>
    <mergeCell ref="L21:M21"/>
    <mergeCell ref="R7:R9"/>
    <mergeCell ref="V7:V9"/>
    <mergeCell ref="L10:M10"/>
    <mergeCell ref="L11:M11"/>
    <mergeCell ref="L12:M12"/>
    <mergeCell ref="L13:M13"/>
    <mergeCell ref="L14:M14"/>
    <mergeCell ref="B6:B9"/>
    <mergeCell ref="C6:C9"/>
    <mergeCell ref="D6:D9"/>
    <mergeCell ref="E6:E9"/>
    <mergeCell ref="F6:F9"/>
    <mergeCell ref="G6:W6"/>
    <mergeCell ref="X6:AN6"/>
    <mergeCell ref="AM7:AM9"/>
    <mergeCell ref="L15:M15"/>
    <mergeCell ref="AC15:AD15"/>
    <mergeCell ref="AT15:AU15"/>
    <mergeCell ref="AT16:AU16"/>
    <mergeCell ref="AT17:AU17"/>
    <mergeCell ref="AT18:AU18"/>
    <mergeCell ref="AT19:AU19"/>
    <mergeCell ref="AT20:AU20"/>
    <mergeCell ref="AT21:AU21"/>
    <mergeCell ref="AH7:AH9"/>
    <mergeCell ref="AI7:AI9"/>
    <mergeCell ref="AT10:AU10"/>
    <mergeCell ref="AT11:AU11"/>
    <mergeCell ref="AT12:AU12"/>
    <mergeCell ref="AT13:AU13"/>
    <mergeCell ref="AT14:AU14"/>
    <mergeCell ref="DJ17:DK17"/>
    <mergeCell ref="DJ18:DK18"/>
    <mergeCell ref="DJ19:DK19"/>
    <mergeCell ref="DJ20:DK20"/>
    <mergeCell ref="DJ21:DK21"/>
    <mergeCell ref="DJ10:DK10"/>
    <mergeCell ref="DJ11:DK11"/>
    <mergeCell ref="DJ12:DK12"/>
    <mergeCell ref="DJ13:DK13"/>
    <mergeCell ref="DJ14:DK14"/>
    <mergeCell ref="DJ15:DK15"/>
    <mergeCell ref="DJ16:DK16"/>
    <mergeCell ref="DP7:DP9"/>
    <mergeCell ref="DU7:DU9"/>
    <mergeCell ref="DD7:DD9"/>
    <mergeCell ref="DE7:DE9"/>
    <mergeCell ref="DG7:DG9"/>
    <mergeCell ref="DH7:DH9"/>
    <mergeCell ref="DI7:DK7"/>
    <mergeCell ref="DL7:DN7"/>
    <mergeCell ref="DO7:DO9"/>
    <mergeCell ref="CS17:CT17"/>
    <mergeCell ref="CS18:CT18"/>
    <mergeCell ref="CS19:CT19"/>
    <mergeCell ref="CS20:CT20"/>
    <mergeCell ref="CS21:CT21"/>
    <mergeCell ref="CS10:CT10"/>
    <mergeCell ref="CS11:CT11"/>
    <mergeCell ref="CS12:CT12"/>
    <mergeCell ref="CS13:CT13"/>
    <mergeCell ref="CS14:CT14"/>
    <mergeCell ref="CS15:CT15"/>
    <mergeCell ref="CS16:CT16"/>
    <mergeCell ref="CG7:CG9"/>
    <mergeCell ref="CB10:CC10"/>
    <mergeCell ref="CB11:CC11"/>
    <mergeCell ref="CB12:CC12"/>
    <mergeCell ref="CB13:CC13"/>
    <mergeCell ref="CB14:CC14"/>
    <mergeCell ref="CX7:CX9"/>
    <mergeCell ref="CY7:CY9"/>
    <mergeCell ref="CH7:CH9"/>
    <mergeCell ref="CM7:CM9"/>
    <mergeCell ref="CN7:CN9"/>
    <mergeCell ref="CP7:CP9"/>
    <mergeCell ref="CQ7:CQ9"/>
    <mergeCell ref="CR7:CT7"/>
    <mergeCell ref="CU7:CW7"/>
    <mergeCell ref="CA7:CC7"/>
    <mergeCell ref="CB15:CC15"/>
    <mergeCell ref="CB16:CC16"/>
    <mergeCell ref="CB17:CC17"/>
    <mergeCell ref="CB18:CC18"/>
    <mergeCell ref="CB19:CC19"/>
    <mergeCell ref="CB20:CC20"/>
    <mergeCell ref="CB21:CC21"/>
    <mergeCell ref="CD7:CF7"/>
    <mergeCell ref="BK15:BL15"/>
    <mergeCell ref="BK16:BL16"/>
    <mergeCell ref="BK17:BL17"/>
    <mergeCell ref="BK18:BL18"/>
    <mergeCell ref="BK19:BL19"/>
    <mergeCell ref="BK20:BL20"/>
    <mergeCell ref="BK21:BL21"/>
    <mergeCell ref="BM7:BO7"/>
    <mergeCell ref="BP7:BP9"/>
    <mergeCell ref="BK10:BL10"/>
    <mergeCell ref="BK11:BL11"/>
    <mergeCell ref="BK12:BL12"/>
    <mergeCell ref="BK13:BL13"/>
    <mergeCell ref="BK14:BL14"/>
    <mergeCell ref="FI11:FJ11"/>
    <mergeCell ref="FZ11:GA11"/>
    <mergeCell ref="FI12:FJ12"/>
    <mergeCell ref="GQ13:GR13"/>
    <mergeCell ref="FZ19:GA19"/>
    <mergeCell ref="FZ20:GA20"/>
    <mergeCell ref="FZ21:GA21"/>
    <mergeCell ref="FZ12:GA12"/>
    <mergeCell ref="FZ13:GA13"/>
    <mergeCell ref="FZ14:GA14"/>
    <mergeCell ref="FZ15:GA15"/>
    <mergeCell ref="FZ16:GA16"/>
    <mergeCell ref="FZ17:GA17"/>
    <mergeCell ref="FZ18:GA18"/>
    <mergeCell ref="GQ19:GR19"/>
    <mergeCell ref="GQ20:GR20"/>
    <mergeCell ref="GQ21:GR21"/>
    <mergeCell ref="GQ11:GR11"/>
    <mergeCell ref="GQ12:GR12"/>
    <mergeCell ref="GQ14:GR14"/>
    <mergeCell ref="GQ15:GR15"/>
    <mergeCell ref="GQ16:GR16"/>
    <mergeCell ref="GQ17:GR17"/>
    <mergeCell ref="GQ18:GR18"/>
    <mergeCell ref="FD6:FT6"/>
    <mergeCell ref="FU6:GK6"/>
    <mergeCell ref="GL6:HB6"/>
    <mergeCell ref="EO7:EO9"/>
    <mergeCell ref="EP7:EP9"/>
    <mergeCell ref="EQ7:ES7"/>
    <mergeCell ref="ET7:EV7"/>
    <mergeCell ref="FI10:FJ10"/>
    <mergeCell ref="FZ10:GA10"/>
    <mergeCell ref="GQ10:GR10"/>
    <mergeCell ref="EA19:EB19"/>
    <mergeCell ref="EA20:EB20"/>
    <mergeCell ref="EA21:EB21"/>
    <mergeCell ref="EA10:EB10"/>
    <mergeCell ref="EA11:EB11"/>
    <mergeCell ref="EA12:EB12"/>
    <mergeCell ref="EA13:EB13"/>
    <mergeCell ref="EA14:EB14"/>
    <mergeCell ref="EA15:EB15"/>
    <mergeCell ref="EA16:EB16"/>
    <mergeCell ref="ER19:ES19"/>
    <mergeCell ref="ER20:ES20"/>
    <mergeCell ref="ER21:ES21"/>
    <mergeCell ref="EL7:EL9"/>
    <mergeCell ref="EM7:EM9"/>
    <mergeCell ref="ER10:ES10"/>
    <mergeCell ref="ER11:ES11"/>
    <mergeCell ref="ER12:ES12"/>
    <mergeCell ref="ER13:ES13"/>
    <mergeCell ref="ER14:ES14"/>
    <mergeCell ref="DY7:DY9"/>
    <mergeCell ref="DZ7:EB7"/>
    <mergeCell ref="EC7:EE7"/>
    <mergeCell ref="EF7:EF9"/>
    <mergeCell ref="EG7:EG9"/>
    <mergeCell ref="ER15:ES15"/>
    <mergeCell ref="ER16:ES16"/>
    <mergeCell ref="ER17:ES17"/>
    <mergeCell ref="ER18:ES18"/>
    <mergeCell ref="EA17:EB17"/>
    <mergeCell ref="EA18:EB18"/>
    <mergeCell ref="AO6:BE6"/>
    <mergeCell ref="BF6:BV6"/>
    <mergeCell ref="BW6:CM6"/>
    <mergeCell ref="CN6:DD6"/>
    <mergeCell ref="DE6:DU6"/>
    <mergeCell ref="DV6:EL6"/>
    <mergeCell ref="EM6:FC6"/>
    <mergeCell ref="G7:G9"/>
    <mergeCell ref="I7:I9"/>
    <mergeCell ref="J7:J9"/>
    <mergeCell ref="K7:M7"/>
    <mergeCell ref="L8:L9"/>
    <mergeCell ref="M8:M9"/>
    <mergeCell ref="BK8:BK9"/>
    <mergeCell ref="BL8:BL9"/>
    <mergeCell ref="BN8:BN9"/>
    <mergeCell ref="EA8:EA9"/>
    <mergeCell ref="EB8:EB9"/>
    <mergeCell ref="ED8:ED9"/>
    <mergeCell ref="ER8:ER9"/>
    <mergeCell ref="ES8:ES9"/>
    <mergeCell ref="EU8:EU9"/>
    <mergeCell ref="DV7:DV9"/>
    <mergeCell ref="DX7:DX9"/>
    <mergeCell ref="CN5:DD5"/>
    <mergeCell ref="DE5:DU5"/>
    <mergeCell ref="DV5:EL5"/>
    <mergeCell ref="EM5:FC5"/>
    <mergeCell ref="FD5:FT5"/>
    <mergeCell ref="FU5:GK5"/>
    <mergeCell ref="GL5:HB5"/>
    <mergeCell ref="B1:D1"/>
    <mergeCell ref="B5:D5"/>
    <mergeCell ref="G5:W5"/>
    <mergeCell ref="X5:AN5"/>
    <mergeCell ref="AO5:BE5"/>
    <mergeCell ref="BF5:BV5"/>
    <mergeCell ref="BW5:CM5"/>
    <mergeCell ref="GS7:GU7"/>
    <mergeCell ref="GV7:GV9"/>
    <mergeCell ref="GW7:GW9"/>
    <mergeCell ref="HB7:HB9"/>
    <mergeCell ref="GT8:GT9"/>
    <mergeCell ref="GQ8:GQ9"/>
    <mergeCell ref="GR8:GR9"/>
    <mergeCell ref="EW7:EW9"/>
    <mergeCell ref="EX7:EX9"/>
    <mergeCell ref="GK7:GK9"/>
    <mergeCell ref="GL7:GL9"/>
    <mergeCell ref="GN7:GN9"/>
    <mergeCell ref="GO7:GO9"/>
    <mergeCell ref="GP7:GR7"/>
    <mergeCell ref="GE7:GE9"/>
    <mergeCell ref="GF7:GF9"/>
    <mergeCell ref="AV7:AX7"/>
    <mergeCell ref="AW8:AW9"/>
    <mergeCell ref="DK8:DK9"/>
    <mergeCell ref="DM8:DM9"/>
    <mergeCell ref="CB8:CB9"/>
    <mergeCell ref="CC8:CC9"/>
    <mergeCell ref="CE8:CE9"/>
    <mergeCell ref="CS8:CS9"/>
    <mergeCell ref="CT8:CT9"/>
    <mergeCell ref="CV8:CV9"/>
    <mergeCell ref="DJ8:DJ9"/>
    <mergeCell ref="AY7:AY9"/>
    <mergeCell ref="AZ7:AZ9"/>
    <mergeCell ref="BE7:BE9"/>
    <mergeCell ref="BF7:BF9"/>
    <mergeCell ref="BH7:BH9"/>
    <mergeCell ref="BI7:BI9"/>
    <mergeCell ref="BJ7:BL7"/>
    <mergeCell ref="BQ7:BQ9"/>
    <mergeCell ref="BU7:BU9"/>
    <mergeCell ref="BV7:BV9"/>
    <mergeCell ref="BW7:BW9"/>
    <mergeCell ref="BY7:BY9"/>
    <mergeCell ref="BZ7:BZ9"/>
    <mergeCell ref="O8:O9"/>
    <mergeCell ref="AC8:AC9"/>
    <mergeCell ref="AD8:AD9"/>
    <mergeCell ref="AF8:AF9"/>
    <mergeCell ref="AT8:AT9"/>
    <mergeCell ref="AU8:AU9"/>
    <mergeCell ref="N7:P7"/>
    <mergeCell ref="Q7:Q9"/>
    <mergeCell ref="AO7:AO9"/>
    <mergeCell ref="AQ7:AQ9"/>
    <mergeCell ref="AR7:AR9"/>
    <mergeCell ref="AS7:AU7"/>
    <mergeCell ref="W7:W9"/>
    <mergeCell ref="X7:X9"/>
    <mergeCell ref="AB7:AD7"/>
    <mergeCell ref="AE7:AG7"/>
    <mergeCell ref="FO7:FO9"/>
    <mergeCell ref="FL8:FL9"/>
    <mergeCell ref="FT7:FT9"/>
    <mergeCell ref="FU7:FU9"/>
    <mergeCell ref="FW7:FW9"/>
    <mergeCell ref="FX7:FX9"/>
    <mergeCell ref="FZ8:FZ9"/>
    <mergeCell ref="GA8:GA9"/>
    <mergeCell ref="GC8:GC9"/>
    <mergeCell ref="FY7:GA7"/>
    <mergeCell ref="GB7:GD7"/>
    <mergeCell ref="FC7:FC9"/>
    <mergeCell ref="FD7:FD9"/>
    <mergeCell ref="FF7:FF9"/>
    <mergeCell ref="FG7:FG9"/>
    <mergeCell ref="FI8:FI9"/>
    <mergeCell ref="FJ8:FJ9"/>
    <mergeCell ref="FH7:FJ7"/>
    <mergeCell ref="FK7:FM7"/>
    <mergeCell ref="FN7:FN9"/>
  </mergeCells>
  <dataValidations count="6">
    <dataValidation type="list" allowBlank="1" showErrorMessage="1" sqref="L10:L21 AC10:AC21 AT10:AT21 BK10:BK21 CB10:CB21 CS10:CS21 DJ10:DJ21 EA10:EA21 ER10:ER21 FI10:FI21">
      <formula1>$L$23:$L$25</formula1>
    </dataValidation>
    <dataValidation type="list" allowBlank="1" showErrorMessage="1" sqref="FZ10:FZ21 GQ10:GQ21">
      <formula1>$O$8:$P$8</formula1>
    </dataValidation>
    <dataValidation type="list" allowBlank="1" showErrorMessage="1" sqref="I10:I21 Z10:Z21 AQ10:AQ21 BH10:BH21 BY10:BY21 CP10:CP21 DG10:DG21 DX10:DX21 EO10:EO21 FF10:FF21 FW10:FW21 GN10:GN21">
      <formula1>'DADOS-CADASTRAIS'!$C$6:$C$102</formula1>
    </dataValidation>
    <dataValidation type="list" allowBlank="1" showErrorMessage="1" sqref="U10:U21 AL10:AL21 BC10:BC21 BT10:BT21 CK10:CK21 DB10:DB21 DS10:DS21 EJ10:EJ21 FA10:FA21 FR10:FR21 GI10:GI21 GZ10:GZ21">
      <formula1>$U$8:$U$9</formula1>
    </dataValidation>
    <dataValidation type="list" allowBlank="1" showErrorMessage="1" sqref="O10:P21 AF10:AG21 AW10:AX21 BN10:BO21 CE10:CF21 CV10:CW21 DM10:DN21 ED10:EE21 EU10:EV21 FL10:FM21 GC10:GD21 GT10:GU21">
      <formula1>$O$23:$O$26</formula1>
    </dataValidation>
    <dataValidation type="list" allowBlank="1" showErrorMessage="1" sqref="H10:H21 Y10:Y21 AN10:AN21 AP10:AP21 BG10:BG21 BX10:BX21 CO10:CO21 DF10:DF21 DW10:DW21 EN10:EN21 FE10:FE21 FV10:FV21 GM10:GM21">
      <formula1>$H$8:$H$9</formula1>
    </dataValidation>
  </dataValidations>
  <printOptions horizontalCentered="1" verticalCentered="1"/>
  <pageMargins left="0.25" right="0.25" top="0.75" bottom="0.75" header="0" footer="0"/>
  <pageSetup paperSize="9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O1000"/>
  <sheetViews>
    <sheetView tabSelected="1" topLeftCell="C16" workbookViewId="0">
      <selection activeCell="C14" sqref="C14:E14"/>
    </sheetView>
  </sheetViews>
  <sheetFormatPr defaultColWidth="14.42578125" defaultRowHeight="15" customHeight="1"/>
  <cols>
    <col min="1" max="1" width="2.42578125" customWidth="1"/>
    <col min="2" max="2" width="56.7109375" customWidth="1"/>
    <col min="3" max="4" width="41.7109375" customWidth="1"/>
    <col min="5" max="5" width="47.28515625" customWidth="1"/>
    <col min="6" max="6" width="48.28515625" customWidth="1"/>
    <col min="7" max="8" width="48.28515625" hidden="1" customWidth="1"/>
    <col min="9" max="14" width="46.7109375" hidden="1" customWidth="1"/>
    <col min="15" max="15" width="9.140625" hidden="1" customWidth="1"/>
  </cols>
  <sheetData>
    <row r="1" spans="1:15" ht="4.5" customHeight="1">
      <c r="A1" s="187" t="s">
        <v>208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2.75" customHeight="1">
      <c r="A2" s="187"/>
      <c r="B2" s="188"/>
      <c r="C2" s="187"/>
      <c r="D2" s="189"/>
      <c r="E2" s="189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12.75" customHeight="1">
      <c r="A3" s="187"/>
      <c r="B3" s="188"/>
      <c r="C3" s="189" t="s">
        <v>209</v>
      </c>
      <c r="D3" s="189"/>
      <c r="E3" s="189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12.75" customHeight="1">
      <c r="A4" s="187"/>
      <c r="B4" s="188"/>
      <c r="C4" s="189" t="s">
        <v>210</v>
      </c>
      <c r="D4" s="189"/>
      <c r="E4" s="189"/>
      <c r="F4" s="187"/>
      <c r="G4" s="187"/>
      <c r="H4" s="187"/>
      <c r="I4" s="187"/>
      <c r="J4" s="187"/>
      <c r="K4" s="187"/>
      <c r="L4" s="187"/>
      <c r="M4" s="187"/>
      <c r="N4" s="187"/>
      <c r="O4" s="187"/>
    </row>
    <row r="5" spans="1:15" ht="12.75" customHeight="1">
      <c r="A5" s="187"/>
      <c r="B5" s="188"/>
      <c r="C5" s="189" t="s">
        <v>211</v>
      </c>
      <c r="D5" s="190"/>
      <c r="E5" s="190"/>
      <c r="F5" s="187"/>
      <c r="G5" s="187"/>
      <c r="H5" s="187"/>
      <c r="I5" s="187"/>
      <c r="J5" s="187"/>
      <c r="K5" s="187"/>
      <c r="L5" s="187"/>
      <c r="M5" s="187"/>
      <c r="N5" s="187"/>
      <c r="O5" s="187"/>
    </row>
    <row r="6" spans="1:15" ht="12.75" customHeight="1">
      <c r="A6" s="187"/>
      <c r="B6" s="188"/>
      <c r="C6" s="189"/>
      <c r="D6" s="189"/>
      <c r="E6" s="189"/>
      <c r="F6" s="187"/>
      <c r="G6" s="187"/>
      <c r="H6" s="187"/>
      <c r="I6" s="187"/>
      <c r="J6" s="187"/>
      <c r="K6" s="187"/>
      <c r="L6" s="187"/>
      <c r="M6" s="187"/>
      <c r="N6" s="187"/>
      <c r="O6" s="187"/>
    </row>
    <row r="7" spans="1:15" ht="12.75" customHeight="1">
      <c r="A7" s="187"/>
      <c r="B7" s="188"/>
      <c r="C7" s="189"/>
      <c r="D7" s="189"/>
      <c r="E7" s="189"/>
      <c r="F7" s="187"/>
      <c r="G7" s="187"/>
      <c r="H7" s="187"/>
      <c r="I7" s="187"/>
      <c r="J7" s="187"/>
      <c r="K7" s="187"/>
      <c r="L7" s="187"/>
      <c r="M7" s="187"/>
      <c r="N7" s="187"/>
      <c r="O7" s="187"/>
    </row>
    <row r="8" spans="1:15" ht="12.75" customHeight="1">
      <c r="A8" s="187"/>
      <c r="B8" s="188"/>
      <c r="C8" s="189"/>
      <c r="D8" s="189"/>
      <c r="E8" s="189"/>
      <c r="F8" s="187"/>
      <c r="G8" s="187"/>
      <c r="H8" s="187"/>
      <c r="I8" s="187"/>
      <c r="J8" s="187"/>
      <c r="K8" s="187"/>
      <c r="L8" s="187"/>
      <c r="M8" s="187"/>
      <c r="N8" s="187"/>
      <c r="O8" s="187"/>
    </row>
    <row r="9" spans="1:15" ht="12.75" customHeight="1">
      <c r="A9" s="187"/>
      <c r="B9" s="640" t="s">
        <v>212</v>
      </c>
      <c r="C9" s="594"/>
      <c r="D9" s="594"/>
      <c r="E9" s="594"/>
      <c r="F9" s="187"/>
      <c r="G9" s="187"/>
      <c r="H9" s="187"/>
      <c r="I9" s="187"/>
      <c r="J9" s="187"/>
      <c r="K9" s="187"/>
      <c r="L9" s="187"/>
      <c r="M9" s="187"/>
      <c r="N9" s="187"/>
      <c r="O9" s="187"/>
    </row>
    <row r="10" spans="1:15" ht="12.75" customHeight="1">
      <c r="A10" s="187"/>
      <c r="B10" s="188"/>
      <c r="C10" s="188"/>
      <c r="D10" s="188"/>
      <c r="E10" s="188"/>
      <c r="F10" s="187"/>
      <c r="G10" s="187"/>
      <c r="H10" s="187"/>
      <c r="I10" s="187"/>
      <c r="J10" s="187"/>
      <c r="K10" s="187"/>
      <c r="L10" s="187"/>
      <c r="M10" s="187"/>
      <c r="N10" s="187"/>
      <c r="O10" s="187"/>
    </row>
    <row r="11" spans="1:15" ht="18.75" customHeight="1">
      <c r="A11" s="187"/>
      <c r="B11" s="191" t="s">
        <v>213</v>
      </c>
      <c r="C11" s="641" t="str">
        <f>CAMPUS.CONTRATANTE!G5</f>
        <v xml:space="preserve"> S E R V I Ç O S   de VIGILANCIA,  DESARMADA-diruna __ ARMADA-noturna</v>
      </c>
      <c r="D11" s="602"/>
      <c r="E11" s="602"/>
      <c r="F11" s="187"/>
      <c r="G11" s="187"/>
      <c r="H11" s="187"/>
      <c r="I11" s="187"/>
      <c r="J11" s="187"/>
      <c r="K11" s="187"/>
      <c r="L11" s="187"/>
      <c r="M11" s="187"/>
      <c r="N11" s="187"/>
      <c r="O11" s="187"/>
    </row>
    <row r="12" spans="1:15" ht="12.75" customHeight="1">
      <c r="A12" s="187"/>
      <c r="B12" s="192" t="s">
        <v>214</v>
      </c>
      <c r="C12" s="642"/>
      <c r="D12" s="602"/>
      <c r="E12" s="602"/>
      <c r="F12" s="187"/>
      <c r="G12" s="187"/>
      <c r="H12" s="187"/>
      <c r="I12" s="187"/>
      <c r="J12" s="187"/>
      <c r="K12" s="187"/>
      <c r="L12" s="187"/>
      <c r="M12" s="187"/>
      <c r="N12" s="187"/>
      <c r="O12" s="187"/>
    </row>
    <row r="13" spans="1:15" ht="12.75" customHeight="1">
      <c r="A13" s="187"/>
      <c r="B13" s="193" t="s">
        <v>215</v>
      </c>
      <c r="C13" s="642"/>
      <c r="D13" s="602"/>
      <c r="E13" s="602"/>
      <c r="F13" s="187"/>
      <c r="G13" s="187"/>
      <c r="H13" s="187"/>
      <c r="I13" s="187"/>
      <c r="J13" s="187"/>
      <c r="K13" s="187"/>
      <c r="L13" s="187"/>
      <c r="M13" s="187"/>
      <c r="N13" s="187"/>
      <c r="O13" s="187"/>
    </row>
    <row r="14" spans="1:15" ht="23.25" customHeight="1">
      <c r="A14" s="194"/>
      <c r="B14" s="195" t="s">
        <v>216</v>
      </c>
      <c r="C14" s="643"/>
      <c r="D14" s="602"/>
      <c r="E14" s="602"/>
      <c r="F14" s="196" t="s">
        <v>217</v>
      </c>
      <c r="G14" s="194"/>
      <c r="H14" s="194"/>
      <c r="I14" s="194"/>
      <c r="J14" s="194"/>
      <c r="K14" s="194"/>
      <c r="L14" s="194"/>
      <c r="M14" s="194"/>
      <c r="N14" s="194"/>
      <c r="O14" s="194"/>
    </row>
    <row r="15" spans="1:15" ht="12.75" customHeight="1">
      <c r="A15" s="187"/>
      <c r="B15" s="193" t="s">
        <v>218</v>
      </c>
      <c r="C15" s="642"/>
      <c r="D15" s="602"/>
      <c r="E15" s="602"/>
      <c r="F15" s="187"/>
      <c r="G15" s="187"/>
      <c r="H15" s="187"/>
      <c r="I15" s="187"/>
      <c r="J15" s="187"/>
      <c r="K15" s="187"/>
      <c r="L15" s="187"/>
      <c r="M15" s="187"/>
      <c r="N15" s="187"/>
      <c r="O15" s="187"/>
    </row>
    <row r="16" spans="1:15" ht="12.75" customHeight="1">
      <c r="A16" s="187"/>
      <c r="B16" s="193" t="s">
        <v>219</v>
      </c>
      <c r="C16" s="644"/>
      <c r="D16" s="602"/>
      <c r="E16" s="602"/>
      <c r="F16" s="187"/>
      <c r="G16" s="187"/>
      <c r="H16" s="187"/>
      <c r="I16" s="187"/>
      <c r="J16" s="187"/>
      <c r="K16" s="187"/>
      <c r="L16" s="187"/>
      <c r="M16" s="187"/>
      <c r="N16" s="187"/>
      <c r="O16" s="187"/>
    </row>
    <row r="17" spans="1:15" ht="12.75" customHeight="1">
      <c r="A17" s="187"/>
      <c r="B17" s="193" t="s">
        <v>220</v>
      </c>
      <c r="C17" s="642"/>
      <c r="D17" s="602"/>
      <c r="E17" s="602"/>
      <c r="F17" s="187"/>
      <c r="G17" s="187"/>
      <c r="H17" s="187"/>
      <c r="I17" s="187"/>
      <c r="J17" s="187"/>
      <c r="K17" s="187"/>
      <c r="L17" s="187"/>
      <c r="M17" s="187"/>
      <c r="N17" s="187"/>
      <c r="O17" s="187"/>
    </row>
    <row r="18" spans="1:15" ht="12.75" customHeight="1">
      <c r="A18" s="187"/>
      <c r="B18" s="193" t="s">
        <v>221</v>
      </c>
      <c r="C18" s="642"/>
      <c r="D18" s="602"/>
      <c r="E18" s="602"/>
      <c r="F18" s="187"/>
      <c r="G18" s="187"/>
      <c r="H18" s="187"/>
      <c r="I18" s="187"/>
      <c r="J18" s="187"/>
      <c r="K18" s="187"/>
      <c r="L18" s="187"/>
      <c r="M18" s="187"/>
      <c r="N18" s="187"/>
      <c r="O18" s="187"/>
    </row>
    <row r="19" spans="1:15" ht="12.75" customHeight="1">
      <c r="A19" s="187"/>
      <c r="B19" s="193" t="s">
        <v>222</v>
      </c>
      <c r="C19" s="642"/>
      <c r="D19" s="602"/>
      <c r="E19" s="602"/>
      <c r="F19" s="187"/>
      <c r="G19" s="187"/>
      <c r="H19" s="187"/>
      <c r="I19" s="187"/>
      <c r="J19" s="187"/>
      <c r="K19" s="187"/>
      <c r="L19" s="187"/>
      <c r="M19" s="187"/>
      <c r="N19" s="187"/>
      <c r="O19" s="187"/>
    </row>
    <row r="20" spans="1:15" ht="12.75" customHeight="1">
      <c r="A20" s="187"/>
      <c r="B20" s="193" t="s">
        <v>223</v>
      </c>
      <c r="C20" s="197"/>
      <c r="D20" s="198"/>
      <c r="E20" s="199"/>
      <c r="F20" s="187"/>
      <c r="G20" s="187"/>
      <c r="H20" s="187"/>
      <c r="I20" s="187"/>
      <c r="J20" s="187"/>
      <c r="K20" s="187"/>
      <c r="L20" s="187"/>
      <c r="M20" s="187"/>
      <c r="N20" s="187"/>
      <c r="O20" s="187"/>
    </row>
    <row r="21" spans="1:15" ht="12.75" customHeight="1">
      <c r="A21" s="187"/>
      <c r="B21" s="193" t="s">
        <v>224</v>
      </c>
      <c r="C21" s="642"/>
      <c r="D21" s="602"/>
      <c r="E21" s="602"/>
      <c r="F21" s="187"/>
      <c r="G21" s="187"/>
      <c r="H21" s="187"/>
      <c r="I21" s="187"/>
      <c r="J21" s="187"/>
      <c r="K21" s="187"/>
      <c r="L21" s="187"/>
      <c r="M21" s="187"/>
      <c r="N21" s="187"/>
      <c r="O21" s="187"/>
    </row>
    <row r="22" spans="1:15" ht="12.75" customHeight="1">
      <c r="A22" s="187"/>
      <c r="B22" s="193" t="s">
        <v>225</v>
      </c>
      <c r="C22" s="646"/>
      <c r="D22" s="602"/>
      <c r="E22" s="602"/>
      <c r="F22" s="187"/>
      <c r="G22" s="187"/>
      <c r="H22" s="187"/>
      <c r="I22" s="187"/>
      <c r="J22" s="187"/>
      <c r="K22" s="187"/>
      <c r="L22" s="187"/>
      <c r="M22" s="187"/>
      <c r="N22" s="187"/>
      <c r="O22" s="187"/>
    </row>
    <row r="23" spans="1:15" ht="12.75" customHeight="1">
      <c r="A23" s="187"/>
      <c r="B23" s="193" t="s">
        <v>226</v>
      </c>
      <c r="C23" s="647"/>
      <c r="D23" s="606"/>
      <c r="E23" s="606"/>
      <c r="F23" s="187"/>
      <c r="G23" s="187"/>
      <c r="H23" s="187"/>
      <c r="I23" s="187"/>
      <c r="J23" s="187"/>
      <c r="K23" s="187"/>
      <c r="L23" s="187"/>
      <c r="M23" s="187"/>
      <c r="N23" s="187"/>
      <c r="O23" s="187"/>
    </row>
    <row r="24" spans="1:15" ht="12.75" customHeight="1">
      <c r="A24" s="187"/>
      <c r="B24" s="200" t="s">
        <v>227</v>
      </c>
      <c r="C24" s="197"/>
      <c r="D24" s="199"/>
      <c r="E24" s="201"/>
      <c r="F24" s="187"/>
      <c r="G24" s="187"/>
      <c r="H24" s="187"/>
      <c r="I24" s="187"/>
      <c r="J24" s="187"/>
      <c r="K24" s="187"/>
      <c r="L24" s="187"/>
      <c r="M24" s="187"/>
      <c r="N24" s="187"/>
      <c r="O24" s="187"/>
    </row>
    <row r="25" spans="1:15" ht="12.75" customHeight="1">
      <c r="A25" s="187"/>
      <c r="B25" s="202"/>
      <c r="C25" s="202"/>
      <c r="D25" s="202"/>
      <c r="E25" s="202"/>
      <c r="F25" s="187"/>
      <c r="G25" s="187"/>
      <c r="H25" s="187"/>
      <c r="I25" s="187"/>
      <c r="J25" s="187"/>
      <c r="K25" s="187"/>
      <c r="L25" s="187"/>
      <c r="M25" s="187"/>
      <c r="N25" s="187"/>
      <c r="O25" s="187"/>
    </row>
    <row r="26" spans="1:15" ht="12.75" customHeight="1">
      <c r="A26" s="187"/>
      <c r="B26" s="648" t="s">
        <v>228</v>
      </c>
      <c r="C26" s="594"/>
      <c r="D26" s="594"/>
      <c r="E26" s="645" t="s">
        <v>229</v>
      </c>
      <c r="F26" s="645" t="s">
        <v>230</v>
      </c>
      <c r="G26" s="203"/>
      <c r="H26" s="203"/>
      <c r="I26" s="203"/>
      <c r="J26" s="203"/>
      <c r="K26" s="204"/>
      <c r="L26" s="204"/>
      <c r="M26" s="204"/>
      <c r="N26" s="204"/>
      <c r="O26" s="187"/>
    </row>
    <row r="27" spans="1:15" ht="12.75" customHeight="1">
      <c r="A27" s="187"/>
      <c r="B27" s="187"/>
      <c r="C27" s="187"/>
      <c r="D27" s="187"/>
      <c r="E27" s="575"/>
      <c r="F27" s="575"/>
      <c r="G27" s="204"/>
      <c r="H27" s="204"/>
      <c r="I27" s="204"/>
      <c r="J27" s="204"/>
      <c r="K27" s="204"/>
      <c r="L27" s="204"/>
      <c r="M27" s="204"/>
      <c r="N27" s="204"/>
      <c r="O27" s="187"/>
    </row>
    <row r="28" spans="1:15" ht="21.75" customHeight="1">
      <c r="A28" s="205"/>
      <c r="B28" s="206" t="s">
        <v>231</v>
      </c>
      <c r="C28" s="650">
        <v>1</v>
      </c>
      <c r="D28" s="207"/>
      <c r="E28" s="652">
        <v>1.6500000000000001E-2</v>
      </c>
      <c r="F28" s="652">
        <v>7.5999999999999998E-2</v>
      </c>
      <c r="G28" s="208"/>
      <c r="H28" s="209"/>
      <c r="I28" s="209"/>
      <c r="J28" s="209"/>
      <c r="K28" s="209"/>
      <c r="L28" s="209"/>
      <c r="M28" s="209"/>
      <c r="N28" s="209"/>
      <c r="O28" s="205"/>
    </row>
    <row r="29" spans="1:15" ht="21.75" customHeight="1">
      <c r="A29" s="205"/>
      <c r="B29" s="206" t="s">
        <v>232</v>
      </c>
      <c r="C29" s="651"/>
      <c r="D29" s="210"/>
      <c r="E29" s="575"/>
      <c r="F29" s="575"/>
      <c r="G29" s="208"/>
      <c r="H29" s="209"/>
      <c r="I29" s="209"/>
      <c r="J29" s="209"/>
      <c r="K29" s="209"/>
      <c r="L29" s="209"/>
      <c r="M29" s="209"/>
      <c r="N29" s="209"/>
      <c r="O29" s="205"/>
    </row>
    <row r="30" spans="1:15" ht="12.75" customHeight="1">
      <c r="A30" s="187"/>
      <c r="B30" s="211"/>
      <c r="C30" s="212"/>
      <c r="D30" s="212"/>
      <c r="E30" s="187"/>
      <c r="F30" s="187"/>
      <c r="G30" s="204"/>
      <c r="H30" s="204"/>
      <c r="I30" s="204"/>
      <c r="J30" s="204"/>
      <c r="K30" s="204"/>
      <c r="L30" s="204"/>
      <c r="M30" s="204"/>
      <c r="N30" s="204"/>
      <c r="O30" s="187"/>
    </row>
    <row r="31" spans="1:15" ht="12.75" customHeight="1">
      <c r="A31" s="187"/>
      <c r="B31" s="648" t="s">
        <v>233</v>
      </c>
      <c r="C31" s="594"/>
      <c r="D31" s="594"/>
      <c r="E31" s="213"/>
      <c r="F31" s="213"/>
      <c r="G31" s="214"/>
      <c r="H31" s="214"/>
      <c r="I31" s="214"/>
      <c r="J31" s="214"/>
      <c r="K31" s="214"/>
      <c r="L31" s="214"/>
      <c r="M31" s="214"/>
      <c r="N31" s="214"/>
      <c r="O31" s="187"/>
    </row>
    <row r="32" spans="1:15" ht="12.75" customHeight="1">
      <c r="A32" s="187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187"/>
    </row>
    <row r="33" spans="1:15" ht="32.25" customHeight="1">
      <c r="A33" s="187"/>
      <c r="B33" s="211" t="s">
        <v>234</v>
      </c>
      <c r="C33" s="216" t="str">
        <f>CAMPUS.CONTRATANTE!G6</f>
        <v>5173-30_VIGILANTE_12×36_diurn</v>
      </c>
      <c r="D33" s="216" t="str">
        <f>CAMPUS.CONTRATANTE!X6</f>
        <v>5173-30_VIGILANTE_12×36_notur</v>
      </c>
      <c r="E33" s="217" t="str">
        <f>CAMPUS.CONTRATANTE!AO6</f>
        <v>A NÃO TEM MAIS POSTOS-00</v>
      </c>
      <c r="F33" s="217" t="str">
        <f>CAMPUS.CONTRATANTE!BF6</f>
        <v>A NÃO TEM MAIS POSTOS-11</v>
      </c>
      <c r="G33" s="217" t="str">
        <f>CAMPUS.CONTRATANTE!BW6</f>
        <v>A NÃO TEM MAIS POSTOS-22</v>
      </c>
      <c r="H33" s="217" t="str">
        <f>CAMPUS.CONTRATANTE!CN6</f>
        <v>A NÃO TEM MAIS POSTOS-33</v>
      </c>
      <c r="I33" s="217" t="str">
        <f>CAMPUS.CONTRATANTE!DE6</f>
        <v>A NÃO TEM MAIS POSTOS-44</v>
      </c>
      <c r="J33" s="217" t="str">
        <f>CAMPUS.CONTRATANTE!DV6</f>
        <v>A NÃO TEM MAIS POSTOS-55</v>
      </c>
      <c r="K33" s="217" t="str">
        <f>CAMPUS.CONTRATANTE!EM6</f>
        <v>A NÃO TEM MAIS POSTOS-66</v>
      </c>
      <c r="L33" s="217" t="str">
        <f>CAMPUS.CONTRATANTE!FD6</f>
        <v>A NÃO TEM MAIS POSTOS-77</v>
      </c>
      <c r="M33" s="217" t="str">
        <f>CAMPUS.CONTRATANTE!FU6</f>
        <v>A NÃO TEM MAIS POSTOS-88</v>
      </c>
      <c r="N33" s="217" t="str">
        <f>CAMPUS.CONTRATANTE!GL6</f>
        <v>A NÃO TEM MAIS POSTOS-99</v>
      </c>
      <c r="O33" s="187"/>
    </row>
    <row r="34" spans="1:15" ht="8.25" customHeight="1">
      <c r="A34" s="187"/>
      <c r="B34" s="211"/>
      <c r="C34" s="216"/>
      <c r="D34" s="216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187"/>
    </row>
    <row r="35" spans="1:15" ht="15" customHeight="1">
      <c r="A35" s="187"/>
      <c r="B35" s="211" t="s">
        <v>235</v>
      </c>
      <c r="C35" s="218" t="e">
        <f>VLOOKUP(C14,CAMPUS.CONTRATANTE!$D$10:$HD$21,6,0)</f>
        <v>#N/A</v>
      </c>
      <c r="D35" s="218" t="e">
        <f>VLOOKUP(C14,CAMPUS.CONTRATANTE!$D$10:$HD$21,23,0)</f>
        <v>#N/A</v>
      </c>
      <c r="E35" s="219" t="e">
        <f>VLOOKUP(C14,CAMPUS.CONTRATANTE!$D$10:$HD$21,40,0)</f>
        <v>#N/A</v>
      </c>
      <c r="F35" s="219" t="e">
        <f>VLOOKUP(C14,CAMPUS.CONTRATANTE!$D$10:$HD$21,57,0)</f>
        <v>#N/A</v>
      </c>
      <c r="G35" s="219" t="e">
        <f>VLOOKUP(C14,CAMPUS.CONTRATANTE!$D$10:$HD$21,74,0)</f>
        <v>#N/A</v>
      </c>
      <c r="H35" s="219" t="e">
        <f>VLOOKUP(C14,CAMPUS.CONTRATANTE!$D$10:$HD$21,91,0)</f>
        <v>#N/A</v>
      </c>
      <c r="I35" s="219" t="e">
        <f>VLOOKUP(C14,CAMPUS.CONTRATANTE!$D$10:$HD$21,108,0)</f>
        <v>#N/A</v>
      </c>
      <c r="J35" s="219" t="e">
        <f>VLOOKUP(C14,CAMPUS.CONTRATANTE!$D$10:$HD$21,125,0)</f>
        <v>#N/A</v>
      </c>
      <c r="K35" s="219" t="e">
        <f>VLOOKUP(C14,CAMPUS.CONTRATANTE!$D$10:$HD$21,142,0)</f>
        <v>#N/A</v>
      </c>
      <c r="L35" s="219" t="e">
        <f>VLOOKUP(C14,CAMPUS.CONTRATANTE!$D$10:$HD$21,159,0)</f>
        <v>#N/A</v>
      </c>
      <c r="M35" s="219" t="e">
        <f>VLOOKUP(C14,CAMPUS.CONTRATANTE!$D$10:$HD$21,176,0)</f>
        <v>#N/A</v>
      </c>
      <c r="N35" s="219" t="e">
        <f>VLOOKUP(C14,CAMPUS.CONTRATANTE!$D$10:$HD$21,193,0)</f>
        <v>#N/A</v>
      </c>
      <c r="O35" s="187"/>
    </row>
    <row r="36" spans="1:15" ht="15" customHeight="1">
      <c r="A36" s="187"/>
      <c r="B36" s="211" t="s">
        <v>236</v>
      </c>
      <c r="C36" s="220" t="e">
        <f>VLOOKUP(C35,'DADOS-CADASTRAIS'!$C$6:$O$102,3,0)</f>
        <v>#N/A</v>
      </c>
      <c r="D36" s="220" t="e">
        <f>VLOOKUP(D35,'DADOS-CADASTRAIS'!$C$6:$O$102,3,0)</f>
        <v>#N/A</v>
      </c>
      <c r="E36" s="221" t="e">
        <f>VLOOKUP(E35,'DADOS-CADASTRAIS'!$C$6:$O$102,3,0)</f>
        <v>#N/A</v>
      </c>
      <c r="F36" s="222" t="e">
        <f>VLOOKUP(F35,'DADOS-CADASTRAIS'!$C$6:$O$102,3,0)</f>
        <v>#N/A</v>
      </c>
      <c r="G36" s="222" t="e">
        <f>VLOOKUP(G35,'DADOS-CADASTRAIS'!$C$6:$F$17,3,0)</f>
        <v>#N/A</v>
      </c>
      <c r="H36" s="222" t="e">
        <f>VLOOKUP(H35,'DADOS-CADASTRAIS'!$C$6:$F$17,3,0)</f>
        <v>#N/A</v>
      </c>
      <c r="I36" s="222" t="e">
        <f>VLOOKUP(I35,'DADOS-CADASTRAIS'!$C$6:$F$17,3,0)</f>
        <v>#N/A</v>
      </c>
      <c r="J36" s="222" t="e">
        <f>VLOOKUP(J35,'DADOS-CADASTRAIS'!$C$6:$F$17,3,0)</f>
        <v>#N/A</v>
      </c>
      <c r="K36" s="222" t="e">
        <f>VLOOKUP(K35,'DADOS-CADASTRAIS'!$C$6:$F$17,3,0)</f>
        <v>#N/A</v>
      </c>
      <c r="L36" s="222" t="e">
        <f>VLOOKUP(L35,'DADOS-CADASTRAIS'!$C$6:$F$17,3,0)</f>
        <v>#N/A</v>
      </c>
      <c r="M36" s="222" t="e">
        <f>VLOOKUP(M35,'DADOS-CADASTRAIS'!$C$6:$F$17,3,0)</f>
        <v>#N/A</v>
      </c>
      <c r="N36" s="222" t="e">
        <f>VLOOKUP(N35,'DADOS-CADASTRAIS'!$C$6:$F$17,3,0)</f>
        <v>#N/A</v>
      </c>
      <c r="O36" s="187"/>
    </row>
    <row r="37" spans="1:15" ht="15" customHeight="1">
      <c r="A37" s="187"/>
      <c r="B37" s="211" t="s">
        <v>237</v>
      </c>
      <c r="C37" s="223" t="e">
        <f>VLOOKUP(C14,CAMPUS.CONTRATANTE!$D$10:$HD$21,7,0)</f>
        <v>#N/A</v>
      </c>
      <c r="D37" s="223" t="e">
        <f>VLOOKUP(C14,CAMPUS.CONTRATANTE!$D$10:$HD$21,24,0)</f>
        <v>#N/A</v>
      </c>
      <c r="E37" s="224" t="e">
        <f>VLOOKUP(C14,CAMPUS.CONTRATANTE!$D$10:$HD$21,41,0)</f>
        <v>#N/A</v>
      </c>
      <c r="F37" s="224" t="e">
        <f>VLOOKUP(C14,CAMPUS.CONTRATANTE!$D$10:$HD$21,58,0)</f>
        <v>#N/A</v>
      </c>
      <c r="G37" s="224" t="e">
        <f>VLOOKUP(C14,CAMPUS.CONTRATANTE!$D$10:$HD$21,75,0)</f>
        <v>#N/A</v>
      </c>
      <c r="H37" s="224" t="e">
        <f>VLOOKUP(C14,CAMPUS.CONTRATANTE!$D$10:$HD$21,92,0)</f>
        <v>#N/A</v>
      </c>
      <c r="I37" s="224" t="e">
        <f>VLOOKUP(C14,CAMPUS.CONTRATANTE!$D$10:$HD$21,109,0)</f>
        <v>#N/A</v>
      </c>
      <c r="J37" s="224" t="e">
        <f>VLOOKUP(C14,CAMPUS.CONTRATANTE!$D$10:$HD$21,126,0)</f>
        <v>#N/A</v>
      </c>
      <c r="K37" s="224" t="e">
        <f>VLOOKUP(C14,CAMPUS.CONTRATANTE!$D$10:$HD$21,143,0)</f>
        <v>#N/A</v>
      </c>
      <c r="L37" s="224" t="e">
        <f>VLOOKUP(C14,CAMPUS.CONTRATANTE!$D$10:$HD$21,160,0)</f>
        <v>#N/A</v>
      </c>
      <c r="M37" s="224" t="e">
        <f>VLOOKUP(C14,CAMPUS.CONTRATANTE!$D$10:$HD$21,177,0)</f>
        <v>#N/A</v>
      </c>
      <c r="N37" s="224" t="e">
        <f>VLOOKUP(C14,CAMPUS.CONTRATANTE!$D$10:$HD$21,194,0)</f>
        <v>#N/A</v>
      </c>
      <c r="O37" s="187"/>
    </row>
    <row r="38" spans="1:15" ht="15" customHeight="1">
      <c r="A38" s="187"/>
      <c r="B38" s="211" t="s">
        <v>238</v>
      </c>
      <c r="C38" s="225" t="e">
        <f>VLOOKUP(C14,CAMPUS.CONTRATANTE!$D$10:$HD$21,9,0)</f>
        <v>#N/A</v>
      </c>
      <c r="D38" s="225" t="e">
        <f>VLOOKUP(C14,CAMPUS.CONTRATANTE!$D$10:$HD$21,26,0)</f>
        <v>#N/A</v>
      </c>
      <c r="E38" s="226" t="e">
        <f>VLOOKUP(C14,CAMPUS.CONTRATANTE!$D$10:$HD$21,43,0)</f>
        <v>#N/A</v>
      </c>
      <c r="F38" s="226" t="e">
        <f>VLOOKUP(C14,CAMPUS.CONTRATANTE!$D$10:$HD$21,60,0)</f>
        <v>#N/A</v>
      </c>
      <c r="G38" s="226" t="e">
        <f>VLOOKUP(C14,CAMPUS.CONTRATANTE!$D$10:$HD$21,77,0)</f>
        <v>#N/A</v>
      </c>
      <c r="H38" s="226" t="e">
        <f>VLOOKUP(C14,CAMPUS.CONTRATANTE!$D$10:$HD$21,94,0)</f>
        <v>#N/A</v>
      </c>
      <c r="I38" s="226" t="e">
        <f>VLOOKUP(C14,CAMPUS.CONTRATANTE!$D$10:$HD$21,111,0)</f>
        <v>#N/A</v>
      </c>
      <c r="J38" s="226" t="e">
        <f>VLOOKUP(C14,CAMPUS.CONTRATANTE!$D$10:$HD$21,128,0)</f>
        <v>#N/A</v>
      </c>
      <c r="K38" s="226" t="e">
        <f>VLOOKUP(C14,CAMPUS.CONTRATANTE!$D$10:$HD$21,145,0)</f>
        <v>#N/A</v>
      </c>
      <c r="L38" s="226" t="e">
        <f>VLOOKUP(C14,CAMPUS.CONTRATANTE!$D$10:$HD$21,162,0)</f>
        <v>#N/A</v>
      </c>
      <c r="M38" s="224" t="e">
        <f>VLOOKUP(C14,CAMPUS.CONTRATANTE!$D$10:$HD$21,179,0)</f>
        <v>#N/A</v>
      </c>
      <c r="N38" s="224" t="e">
        <f>VLOOKUP(C14,CAMPUS.CONTRATANTE!$D$10:$HD$21,196,0)</f>
        <v>#N/A</v>
      </c>
      <c r="O38" s="187"/>
    </row>
    <row r="39" spans="1:15" ht="15" customHeight="1">
      <c r="A39" s="187"/>
      <c r="B39" s="211" t="s">
        <v>239</v>
      </c>
      <c r="C39" s="227" t="e">
        <f>IF(C38="SEM ADICIONAL DE FUNÇÃO",0,VLOOKUP(C14,CAMPUS.CONTRATANTE!$D$10:$HD$21,8,0))</f>
        <v>#N/A</v>
      </c>
      <c r="D39" s="227" t="e">
        <f>IF(D38="SEM ADICIONAL DE FUNÇÃO",0,VLOOKUP(C14,CAMPUS.CONTRATANTE!$D$10:$HD$21,25,0))</f>
        <v>#N/A</v>
      </c>
      <c r="E39" s="228" t="e">
        <f>IF(E38="SEM ADICIONAL DE FUNÇÃO",0,VLOOKUP(C14,CAMPUS.CONTRATANTE!$D$10:$HD$21,42,0))</f>
        <v>#N/A</v>
      </c>
      <c r="F39" s="228" t="e">
        <f t="shared" ref="F39:H39" si="0">IF(F38="SEM ADICIONAL DE FUNÇÃO",0,25%)</f>
        <v>#N/A</v>
      </c>
      <c r="G39" s="228" t="e">
        <f t="shared" si="0"/>
        <v>#N/A</v>
      </c>
      <c r="H39" s="228" t="e">
        <f t="shared" si="0"/>
        <v>#N/A</v>
      </c>
      <c r="I39" s="228"/>
      <c r="J39" s="224"/>
      <c r="K39" s="224"/>
      <c r="L39" s="224"/>
      <c r="M39" s="224"/>
      <c r="N39" s="224"/>
      <c r="O39" s="187"/>
    </row>
    <row r="40" spans="1:15" ht="15" customHeight="1">
      <c r="A40" s="187"/>
      <c r="B40" s="211" t="s">
        <v>240</v>
      </c>
      <c r="C40" s="225" t="e">
        <f>VLOOKUP(C14,CAMPUS.CONTRATANTE!$D$10:$HD$21,12,0)</f>
        <v>#N/A</v>
      </c>
      <c r="D40" s="225" t="e">
        <f>VLOOKUP(C14,CAMPUS.CONTRATANTE!$D$10:$HD$21,29,0)</f>
        <v>#N/A</v>
      </c>
      <c r="E40" s="226" t="e">
        <f>VLOOKUP(C14,CAMPUS.CONTRATANTE!$D$10:$HD$21,46,0)</f>
        <v>#N/A</v>
      </c>
      <c r="F40" s="226" t="e">
        <f>VLOOKUP(C14,CAMPUS.CONTRATANTE!$D$10:$HD$21,63,0)</f>
        <v>#N/A</v>
      </c>
      <c r="G40" s="226" t="e">
        <f>VLOOKUP(C14,CAMPUS.CONTRATANTE!$D$10:$HD$21,80,0)</f>
        <v>#N/A</v>
      </c>
      <c r="H40" s="226" t="e">
        <f>VLOOKUP(C14,CAMPUS.CONTRATANTE!$D$10:$HD$21,97,0)</f>
        <v>#N/A</v>
      </c>
      <c r="I40" s="226" t="e">
        <f>VLOOKUP(C14,CAMPUS.CONTRATANTE!$D$10:$HD$21,114,0)</f>
        <v>#N/A</v>
      </c>
      <c r="J40" s="226" t="e">
        <f>VLOOKUP(C14,CAMPUS.CONTRATANTE!$D$10:$HD$21,131,0)</f>
        <v>#N/A</v>
      </c>
      <c r="K40" s="226" t="e">
        <f>VLOOKUP(C14,CAMPUS.CONTRATANTE!$D$10:$HD$21,148,0)</f>
        <v>#N/A</v>
      </c>
      <c r="L40" s="226" t="e">
        <f>VLOOKUP(C14,CAMPUS.CONTRATANTE!$D$10:$HD$21,165,0)</f>
        <v>#N/A</v>
      </c>
      <c r="M40" s="226" t="e">
        <f>VLOOKUP(C14,CAMPUS.CONTRATANTE!$D$10:$HD$21,182,0)</f>
        <v>#N/A</v>
      </c>
      <c r="N40" s="226" t="e">
        <f>VLOOKUP(C14,CAMPUS.CONTRATANTE!$D$10:$HD$21,199,0)</f>
        <v>#N/A</v>
      </c>
      <c r="O40" s="187"/>
    </row>
    <row r="41" spans="1:15" ht="15" customHeight="1">
      <c r="A41" s="187"/>
      <c r="B41" s="211" t="s">
        <v>241</v>
      </c>
      <c r="C41" s="227">
        <f>IFERROR(IF(C40="INSALUB S/MINIMO",VLOOKUP(C14,CAMPUS.CONTRATANTE!$D$10:$HD$21,11,0),IF(C40="INSALUB S/NORMATIVO",VLOOKUP(C14,CAMPUS.CONTRATANTE!$D$10:$HD$21,11,0),IF(C35="PERICULOSIDADE",0*0,0))),0)</f>
        <v>0</v>
      </c>
      <c r="D41" s="227">
        <f>IFERROR(IF(D40="INSALUB S/MINIMO",VLOOKUP(C14,CAMPUS.CONTRATANTE!$D$10:$HD$21,28,0),IF(D40="INSALUB S/NORMATIVO",VLOOKUP(C14,CAMPUS.CONTRATANTE!$D$10:$HD$21,28,0),IF(D35="PERICULOSIDADE",0*0,0))),0)</f>
        <v>0</v>
      </c>
      <c r="E41" s="228">
        <f>IFERROR(IF(E40="INSALUB S/MINIMO",VLOOKUP(C14,CAMPUS.CONTRATANTE!$D$10:$HD$21,45,0),IF(E40="INSALUB S/NORMATIVO",VLOOKUP(C14,CAMPUS.CONTRATANTE!$D$10:$HD$21,45,0),IF(E35="PERICULOSIDADE",0*0,0))),0)</f>
        <v>0</v>
      </c>
      <c r="F41" s="228">
        <f>IFERROR(IF(F40="INSALUB S/MINIMO",VLOOKUP(C14,CAMPUS.CONTRATANTE!$D$10:$HD$21,62,0),IF(F40="INSALUB S/NORMATIVO",VLOOKUP(C14,CAMPUS.CONTRATANTE!$D$10:$HD$21,62,0),IF(F35="PERICULOSIDADE",0*0,0))),0)</f>
        <v>0</v>
      </c>
      <c r="G41" s="228">
        <f>IFERROR(IF(G40="INSALUB S/MINIMO",VLOOKUP(C14,CAMPUS.CONTRATANTE!$D$10:$HD$21,79,0),IF(G40="INSALUB S/NORMATIVO",VLOOKUP(C14,CAMPUS.CONTRATANTE!$D$10:$HD$21,79,0),IF(G35="PERICULOSIDADE",0*0,0))),0)</f>
        <v>0</v>
      </c>
      <c r="H41" s="228">
        <f>IFERROR(IF(H40="INSALUB S/MINIMO",VLOOKUP(C14,CAMPUS.CONTRATANTE!$D$10:$HD$21,96,0),IF(H40="INSALUB S/NORMATIVO",VLOOKUP(C14,CAMPUS.CONTRATANTE!$D$10:$HD$21,96,0),IF(H35="PERICULOSIDADE",0*0,0))),0)</f>
        <v>0</v>
      </c>
      <c r="I41" s="228">
        <f>IFERROR(IF(I40="INSALUB S/MINIMO",VLOOKUP(C14,CAMPUS.CONTRATANTE!$D$10:$HD$21,113,0),IF(I40="INSALUB S/NORMATIVO",VLOOKUP(C14,CAMPUS.CONTRATANTE!$D$10:$HD$21,113,0),IF(I35="PERICULOSIDADE",0*0,0))),0)</f>
        <v>0</v>
      </c>
      <c r="J41" s="228">
        <f>IFERROR(IF(J40="INSALUB S/MINIMO",VLOOKUP(C14,CAMPUS.CONTRATANTE!$D$10:$HD$21,130,0),IF(J40="INSALUB S/NORMATIVO",VLOOKUP(C14,CAMPUS.CONTRATANTE!$D$10:$HD$21,130,0),IF(J35="PERICULOSIDADE",0*0,0))),0)</f>
        <v>0</v>
      </c>
      <c r="K41" s="228">
        <f>IFERROR(IF(K40="INSALUB S/MINIMO",VLOOKUP(C14,CAMPUS.CONTRATANTE!$D$10:$HD$21,147,0),IF(K40="INSALUB S/NORMATIVO",VLOOKUP(C14,CAMPUS.CONTRATANTE!$D$10:$HD$21,147,0),IF(K35="PERICULOSIDADE",0*0,0))),0)</f>
        <v>0</v>
      </c>
      <c r="L41" s="228">
        <f>IFERROR(IF(L40="INSALUB S/MINIMO",VLOOKUP(C14,CAMPUS.CONTRATANTE!$D$10:$HD$21,164,0),IF(L40="INSALUB S/NORMATIVO",VLOOKUP(C14,CAMPUS.CONTRATANTE!$D$10:$HD$21,164,0),IF(L35="PERICULOSIDADE",0*0,0))),0)</f>
        <v>0</v>
      </c>
      <c r="M41" s="228">
        <f>IFERROR(IF(M40="INSALUB S/MINIMO",VLOOKUP(C14,CAMPUS.CONTRATANTE!$D$10:$HD$21,181,0),IF(M40="INSALUB S/NORMATIVO",VLOOKUP(C14,CAMPUS.CONTRATANTE!$D$10:$HD$21,181,0),IF(M35="PERICULOSIDADE",0*0,0))),0)</f>
        <v>0</v>
      </c>
      <c r="N41" s="228">
        <f>IFERROR(IF(N40="INSALUB S/MINIMO",VLOOKUP(C14,CAMPUS.CONTRATANTE!$D$10:$HD$21,198,0),IF(N40="INSALUB S/NORMATIVO",VLOOKUP(C14,CAMPUS.CONTRATANTE!$D$10:$HD$21,198,0),IF(N35="PERICULOSIDADE",0*0,0))),0)</f>
        <v>0</v>
      </c>
      <c r="O41" s="187"/>
    </row>
    <row r="42" spans="1:15" ht="15" customHeight="1">
      <c r="A42" s="229"/>
      <c r="B42" s="230" t="s">
        <v>242</v>
      </c>
      <c r="C42" s="231">
        <v>1212</v>
      </c>
      <c r="D42" s="231">
        <f t="shared" ref="D42:N42" si="1">C42</f>
        <v>1212</v>
      </c>
      <c r="E42" s="224">
        <f t="shared" si="1"/>
        <v>1212</v>
      </c>
      <c r="F42" s="224">
        <f t="shared" si="1"/>
        <v>1212</v>
      </c>
      <c r="G42" s="224">
        <f t="shared" si="1"/>
        <v>1212</v>
      </c>
      <c r="H42" s="224">
        <f t="shared" si="1"/>
        <v>1212</v>
      </c>
      <c r="I42" s="224">
        <f t="shared" si="1"/>
        <v>1212</v>
      </c>
      <c r="J42" s="224">
        <f t="shared" si="1"/>
        <v>1212</v>
      </c>
      <c r="K42" s="224">
        <f t="shared" si="1"/>
        <v>1212</v>
      </c>
      <c r="L42" s="224">
        <f t="shared" si="1"/>
        <v>1212</v>
      </c>
      <c r="M42" s="224">
        <f t="shared" si="1"/>
        <v>1212</v>
      </c>
      <c r="N42" s="224">
        <f t="shared" si="1"/>
        <v>1212</v>
      </c>
      <c r="O42" s="229"/>
    </row>
    <row r="43" spans="1:15" ht="15" customHeight="1">
      <c r="A43" s="187"/>
      <c r="B43" s="211" t="s">
        <v>243</v>
      </c>
      <c r="C43" s="232" t="e">
        <f>IF(VLOOKUP(C14,CAMPUS.CONTRATANTE!$D$10:$HB$21,18,0)="S",20%,0)</f>
        <v>#N/A</v>
      </c>
      <c r="D43" s="225" t="e">
        <f>IF(VLOOKUP(C14,CAMPUS.CONTRATANTE!$D$10:$HB$21,35,0)="S",20%,0)</f>
        <v>#N/A</v>
      </c>
      <c r="E43" s="233" t="e">
        <f>IF(VLOOKUP(C14,CAMPUS.CONTRATANTE!$D$10:$HB$21,18,0)="S",20%,0)</f>
        <v>#N/A</v>
      </c>
      <c r="F43" s="233"/>
      <c r="G43" s="233"/>
      <c r="H43" s="233"/>
      <c r="I43" s="233"/>
      <c r="J43" s="233"/>
      <c r="K43" s="233"/>
      <c r="L43" s="233"/>
      <c r="M43" s="233"/>
      <c r="N43" s="233"/>
      <c r="O43" s="187"/>
    </row>
    <row r="44" spans="1:15" ht="15" customHeight="1">
      <c r="A44" s="187"/>
      <c r="B44" s="211" t="s">
        <v>244</v>
      </c>
      <c r="C44" s="234" t="e">
        <f>IF(C40="PERICULOSIDADE",30%,0)</f>
        <v>#N/A</v>
      </c>
      <c r="D44" s="235" t="e">
        <f>IF(C40="PERICULOSIDADE",30%,0)</f>
        <v>#N/A</v>
      </c>
      <c r="E44" s="228" t="e">
        <f>IF(C40="PERICULOSIDADE",30%,0)</f>
        <v>#N/A</v>
      </c>
      <c r="F44" s="233"/>
      <c r="G44" s="233"/>
      <c r="H44" s="233"/>
      <c r="I44" s="233"/>
      <c r="J44" s="233"/>
      <c r="K44" s="233"/>
      <c r="L44" s="233"/>
      <c r="M44" s="233"/>
      <c r="N44" s="233"/>
      <c r="O44" s="187"/>
    </row>
    <row r="45" spans="1:15" ht="18.75" customHeight="1">
      <c r="A45" s="187"/>
      <c r="B45" s="1"/>
      <c r="C45" s="1"/>
      <c r="D45" s="1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187"/>
    </row>
    <row r="46" spans="1:15" ht="8.25" customHeight="1">
      <c r="A46" s="187"/>
      <c r="B46" s="211"/>
      <c r="C46" s="237"/>
      <c r="D46" s="237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187"/>
    </row>
    <row r="47" spans="1:15" ht="12.75" customHeight="1">
      <c r="A47" s="187"/>
      <c r="B47" s="648" t="s">
        <v>245</v>
      </c>
      <c r="C47" s="594"/>
      <c r="D47" s="594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187"/>
    </row>
    <row r="48" spans="1:15" ht="12.75" customHeight="1">
      <c r="A48" s="187"/>
      <c r="B48" s="187"/>
      <c r="C48" s="187"/>
      <c r="D48" s="187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187"/>
    </row>
    <row r="49" spans="1:15" ht="17.25" customHeight="1">
      <c r="A49" s="187"/>
      <c r="B49" s="187"/>
      <c r="C49" s="240" t="str">
        <f t="shared" ref="C49:N49" si="2">C33</f>
        <v>5173-30_VIGILANTE_12×36_diurn</v>
      </c>
      <c r="D49" s="240" t="str">
        <f t="shared" si="2"/>
        <v>5173-30_VIGILANTE_12×36_notur</v>
      </c>
      <c r="E49" s="241" t="str">
        <f t="shared" si="2"/>
        <v>A NÃO TEM MAIS POSTOS-00</v>
      </c>
      <c r="F49" s="241" t="str">
        <f t="shared" si="2"/>
        <v>A NÃO TEM MAIS POSTOS-11</v>
      </c>
      <c r="G49" s="241" t="str">
        <f t="shared" si="2"/>
        <v>A NÃO TEM MAIS POSTOS-22</v>
      </c>
      <c r="H49" s="241" t="str">
        <f t="shared" si="2"/>
        <v>A NÃO TEM MAIS POSTOS-33</v>
      </c>
      <c r="I49" s="241" t="str">
        <f t="shared" si="2"/>
        <v>A NÃO TEM MAIS POSTOS-44</v>
      </c>
      <c r="J49" s="241" t="str">
        <f t="shared" si="2"/>
        <v>A NÃO TEM MAIS POSTOS-55</v>
      </c>
      <c r="K49" s="241" t="str">
        <f t="shared" si="2"/>
        <v>A NÃO TEM MAIS POSTOS-66</v>
      </c>
      <c r="L49" s="241" t="str">
        <f t="shared" si="2"/>
        <v>A NÃO TEM MAIS POSTOS-77</v>
      </c>
      <c r="M49" s="241" t="str">
        <f t="shared" si="2"/>
        <v>A NÃO TEM MAIS POSTOS-88</v>
      </c>
      <c r="N49" s="241" t="str">
        <f t="shared" si="2"/>
        <v>A NÃO TEM MAIS POSTOS-99</v>
      </c>
      <c r="O49" s="187"/>
    </row>
    <row r="50" spans="1:15" ht="13.5" customHeight="1">
      <c r="A50" s="187"/>
      <c r="B50" s="242" t="s">
        <v>246</v>
      </c>
      <c r="C50" s="243">
        <v>8</v>
      </c>
      <c r="D50" s="243">
        <v>8</v>
      </c>
      <c r="E50" s="244">
        <v>8</v>
      </c>
      <c r="F50" s="244">
        <v>4</v>
      </c>
      <c r="G50" s="244">
        <v>8</v>
      </c>
      <c r="H50" s="244">
        <v>4</v>
      </c>
      <c r="I50" s="244">
        <v>8</v>
      </c>
      <c r="J50" s="244">
        <v>4</v>
      </c>
      <c r="K50" s="244">
        <v>8</v>
      </c>
      <c r="L50" s="244">
        <v>8</v>
      </c>
      <c r="M50" s="244">
        <v>8</v>
      </c>
      <c r="N50" s="244">
        <v>8</v>
      </c>
      <c r="O50" s="187"/>
    </row>
    <row r="51" spans="1:15" ht="13.5" customHeight="1">
      <c r="A51" s="187"/>
      <c r="B51" s="242" t="s">
        <v>247</v>
      </c>
      <c r="C51" s="245">
        <v>40</v>
      </c>
      <c r="D51" s="245">
        <v>40</v>
      </c>
      <c r="E51" s="246">
        <v>40</v>
      </c>
      <c r="F51" s="246">
        <v>20</v>
      </c>
      <c r="G51" s="246">
        <v>40</v>
      </c>
      <c r="H51" s="246">
        <v>20</v>
      </c>
      <c r="I51" s="246">
        <v>40</v>
      </c>
      <c r="J51" s="246">
        <v>20</v>
      </c>
      <c r="K51" s="246">
        <v>40</v>
      </c>
      <c r="L51" s="246">
        <v>40</v>
      </c>
      <c r="M51" s="246">
        <v>40</v>
      </c>
      <c r="N51" s="246">
        <v>40</v>
      </c>
      <c r="O51" s="187"/>
    </row>
    <row r="52" spans="1:15" ht="18.75" customHeight="1">
      <c r="A52" s="247"/>
      <c r="B52" s="248" t="s">
        <v>248</v>
      </c>
      <c r="C52" s="249">
        <v>220</v>
      </c>
      <c r="D52" s="250">
        <v>220</v>
      </c>
      <c r="E52" s="251">
        <v>200</v>
      </c>
      <c r="F52" s="251">
        <v>100</v>
      </c>
      <c r="G52" s="251">
        <v>200</v>
      </c>
      <c r="H52" s="251">
        <v>100</v>
      </c>
      <c r="I52" s="251">
        <v>200</v>
      </c>
      <c r="J52" s="251">
        <v>100</v>
      </c>
      <c r="K52" s="251">
        <v>200</v>
      </c>
      <c r="L52" s="251">
        <v>100</v>
      </c>
      <c r="M52" s="251">
        <v>0</v>
      </c>
      <c r="N52" s="251">
        <v>0</v>
      </c>
      <c r="O52" s="247"/>
    </row>
    <row r="53" spans="1:15" ht="6.75" customHeight="1">
      <c r="A53" s="187"/>
      <c r="B53" s="211"/>
      <c r="C53" s="252"/>
      <c r="D53" s="252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187"/>
    </row>
    <row r="54" spans="1:15" ht="12.75" customHeight="1">
      <c r="A54" s="187"/>
      <c r="B54" s="648" t="s">
        <v>249</v>
      </c>
      <c r="C54" s="594"/>
      <c r="D54" s="594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187"/>
    </row>
    <row r="55" spans="1:15" ht="9.75" customHeight="1">
      <c r="A55" s="187"/>
      <c r="B55" s="254"/>
      <c r="C55" s="255"/>
      <c r="D55" s="255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187"/>
    </row>
    <row r="56" spans="1:15" ht="27" customHeight="1">
      <c r="A56" s="187"/>
      <c r="B56" s="187"/>
      <c r="C56" s="240" t="str">
        <f t="shared" ref="C56:N56" si="3">C49</f>
        <v>5173-30_VIGILANTE_12×36_diurn</v>
      </c>
      <c r="D56" s="240" t="str">
        <f t="shared" si="3"/>
        <v>5173-30_VIGILANTE_12×36_notur</v>
      </c>
      <c r="E56" s="241" t="str">
        <f t="shared" si="3"/>
        <v>A NÃO TEM MAIS POSTOS-00</v>
      </c>
      <c r="F56" s="241" t="str">
        <f t="shared" si="3"/>
        <v>A NÃO TEM MAIS POSTOS-11</v>
      </c>
      <c r="G56" s="241" t="str">
        <f t="shared" si="3"/>
        <v>A NÃO TEM MAIS POSTOS-22</v>
      </c>
      <c r="H56" s="241" t="str">
        <f t="shared" si="3"/>
        <v>A NÃO TEM MAIS POSTOS-33</v>
      </c>
      <c r="I56" s="241" t="str">
        <f t="shared" si="3"/>
        <v>A NÃO TEM MAIS POSTOS-44</v>
      </c>
      <c r="J56" s="241" t="str">
        <f t="shared" si="3"/>
        <v>A NÃO TEM MAIS POSTOS-55</v>
      </c>
      <c r="K56" s="241" t="str">
        <f t="shared" si="3"/>
        <v>A NÃO TEM MAIS POSTOS-66</v>
      </c>
      <c r="L56" s="241" t="str">
        <f t="shared" si="3"/>
        <v>A NÃO TEM MAIS POSTOS-77</v>
      </c>
      <c r="M56" s="241" t="str">
        <f t="shared" si="3"/>
        <v>A NÃO TEM MAIS POSTOS-88</v>
      </c>
      <c r="N56" s="241" t="str">
        <f t="shared" si="3"/>
        <v>A NÃO TEM MAIS POSTOS-99</v>
      </c>
      <c r="O56" s="187"/>
    </row>
    <row r="57" spans="1:15" ht="15.75" customHeight="1">
      <c r="A57" s="187"/>
      <c r="B57" s="242" t="s">
        <v>250</v>
      </c>
      <c r="C57" s="257">
        <v>0.03</v>
      </c>
      <c r="D57" s="258">
        <f t="shared" ref="D57:N57" si="4">C57</f>
        <v>0.03</v>
      </c>
      <c r="E57" s="259">
        <f t="shared" si="4"/>
        <v>0.03</v>
      </c>
      <c r="F57" s="259">
        <f t="shared" si="4"/>
        <v>0.03</v>
      </c>
      <c r="G57" s="259">
        <f t="shared" si="4"/>
        <v>0.03</v>
      </c>
      <c r="H57" s="259">
        <f t="shared" si="4"/>
        <v>0.03</v>
      </c>
      <c r="I57" s="259">
        <f t="shared" si="4"/>
        <v>0.03</v>
      </c>
      <c r="J57" s="259">
        <f t="shared" si="4"/>
        <v>0.03</v>
      </c>
      <c r="K57" s="259">
        <f t="shared" si="4"/>
        <v>0.03</v>
      </c>
      <c r="L57" s="259">
        <f t="shared" si="4"/>
        <v>0.03</v>
      </c>
      <c r="M57" s="259">
        <f t="shared" si="4"/>
        <v>0.03</v>
      </c>
      <c r="N57" s="259">
        <f t="shared" si="4"/>
        <v>0.03</v>
      </c>
      <c r="O57" s="187"/>
    </row>
    <row r="58" spans="1:15" ht="15.75" customHeight="1">
      <c r="A58" s="187"/>
      <c r="B58" s="242" t="s">
        <v>251</v>
      </c>
      <c r="C58" s="260">
        <v>1</v>
      </c>
      <c r="D58" s="261">
        <f t="shared" ref="D58:N58" si="5">C58</f>
        <v>1</v>
      </c>
      <c r="E58" s="262">
        <f t="shared" si="5"/>
        <v>1</v>
      </c>
      <c r="F58" s="262">
        <f t="shared" si="5"/>
        <v>1</v>
      </c>
      <c r="G58" s="262">
        <f t="shared" si="5"/>
        <v>1</v>
      </c>
      <c r="H58" s="262">
        <f t="shared" si="5"/>
        <v>1</v>
      </c>
      <c r="I58" s="262">
        <f t="shared" si="5"/>
        <v>1</v>
      </c>
      <c r="J58" s="262">
        <f t="shared" si="5"/>
        <v>1</v>
      </c>
      <c r="K58" s="262">
        <f t="shared" si="5"/>
        <v>1</v>
      </c>
      <c r="L58" s="262">
        <f t="shared" si="5"/>
        <v>1</v>
      </c>
      <c r="M58" s="262">
        <f t="shared" si="5"/>
        <v>1</v>
      </c>
      <c r="N58" s="262">
        <f t="shared" si="5"/>
        <v>1</v>
      </c>
      <c r="O58" s="187"/>
    </row>
    <row r="59" spans="1:15" ht="15.75" customHeight="1">
      <c r="A59" s="187"/>
      <c r="B59" s="211"/>
      <c r="C59" s="263"/>
      <c r="D59" s="263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187"/>
    </row>
    <row r="60" spans="1:15" ht="15.75" customHeight="1">
      <c r="A60" s="187"/>
      <c r="B60" s="242" t="s">
        <v>252</v>
      </c>
      <c r="C60" s="265" t="e">
        <f>IF(C52&gt;199,VLOOKUP(C35,'DADOS-CADASTRAIS'!C5:O102,4,0)*1,0)</f>
        <v>#N/A</v>
      </c>
      <c r="D60" s="265" t="e">
        <f>IF(D52&gt;199,VLOOKUP(D35,'DADOS-CADASTRAIS'!C5:O102,4,0)*1,0)</f>
        <v>#N/A</v>
      </c>
      <c r="E60" s="233" t="e">
        <f>IF(E52&gt;199,VLOOKUP(E35,'DADOS-CADASTRAIS'!C5:O102,4,0)*1,0)</f>
        <v>#N/A</v>
      </c>
      <c r="F60" s="233">
        <f>IF(F52&gt;199,VLOOKUP(F35,'DADOS-CADASTRAIS'!C5:O102,4,0)*1,0)</f>
        <v>0</v>
      </c>
      <c r="G60" s="233" t="e">
        <f>IF(G52&gt;199,VLOOKUP(G35,'DADOS-CADASTRAIS'!C5:O102,4,0)*1,0)</f>
        <v>#N/A</v>
      </c>
      <c r="H60" s="233">
        <f>IF(H52&gt;199,VLOOKUP(H35,'DADOS-CADASTRAIS'!C5:O102,4,0)*1,0)</f>
        <v>0</v>
      </c>
      <c r="I60" s="233" t="e">
        <f>IF(I52&gt;199,VLOOKUP(I35,'DADOS-CADASTRAIS'!C5:O102,4,0)*1,0)</f>
        <v>#N/A</v>
      </c>
      <c r="J60" s="233">
        <f>IF(J52&gt;199,VLOOKUP(J35,'DADOS-CADASTRAIS'!C5:O102,4,0)*1,0)</f>
        <v>0</v>
      </c>
      <c r="K60" s="233" t="e">
        <f>IF(K52&gt;199,VLOOKUP(K35,'DADOS-CADASTRAIS'!C5:O102,4,0)*1,0)</f>
        <v>#N/A</v>
      </c>
      <c r="L60" s="233">
        <f>IF(L52&gt;199,VLOOKUP(L35,'DADOS-CADASTRAIS'!C5:O102,4,0)*1,0)</f>
        <v>0</v>
      </c>
      <c r="M60" s="233">
        <f>IF(M52&gt;199,VLOOKUP(M35,'DADOS-CADASTRAIS'!C5:O102,4,0)*1,0)</f>
        <v>0</v>
      </c>
      <c r="N60" s="233">
        <f>IF(N52&gt;199,VLOOKUP(N35,'DADOS-CADASTRAIS'!C5:O102,4,0)*1,0)</f>
        <v>0</v>
      </c>
      <c r="O60" s="187"/>
    </row>
    <row r="61" spans="1:15" ht="15.75" customHeight="1">
      <c r="A61" s="187"/>
      <c r="B61" s="242" t="s">
        <v>253</v>
      </c>
      <c r="C61" s="258" t="e">
        <f>VLOOKUP(C35,'DADOS-CADASTRAIS'!C5:H18,6,0)</f>
        <v>#N/A</v>
      </c>
      <c r="D61" s="258" t="e">
        <f>VLOOKUP(D35,'DADOS-CADASTRAIS'!C5:H18,6,0)</f>
        <v>#N/A</v>
      </c>
      <c r="E61" s="259" t="e">
        <f>VLOOKUP(E35,'DADOS-CADASTRAIS'!C5:H18,6,0)</f>
        <v>#N/A</v>
      </c>
      <c r="F61" s="259" t="e">
        <f>VLOOKUP(F35,'DADOS-CADASTRAIS'!C5:H18,6,0)</f>
        <v>#N/A</v>
      </c>
      <c r="G61" s="259" t="e">
        <f>VLOOKUP(G35,'DADOS-CADASTRAIS'!C5:H18,6,0)</f>
        <v>#N/A</v>
      </c>
      <c r="H61" s="259" t="e">
        <f>VLOOKUP(H35,'DADOS-CADASTRAIS'!C5:H18,6,0)</f>
        <v>#N/A</v>
      </c>
      <c r="I61" s="259" t="e">
        <f>VLOOKUP(I35,'DADOS-CADASTRAIS'!C5:H18,6,0)</f>
        <v>#N/A</v>
      </c>
      <c r="J61" s="259" t="e">
        <f>VLOOKUP(J35,'DADOS-CADASTRAIS'!C5:H18,6,0)</f>
        <v>#N/A</v>
      </c>
      <c r="K61" s="259" t="e">
        <f>VLOOKUP(K35,'DADOS-CADASTRAIS'!C5:H18,6,0)</f>
        <v>#N/A</v>
      </c>
      <c r="L61" s="259" t="e">
        <f>VLOOKUP(L35,'DADOS-CADASTRAIS'!C5:H18,6,0)</f>
        <v>#N/A</v>
      </c>
      <c r="M61" s="259" t="e">
        <f>VLOOKUP(M35,'DADOS-CADASTRAIS'!C5:H18,6,0)</f>
        <v>#N/A</v>
      </c>
      <c r="N61" s="259" t="e">
        <f>VLOOKUP(N35,'DADOS-CADASTRAIS'!C5:H18,6,0)</f>
        <v>#N/A</v>
      </c>
      <c r="O61" s="187"/>
    </row>
    <row r="62" spans="1:15" ht="15.75" customHeight="1">
      <c r="A62" s="187"/>
      <c r="B62" s="242" t="s">
        <v>254</v>
      </c>
      <c r="C62" s="266" t="e">
        <f>VLOOKUP(C14,CAMPUS.CONTRATANTE!$D$10:$HD$21,17,0)</f>
        <v>#N/A</v>
      </c>
      <c r="D62" s="266" t="e">
        <f>VLOOKUP(C14,CAMPUS.CONTRATANTE!$D$10:$HD$21,34,0)</f>
        <v>#N/A</v>
      </c>
      <c r="E62" s="253" t="e">
        <f>VLOOKUP(C14,CAMPUS.CONTRATANTE!$D$10:$HD$21,51,0)</f>
        <v>#N/A</v>
      </c>
      <c r="F62" s="253" t="e">
        <f t="shared" ref="F62:N62" si="6">E62</f>
        <v>#N/A</v>
      </c>
      <c r="G62" s="253" t="e">
        <f t="shared" si="6"/>
        <v>#N/A</v>
      </c>
      <c r="H62" s="253" t="e">
        <f t="shared" si="6"/>
        <v>#N/A</v>
      </c>
      <c r="I62" s="253" t="e">
        <f t="shared" si="6"/>
        <v>#N/A</v>
      </c>
      <c r="J62" s="253" t="e">
        <f t="shared" si="6"/>
        <v>#N/A</v>
      </c>
      <c r="K62" s="253" t="e">
        <f t="shared" si="6"/>
        <v>#N/A</v>
      </c>
      <c r="L62" s="253" t="e">
        <f t="shared" si="6"/>
        <v>#N/A</v>
      </c>
      <c r="M62" s="253" t="e">
        <f t="shared" si="6"/>
        <v>#N/A</v>
      </c>
      <c r="N62" s="253" t="e">
        <f t="shared" si="6"/>
        <v>#N/A</v>
      </c>
      <c r="O62" s="187"/>
    </row>
    <row r="63" spans="1:15" ht="12.75" customHeight="1">
      <c r="A63" s="187"/>
      <c r="B63" s="242" t="s">
        <v>255</v>
      </c>
      <c r="C63" s="266">
        <f>IF(C52&lt;199,VLOOKUP(C35,'DADOS-CADASTRAIS'!C5:O102,5,0)*1,0)</f>
        <v>0</v>
      </c>
      <c r="D63" s="265">
        <f>IF(D52&lt;199,VLOOKUP(D35,'DADOS-CADASTRAIS'!C5:O102,5,0)*1,0)</f>
        <v>0</v>
      </c>
      <c r="E63" s="233">
        <f>IF(E52&lt;199,VLOOKUP(E35,'DADOS-CADASTRAIS'!C5:O102,5,0)*1,0)</f>
        <v>0</v>
      </c>
      <c r="F63" s="233" t="e">
        <f>IF(F52&lt;199,VLOOKUP(F35,'DADOS-CADASTRAIS'!C5:O102,5,0)*1,0)</f>
        <v>#N/A</v>
      </c>
      <c r="G63" s="233">
        <f>IF(G52&lt;199,VLOOKUP(G35,'DADOS-CADASTRAIS'!C5:O102,5,0)*1,0)</f>
        <v>0</v>
      </c>
      <c r="H63" s="233" t="e">
        <f>IF(H52&lt;199,VLOOKUP(H35,'DADOS-CADASTRAIS'!C5:O102,5,0)*1,0)</f>
        <v>#N/A</v>
      </c>
      <c r="I63" s="233">
        <f>IF(I52&lt;199,VLOOKUP(I35,'DADOS-CADASTRAIS'!C5:O102,5,0)*1,0)</f>
        <v>0</v>
      </c>
      <c r="J63" s="233" t="e">
        <f>IF(J52&lt;199,VLOOKUP(J35,'DADOS-CADASTRAIS'!C5:O102,5,0)*1,0)</f>
        <v>#N/A</v>
      </c>
      <c r="K63" s="233">
        <f>IF(K52&lt;199,VLOOKUP(K35,'DADOS-CADASTRAIS'!C5:O102,5,0)*1,0)</f>
        <v>0</v>
      </c>
      <c r="L63" s="233" t="e">
        <f>IF(L52&lt;199,VLOOKUP(L35,'DADOS-CADASTRAIS'!C5:O102,5,0)*1,0)</f>
        <v>#N/A</v>
      </c>
      <c r="M63" s="233" t="e">
        <f>IF(M52&lt;199,VLOOKUP(M35,'DADOS-CADASTRAIS'!C5:O102,5,0)*1,0)</f>
        <v>#N/A</v>
      </c>
      <c r="N63" s="233" t="e">
        <f>IF(N52&lt;199,VLOOKUP(N35,'DADOS-CADASTRAIS'!C5:O102,5,0)*1,0)</f>
        <v>#N/A</v>
      </c>
      <c r="O63" s="187"/>
    </row>
    <row r="64" spans="1:15" ht="13.5" customHeight="1">
      <c r="A64" s="187"/>
      <c r="B64" s="267"/>
      <c r="C64" s="268"/>
      <c r="D64" s="268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187"/>
    </row>
    <row r="65" spans="1:15" ht="14.25" customHeight="1">
      <c r="A65" s="187"/>
      <c r="B65" s="269" t="s">
        <v>256</v>
      </c>
      <c r="C65" s="270" t="e">
        <f>ROUND(VLOOKUP($C$14,CAMPUS.CONTRATANTE!$D$10:$HD$21,14,0)*C66,2)</f>
        <v>#N/A</v>
      </c>
      <c r="D65" s="270" t="e">
        <f>ROUND(VLOOKUP($C$14,CAMPUS.CONTRATANTE!$D$10:$HD$21,31,0)*C66,2)</f>
        <v>#N/A</v>
      </c>
      <c r="E65" s="271" t="e">
        <f>ROUND(VLOOKUP($C$14,CAMPUS.CONTRATANTE!$D$10:$HD$21,48,0)*C66,2)</f>
        <v>#N/A</v>
      </c>
      <c r="F65" s="271" t="e">
        <f>ROUND(VLOOKUP($C$14,CAMPUS.CONTRATANTE!$D$10:$HD$21,65,0)*C66,2)</f>
        <v>#N/A</v>
      </c>
      <c r="G65" s="271" t="e">
        <f>ROUND(VLOOKUP($C$14,CAMPUS.CONTRATANTE!$D$10:$HD$21,82,0)*C66,2)</f>
        <v>#N/A</v>
      </c>
      <c r="H65" s="271" t="e">
        <f>ROUND(VLOOKUP($C$14,CAMPUS.CONTRATANTE!$D$10:$HD$21,99,0)*C66,2)</f>
        <v>#N/A</v>
      </c>
      <c r="I65" s="271" t="e">
        <f>ROUND(VLOOKUP($C$14,CAMPUS.CONTRATANTE!$D$10:$HD$21,116,0)*C66,2)</f>
        <v>#N/A</v>
      </c>
      <c r="J65" s="271" t="e">
        <f>ROUND(VLOOKUP($C$14,CAMPUS.CONTRATANTE!$D$10:$HD$21,133,0)*C66,2)</f>
        <v>#N/A</v>
      </c>
      <c r="K65" s="271" t="e">
        <f>ROUND(VLOOKUP($C$14,CAMPUS.CONTRATANTE!$D$10:$HD$21,150,0)*C66,2)</f>
        <v>#N/A</v>
      </c>
      <c r="L65" s="271" t="e">
        <f>ROUND(VLOOKUP($C$14,CAMPUS.CONTRATANTE!$D$10:$HD$21,167,0)*C66,2)</f>
        <v>#N/A</v>
      </c>
      <c r="M65" s="271" t="e">
        <f>ROUND(VLOOKUP($C$14,CAMPUS.CONTRATANTE!$D$10:$HD$21,184,0)*C66,2)</f>
        <v>#N/A</v>
      </c>
      <c r="N65" s="271" t="e">
        <f>ROUND(VLOOKUP($C$14,CAMPUS.CONTRATANTE!$D$10:$HD$21,202,0)*C66,2)</f>
        <v>#N/A</v>
      </c>
      <c r="O65" s="187"/>
    </row>
    <row r="66" spans="1:15" ht="14.25" customHeight="1">
      <c r="A66" s="187"/>
      <c r="B66" s="242" t="s">
        <v>257</v>
      </c>
      <c r="C66" s="272">
        <v>0</v>
      </c>
      <c r="D66" s="273">
        <v>0</v>
      </c>
      <c r="E66" s="274">
        <v>0</v>
      </c>
      <c r="F66" s="274">
        <v>0</v>
      </c>
      <c r="G66" s="274">
        <v>0</v>
      </c>
      <c r="H66" s="274">
        <v>0</v>
      </c>
      <c r="I66" s="274">
        <v>0</v>
      </c>
      <c r="J66" s="274">
        <v>0</v>
      </c>
      <c r="K66" s="274">
        <v>4</v>
      </c>
      <c r="L66" s="274">
        <v>0</v>
      </c>
      <c r="M66" s="274">
        <v>0</v>
      </c>
      <c r="N66" s="274">
        <v>0</v>
      </c>
      <c r="O66" s="187"/>
    </row>
    <row r="67" spans="1:15" ht="14.25" customHeight="1">
      <c r="A67" s="187"/>
      <c r="B67" s="275"/>
      <c r="C67" s="252"/>
      <c r="D67" s="276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187"/>
    </row>
    <row r="68" spans="1:15" ht="14.25" customHeight="1">
      <c r="A68" s="187"/>
      <c r="B68" s="269" t="s">
        <v>258</v>
      </c>
      <c r="C68" s="277" t="e">
        <f>ROUND(VLOOKUP($C$14,CAMPUS.CONTRATANTE!$D$10:$HD$21,15,0)*C69,2)</f>
        <v>#N/A</v>
      </c>
      <c r="D68" s="277" t="e">
        <f>ROUND(VLOOKUP($C$14,CAMPUS.CONTRATANTE!$D$10:$HD$21,32,0)*C69,2)</f>
        <v>#N/A</v>
      </c>
      <c r="E68" s="271" t="e">
        <f>ROUND(VLOOKUP($C$14,CAMPUS.CONTRATANTE!$D$10:$HD$21,49,0)*C69,2)</f>
        <v>#N/A</v>
      </c>
      <c r="F68" s="233" t="e">
        <f>ROUND(VLOOKUP($C$14,CAMPUS.CONTRATANTE!$D$10:$HD$21,66,0)*C69,2)</f>
        <v>#N/A</v>
      </c>
      <c r="G68" s="233" t="e">
        <f>ROUND(VLOOKUP($C$14,CAMPUS.CONTRATANTE!$D$10:$HD$21,83,0)*C69,2)</f>
        <v>#N/A</v>
      </c>
      <c r="H68" s="233" t="e">
        <f>ROUND(VLOOKUP($C$14,CAMPUS.CONTRATANTE!$D$10:$HD$21,100,0)*C69,2)</f>
        <v>#N/A</v>
      </c>
      <c r="I68" s="233" t="e">
        <f>ROUND(VLOOKUP($C$14,CAMPUS.CONTRATANTE!$D$10:$HD$21,117,0)*C69,2)</f>
        <v>#N/A</v>
      </c>
      <c r="J68" s="233" t="e">
        <f>ROUND(VLOOKUP($C$14,CAMPUS.CONTRATANTE!$D$10:$HD$21,134,0)*C69,2)</f>
        <v>#N/A</v>
      </c>
      <c r="K68" s="233" t="e">
        <f>ROUND(VLOOKUP($C$14,CAMPUS.CONTRATANTE!$D$10:$HD$21,151,0)*C69,2)</f>
        <v>#N/A</v>
      </c>
      <c r="L68" s="233" t="e">
        <f>ROUND(VLOOKUP($C$14,CAMPUS.CONTRATANTE!$D$10:$HD$21,168,0)*C69,2)</f>
        <v>#N/A</v>
      </c>
      <c r="M68" s="233" t="e">
        <f>ROUND(VLOOKUP($C$14,CAMPUS.CONTRATANTE!$D$10:$HD$21,185,0)*C69,2)</f>
        <v>#N/A</v>
      </c>
      <c r="N68" s="233" t="e">
        <f>ROUND(VLOOKUP($C$14,CAMPUS.CONTRATANTE!$D$10:$HD$21,202,0)*C69,2)</f>
        <v>#N/A</v>
      </c>
      <c r="O68" s="187"/>
    </row>
    <row r="69" spans="1:15" ht="14.25" customHeight="1">
      <c r="A69" s="187"/>
      <c r="B69" s="242" t="s">
        <v>259</v>
      </c>
      <c r="C69" s="272">
        <v>0</v>
      </c>
      <c r="D69" s="278">
        <v>0</v>
      </c>
      <c r="E69" s="253">
        <v>0</v>
      </c>
      <c r="F69" s="253">
        <v>0</v>
      </c>
      <c r="G69" s="253">
        <v>0</v>
      </c>
      <c r="H69" s="253">
        <v>0</v>
      </c>
      <c r="I69" s="253">
        <v>0</v>
      </c>
      <c r="J69" s="253">
        <v>0</v>
      </c>
      <c r="K69" s="253">
        <v>0</v>
      </c>
      <c r="L69" s="253">
        <v>0</v>
      </c>
      <c r="M69" s="253">
        <v>0</v>
      </c>
      <c r="N69" s="253">
        <v>0</v>
      </c>
      <c r="O69" s="187"/>
    </row>
    <row r="70" spans="1:15" ht="14.25" customHeight="1">
      <c r="A70" s="187"/>
      <c r="B70" s="267" t="s">
        <v>260</v>
      </c>
      <c r="C70" s="268" t="e">
        <f>VLOOKUP(C14,CAMPUS.CONTRATANTE!$D$10:$HD$21,5,0)</f>
        <v>#N/A</v>
      </c>
      <c r="D70" s="268" t="e">
        <f>VLOOKUP(C14,CAMPUS.CONTRATANTE!$D$10:$HD$22,22,0)</f>
        <v>#N/A</v>
      </c>
      <c r="E70" s="233" t="e">
        <f>VLOOKUP(C14,CAMPUS.CONTRATANTE!$D$10:$HD$22,37,0)</f>
        <v>#N/A</v>
      </c>
      <c r="F70" s="233" t="e">
        <f>VLOOKUP(C14,CAMPUS.CONTRATANTE!$D$10:$HD$22,56,0)</f>
        <v>#N/A</v>
      </c>
      <c r="G70" s="233" t="e">
        <f>VLOOKUP(C14,CAMPUS.CONTRATANTE!$D$10:$HD$22,73,0)</f>
        <v>#N/A</v>
      </c>
      <c r="H70" s="233" t="e">
        <f>VLOOKUP(C14,CAMPUS.CONTRATANTE!$D$10:$HD$22,90,0)</f>
        <v>#N/A</v>
      </c>
      <c r="I70" s="233" t="e">
        <f>VLOOKUP(C14,CAMPUS.CONTRATANTE!$D$10:$HD$22,107,0)</f>
        <v>#N/A</v>
      </c>
      <c r="J70" s="233" t="e">
        <f>VLOOKUP(C14,CAMPUS.CONTRATANTE!$D$10:$HD$22,124,0)</f>
        <v>#N/A</v>
      </c>
      <c r="K70" s="233" t="e">
        <f>VLOOKUP(C14,CAMPUS.CONTRATANTE!$D$10:$HD$22,141,0)</f>
        <v>#N/A</v>
      </c>
      <c r="L70" s="233" t="e">
        <f>VLOOKUP(C14,CAMPUS.CONTRATANTE!$D$10:$HD$22,158,0)</f>
        <v>#N/A</v>
      </c>
      <c r="M70" s="233" t="e">
        <f>VLOOKUP(C14,CAMPUS.CONTRATANTE!$D$10:$HD$22,175,0)</f>
        <v>#N/A</v>
      </c>
      <c r="N70" s="233" t="e">
        <f>VLOOKUP(C14,CAMPUS.CONTRATANTE!$D$10:$HD$22,192,0)</f>
        <v>#N/A</v>
      </c>
      <c r="O70" s="187"/>
    </row>
    <row r="71" spans="1:15" ht="5.25" customHeight="1">
      <c r="A71" s="187"/>
      <c r="B71" s="242"/>
      <c r="C71" s="279"/>
      <c r="D71" s="279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187"/>
    </row>
    <row r="72" spans="1:15" ht="15" customHeight="1">
      <c r="A72" s="187"/>
      <c r="B72" s="242" t="s">
        <v>261</v>
      </c>
      <c r="C72" s="265" t="e">
        <f>VLOOKUP(C14,CAMPUS.CONTRATANTE!$D$10:$BE$21,2,0)</f>
        <v>#N/A</v>
      </c>
      <c r="D72" s="265" t="e">
        <f t="shared" ref="D72:N72" si="7">C72</f>
        <v>#N/A</v>
      </c>
      <c r="E72" s="233" t="e">
        <f t="shared" si="7"/>
        <v>#N/A</v>
      </c>
      <c r="F72" s="233" t="e">
        <f t="shared" si="7"/>
        <v>#N/A</v>
      </c>
      <c r="G72" s="233" t="e">
        <f t="shared" si="7"/>
        <v>#N/A</v>
      </c>
      <c r="H72" s="233" t="e">
        <f t="shared" si="7"/>
        <v>#N/A</v>
      </c>
      <c r="I72" s="280" t="e">
        <f t="shared" si="7"/>
        <v>#N/A</v>
      </c>
      <c r="J72" s="280" t="e">
        <f t="shared" si="7"/>
        <v>#N/A</v>
      </c>
      <c r="K72" s="280" t="e">
        <f t="shared" si="7"/>
        <v>#N/A</v>
      </c>
      <c r="L72" s="280" t="e">
        <f t="shared" si="7"/>
        <v>#N/A</v>
      </c>
      <c r="M72" s="280" t="e">
        <f t="shared" si="7"/>
        <v>#N/A</v>
      </c>
      <c r="N72" s="280" t="e">
        <f t="shared" si="7"/>
        <v>#N/A</v>
      </c>
      <c r="O72" s="187"/>
    </row>
    <row r="73" spans="1:15" ht="15" customHeight="1">
      <c r="A73" s="187"/>
      <c r="B73" s="242" t="s">
        <v>262</v>
      </c>
      <c r="C73" s="272">
        <v>2</v>
      </c>
      <c r="D73" s="266">
        <f t="shared" ref="D73:N73" si="8">C73</f>
        <v>2</v>
      </c>
      <c r="E73" s="253">
        <f t="shared" si="8"/>
        <v>2</v>
      </c>
      <c r="F73" s="253">
        <f t="shared" si="8"/>
        <v>2</v>
      </c>
      <c r="G73" s="253">
        <f t="shared" si="8"/>
        <v>2</v>
      </c>
      <c r="H73" s="253">
        <f t="shared" si="8"/>
        <v>2</v>
      </c>
      <c r="I73" s="253">
        <f t="shared" si="8"/>
        <v>2</v>
      </c>
      <c r="J73" s="253">
        <f t="shared" si="8"/>
        <v>2</v>
      </c>
      <c r="K73" s="253">
        <f t="shared" si="8"/>
        <v>2</v>
      </c>
      <c r="L73" s="253">
        <f t="shared" si="8"/>
        <v>2</v>
      </c>
      <c r="M73" s="253">
        <f t="shared" si="8"/>
        <v>2</v>
      </c>
      <c r="N73" s="253">
        <f t="shared" si="8"/>
        <v>2</v>
      </c>
      <c r="O73" s="187"/>
    </row>
    <row r="74" spans="1:15" ht="15" customHeight="1">
      <c r="A74" s="187"/>
      <c r="B74" s="242" t="s">
        <v>263</v>
      </c>
      <c r="C74" s="272" t="e">
        <f>VLOOKUP(C14,CAMPUS.CONTRATANTE!$D$10:$HD$22,16,0)</f>
        <v>#N/A</v>
      </c>
      <c r="D74" s="266" t="e">
        <f>VLOOKUP(C14,CAMPUS.CONTRATANTE!$D$10:$HD$22,33,0)</f>
        <v>#N/A</v>
      </c>
      <c r="E74" s="253" t="e">
        <f>VLOOKUP(C14,CAMPUS.CONTRATANTE!$D$10:$HD$22,50,0)</f>
        <v>#N/A</v>
      </c>
      <c r="F74" s="253" t="e">
        <f>VLOOKUP(C14,CAMPUS.CONTRATANTE!$D$10:$HD$22,67,0)</f>
        <v>#N/A</v>
      </c>
      <c r="G74" s="253" t="e">
        <f>VLOOKUP(C14,CAMPUS.CONTRATANTE!$D$10:$HD$22,84,0)</f>
        <v>#N/A</v>
      </c>
      <c r="H74" s="253" t="e">
        <f>VLOOKUP(C14,CAMPUS.CONTRATANTE!$D$10:$HD$22,101,0)</f>
        <v>#N/A</v>
      </c>
      <c r="I74" s="253" t="e">
        <f>VLOOKUP(C14,CAMPUS.CONTRATANTE!$D$10:$HD$22,118,0)</f>
        <v>#N/A</v>
      </c>
      <c r="J74" s="253" t="e">
        <f>VLOOKUP(C14,CAMPUS.CONTRATANTE!$D$10:$HD$22,135,0)</f>
        <v>#N/A</v>
      </c>
      <c r="K74" s="253" t="e">
        <f>VLOOKUP(C14,CAMPUS.CONTRATANTE!$D$10:$HD$22,152,0)</f>
        <v>#N/A</v>
      </c>
      <c r="L74" s="253" t="e">
        <f>VLOOKUP(C14,CAMPUS.CONTRATANTE!$D$10:$HD$22,169,0)</f>
        <v>#N/A</v>
      </c>
      <c r="M74" s="253" t="e">
        <f>VLOOKUP(C14,CAMPUS.CONTRATANTE!$D$10:$HD$22,186,0)</f>
        <v>#N/A</v>
      </c>
      <c r="N74" s="253" t="e">
        <f>VLOOKUP(C14,CAMPUS.CONTRATANTE!$D$10:$HD$22,203,0)</f>
        <v>#N/A</v>
      </c>
      <c r="O74" s="187"/>
    </row>
    <row r="75" spans="1:15" ht="16.5" customHeight="1">
      <c r="A75" s="187"/>
      <c r="B75" s="242" t="s">
        <v>264</v>
      </c>
      <c r="C75" s="232" t="e">
        <f>VLOOKUP(C35,'DADOS-CADASTRAIS'!C5:J18,7,0)</f>
        <v>#N/A</v>
      </c>
      <c r="D75" s="232" t="e">
        <f>VLOOKUP(D35,'DADOS-CADASTRAIS'!C5:J18,7,0)</f>
        <v>#N/A</v>
      </c>
      <c r="E75" s="228" t="e">
        <f>VLOOKUP(E35,'DADOS-CADASTRAIS'!C5:J18,7,0)</f>
        <v>#N/A</v>
      </c>
      <c r="F75" s="228" t="e">
        <f>VLOOKUP(E35,'DADOS-CADASTRAIS'!C5:J18,7,0)</f>
        <v>#N/A</v>
      </c>
      <c r="G75" s="228" t="e">
        <f>VLOOKUP(G35,'DADOS-CADASTRAIS'!C5:J18,7,0)</f>
        <v>#N/A</v>
      </c>
      <c r="H75" s="228" t="e">
        <f>VLOOKUP(H35,'DADOS-CADASTRAIS'!C5:J18,7,0)</f>
        <v>#N/A</v>
      </c>
      <c r="I75" s="228" t="e">
        <f>VLOOKUP(I35,'DADOS-CADASTRAIS'!C5:J18,7,0)</f>
        <v>#N/A</v>
      </c>
      <c r="J75" s="228" t="e">
        <f>VLOOKUP(J35,'DADOS-CADASTRAIS'!C5:J18,7,0)</f>
        <v>#N/A</v>
      </c>
      <c r="K75" s="228" t="e">
        <f>VLOOKUP(K35,'DADOS-CADASTRAIS'!C5:J18,7,0)</f>
        <v>#N/A</v>
      </c>
      <c r="L75" s="228" t="e">
        <f>VLOOKUP(L35,'DADOS-CADASTRAIS'!C5:J18,7,0)</f>
        <v>#N/A</v>
      </c>
      <c r="M75" s="228" t="e">
        <f>VLOOKUP(M35,'DADOS-CADASTRAIS'!C5:J18,7,0)</f>
        <v>#N/A</v>
      </c>
      <c r="N75" s="228" t="e">
        <f>VLOOKUP(N35,'DADOS-CADASTRAIS'!C5:J18,7,0)</f>
        <v>#N/A</v>
      </c>
      <c r="O75" s="187"/>
    </row>
    <row r="76" spans="1:15" ht="14.25" customHeight="1">
      <c r="A76" s="187"/>
      <c r="B76" s="242" t="s">
        <v>265</v>
      </c>
      <c r="C76" s="265" t="e">
        <f>VLOOKUP(C35,'DADOS-CADASTRAIS'!C5:K18,9,0)</f>
        <v>#N/A</v>
      </c>
      <c r="D76" s="265" t="e">
        <f>VLOOKUP(D35,'DADOS-CADASTRAIS'!C5:K18,9,0)</f>
        <v>#N/A</v>
      </c>
      <c r="E76" s="233" t="e">
        <f>VLOOKUP(E35,'DADOS-CADASTRAIS'!C5:K18,9,0)</f>
        <v>#N/A</v>
      </c>
      <c r="F76" s="233" t="e">
        <f>VLOOKUP(F35,'DADOS-CADASTRAIS'!C5:K18,9,0)</f>
        <v>#N/A</v>
      </c>
      <c r="G76" s="233" t="e">
        <f>VLOOKUP(G35,'DADOS-CADASTRAIS'!C5:K18,9,0)</f>
        <v>#N/A</v>
      </c>
      <c r="H76" s="233" t="e">
        <f>VLOOKUP(H35,'DADOS-CADASTRAIS'!C5:K18,9,0)</f>
        <v>#N/A</v>
      </c>
      <c r="I76" s="233" t="e">
        <f>VLOOKUP(I35,'DADOS-CADASTRAIS'!C5:K18,9,0)</f>
        <v>#N/A</v>
      </c>
      <c r="J76" s="233" t="e">
        <f>VLOOKUP(J35,'DADOS-CADASTRAIS'!C5:K18,9,0)</f>
        <v>#N/A</v>
      </c>
      <c r="K76" s="233" t="e">
        <f>VLOOKUP(K35,'DADOS-CADASTRAIS'!C5:K18,9,0)</f>
        <v>#N/A</v>
      </c>
      <c r="L76" s="233" t="e">
        <f>VLOOKUP(L35,'DADOS-CADASTRAIS'!C5:K18,9,0)</f>
        <v>#N/A</v>
      </c>
      <c r="M76" s="233" t="e">
        <f>VLOOKUP(M35,'DADOS-CADASTRAIS'!C5:K18,9,0)</f>
        <v>#N/A</v>
      </c>
      <c r="N76" s="233" t="e">
        <f>VLOOKUP(N35,'DADOS-CADASTRAIS'!C5:K18,9,0)</f>
        <v>#N/A</v>
      </c>
      <c r="O76" s="187"/>
    </row>
    <row r="77" spans="1:15" ht="14.25" customHeight="1">
      <c r="A77" s="187"/>
      <c r="B77" s="242" t="s">
        <v>266</v>
      </c>
      <c r="C77" s="265" t="e">
        <f>IF(VLOOKUP(C35,'DADOS-CADASTRAIS'!C5:O60,10,0)="S",'5173-30_VIGILANTE_12×36_diurn'!J58*26*0.00023,0)</f>
        <v>#N/A</v>
      </c>
      <c r="D77" s="265" t="e">
        <f>IF(VLOOKUP(C35,'DADOS-CADASTRAIS'!C5:O60,10,0)="S",'5173-30_VIGILANTE_12×36_notur'!J58*26*0.00023,0)</f>
        <v>#N/A</v>
      </c>
      <c r="E77" s="233" t="e">
        <f>VLOOKUP(F35,'DADOS-CADASTRAIS'!C5:L18,10,0)</f>
        <v>#N/A</v>
      </c>
      <c r="F77" s="233" t="e">
        <f>VLOOKUP(F35,'DADOS-CADASTRAIS'!C5:L18,10,0)</f>
        <v>#N/A</v>
      </c>
      <c r="G77" s="233" t="e">
        <f>VLOOKUP(G35,'DADOS-CADASTRAIS'!C5:L18,10,0)</f>
        <v>#N/A</v>
      </c>
      <c r="H77" s="233" t="e">
        <f>VLOOKUP(H35,'DADOS-CADASTRAIS'!C5:L18,10,0)</f>
        <v>#N/A</v>
      </c>
      <c r="I77" s="233" t="e">
        <f>VLOOKUP(I35,'DADOS-CADASTRAIS'!C5:L18,10,0)</f>
        <v>#N/A</v>
      </c>
      <c r="J77" s="233" t="e">
        <f>VLOOKUP(J35,'DADOS-CADASTRAIS'!C5:L18,10,0)</f>
        <v>#N/A</v>
      </c>
      <c r="K77" s="233" t="e">
        <f>VLOOKUP(K35,'DADOS-CADASTRAIS'!C5:L18,10,0)</f>
        <v>#N/A</v>
      </c>
      <c r="L77" s="233" t="e">
        <f>VLOOKUP(L35,'DADOS-CADASTRAIS'!C5:L18,10,0)</f>
        <v>#N/A</v>
      </c>
      <c r="M77" s="233" t="e">
        <f>VLOOKUP(M35,'DADOS-CADASTRAIS'!C5:L18,10,0)</f>
        <v>#N/A</v>
      </c>
      <c r="N77" s="233" t="e">
        <f>VLOOKUP(N35,'DADOS-CADASTRAIS'!C5:L18,10,0)</f>
        <v>#N/A</v>
      </c>
      <c r="O77" s="187"/>
    </row>
    <row r="78" spans="1:15" ht="15.75" customHeight="1">
      <c r="A78" s="187"/>
      <c r="B78" s="211" t="s">
        <v>267</v>
      </c>
      <c r="C78" s="265" t="e">
        <f>IF(VLOOKUP(C35,'DADOS-CADASTRAIS'!C5:O60,10,0)="S",('5173-30_VIGILANTE_12×36_diurn'!J47*0.0052066)/12,2)</f>
        <v>#N/A</v>
      </c>
      <c r="D78" s="265" t="e">
        <f>IF(VLOOKUP(C35,'DADOS-CADASTRAIS'!C5:O60,11,0)="S",('5173-30_VIGILANTE_12×36_notur'!J47*0.0052066)/12,2)</f>
        <v>#N/A</v>
      </c>
      <c r="E78" s="233" t="e">
        <f>VLOOKUP(E35,'DADOS-CADASTRAIS'!C6:M19,11,0)</f>
        <v>#N/A</v>
      </c>
      <c r="F78" s="233" t="e">
        <f>VLOOKUP(F35,'DADOS-CADASTRAIS'!C6:M19,11,0)</f>
        <v>#N/A</v>
      </c>
      <c r="G78" s="233" t="e">
        <f>VLOOKUP(G35,'DADOS-CADASTRAIS'!C6:M19,11,0)</f>
        <v>#N/A</v>
      </c>
      <c r="H78" s="233" t="e">
        <f>VLOOKUP(H35,'DADOS-CADASTRAIS'!C6:M19,11,0)</f>
        <v>#N/A</v>
      </c>
      <c r="I78" s="233" t="e">
        <f>VLOOKUP(I35,'DADOS-CADASTRAIS'!C6:M19,11,0)</f>
        <v>#N/A</v>
      </c>
      <c r="J78" s="233" t="e">
        <f>VLOOKUP(J35,'DADOS-CADASTRAIS'!C6:M19,11,0)</f>
        <v>#N/A</v>
      </c>
      <c r="K78" s="233" t="e">
        <f>VLOOKUP(K35,'DADOS-CADASTRAIS'!C6:M19,11,0)</f>
        <v>#N/A</v>
      </c>
      <c r="L78" s="233" t="e">
        <f>VLOOKUP(L35,'DADOS-CADASTRAIS'!C6:M19,11,0)</f>
        <v>#N/A</v>
      </c>
      <c r="M78" s="233" t="e">
        <f>VLOOKUP(M35,'DADOS-CADASTRAIS'!C6:M19,11,0)</f>
        <v>#N/A</v>
      </c>
      <c r="N78" s="233" t="e">
        <f>VLOOKUP(N35,'DADOS-CADASTRAIS'!C6:M19,11,0)</f>
        <v>#N/A</v>
      </c>
      <c r="O78" s="187"/>
    </row>
    <row r="79" spans="1:15" ht="6.75" customHeight="1">
      <c r="A79" s="187"/>
      <c r="B79" s="211"/>
      <c r="C79" s="281"/>
      <c r="D79" s="282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187"/>
    </row>
    <row r="80" spans="1:15" ht="9" customHeight="1">
      <c r="A80" s="187"/>
      <c r="B80" s="187"/>
      <c r="C80" s="187"/>
      <c r="D80" s="187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187"/>
    </row>
    <row r="81" spans="1:15" ht="12.75" customHeight="1">
      <c r="A81" s="187"/>
      <c r="B81" s="648" t="s">
        <v>268</v>
      </c>
      <c r="C81" s="594"/>
      <c r="D81" s="594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187"/>
    </row>
    <row r="82" spans="1:15" ht="12.75" customHeight="1">
      <c r="A82" s="187"/>
      <c r="B82" s="187"/>
      <c r="C82" s="187"/>
      <c r="D82" s="187"/>
      <c r="E82" s="239"/>
      <c r="F82" s="239"/>
      <c r="G82" s="239"/>
      <c r="H82" s="239"/>
      <c r="I82" s="239"/>
      <c r="J82" s="239"/>
      <c r="K82" s="239"/>
      <c r="L82" s="239"/>
      <c r="M82" s="239"/>
      <c r="N82" s="239"/>
      <c r="O82" s="187"/>
    </row>
    <row r="83" spans="1:15" ht="15.75" customHeight="1">
      <c r="A83" s="187"/>
      <c r="B83" s="649" t="str">
        <f>C11</f>
        <v xml:space="preserve"> S E R V I Ç O S   de VIGILANCIA,  DESARMADA-diruna __ ARMADA-noturna</v>
      </c>
      <c r="C83" s="600"/>
      <c r="D83" s="600"/>
      <c r="E83" s="236"/>
      <c r="F83" s="236"/>
      <c r="G83" s="236"/>
      <c r="H83" s="236"/>
      <c r="I83" s="236"/>
      <c r="J83" s="236"/>
      <c r="K83" s="236"/>
      <c r="L83" s="236"/>
      <c r="M83" s="236"/>
      <c r="N83" s="236"/>
      <c r="O83" s="187"/>
    </row>
    <row r="84" spans="1:15" ht="24" customHeight="1">
      <c r="A84" s="187"/>
      <c r="B84" s="187"/>
      <c r="C84" s="240" t="str">
        <f t="shared" ref="C84:N84" si="9">C56</f>
        <v>5173-30_VIGILANTE_12×36_diurn</v>
      </c>
      <c r="D84" s="240" t="str">
        <f t="shared" si="9"/>
        <v>5173-30_VIGILANTE_12×36_notur</v>
      </c>
      <c r="E84" s="241" t="str">
        <f t="shared" si="9"/>
        <v>A NÃO TEM MAIS POSTOS-00</v>
      </c>
      <c r="F84" s="241" t="str">
        <f t="shared" si="9"/>
        <v>A NÃO TEM MAIS POSTOS-11</v>
      </c>
      <c r="G84" s="241" t="str">
        <f t="shared" si="9"/>
        <v>A NÃO TEM MAIS POSTOS-22</v>
      </c>
      <c r="H84" s="241" t="str">
        <f t="shared" si="9"/>
        <v>A NÃO TEM MAIS POSTOS-33</v>
      </c>
      <c r="I84" s="241" t="str">
        <f t="shared" si="9"/>
        <v>A NÃO TEM MAIS POSTOS-44</v>
      </c>
      <c r="J84" s="241" t="str">
        <f t="shared" si="9"/>
        <v>A NÃO TEM MAIS POSTOS-55</v>
      </c>
      <c r="K84" s="241" t="str">
        <f t="shared" si="9"/>
        <v>A NÃO TEM MAIS POSTOS-66</v>
      </c>
      <c r="L84" s="241" t="str">
        <f t="shared" si="9"/>
        <v>A NÃO TEM MAIS POSTOS-77</v>
      </c>
      <c r="M84" s="241" t="str">
        <f t="shared" si="9"/>
        <v>A NÃO TEM MAIS POSTOS-88</v>
      </c>
      <c r="N84" s="241" t="str">
        <f t="shared" si="9"/>
        <v>A NÃO TEM MAIS POSTOS-99</v>
      </c>
      <c r="O84" s="187"/>
    </row>
    <row r="85" spans="1:15" ht="15" customHeight="1">
      <c r="A85" s="187"/>
      <c r="B85" s="211" t="s">
        <v>269</v>
      </c>
      <c r="C85" s="283">
        <v>5.8299999999999998E-2</v>
      </c>
      <c r="D85" s="284">
        <v>0.1</v>
      </c>
      <c r="E85" s="226">
        <v>0.06</v>
      </c>
      <c r="F85" s="226">
        <v>0.06</v>
      </c>
      <c r="G85" s="226">
        <v>0.06</v>
      </c>
      <c r="H85" s="226">
        <v>0.06</v>
      </c>
      <c r="I85" s="226">
        <v>0.06</v>
      </c>
      <c r="J85" s="226">
        <v>0.06</v>
      </c>
      <c r="K85" s="226">
        <v>0.06</v>
      </c>
      <c r="L85" s="226">
        <v>0.06</v>
      </c>
      <c r="M85" s="226">
        <v>0.06</v>
      </c>
      <c r="N85" s="226">
        <v>0.06</v>
      </c>
      <c r="O85" s="187"/>
    </row>
    <row r="86" spans="1:15" ht="15" customHeight="1">
      <c r="A86" s="187"/>
      <c r="B86" s="211" t="s">
        <v>270</v>
      </c>
      <c r="C86" s="285">
        <v>5.8299999999999998E-2</v>
      </c>
      <c r="D86" s="286">
        <v>0.1</v>
      </c>
      <c r="E86" s="226">
        <v>0.06</v>
      </c>
      <c r="F86" s="226">
        <v>0.06</v>
      </c>
      <c r="G86" s="226">
        <v>0.06</v>
      </c>
      <c r="H86" s="226">
        <v>0.06</v>
      </c>
      <c r="I86" s="226">
        <v>0.06</v>
      </c>
      <c r="J86" s="226">
        <v>0.06</v>
      </c>
      <c r="K86" s="226">
        <v>0.06</v>
      </c>
      <c r="L86" s="226">
        <v>0.06</v>
      </c>
      <c r="M86" s="226">
        <v>0.06</v>
      </c>
      <c r="N86" s="226">
        <v>0.06</v>
      </c>
      <c r="O86" s="187"/>
    </row>
    <row r="87" spans="1:15" ht="15" customHeight="1">
      <c r="A87" s="187"/>
      <c r="B87" s="211" t="s">
        <v>271</v>
      </c>
      <c r="C87" s="287" t="e">
        <f>VLOOKUP(C14,CAMPUS.CONTRATANTE!$D$10:$BE$21,3,0)/100</f>
        <v>#N/A</v>
      </c>
      <c r="D87" s="288" t="e">
        <f t="shared" ref="D87:N87" si="10">C87</f>
        <v>#N/A</v>
      </c>
      <c r="E87" s="226" t="e">
        <f t="shared" si="10"/>
        <v>#N/A</v>
      </c>
      <c r="F87" s="226" t="e">
        <f t="shared" si="10"/>
        <v>#N/A</v>
      </c>
      <c r="G87" s="226" t="e">
        <f t="shared" si="10"/>
        <v>#N/A</v>
      </c>
      <c r="H87" s="226" t="e">
        <f t="shared" si="10"/>
        <v>#N/A</v>
      </c>
      <c r="I87" s="226" t="e">
        <f t="shared" si="10"/>
        <v>#N/A</v>
      </c>
      <c r="J87" s="226" t="e">
        <f t="shared" si="10"/>
        <v>#N/A</v>
      </c>
      <c r="K87" s="226" t="e">
        <f t="shared" si="10"/>
        <v>#N/A</v>
      </c>
      <c r="L87" s="226" t="e">
        <f t="shared" si="10"/>
        <v>#N/A</v>
      </c>
      <c r="M87" s="226" t="e">
        <f t="shared" si="10"/>
        <v>#N/A</v>
      </c>
      <c r="N87" s="226" t="e">
        <f t="shared" si="10"/>
        <v>#N/A</v>
      </c>
      <c r="O87" s="187"/>
    </row>
    <row r="88" spans="1:15" ht="12.75" customHeight="1">
      <c r="A88" s="187"/>
      <c r="B88" s="211"/>
      <c r="C88" s="187"/>
      <c r="D88" s="187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187"/>
    </row>
    <row r="89" spans="1:15" ht="12.75" customHeight="1">
      <c r="A89" s="187"/>
      <c r="B89" s="648" t="s">
        <v>272</v>
      </c>
      <c r="C89" s="594"/>
      <c r="D89" s="594"/>
      <c r="E89" s="289"/>
      <c r="F89" s="289"/>
      <c r="G89" s="289"/>
      <c r="H89" s="289"/>
      <c r="I89" s="289"/>
      <c r="J89" s="289"/>
      <c r="K89" s="289"/>
      <c r="L89" s="289"/>
      <c r="M89" s="289"/>
      <c r="N89" s="289"/>
      <c r="O89" s="187"/>
    </row>
    <row r="90" spans="1:15" ht="12.75" customHeight="1">
      <c r="A90" s="187"/>
      <c r="B90" s="187"/>
      <c r="C90" s="187"/>
      <c r="D90" s="187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187"/>
    </row>
    <row r="91" spans="1:15" ht="24" customHeight="1">
      <c r="A91" s="187"/>
      <c r="B91" s="187"/>
      <c r="C91" s="240" t="str">
        <f t="shared" ref="C91:N91" si="11">C84</f>
        <v>5173-30_VIGILANTE_12×36_diurn</v>
      </c>
      <c r="D91" s="240" t="str">
        <f t="shared" si="11"/>
        <v>5173-30_VIGILANTE_12×36_notur</v>
      </c>
      <c r="E91" s="241" t="str">
        <f t="shared" si="11"/>
        <v>A NÃO TEM MAIS POSTOS-00</v>
      </c>
      <c r="F91" s="241" t="str">
        <f t="shared" si="11"/>
        <v>A NÃO TEM MAIS POSTOS-11</v>
      </c>
      <c r="G91" s="241" t="str">
        <f t="shared" si="11"/>
        <v>A NÃO TEM MAIS POSTOS-22</v>
      </c>
      <c r="H91" s="241" t="str">
        <f t="shared" si="11"/>
        <v>A NÃO TEM MAIS POSTOS-33</v>
      </c>
      <c r="I91" s="241" t="str">
        <f t="shared" si="11"/>
        <v>A NÃO TEM MAIS POSTOS-44</v>
      </c>
      <c r="J91" s="241" t="str">
        <f t="shared" si="11"/>
        <v>A NÃO TEM MAIS POSTOS-55</v>
      </c>
      <c r="K91" s="241" t="str">
        <f t="shared" si="11"/>
        <v>A NÃO TEM MAIS POSTOS-66</v>
      </c>
      <c r="L91" s="241" t="str">
        <f t="shared" si="11"/>
        <v>A NÃO TEM MAIS POSTOS-77</v>
      </c>
      <c r="M91" s="241" t="str">
        <f t="shared" si="11"/>
        <v>A NÃO TEM MAIS POSTOS-88</v>
      </c>
      <c r="N91" s="241" t="str">
        <f t="shared" si="11"/>
        <v>A NÃO TEM MAIS POSTOS-99</v>
      </c>
      <c r="O91" s="187"/>
    </row>
    <row r="92" spans="1:15" ht="16.5" customHeight="1">
      <c r="A92" s="187"/>
      <c r="B92" s="211" t="s">
        <v>273</v>
      </c>
      <c r="C92" s="290" t="e">
        <f>VLOOKUP(C14,CAMPUS.CONTRATANTE!$D$10:$HC$21,4,0)</f>
        <v>#N/A</v>
      </c>
      <c r="D92" s="291" t="e">
        <f>VLOOKUP(C14,CAMPUS.CONTRATANTE!$D$10:$HC$21,21,0)</f>
        <v>#N/A</v>
      </c>
      <c r="E92" s="292" t="e">
        <f>VLOOKUP(C14,CAMPUS.CONTRATANTE!$D$10:$HC$21,38,0)</f>
        <v>#N/A</v>
      </c>
      <c r="F92" s="292" t="e">
        <f>VLOOKUP(C14,CAMPUS.CONTRATANTE!$D$10:$HC$21,55,0)</f>
        <v>#N/A</v>
      </c>
      <c r="G92" s="292" t="e">
        <f>VLOOKUP(C14,CAMPUS.CONTRATANTE!$D$10:$HC$21,72,0)</f>
        <v>#N/A</v>
      </c>
      <c r="H92" s="292" t="e">
        <f>VLOOKUP(C14,CAMPUS.CONTRATANTE!$D$10:$HC$21,89,0)</f>
        <v>#N/A</v>
      </c>
      <c r="I92" s="292" t="e">
        <f>VLOOKUP(C14,CAMPUS.CONTRATANTE!$D$10:$HC$21,106,0)</f>
        <v>#N/A</v>
      </c>
      <c r="J92" s="292" t="e">
        <f>VLOOKUP(C14,CAMPUS.CONTRATANTE!$D$10:$HC$21,123,0)</f>
        <v>#N/A</v>
      </c>
      <c r="K92" s="292" t="e">
        <f>VLOOKUP(C14,CAMPUS.CONTRATANTE!$D$10:$HC$21,140,0)</f>
        <v>#N/A</v>
      </c>
      <c r="L92" s="292" t="e">
        <f>VLOOKUP(C14,CAMPUS.CONTRATANTE!$D$10:$HC$21,157,0)</f>
        <v>#N/A</v>
      </c>
      <c r="M92" s="292" t="e">
        <f>VLOOKUP(C14,CAMPUS.CONTRATANTE!$D$10:$HC$21,174,0)</f>
        <v>#N/A</v>
      </c>
      <c r="N92" s="292" t="e">
        <f>VLOOKUP(C14,CAMPUS.CONTRATANTE!$D$10:$HC$21,191,0)</f>
        <v>#N/A</v>
      </c>
      <c r="O92" s="187"/>
    </row>
    <row r="93" spans="1:15" ht="16.5" customHeight="1">
      <c r="A93" s="187"/>
      <c r="B93" s="211" t="s">
        <v>274</v>
      </c>
      <c r="C93" s="293">
        <v>2</v>
      </c>
      <c r="D93" s="294">
        <v>2</v>
      </c>
      <c r="E93" s="295">
        <v>1</v>
      </c>
      <c r="F93" s="292">
        <v>2</v>
      </c>
      <c r="G93" s="292">
        <v>2</v>
      </c>
      <c r="H93" s="295">
        <v>1</v>
      </c>
      <c r="I93" s="295">
        <v>1</v>
      </c>
      <c r="J93" s="295">
        <v>1</v>
      </c>
      <c r="K93" s="295">
        <v>1</v>
      </c>
      <c r="L93" s="295">
        <v>1</v>
      </c>
      <c r="M93" s="295">
        <v>1</v>
      </c>
      <c r="N93" s="295">
        <v>1</v>
      </c>
      <c r="O93" s="187"/>
    </row>
    <row r="94" spans="1:15" ht="16.5" customHeight="1">
      <c r="A94" s="187"/>
      <c r="B94" s="296" t="s">
        <v>275</v>
      </c>
      <c r="C94" s="293">
        <v>20</v>
      </c>
      <c r="D94" s="294">
        <f t="shared" ref="D94:N94" si="12">C94</f>
        <v>20</v>
      </c>
      <c r="E94" s="295">
        <f t="shared" si="12"/>
        <v>20</v>
      </c>
      <c r="F94" s="295">
        <f t="shared" si="12"/>
        <v>20</v>
      </c>
      <c r="G94" s="295">
        <f t="shared" si="12"/>
        <v>20</v>
      </c>
      <c r="H94" s="295">
        <f t="shared" si="12"/>
        <v>20</v>
      </c>
      <c r="I94" s="295">
        <f t="shared" si="12"/>
        <v>20</v>
      </c>
      <c r="J94" s="295">
        <f t="shared" si="12"/>
        <v>20</v>
      </c>
      <c r="K94" s="295">
        <f t="shared" si="12"/>
        <v>20</v>
      </c>
      <c r="L94" s="295">
        <f t="shared" si="12"/>
        <v>20</v>
      </c>
      <c r="M94" s="295">
        <f t="shared" si="12"/>
        <v>20</v>
      </c>
      <c r="N94" s="295">
        <f t="shared" si="12"/>
        <v>20</v>
      </c>
      <c r="O94" s="187"/>
    </row>
    <row r="95" spans="1:15" ht="12.75" customHeight="1">
      <c r="A95" s="187"/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</row>
    <row r="96" spans="1:15" ht="12.75" customHeight="1">
      <c r="A96" s="187"/>
      <c r="B96" s="187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</row>
    <row r="97" spans="1:15" ht="12.75" customHeight="1">
      <c r="A97" s="187"/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</row>
    <row r="98" spans="1:15" ht="15.75" customHeight="1"/>
    <row r="99" spans="1:15" ht="15.75" customHeight="1"/>
    <row r="100" spans="1:15" ht="15.75" customHeight="1"/>
    <row r="101" spans="1:15" ht="15.75" customHeight="1"/>
    <row r="102" spans="1:15" ht="15.75" customHeight="1"/>
    <row r="103" spans="1:15" ht="15.75" customHeight="1"/>
    <row r="104" spans="1:15" ht="15.75" customHeight="1"/>
    <row r="105" spans="1:15" ht="15.75" customHeight="1"/>
    <row r="106" spans="1:15" ht="15.75" customHeight="1"/>
    <row r="107" spans="1:15" ht="15.75" customHeight="1"/>
    <row r="108" spans="1:15" ht="15.75" customHeight="1"/>
    <row r="109" spans="1:15" ht="15.75" customHeight="1"/>
    <row r="110" spans="1:15" ht="15.75" customHeight="1"/>
    <row r="111" spans="1:15" ht="15.75" customHeight="1"/>
    <row r="112" spans="1:1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B83:D83"/>
    <mergeCell ref="B89:D89"/>
    <mergeCell ref="C28:C29"/>
    <mergeCell ref="E28:E29"/>
    <mergeCell ref="F28:F29"/>
    <mergeCell ref="B31:D31"/>
    <mergeCell ref="B47:D47"/>
    <mergeCell ref="B54:D54"/>
    <mergeCell ref="B81:D81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9:E9"/>
    <mergeCell ref="C11:E11"/>
    <mergeCell ref="C12:E12"/>
    <mergeCell ref="C13:E13"/>
    <mergeCell ref="C14:E14"/>
  </mergeCells>
  <conditionalFormatting sqref="C11:E14 C15">
    <cfRule type="containsBlanks" dxfId="195" priority="1">
      <formula>LEN(TRIM(C11))=0</formula>
    </cfRule>
  </conditionalFormatting>
  <conditionalFormatting sqref="C15">
    <cfRule type="containsBlanks" dxfId="194" priority="2">
      <formula>LEN(TRIM(C15))=0</formula>
    </cfRule>
  </conditionalFormatting>
  <conditionalFormatting sqref="C17">
    <cfRule type="containsBlanks" dxfId="193" priority="3">
      <formula>LEN(TRIM(C17))=0</formula>
    </cfRule>
  </conditionalFormatting>
  <conditionalFormatting sqref="C17">
    <cfRule type="containsBlanks" dxfId="192" priority="4">
      <formula>LEN(TRIM(C17))=0</formula>
    </cfRule>
  </conditionalFormatting>
  <conditionalFormatting sqref="C18">
    <cfRule type="containsBlanks" dxfId="191" priority="5">
      <formula>LEN(TRIM(C18))=0</formula>
    </cfRule>
  </conditionalFormatting>
  <conditionalFormatting sqref="C18">
    <cfRule type="containsBlanks" dxfId="190" priority="6">
      <formula>LEN(TRIM(C18))=0</formula>
    </cfRule>
  </conditionalFormatting>
  <conditionalFormatting sqref="C19">
    <cfRule type="containsBlanks" dxfId="189" priority="7">
      <formula>LEN(TRIM(C19))=0</formula>
    </cfRule>
  </conditionalFormatting>
  <conditionalFormatting sqref="C19">
    <cfRule type="containsBlanks" dxfId="188" priority="8">
      <formula>LEN(TRIM(C19))=0</formula>
    </cfRule>
  </conditionalFormatting>
  <conditionalFormatting sqref="C21">
    <cfRule type="containsBlanks" dxfId="187" priority="9">
      <formula>LEN(TRIM(C21))=0</formula>
    </cfRule>
  </conditionalFormatting>
  <conditionalFormatting sqref="C21">
    <cfRule type="containsBlanks" dxfId="186" priority="10">
      <formula>LEN(TRIM(C21))=0</formula>
    </cfRule>
  </conditionalFormatting>
  <conditionalFormatting sqref="C22">
    <cfRule type="containsBlanks" dxfId="185" priority="11">
      <formula>LEN(TRIM(C22))=0</formula>
    </cfRule>
  </conditionalFormatting>
  <conditionalFormatting sqref="C22">
    <cfRule type="containsBlanks" dxfId="184" priority="12">
      <formula>LEN(TRIM(C22))=0</formula>
    </cfRule>
  </conditionalFormatting>
  <conditionalFormatting sqref="C23">
    <cfRule type="containsBlanks" dxfId="183" priority="13">
      <formula>LEN(TRIM(C23))=0</formula>
    </cfRule>
  </conditionalFormatting>
  <conditionalFormatting sqref="C23">
    <cfRule type="containsBlanks" dxfId="182" priority="14">
      <formula>LEN(TRIM(C23))=0</formula>
    </cfRule>
  </conditionalFormatting>
  <conditionalFormatting sqref="C16">
    <cfRule type="containsBlanks" dxfId="181" priority="15">
      <formula>LEN(TRIM(C16))=0</formula>
    </cfRule>
  </conditionalFormatting>
  <conditionalFormatting sqref="C16">
    <cfRule type="containsBlanks" dxfId="180" priority="16">
      <formula>LEN(TRIM(C16))=0</formula>
    </cfRule>
  </conditionalFormatting>
  <conditionalFormatting sqref="G28">
    <cfRule type="cellIs" dxfId="179" priority="17" operator="equal">
      <formula>"FALSE"</formula>
    </cfRule>
  </conditionalFormatting>
  <conditionalFormatting sqref="G28">
    <cfRule type="cellIs" dxfId="178" priority="18" operator="equal">
      <formula>"FALSE"</formula>
    </cfRule>
  </conditionalFormatting>
  <conditionalFormatting sqref="G29">
    <cfRule type="cellIs" dxfId="177" priority="19" operator="equal">
      <formula>"FALSE"</formula>
    </cfRule>
  </conditionalFormatting>
  <conditionalFormatting sqref="C39:H39">
    <cfRule type="cellIs" dxfId="176" priority="20" operator="equal">
      <formula>0</formula>
    </cfRule>
  </conditionalFormatting>
  <conditionalFormatting sqref="C43">
    <cfRule type="cellIs" dxfId="175" priority="21" operator="equal">
      <formula>0</formula>
    </cfRule>
  </conditionalFormatting>
  <conditionalFormatting sqref="C44:E44">
    <cfRule type="cellIs" dxfId="174" priority="22" operator="equal">
      <formula>0</formula>
    </cfRule>
  </conditionalFormatting>
  <conditionalFormatting sqref="C41">
    <cfRule type="cellIs" dxfId="173" priority="23" operator="equal">
      <formula>0</formula>
    </cfRule>
  </conditionalFormatting>
  <conditionalFormatting sqref="D41">
    <cfRule type="cellIs" dxfId="172" priority="24" operator="equal">
      <formula>0</formula>
    </cfRule>
  </conditionalFormatting>
  <conditionalFormatting sqref="E41">
    <cfRule type="cellIs" dxfId="171" priority="25" operator="equal">
      <formula>0</formula>
    </cfRule>
  </conditionalFormatting>
  <conditionalFormatting sqref="F41">
    <cfRule type="cellIs" dxfId="170" priority="26" operator="equal">
      <formula>0</formula>
    </cfRule>
  </conditionalFormatting>
  <conditionalFormatting sqref="G41">
    <cfRule type="cellIs" dxfId="169" priority="27" operator="equal">
      <formula>0</formula>
    </cfRule>
  </conditionalFormatting>
  <conditionalFormatting sqref="H41">
    <cfRule type="cellIs" dxfId="168" priority="28" operator="equal">
      <formula>0</formula>
    </cfRule>
  </conditionalFormatting>
  <conditionalFormatting sqref="I41:N41">
    <cfRule type="cellIs" dxfId="167" priority="29" operator="equal">
      <formula>0</formula>
    </cfRule>
  </conditionalFormatting>
  <dataValidations count="1">
    <dataValidation type="list" allowBlank="1" showInputMessage="1" showErrorMessage="1" prompt="SELECIONE O CONTRATANTE" sqref="C14">
      <formula1>CAMPUS.CONTRATANTE!$D$10:$D$21</formula1>
    </dataValidation>
  </dataValidations>
  <printOptions horizontalCentered="1" verticalCentered="1"/>
  <pageMargins left="0.23622047244094491" right="0.11811023622047245" top="0.11811023622047245" bottom="0.11811023622047245" header="0" footer="0"/>
  <pageSetup paperSize="9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N1000"/>
  <sheetViews>
    <sheetView topLeftCell="D10" workbookViewId="0">
      <selection activeCell="D4" sqref="D4:L4"/>
    </sheetView>
  </sheetViews>
  <sheetFormatPr defaultColWidth="14.42578125" defaultRowHeight="15" customHeight="1"/>
  <cols>
    <col min="1" max="1" width="1.7109375" customWidth="1"/>
    <col min="2" max="2" width="10.140625" customWidth="1"/>
    <col min="3" max="3" width="45.42578125" customWidth="1"/>
    <col min="4" max="4" width="19.140625" customWidth="1"/>
    <col min="5" max="8" width="22.28515625" customWidth="1"/>
    <col min="9" max="9" width="21.7109375" customWidth="1"/>
    <col min="10" max="10" width="15.28515625" customWidth="1"/>
    <col min="11" max="11" width="22.42578125" customWidth="1"/>
    <col min="12" max="12" width="21.7109375" customWidth="1"/>
    <col min="13" max="13" width="25.7109375" customWidth="1"/>
    <col min="14" max="14" width="17.42578125" customWidth="1"/>
  </cols>
  <sheetData>
    <row r="1" spans="1:14">
      <c r="A1" s="297" t="s">
        <v>276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</row>
    <row r="2" spans="1:14" ht="40.5" customHeight="1">
      <c r="A2" s="297" t="s">
        <v>276</v>
      </c>
      <c r="B2" s="653" t="s">
        <v>277</v>
      </c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298"/>
      <c r="N2" s="298"/>
    </row>
    <row r="3" spans="1:14" ht="34.5" customHeight="1">
      <c r="A3" s="297" t="s">
        <v>276</v>
      </c>
      <c r="B3" s="299"/>
      <c r="C3" s="1"/>
      <c r="D3" s="1"/>
      <c r="E3" s="1"/>
      <c r="F3" s="1"/>
      <c r="G3" s="1"/>
      <c r="H3" s="1"/>
      <c r="I3" s="1"/>
      <c r="J3" s="1"/>
      <c r="K3" s="1"/>
      <c r="L3" s="1"/>
      <c r="M3" s="298"/>
      <c r="N3" s="298"/>
    </row>
    <row r="4" spans="1:14" ht="24.75" customHeight="1">
      <c r="A4" s="297" t="s">
        <v>276</v>
      </c>
      <c r="B4" s="654" t="s">
        <v>278</v>
      </c>
      <c r="C4" s="600"/>
      <c r="D4" s="655">
        <f>'1-ABA-DE-CARREGAMENTO'!C14</f>
        <v>0</v>
      </c>
      <c r="E4" s="600"/>
      <c r="F4" s="600"/>
      <c r="G4" s="600"/>
      <c r="H4" s="600"/>
      <c r="I4" s="600"/>
      <c r="J4" s="600"/>
      <c r="K4" s="600"/>
      <c r="L4" s="600"/>
      <c r="M4" s="298"/>
      <c r="N4" s="298"/>
    </row>
    <row r="5" spans="1:14" ht="16.5" customHeight="1">
      <c r="A5" s="297" t="s">
        <v>276</v>
      </c>
      <c r="C5" s="1"/>
      <c r="D5" s="300"/>
      <c r="E5" s="300"/>
      <c r="F5" s="300"/>
      <c r="G5" s="300"/>
      <c r="H5" s="300"/>
      <c r="I5" s="300"/>
      <c r="J5" s="300"/>
      <c r="K5" s="300"/>
      <c r="L5" s="300"/>
      <c r="M5" s="298"/>
      <c r="N5" s="298"/>
    </row>
    <row r="6" spans="1:14" ht="20.25" customHeight="1">
      <c r="A6" s="297" t="s">
        <v>276</v>
      </c>
      <c r="B6" s="656" t="s">
        <v>220</v>
      </c>
      <c r="C6" s="657"/>
      <c r="D6" s="658">
        <f>'1-ABA-DE-CARREGAMENTO'!C17</f>
        <v>0</v>
      </c>
      <c r="E6" s="600"/>
      <c r="F6" s="600"/>
      <c r="G6" s="600"/>
      <c r="H6" s="301"/>
      <c r="I6" s="302" t="s">
        <v>279</v>
      </c>
      <c r="J6" s="658">
        <f>'1-ABA-DE-CARREGAMENTO'!C18</f>
        <v>0</v>
      </c>
      <c r="K6" s="600"/>
      <c r="L6" s="600"/>
      <c r="M6" s="298"/>
      <c r="N6" s="298"/>
    </row>
    <row r="7" spans="1:14" ht="20.25" customHeight="1">
      <c r="A7" s="297" t="s">
        <v>276</v>
      </c>
      <c r="B7" s="656" t="s">
        <v>280</v>
      </c>
      <c r="C7" s="600"/>
      <c r="D7" s="659">
        <f>'1-ABA-DE-CARREGAMENTO'!C15</f>
        <v>0</v>
      </c>
      <c r="E7" s="600"/>
      <c r="F7" s="600"/>
      <c r="G7" s="600"/>
      <c r="H7" s="600"/>
      <c r="I7" s="600"/>
      <c r="J7" s="600"/>
      <c r="K7" s="600"/>
      <c r="L7" s="600"/>
      <c r="M7" s="298"/>
      <c r="N7" s="298"/>
    </row>
    <row r="8" spans="1:14" ht="20.25" customHeight="1">
      <c r="A8" s="297" t="s">
        <v>276</v>
      </c>
      <c r="B8" s="656" t="s">
        <v>281</v>
      </c>
      <c r="C8" s="600"/>
      <c r="D8" s="659">
        <f>'1-ABA-DE-CARREGAMENTO'!C19</f>
        <v>0</v>
      </c>
      <c r="E8" s="600"/>
      <c r="F8" s="600"/>
      <c r="G8" s="600"/>
      <c r="H8" s="303"/>
      <c r="I8" s="664"/>
      <c r="J8" s="600"/>
      <c r="K8" s="600"/>
      <c r="L8" s="600"/>
      <c r="M8" s="298"/>
      <c r="N8" s="298"/>
    </row>
    <row r="9" spans="1:14" ht="20.25" customHeight="1">
      <c r="A9" s="297" t="s">
        <v>276</v>
      </c>
      <c r="B9" s="656" t="s">
        <v>282</v>
      </c>
      <c r="C9" s="657"/>
      <c r="D9" s="659">
        <f>'1-ABA-DE-CARREGAMENTO'!C21</f>
        <v>0</v>
      </c>
      <c r="E9" s="600"/>
      <c r="F9" s="600"/>
      <c r="G9" s="600"/>
      <c r="H9" s="301"/>
      <c r="I9" s="302" t="s">
        <v>283</v>
      </c>
      <c r="J9" s="665">
        <f>'1-ABA-DE-CARREGAMENTO'!C22</f>
        <v>0</v>
      </c>
      <c r="K9" s="602"/>
      <c r="L9" s="603"/>
      <c r="M9" s="298"/>
      <c r="N9" s="298"/>
    </row>
    <row r="10" spans="1:14">
      <c r="A10" s="297" t="s">
        <v>276</v>
      </c>
      <c r="B10" s="656" t="s">
        <v>284</v>
      </c>
      <c r="C10" s="657"/>
      <c r="D10" s="660">
        <f>'1-ABA-DE-CARREGAMENTO'!C16</f>
        <v>0</v>
      </c>
      <c r="E10" s="600"/>
      <c r="F10" s="600"/>
      <c r="G10" s="600"/>
      <c r="H10" s="298"/>
      <c r="I10" s="298"/>
      <c r="J10" s="298"/>
      <c r="K10" s="298"/>
      <c r="L10" s="298"/>
      <c r="M10" s="298"/>
      <c r="N10" s="298"/>
    </row>
    <row r="11" spans="1:14" ht="21.75" customHeight="1">
      <c r="A11" s="297" t="s">
        <v>276</v>
      </c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</row>
    <row r="12" spans="1:14" ht="21.75" customHeight="1">
      <c r="A12" s="297" t="s">
        <v>276</v>
      </c>
      <c r="C12" s="661" t="str">
        <f>'1-ABA-DE-CARREGAMENTO'!C11</f>
        <v xml:space="preserve"> S E R V I Ç O S   de VIGILANCIA,  DESARMADA-diruna __ ARMADA-noturna</v>
      </c>
      <c r="D12" s="602"/>
      <c r="E12" s="602"/>
      <c r="F12" s="602"/>
      <c r="G12" s="602"/>
      <c r="H12" s="602"/>
      <c r="I12" s="602"/>
      <c r="J12" s="602"/>
      <c r="K12" s="602"/>
      <c r="L12" s="603"/>
      <c r="M12" s="298"/>
      <c r="N12" s="298"/>
    </row>
    <row r="13" spans="1:14" ht="72" customHeight="1">
      <c r="A13" s="297" t="s">
        <v>276</v>
      </c>
      <c r="B13" s="304"/>
      <c r="C13" s="305" t="s">
        <v>285</v>
      </c>
      <c r="D13" s="306" t="s">
        <v>286</v>
      </c>
      <c r="E13" s="306" t="s">
        <v>287</v>
      </c>
      <c r="F13" s="306" t="s">
        <v>288</v>
      </c>
      <c r="G13" s="306" t="s">
        <v>289</v>
      </c>
      <c r="H13" s="307" t="s">
        <v>290</v>
      </c>
      <c r="I13" s="308" t="s">
        <v>291</v>
      </c>
      <c r="J13" s="309" t="s">
        <v>292</v>
      </c>
      <c r="K13" s="310" t="s">
        <v>293</v>
      </c>
      <c r="L13" s="306" t="s">
        <v>294</v>
      </c>
      <c r="M13" s="306" t="s">
        <v>295</v>
      </c>
      <c r="N13" s="298"/>
    </row>
    <row r="14" spans="1:14" ht="33" customHeight="1">
      <c r="A14" s="297" t="s">
        <v>276</v>
      </c>
      <c r="B14" s="662" t="s">
        <v>296</v>
      </c>
      <c r="C14" s="311" t="str">
        <f>'1-ABA-DE-CARREGAMENTO'!C33</f>
        <v>5173-30_VIGILANTE_12×36_diurn</v>
      </c>
      <c r="D14" s="312">
        <f>'1-ABA-DE-CARREGAMENTO'!C52</f>
        <v>220</v>
      </c>
      <c r="E14" s="313" t="e">
        <f>'1-ABA-DE-CARREGAMENTO'!C92</f>
        <v>#N/A</v>
      </c>
      <c r="F14" s="313">
        <f>'1-ABA-DE-CARREGAMENTO'!C93</f>
        <v>2</v>
      </c>
      <c r="G14" s="314" t="e">
        <f>'5173-30_VIGILANTE_12×36_diurn'!J195/F14</f>
        <v>#N/A</v>
      </c>
      <c r="H14" s="315" t="e">
        <f t="shared" ref="H14:H25" si="0">G14*F14</f>
        <v>#N/A</v>
      </c>
      <c r="I14" s="316" t="e">
        <f t="shared" ref="I14:I25" si="1">H14*E14</f>
        <v>#N/A</v>
      </c>
      <c r="J14" s="313">
        <f>'1-ABA-DE-CARREGAMENTO'!C94</f>
        <v>20</v>
      </c>
      <c r="K14" s="317" t="e">
        <f t="shared" ref="K14:K25" si="2">J14*E14</f>
        <v>#N/A</v>
      </c>
      <c r="L14" s="314" t="e">
        <f t="shared" ref="L14:L25" si="3">I14*12</f>
        <v>#N/A</v>
      </c>
      <c r="M14" s="318" t="e">
        <f t="shared" ref="M14:M25" si="4">I14*J14</f>
        <v>#N/A</v>
      </c>
      <c r="N14" s="319"/>
    </row>
    <row r="15" spans="1:14" ht="33" customHeight="1">
      <c r="A15" s="297" t="s">
        <v>276</v>
      </c>
      <c r="B15" s="630"/>
      <c r="C15" s="311" t="str">
        <f>'1-ABA-DE-CARREGAMENTO'!D33</f>
        <v>5173-30_VIGILANTE_12×36_notur</v>
      </c>
      <c r="D15" s="320">
        <f>'1-ABA-DE-CARREGAMENTO'!D52</f>
        <v>220</v>
      </c>
      <c r="E15" s="313" t="e">
        <f>'1-ABA-DE-CARREGAMENTO'!D92</f>
        <v>#N/A</v>
      </c>
      <c r="F15" s="313">
        <f>'1-ABA-DE-CARREGAMENTO'!D93</f>
        <v>2</v>
      </c>
      <c r="G15" s="321" t="e">
        <f>'5173-30_VIGILANTE_12×36_notur'!J195/F15</f>
        <v>#N/A</v>
      </c>
      <c r="H15" s="315" t="e">
        <f t="shared" si="0"/>
        <v>#N/A</v>
      </c>
      <c r="I15" s="316" t="e">
        <f t="shared" si="1"/>
        <v>#N/A</v>
      </c>
      <c r="J15" s="313">
        <f>'1-ABA-DE-CARREGAMENTO'!D94</f>
        <v>20</v>
      </c>
      <c r="K15" s="317" t="e">
        <f t="shared" si="2"/>
        <v>#N/A</v>
      </c>
      <c r="L15" s="314" t="e">
        <f t="shared" si="3"/>
        <v>#N/A</v>
      </c>
      <c r="M15" s="318" t="e">
        <f t="shared" si="4"/>
        <v>#N/A</v>
      </c>
      <c r="N15" s="319"/>
    </row>
    <row r="16" spans="1:14" ht="33" hidden="1" customHeight="1">
      <c r="A16" s="297" t="s">
        <v>276</v>
      </c>
      <c r="B16" s="630"/>
      <c r="C16" s="322" t="str">
        <f>'1-ABA-DE-CARREGAMENTO'!E33</f>
        <v>A NÃO TEM MAIS POSTOS-00</v>
      </c>
      <c r="D16" s="320">
        <f>'1-ABA-DE-CARREGAMENTO'!E52</f>
        <v>200</v>
      </c>
      <c r="E16" s="313" t="e">
        <f>'1-ABA-DE-CARREGAMENTO'!E92</f>
        <v>#N/A</v>
      </c>
      <c r="F16" s="323">
        <f>'1-ABA-DE-CARREGAMENTO'!E93</f>
        <v>1</v>
      </c>
      <c r="G16" s="321">
        <v>0</v>
      </c>
      <c r="H16" s="315">
        <f t="shared" si="0"/>
        <v>0</v>
      </c>
      <c r="I16" s="316" t="e">
        <f t="shared" si="1"/>
        <v>#N/A</v>
      </c>
      <c r="J16" s="313">
        <f>'1-ABA-DE-CARREGAMENTO'!E94</f>
        <v>20</v>
      </c>
      <c r="K16" s="317" t="e">
        <f t="shared" si="2"/>
        <v>#N/A</v>
      </c>
      <c r="L16" s="314" t="e">
        <f t="shared" si="3"/>
        <v>#N/A</v>
      </c>
      <c r="M16" s="318" t="e">
        <f t="shared" si="4"/>
        <v>#N/A</v>
      </c>
      <c r="N16" s="319"/>
    </row>
    <row r="17" spans="1:14" ht="33" hidden="1" customHeight="1">
      <c r="A17" s="297"/>
      <c r="B17" s="630"/>
      <c r="C17" s="322" t="str">
        <f>'1-ABA-DE-CARREGAMENTO'!F33</f>
        <v>A NÃO TEM MAIS POSTOS-11</v>
      </c>
      <c r="D17" s="320">
        <f>'1-ABA-DE-CARREGAMENTO'!F52</f>
        <v>100</v>
      </c>
      <c r="E17" s="313" t="e">
        <f>'1-ABA-DE-CARREGAMENTO'!F92</f>
        <v>#N/A</v>
      </c>
      <c r="F17" s="323">
        <f>'1-ABA-DE-CARREGAMENTO'!F93</f>
        <v>2</v>
      </c>
      <c r="G17" s="321">
        <v>0</v>
      </c>
      <c r="H17" s="315">
        <f t="shared" si="0"/>
        <v>0</v>
      </c>
      <c r="I17" s="316" t="e">
        <f t="shared" si="1"/>
        <v>#N/A</v>
      </c>
      <c r="J17" s="313">
        <f>'1-ABA-DE-CARREGAMENTO'!F94</f>
        <v>20</v>
      </c>
      <c r="K17" s="317" t="e">
        <f t="shared" si="2"/>
        <v>#N/A</v>
      </c>
      <c r="L17" s="314" t="e">
        <f t="shared" si="3"/>
        <v>#N/A</v>
      </c>
      <c r="M17" s="318" t="e">
        <f t="shared" si="4"/>
        <v>#N/A</v>
      </c>
      <c r="N17" s="319"/>
    </row>
    <row r="18" spans="1:14" ht="33" hidden="1" customHeight="1">
      <c r="A18" s="297"/>
      <c r="B18" s="630"/>
      <c r="C18" s="322" t="str">
        <f>'1-ABA-DE-CARREGAMENTO'!G33</f>
        <v>A NÃO TEM MAIS POSTOS-22</v>
      </c>
      <c r="D18" s="320">
        <f>'1-ABA-DE-CARREGAMENTO'!G52</f>
        <v>200</v>
      </c>
      <c r="E18" s="313" t="e">
        <f>'1-ABA-DE-CARREGAMENTO'!G92</f>
        <v>#N/A</v>
      </c>
      <c r="F18" s="323">
        <f>'1-ABA-DE-CARREGAMENTO'!G93</f>
        <v>2</v>
      </c>
      <c r="G18" s="321">
        <v>0</v>
      </c>
      <c r="H18" s="315">
        <f t="shared" si="0"/>
        <v>0</v>
      </c>
      <c r="I18" s="316" t="e">
        <f t="shared" si="1"/>
        <v>#N/A</v>
      </c>
      <c r="J18" s="313">
        <f>'1-ABA-DE-CARREGAMENTO'!G94</f>
        <v>20</v>
      </c>
      <c r="K18" s="317" t="e">
        <f t="shared" si="2"/>
        <v>#N/A</v>
      </c>
      <c r="L18" s="314" t="e">
        <f t="shared" si="3"/>
        <v>#N/A</v>
      </c>
      <c r="M18" s="318" t="e">
        <f t="shared" si="4"/>
        <v>#N/A</v>
      </c>
      <c r="N18" s="319"/>
    </row>
    <row r="19" spans="1:14" ht="33" hidden="1" customHeight="1">
      <c r="A19" s="297"/>
      <c r="B19" s="630"/>
      <c r="C19" s="322" t="str">
        <f>'1-ABA-DE-CARREGAMENTO'!H33</f>
        <v>A NÃO TEM MAIS POSTOS-33</v>
      </c>
      <c r="D19" s="320">
        <f>'1-ABA-DE-CARREGAMENTO'!H52</f>
        <v>100</v>
      </c>
      <c r="E19" s="313" t="e">
        <f>'1-ABA-DE-CARREGAMENTO'!H92</f>
        <v>#N/A</v>
      </c>
      <c r="F19" s="323">
        <f>'1-ABA-DE-CARREGAMENTO'!H93</f>
        <v>1</v>
      </c>
      <c r="G19" s="321">
        <v>0</v>
      </c>
      <c r="H19" s="315">
        <f t="shared" si="0"/>
        <v>0</v>
      </c>
      <c r="I19" s="316" t="e">
        <f t="shared" si="1"/>
        <v>#N/A</v>
      </c>
      <c r="J19" s="313">
        <f>'1-ABA-DE-CARREGAMENTO'!H94</f>
        <v>20</v>
      </c>
      <c r="K19" s="317" t="e">
        <f t="shared" si="2"/>
        <v>#N/A</v>
      </c>
      <c r="L19" s="314" t="e">
        <f t="shared" si="3"/>
        <v>#N/A</v>
      </c>
      <c r="M19" s="318" t="e">
        <f t="shared" si="4"/>
        <v>#N/A</v>
      </c>
      <c r="N19" s="319"/>
    </row>
    <row r="20" spans="1:14" ht="33" hidden="1" customHeight="1">
      <c r="A20" s="297" t="s">
        <v>276</v>
      </c>
      <c r="B20" s="630"/>
      <c r="C20" s="322" t="str">
        <f>'1-ABA-DE-CARREGAMENTO'!I33</f>
        <v>A NÃO TEM MAIS POSTOS-44</v>
      </c>
      <c r="D20" s="320">
        <f>'1-ABA-DE-CARREGAMENTO'!I52</f>
        <v>200</v>
      </c>
      <c r="E20" s="313" t="e">
        <f>'1-ABA-DE-CARREGAMENTO'!I92</f>
        <v>#N/A</v>
      </c>
      <c r="F20" s="323">
        <f>'1-ABA-DE-CARREGAMENTO'!I93</f>
        <v>1</v>
      </c>
      <c r="G20" s="321">
        <v>0</v>
      </c>
      <c r="H20" s="315">
        <f t="shared" si="0"/>
        <v>0</v>
      </c>
      <c r="I20" s="316" t="e">
        <f t="shared" si="1"/>
        <v>#N/A</v>
      </c>
      <c r="J20" s="313">
        <f>'1-ABA-DE-CARREGAMENTO'!I94</f>
        <v>20</v>
      </c>
      <c r="K20" s="317" t="e">
        <f t="shared" si="2"/>
        <v>#N/A</v>
      </c>
      <c r="L20" s="314" t="e">
        <f t="shared" si="3"/>
        <v>#N/A</v>
      </c>
      <c r="M20" s="318" t="e">
        <f t="shared" si="4"/>
        <v>#N/A</v>
      </c>
      <c r="N20" s="319"/>
    </row>
    <row r="21" spans="1:14" ht="33" hidden="1" customHeight="1">
      <c r="A21" s="297" t="s">
        <v>276</v>
      </c>
      <c r="B21" s="630"/>
      <c r="C21" s="322" t="str">
        <f>'1-ABA-DE-CARREGAMENTO'!J33</f>
        <v>A NÃO TEM MAIS POSTOS-55</v>
      </c>
      <c r="D21" s="320">
        <f>'1-ABA-DE-CARREGAMENTO'!J52</f>
        <v>100</v>
      </c>
      <c r="E21" s="313" t="e">
        <f>'1-ABA-DE-CARREGAMENTO'!J92</f>
        <v>#N/A</v>
      </c>
      <c r="F21" s="323">
        <f>'1-ABA-DE-CARREGAMENTO'!J93</f>
        <v>1</v>
      </c>
      <c r="G21" s="321">
        <v>0</v>
      </c>
      <c r="H21" s="315">
        <f t="shared" si="0"/>
        <v>0</v>
      </c>
      <c r="I21" s="316" t="e">
        <f t="shared" si="1"/>
        <v>#N/A</v>
      </c>
      <c r="J21" s="313">
        <f>'1-ABA-DE-CARREGAMENTO'!J94</f>
        <v>20</v>
      </c>
      <c r="K21" s="317" t="e">
        <f t="shared" si="2"/>
        <v>#N/A</v>
      </c>
      <c r="L21" s="314" t="e">
        <f t="shared" si="3"/>
        <v>#N/A</v>
      </c>
      <c r="M21" s="318" t="e">
        <f t="shared" si="4"/>
        <v>#N/A</v>
      </c>
      <c r="N21" s="319"/>
    </row>
    <row r="22" spans="1:14" ht="33" hidden="1" customHeight="1">
      <c r="A22" s="297"/>
      <c r="B22" s="630"/>
      <c r="C22" s="322" t="str">
        <f>'1-ABA-DE-CARREGAMENTO'!K33</f>
        <v>A NÃO TEM MAIS POSTOS-66</v>
      </c>
      <c r="D22" s="320">
        <f>'1-ABA-DE-CARREGAMENTO'!K52</f>
        <v>200</v>
      </c>
      <c r="E22" s="313" t="e">
        <f>'1-ABA-DE-CARREGAMENTO'!K92</f>
        <v>#N/A</v>
      </c>
      <c r="F22" s="323">
        <f>'1-ABA-DE-CARREGAMENTO'!K93</f>
        <v>1</v>
      </c>
      <c r="G22" s="321">
        <v>0</v>
      </c>
      <c r="H22" s="315">
        <f t="shared" si="0"/>
        <v>0</v>
      </c>
      <c r="I22" s="316" t="e">
        <f t="shared" si="1"/>
        <v>#N/A</v>
      </c>
      <c r="J22" s="313">
        <f>'1-ABA-DE-CARREGAMENTO'!K94</f>
        <v>20</v>
      </c>
      <c r="K22" s="317" t="e">
        <f t="shared" si="2"/>
        <v>#N/A</v>
      </c>
      <c r="L22" s="314" t="e">
        <f t="shared" si="3"/>
        <v>#N/A</v>
      </c>
      <c r="M22" s="318" t="e">
        <f t="shared" si="4"/>
        <v>#N/A</v>
      </c>
      <c r="N22" s="319"/>
    </row>
    <row r="23" spans="1:14" ht="33" hidden="1" customHeight="1">
      <c r="A23" s="297"/>
      <c r="B23" s="630"/>
      <c r="C23" s="322" t="str">
        <f>'1-ABA-DE-CARREGAMENTO'!L33</f>
        <v>A NÃO TEM MAIS POSTOS-77</v>
      </c>
      <c r="D23" s="320">
        <f>'1-ABA-DE-CARREGAMENTO'!L52</f>
        <v>100</v>
      </c>
      <c r="E23" s="313" t="e">
        <f>'1-ABA-DE-CARREGAMENTO'!L92</f>
        <v>#N/A</v>
      </c>
      <c r="F23" s="323">
        <f>'1-ABA-DE-CARREGAMENTO'!L93</f>
        <v>1</v>
      </c>
      <c r="G23" s="321">
        <v>0</v>
      </c>
      <c r="H23" s="315">
        <f t="shared" si="0"/>
        <v>0</v>
      </c>
      <c r="I23" s="316" t="e">
        <f t="shared" si="1"/>
        <v>#N/A</v>
      </c>
      <c r="J23" s="313">
        <f>'1-ABA-DE-CARREGAMENTO'!L94</f>
        <v>20</v>
      </c>
      <c r="K23" s="317" t="e">
        <f t="shared" si="2"/>
        <v>#N/A</v>
      </c>
      <c r="L23" s="314" t="e">
        <f t="shared" si="3"/>
        <v>#N/A</v>
      </c>
      <c r="M23" s="318" t="e">
        <f t="shared" si="4"/>
        <v>#N/A</v>
      </c>
      <c r="N23" s="319"/>
    </row>
    <row r="24" spans="1:14" ht="33" hidden="1" customHeight="1">
      <c r="A24" s="297" t="s">
        <v>276</v>
      </c>
      <c r="B24" s="630"/>
      <c r="C24" s="322" t="str">
        <f>'1-ABA-DE-CARREGAMENTO'!M33</f>
        <v>A NÃO TEM MAIS POSTOS-88</v>
      </c>
      <c r="D24" s="320">
        <f>'1-ABA-DE-CARREGAMENTO'!M52</f>
        <v>0</v>
      </c>
      <c r="E24" s="313" t="e">
        <f>'1-ABA-DE-CARREGAMENTO'!M92</f>
        <v>#N/A</v>
      </c>
      <c r="F24" s="323">
        <f>'1-ABA-DE-CARREGAMENTO'!M93</f>
        <v>1</v>
      </c>
      <c r="G24" s="321">
        <v>0</v>
      </c>
      <c r="H24" s="315">
        <f t="shared" si="0"/>
        <v>0</v>
      </c>
      <c r="I24" s="316" t="e">
        <f t="shared" si="1"/>
        <v>#N/A</v>
      </c>
      <c r="J24" s="313">
        <f>'1-ABA-DE-CARREGAMENTO'!M94</f>
        <v>20</v>
      </c>
      <c r="K24" s="317" t="e">
        <f t="shared" si="2"/>
        <v>#N/A</v>
      </c>
      <c r="L24" s="314" t="e">
        <f t="shared" si="3"/>
        <v>#N/A</v>
      </c>
      <c r="M24" s="318" t="e">
        <f t="shared" si="4"/>
        <v>#N/A</v>
      </c>
      <c r="N24" s="319"/>
    </row>
    <row r="25" spans="1:14" ht="33" hidden="1" customHeight="1">
      <c r="A25" s="297" t="s">
        <v>276</v>
      </c>
      <c r="B25" s="630"/>
      <c r="C25" s="322" t="str">
        <f>'1-ABA-DE-CARREGAMENTO'!N33</f>
        <v>A NÃO TEM MAIS POSTOS-99</v>
      </c>
      <c r="D25" s="320">
        <f>'1-ABA-DE-CARREGAMENTO'!N52</f>
        <v>0</v>
      </c>
      <c r="E25" s="313" t="e">
        <f>'1-ABA-DE-CARREGAMENTO'!N92</f>
        <v>#N/A</v>
      </c>
      <c r="F25" s="323">
        <f>'1-ABA-DE-CARREGAMENTO'!N93</f>
        <v>1</v>
      </c>
      <c r="G25" s="321">
        <v>0</v>
      </c>
      <c r="H25" s="315">
        <f t="shared" si="0"/>
        <v>0</v>
      </c>
      <c r="I25" s="316" t="e">
        <f t="shared" si="1"/>
        <v>#N/A</v>
      </c>
      <c r="J25" s="313">
        <f>'1-ABA-DE-CARREGAMENTO'!N94</f>
        <v>20</v>
      </c>
      <c r="K25" s="317" t="e">
        <f t="shared" si="2"/>
        <v>#N/A</v>
      </c>
      <c r="L25" s="314" t="e">
        <f t="shared" si="3"/>
        <v>#N/A</v>
      </c>
      <c r="M25" s="318" t="e">
        <f t="shared" si="4"/>
        <v>#N/A</v>
      </c>
      <c r="N25" s="319"/>
    </row>
    <row r="26" spans="1:14" ht="34.5" customHeight="1">
      <c r="A26" s="297" t="s">
        <v>276</v>
      </c>
      <c r="B26" s="663"/>
      <c r="C26" s="324" t="s">
        <v>297</v>
      </c>
      <c r="D26" s="324"/>
      <c r="E26" s="325" t="e">
        <f>SUM(E14:E25)</f>
        <v>#N/A</v>
      </c>
      <c r="F26" s="326"/>
      <c r="G26" s="327"/>
      <c r="H26" s="327"/>
      <c r="I26" s="328" t="e">
        <f>SUM(I14:I25)</f>
        <v>#N/A</v>
      </c>
      <c r="J26" s="329"/>
      <c r="K26" s="329"/>
      <c r="L26" s="330" t="e">
        <f t="shared" ref="L26:M26" si="5">SUM(L14:L25)</f>
        <v>#N/A</v>
      </c>
      <c r="M26" s="331" t="e">
        <f t="shared" si="5"/>
        <v>#N/A</v>
      </c>
      <c r="N26" s="332"/>
    </row>
    <row r="27" spans="1:14" ht="27.75" customHeight="1">
      <c r="A27" s="297" t="s">
        <v>276</v>
      </c>
      <c r="B27" s="333"/>
      <c r="C27" s="334"/>
      <c r="D27" s="334"/>
      <c r="E27" s="335"/>
      <c r="F27" s="335"/>
      <c r="G27" s="334"/>
      <c r="H27" s="334"/>
      <c r="I27" s="336"/>
      <c r="J27" s="336"/>
      <c r="K27" s="336"/>
      <c r="L27" s="336"/>
      <c r="M27" s="298"/>
      <c r="N27" s="298"/>
    </row>
    <row r="28" spans="1:14" ht="15.75" customHeight="1">
      <c r="A28" s="297"/>
      <c r="C28" s="298"/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</row>
    <row r="29" spans="1:14" ht="15.75" customHeight="1">
      <c r="A29" s="297"/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</row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7:L7"/>
    <mergeCell ref="B10:C10"/>
    <mergeCell ref="D10:G10"/>
    <mergeCell ref="C12:L12"/>
    <mergeCell ref="B14:B26"/>
    <mergeCell ref="B7:C7"/>
    <mergeCell ref="B8:C8"/>
    <mergeCell ref="D8:G8"/>
    <mergeCell ref="I8:L8"/>
    <mergeCell ref="B9:C9"/>
    <mergeCell ref="D9:G9"/>
    <mergeCell ref="J9:L9"/>
    <mergeCell ref="B2:L2"/>
    <mergeCell ref="B4:C4"/>
    <mergeCell ref="D4:L4"/>
    <mergeCell ref="B6:C6"/>
    <mergeCell ref="D6:G6"/>
    <mergeCell ref="J6:L6"/>
  </mergeCells>
  <conditionalFormatting sqref="K14">
    <cfRule type="cellIs" dxfId="166" priority="1" operator="greaterThan">
      <formula>0</formula>
    </cfRule>
  </conditionalFormatting>
  <conditionalFormatting sqref="K15">
    <cfRule type="cellIs" dxfId="165" priority="2" operator="greaterThan">
      <formula>0</formula>
    </cfRule>
  </conditionalFormatting>
  <conditionalFormatting sqref="K16">
    <cfRule type="cellIs" dxfId="164" priority="3" operator="greaterThan">
      <formula>0</formula>
    </cfRule>
  </conditionalFormatting>
  <conditionalFormatting sqref="K17">
    <cfRule type="cellIs" dxfId="163" priority="4" operator="greaterThan">
      <formula>0</formula>
    </cfRule>
  </conditionalFormatting>
  <conditionalFormatting sqref="K18:K25">
    <cfRule type="cellIs" dxfId="162" priority="5" operator="greaterThan">
      <formula>0</formula>
    </cfRule>
  </conditionalFormatting>
  <conditionalFormatting sqref="H14">
    <cfRule type="expression" dxfId="161" priority="6">
      <formula>$K$14&gt;0</formula>
    </cfRule>
  </conditionalFormatting>
  <conditionalFormatting sqref="H15">
    <cfRule type="expression" dxfId="160" priority="7">
      <formula>$K$15&gt;0</formula>
    </cfRule>
  </conditionalFormatting>
  <conditionalFormatting sqref="H16">
    <cfRule type="expression" dxfId="159" priority="8">
      <formula>$K$16&gt;0</formula>
    </cfRule>
  </conditionalFormatting>
  <conditionalFormatting sqref="H17">
    <cfRule type="expression" dxfId="158" priority="9">
      <formula>$K$17&gt;0</formula>
    </cfRule>
  </conditionalFormatting>
  <conditionalFormatting sqref="H18">
    <cfRule type="expression" dxfId="157" priority="10">
      <formula>$K$18&gt;0</formula>
    </cfRule>
  </conditionalFormatting>
  <conditionalFormatting sqref="H18">
    <cfRule type="expression" dxfId="156" priority="11">
      <formula>$K$17&gt;0</formula>
    </cfRule>
  </conditionalFormatting>
  <conditionalFormatting sqref="H19">
    <cfRule type="expression" dxfId="155" priority="12">
      <formula>$K$19&gt;0</formula>
    </cfRule>
  </conditionalFormatting>
  <conditionalFormatting sqref="H20">
    <cfRule type="expression" dxfId="154" priority="13">
      <formula>$K$20&gt;0</formula>
    </cfRule>
  </conditionalFormatting>
  <conditionalFormatting sqref="H21">
    <cfRule type="expression" dxfId="153" priority="14">
      <formula>$K$21&gt;0</formula>
    </cfRule>
  </conditionalFormatting>
  <conditionalFormatting sqref="H22">
    <cfRule type="expression" dxfId="152" priority="15">
      <formula>$K$22&gt;0</formula>
    </cfRule>
  </conditionalFormatting>
  <conditionalFormatting sqref="H23">
    <cfRule type="expression" dxfId="151" priority="16">
      <formula>$K$23&gt;0</formula>
    </cfRule>
  </conditionalFormatting>
  <conditionalFormatting sqref="H24">
    <cfRule type="expression" dxfId="150" priority="17">
      <formula>$K$24&gt;0</formula>
    </cfRule>
  </conditionalFormatting>
  <conditionalFormatting sqref="H25">
    <cfRule type="expression" dxfId="149" priority="18">
      <formula>$K$25&gt;0</formula>
    </cfRule>
  </conditionalFormatting>
  <conditionalFormatting sqref="M14">
    <cfRule type="expression" dxfId="148" priority="19">
      <formula>$K$14&gt;0</formula>
    </cfRule>
  </conditionalFormatting>
  <conditionalFormatting sqref="M15">
    <cfRule type="expression" dxfId="147" priority="20">
      <formula>$K$15&gt;0</formula>
    </cfRule>
  </conditionalFormatting>
  <conditionalFormatting sqref="M16">
    <cfRule type="expression" dxfId="146" priority="21">
      <formula>$K$16&gt;0</formula>
    </cfRule>
  </conditionalFormatting>
  <conditionalFormatting sqref="M17">
    <cfRule type="expression" dxfId="145" priority="22">
      <formula>$K$17&gt;0</formula>
    </cfRule>
  </conditionalFormatting>
  <conditionalFormatting sqref="M18">
    <cfRule type="expression" dxfId="144" priority="23">
      <formula>$K$18&gt;0</formula>
    </cfRule>
  </conditionalFormatting>
  <conditionalFormatting sqref="M19">
    <cfRule type="expression" dxfId="143" priority="24">
      <formula>$K$19&gt;0</formula>
    </cfRule>
  </conditionalFormatting>
  <conditionalFormatting sqref="M20">
    <cfRule type="expression" dxfId="142" priority="25">
      <formula>$K$20&gt;0</formula>
    </cfRule>
  </conditionalFormatting>
  <conditionalFormatting sqref="M21">
    <cfRule type="expression" dxfId="141" priority="26">
      <formula>$K$21&gt;0</formula>
    </cfRule>
  </conditionalFormatting>
  <conditionalFormatting sqref="M22">
    <cfRule type="expression" dxfId="140" priority="27">
      <formula>$K$22&gt;0</formula>
    </cfRule>
  </conditionalFormatting>
  <conditionalFormatting sqref="M23">
    <cfRule type="expression" dxfId="139" priority="28">
      <formula>$K$23&gt;0</formula>
    </cfRule>
  </conditionalFormatting>
  <conditionalFormatting sqref="M24">
    <cfRule type="expression" dxfId="138" priority="29">
      <formula>$K$24&gt;0</formula>
    </cfRule>
  </conditionalFormatting>
  <conditionalFormatting sqref="M25">
    <cfRule type="expression" dxfId="137" priority="30">
      <formula>$K$25&gt;0</formula>
    </cfRule>
  </conditionalFormatting>
  <conditionalFormatting sqref="E14">
    <cfRule type="cellIs" dxfId="136" priority="31" operator="greaterThan">
      <formula>0</formula>
    </cfRule>
  </conditionalFormatting>
  <conditionalFormatting sqref="E14">
    <cfRule type="cellIs" dxfId="135" priority="32" operator="greaterThan">
      <formula>0</formula>
    </cfRule>
  </conditionalFormatting>
  <conditionalFormatting sqref="E15:E16">
    <cfRule type="cellIs" dxfId="134" priority="33" operator="greaterThan">
      <formula>0</formula>
    </cfRule>
  </conditionalFormatting>
  <conditionalFormatting sqref="E15:E16">
    <cfRule type="cellIs" dxfId="133" priority="34" operator="greaterThan">
      <formula>0</formula>
    </cfRule>
  </conditionalFormatting>
  <conditionalFormatting sqref="E16:E25">
    <cfRule type="cellIs" dxfId="132" priority="35" operator="greaterThan">
      <formula>0</formula>
    </cfRule>
  </conditionalFormatting>
  <conditionalFormatting sqref="E16:E25">
    <cfRule type="cellIs" dxfId="131" priority="36" operator="greaterThan">
      <formula>0</formula>
    </cfRule>
  </conditionalFormatting>
  <conditionalFormatting sqref="C14">
    <cfRule type="expression" dxfId="130" priority="37">
      <formula>$E$14&gt;0</formula>
    </cfRule>
  </conditionalFormatting>
  <conditionalFormatting sqref="C14">
    <cfRule type="expression" dxfId="129" priority="38">
      <formula>$C$14&gt;0</formula>
    </cfRule>
  </conditionalFormatting>
  <conditionalFormatting sqref="C16">
    <cfRule type="expression" dxfId="128" priority="39">
      <formula>$E$16&gt;0</formula>
    </cfRule>
  </conditionalFormatting>
  <conditionalFormatting sqref="C17">
    <cfRule type="expression" dxfId="127" priority="40">
      <formula>$E$17&gt;0</formula>
    </cfRule>
  </conditionalFormatting>
  <conditionalFormatting sqref="C18">
    <cfRule type="expression" dxfId="126" priority="41">
      <formula>$E$18&gt;0</formula>
    </cfRule>
  </conditionalFormatting>
  <conditionalFormatting sqref="C19">
    <cfRule type="expression" dxfId="125" priority="42">
      <formula>$E$19&gt;0</formula>
    </cfRule>
  </conditionalFormatting>
  <conditionalFormatting sqref="C20">
    <cfRule type="expression" dxfId="124" priority="43">
      <formula>$E$20&gt;0</formula>
    </cfRule>
  </conditionalFormatting>
  <conditionalFormatting sqref="C21">
    <cfRule type="expression" dxfId="123" priority="44">
      <formula>$E$21&gt;0</formula>
    </cfRule>
  </conditionalFormatting>
  <conditionalFormatting sqref="C22">
    <cfRule type="expression" dxfId="122" priority="45">
      <formula>$E$22&gt;0</formula>
    </cfRule>
  </conditionalFormatting>
  <conditionalFormatting sqref="C23">
    <cfRule type="expression" dxfId="121" priority="46">
      <formula>$E$23&gt;0</formula>
    </cfRule>
  </conditionalFormatting>
  <conditionalFormatting sqref="C24">
    <cfRule type="expression" dxfId="120" priority="47">
      <formula>$E$24&gt;0</formula>
    </cfRule>
  </conditionalFormatting>
  <conditionalFormatting sqref="C25">
    <cfRule type="expression" dxfId="119" priority="48">
      <formula>$E$25&gt;0</formula>
    </cfRule>
  </conditionalFormatting>
  <conditionalFormatting sqref="C15">
    <cfRule type="expression" dxfId="118" priority="49">
      <formula>$E$15&gt;0</formula>
    </cfRule>
  </conditionalFormatting>
  <conditionalFormatting sqref="E15:E16">
    <cfRule type="cellIs" dxfId="117" priority="50" operator="greaterThan">
      <formula>0</formula>
    </cfRule>
  </conditionalFormatting>
  <conditionalFormatting sqref="E14">
    <cfRule type="cellIs" dxfId="116" priority="51" operator="greaterThan">
      <formula>0</formula>
    </cfRule>
  </conditionalFormatting>
  <conditionalFormatting sqref="E16">
    <cfRule type="cellIs" dxfId="115" priority="52" operator="greaterThan">
      <formula>0</formula>
    </cfRule>
  </conditionalFormatting>
  <conditionalFormatting sqref="E17">
    <cfRule type="cellIs" dxfId="114" priority="53" operator="greaterThan">
      <formula>0</formula>
    </cfRule>
  </conditionalFormatting>
  <conditionalFormatting sqref="E18">
    <cfRule type="cellIs" dxfId="113" priority="54" operator="greaterThan">
      <formula>0</formula>
    </cfRule>
  </conditionalFormatting>
  <conditionalFormatting sqref="E19">
    <cfRule type="cellIs" dxfId="112" priority="55" operator="greaterThan">
      <formula>0</formula>
    </cfRule>
  </conditionalFormatting>
  <conditionalFormatting sqref="E20">
    <cfRule type="cellIs" dxfId="111" priority="56" operator="greaterThan">
      <formula>0</formula>
    </cfRule>
  </conditionalFormatting>
  <conditionalFormatting sqref="E21">
    <cfRule type="cellIs" dxfId="110" priority="57" operator="greaterThan">
      <formula>0</formula>
    </cfRule>
  </conditionalFormatting>
  <conditionalFormatting sqref="E22">
    <cfRule type="cellIs" dxfId="109" priority="58" operator="greaterThan">
      <formula>0</formula>
    </cfRule>
  </conditionalFormatting>
  <conditionalFormatting sqref="E23">
    <cfRule type="cellIs" dxfId="108" priority="59" operator="greaterThan">
      <formula>0</formula>
    </cfRule>
  </conditionalFormatting>
  <conditionalFormatting sqref="E24">
    <cfRule type="cellIs" dxfId="107" priority="60" operator="greaterThan">
      <formula>0</formula>
    </cfRule>
  </conditionalFormatting>
  <conditionalFormatting sqref="E25">
    <cfRule type="cellIs" dxfId="106" priority="61" operator="greaterThan">
      <formula>0</formula>
    </cfRule>
  </conditionalFormatting>
  <conditionalFormatting sqref="I14">
    <cfRule type="cellIs" dxfId="105" priority="62" operator="greaterThan">
      <formula>0</formula>
    </cfRule>
  </conditionalFormatting>
  <conditionalFormatting sqref="I15">
    <cfRule type="cellIs" dxfId="104" priority="63" operator="greaterThan">
      <formula>0</formula>
    </cfRule>
  </conditionalFormatting>
  <conditionalFormatting sqref="I16">
    <cfRule type="cellIs" dxfId="103" priority="64" operator="greaterThan">
      <formula>0</formula>
    </cfRule>
  </conditionalFormatting>
  <conditionalFormatting sqref="I17">
    <cfRule type="cellIs" dxfId="102" priority="65" operator="greaterThan">
      <formula>0</formula>
    </cfRule>
  </conditionalFormatting>
  <conditionalFormatting sqref="I18">
    <cfRule type="cellIs" dxfId="101" priority="66" operator="greaterThan">
      <formula>0</formula>
    </cfRule>
  </conditionalFormatting>
  <conditionalFormatting sqref="I19">
    <cfRule type="cellIs" dxfId="100" priority="67" operator="greaterThan">
      <formula>0</formula>
    </cfRule>
  </conditionalFormatting>
  <conditionalFormatting sqref="I20">
    <cfRule type="cellIs" dxfId="99" priority="68" operator="greaterThan">
      <formula>0</formula>
    </cfRule>
  </conditionalFormatting>
  <conditionalFormatting sqref="I21">
    <cfRule type="cellIs" dxfId="98" priority="69" operator="greaterThan">
      <formula>0</formula>
    </cfRule>
  </conditionalFormatting>
  <conditionalFormatting sqref="I22">
    <cfRule type="cellIs" dxfId="97" priority="70" operator="greaterThan">
      <formula>0</formula>
    </cfRule>
  </conditionalFormatting>
  <conditionalFormatting sqref="I23">
    <cfRule type="cellIs" dxfId="96" priority="71" operator="greaterThan">
      <formula>0</formula>
    </cfRule>
  </conditionalFormatting>
  <conditionalFormatting sqref="I24">
    <cfRule type="cellIs" dxfId="95" priority="72" operator="greaterThan">
      <formula>0</formula>
    </cfRule>
  </conditionalFormatting>
  <conditionalFormatting sqref="I25">
    <cfRule type="cellIs" dxfId="94" priority="73" operator="greaterThan">
      <formula>0</formula>
    </cfRule>
  </conditionalFormatting>
  <printOptions horizontalCentered="1" verticalCentered="1"/>
  <pageMargins left="0.25" right="0.25" top="0.75" bottom="0.75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000"/>
  <sheetViews>
    <sheetView workbookViewId="0"/>
  </sheetViews>
  <sheetFormatPr defaultColWidth="14.42578125" defaultRowHeight="15" customHeight="1"/>
  <cols>
    <col min="1" max="1" width="25.5703125" customWidth="1"/>
    <col min="2" max="2" width="17" customWidth="1"/>
    <col min="3" max="3" width="15.5703125" customWidth="1"/>
    <col min="4" max="4" width="8.7109375" customWidth="1"/>
    <col min="5" max="5" width="11.140625" customWidth="1"/>
    <col min="6" max="6" width="9.140625" customWidth="1"/>
    <col min="7" max="7" width="11" customWidth="1"/>
    <col min="8" max="8" width="13" customWidth="1"/>
    <col min="9" max="9" width="12.85546875" customWidth="1"/>
    <col min="10" max="10" width="13.42578125" customWidth="1"/>
    <col min="11" max="11" width="15.28515625" hidden="1" customWidth="1"/>
    <col min="12" max="12" width="8.7109375" hidden="1" customWidth="1"/>
    <col min="13" max="31" width="8.7109375" customWidth="1"/>
  </cols>
  <sheetData>
    <row r="1" spans="1:31" ht="15.75" customHeight="1">
      <c r="A1" s="337"/>
      <c r="B1" s="338"/>
      <c r="C1" s="338"/>
      <c r="D1" s="339"/>
      <c r="E1" s="339"/>
      <c r="F1" s="339"/>
      <c r="G1" s="338"/>
      <c r="H1" s="338"/>
      <c r="I1" s="339"/>
      <c r="J1" s="340"/>
      <c r="K1" s="1"/>
      <c r="L1" s="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</row>
    <row r="2" spans="1:31" ht="15.75" customHeight="1">
      <c r="A2" s="666" t="s">
        <v>298</v>
      </c>
      <c r="B2" s="602"/>
      <c r="C2" s="602"/>
      <c r="D2" s="602"/>
      <c r="E2" s="602"/>
      <c r="F2" s="602"/>
      <c r="G2" s="602"/>
      <c r="H2" s="602"/>
      <c r="I2" s="603"/>
      <c r="J2" s="340"/>
      <c r="K2" s="1"/>
      <c r="L2" s="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</row>
    <row r="3" spans="1:31" ht="15.75" customHeight="1">
      <c r="A3" s="342" t="s">
        <v>299</v>
      </c>
      <c r="B3" s="343" t="s">
        <v>300</v>
      </c>
      <c r="C3" s="343" t="s">
        <v>301</v>
      </c>
      <c r="D3" s="342" t="s">
        <v>302</v>
      </c>
      <c r="E3" s="342" t="s">
        <v>303</v>
      </c>
      <c r="F3" s="342" t="s">
        <v>304</v>
      </c>
      <c r="G3" s="342" t="s">
        <v>305</v>
      </c>
      <c r="H3" s="342" t="s">
        <v>306</v>
      </c>
      <c r="I3" s="342" t="s">
        <v>307</v>
      </c>
      <c r="J3" s="340"/>
      <c r="K3" s="1"/>
      <c r="L3" s="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</row>
    <row r="4" spans="1:31" ht="15.75" customHeight="1">
      <c r="A4" s="344" t="s">
        <v>308</v>
      </c>
      <c r="B4" s="345" t="s">
        <v>309</v>
      </c>
      <c r="C4" s="345" t="s">
        <v>310</v>
      </c>
      <c r="D4" s="346">
        <v>34.99</v>
      </c>
      <c r="E4" s="347">
        <v>20</v>
      </c>
      <c r="F4" s="347">
        <v>1</v>
      </c>
      <c r="G4" s="348">
        <f t="shared" ref="G4:G22" si="0">F4*D4</f>
        <v>34.99</v>
      </c>
      <c r="H4" s="348">
        <f t="shared" ref="H4:H22" si="1">G4/E4</f>
        <v>1.7495000000000001</v>
      </c>
      <c r="I4" s="349" t="s">
        <v>311</v>
      </c>
      <c r="J4" s="340"/>
      <c r="K4" s="1"/>
      <c r="L4" s="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</row>
    <row r="5" spans="1:31" ht="15.75" customHeight="1">
      <c r="A5" s="344" t="s">
        <v>312</v>
      </c>
      <c r="B5" s="345" t="s">
        <v>309</v>
      </c>
      <c r="C5" s="345" t="s">
        <v>310</v>
      </c>
      <c r="D5" s="346">
        <v>160.27000000000001</v>
      </c>
      <c r="E5" s="347">
        <v>20</v>
      </c>
      <c r="F5" s="347">
        <v>2</v>
      </c>
      <c r="G5" s="348">
        <f t="shared" si="0"/>
        <v>320.54000000000002</v>
      </c>
      <c r="H5" s="348">
        <f t="shared" si="1"/>
        <v>16.027000000000001</v>
      </c>
      <c r="I5" s="349" t="s">
        <v>311</v>
      </c>
      <c r="J5" s="340"/>
      <c r="K5" s="1"/>
      <c r="L5" s="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</row>
    <row r="6" spans="1:31" ht="15.75" customHeight="1">
      <c r="A6" s="344" t="s">
        <v>313</v>
      </c>
      <c r="B6" s="345" t="s">
        <v>309</v>
      </c>
      <c r="C6" s="345" t="s">
        <v>310</v>
      </c>
      <c r="D6" s="346">
        <v>114.23</v>
      </c>
      <c r="E6" s="347">
        <v>20</v>
      </c>
      <c r="F6" s="347">
        <v>1</v>
      </c>
      <c r="G6" s="348">
        <f t="shared" si="0"/>
        <v>114.23</v>
      </c>
      <c r="H6" s="348">
        <f t="shared" si="1"/>
        <v>5.7115</v>
      </c>
      <c r="I6" s="349" t="s">
        <v>311</v>
      </c>
      <c r="J6" s="340"/>
      <c r="K6" s="1"/>
      <c r="L6" s="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</row>
    <row r="7" spans="1:31" ht="30.75" customHeight="1">
      <c r="A7" s="344" t="s">
        <v>314</v>
      </c>
      <c r="B7" s="345" t="s">
        <v>309</v>
      </c>
      <c r="C7" s="345" t="s">
        <v>310</v>
      </c>
      <c r="D7" s="346">
        <v>53.6</v>
      </c>
      <c r="E7" s="347">
        <v>20</v>
      </c>
      <c r="F7" s="347">
        <v>2</v>
      </c>
      <c r="G7" s="348">
        <f t="shared" si="0"/>
        <v>107.2</v>
      </c>
      <c r="H7" s="348">
        <f t="shared" si="1"/>
        <v>5.36</v>
      </c>
      <c r="I7" s="349" t="s">
        <v>311</v>
      </c>
      <c r="J7" s="340"/>
      <c r="K7" s="1"/>
      <c r="L7" s="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1"/>
      <c r="X7" s="341"/>
      <c r="Y7" s="341"/>
      <c r="Z7" s="341"/>
      <c r="AA7" s="341"/>
      <c r="AB7" s="341"/>
      <c r="AC7" s="341"/>
      <c r="AD7" s="341"/>
      <c r="AE7" s="341"/>
    </row>
    <row r="8" spans="1:31" ht="34.5" customHeight="1">
      <c r="A8" s="344" t="s">
        <v>315</v>
      </c>
      <c r="B8" s="345" t="s">
        <v>309</v>
      </c>
      <c r="C8" s="345" t="s">
        <v>310</v>
      </c>
      <c r="D8" s="346">
        <v>62.76</v>
      </c>
      <c r="E8" s="347">
        <v>20</v>
      </c>
      <c r="F8" s="347">
        <v>2</v>
      </c>
      <c r="G8" s="348">
        <f t="shared" si="0"/>
        <v>125.52</v>
      </c>
      <c r="H8" s="348">
        <f t="shared" si="1"/>
        <v>6.2759999999999998</v>
      </c>
      <c r="I8" s="349" t="s">
        <v>311</v>
      </c>
      <c r="J8" s="340"/>
      <c r="K8" s="1"/>
      <c r="L8" s="1"/>
      <c r="M8" s="341"/>
      <c r="N8" s="341"/>
      <c r="O8" s="341"/>
      <c r="P8" s="341"/>
      <c r="Q8" s="341"/>
      <c r="R8" s="341"/>
      <c r="S8" s="341"/>
      <c r="T8" s="341"/>
      <c r="U8" s="341"/>
      <c r="V8" s="341"/>
      <c r="W8" s="341"/>
      <c r="X8" s="341"/>
      <c r="Y8" s="341"/>
      <c r="Z8" s="341"/>
      <c r="AA8" s="341"/>
      <c r="AB8" s="341"/>
      <c r="AC8" s="341"/>
      <c r="AD8" s="341"/>
      <c r="AE8" s="341"/>
    </row>
    <row r="9" spans="1:31" ht="15.75" customHeight="1">
      <c r="A9" s="344" t="s">
        <v>316</v>
      </c>
      <c r="B9" s="345" t="s">
        <v>309</v>
      </c>
      <c r="C9" s="345" t="s">
        <v>310</v>
      </c>
      <c r="D9" s="346">
        <v>53.9</v>
      </c>
      <c r="E9" s="347">
        <v>20</v>
      </c>
      <c r="F9" s="347">
        <v>1</v>
      </c>
      <c r="G9" s="348">
        <f t="shared" si="0"/>
        <v>53.9</v>
      </c>
      <c r="H9" s="348">
        <f t="shared" si="1"/>
        <v>2.6949999999999998</v>
      </c>
      <c r="I9" s="349" t="s">
        <v>311</v>
      </c>
      <c r="J9" s="340"/>
      <c r="K9" s="1"/>
      <c r="L9" s="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  <c r="Z9" s="341"/>
      <c r="AA9" s="341"/>
      <c r="AB9" s="341"/>
      <c r="AC9" s="341"/>
      <c r="AD9" s="341"/>
      <c r="AE9" s="341"/>
    </row>
    <row r="10" spans="1:31" ht="15.75" customHeight="1">
      <c r="A10" s="344" t="s">
        <v>317</v>
      </c>
      <c r="B10" s="345" t="s">
        <v>309</v>
      </c>
      <c r="C10" s="345" t="s">
        <v>310</v>
      </c>
      <c r="D10" s="346">
        <v>32.65</v>
      </c>
      <c r="E10" s="347">
        <v>20</v>
      </c>
      <c r="F10" s="347">
        <v>1</v>
      </c>
      <c r="G10" s="348">
        <f t="shared" si="0"/>
        <v>32.65</v>
      </c>
      <c r="H10" s="348">
        <f t="shared" si="1"/>
        <v>1.6324999999999998</v>
      </c>
      <c r="I10" s="349" t="s">
        <v>311</v>
      </c>
      <c r="J10" s="340"/>
      <c r="K10" s="1"/>
      <c r="L10" s="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41"/>
      <c r="AB10" s="341"/>
      <c r="AC10" s="341"/>
      <c r="AD10" s="341"/>
      <c r="AE10" s="341"/>
    </row>
    <row r="11" spans="1:31" ht="15.75" customHeight="1">
      <c r="A11" s="344" t="s">
        <v>318</v>
      </c>
      <c r="B11" s="345" t="s">
        <v>309</v>
      </c>
      <c r="C11" s="345" t="s">
        <v>310</v>
      </c>
      <c r="D11" s="346">
        <v>29.93</v>
      </c>
      <c r="E11" s="347">
        <v>20</v>
      </c>
      <c r="F11" s="347">
        <v>1</v>
      </c>
      <c r="G11" s="348">
        <f t="shared" si="0"/>
        <v>29.93</v>
      </c>
      <c r="H11" s="348">
        <f t="shared" si="1"/>
        <v>1.4964999999999999</v>
      </c>
      <c r="I11" s="349" t="s">
        <v>311</v>
      </c>
      <c r="J11" s="340"/>
      <c r="K11" s="1"/>
      <c r="L11" s="1"/>
      <c r="M11" s="341"/>
      <c r="N11" s="341"/>
      <c r="O11" s="341"/>
      <c r="P11" s="341"/>
      <c r="Q11" s="341"/>
      <c r="R11" s="341"/>
      <c r="S11" s="341"/>
      <c r="T11" s="341"/>
      <c r="U11" s="341"/>
      <c r="V11" s="341"/>
      <c r="W11" s="341"/>
      <c r="X11" s="341"/>
      <c r="Y11" s="341"/>
      <c r="Z11" s="341"/>
      <c r="AA11" s="341"/>
      <c r="AB11" s="341"/>
      <c r="AC11" s="341"/>
      <c r="AD11" s="341"/>
      <c r="AE11" s="341"/>
    </row>
    <row r="12" spans="1:31" ht="15.75" customHeight="1">
      <c r="A12" s="344" t="s">
        <v>319</v>
      </c>
      <c r="B12" s="345" t="s">
        <v>309</v>
      </c>
      <c r="C12" s="345" t="s">
        <v>310</v>
      </c>
      <c r="D12" s="346">
        <v>73.290000000000006</v>
      </c>
      <c r="E12" s="347">
        <v>20</v>
      </c>
      <c r="F12" s="347">
        <v>2</v>
      </c>
      <c r="G12" s="348">
        <f t="shared" si="0"/>
        <v>146.58000000000001</v>
      </c>
      <c r="H12" s="348">
        <f t="shared" si="1"/>
        <v>7.3290000000000006</v>
      </c>
      <c r="I12" s="349" t="s">
        <v>311</v>
      </c>
      <c r="J12" s="340"/>
      <c r="K12" s="1"/>
      <c r="L12" s="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</row>
    <row r="13" spans="1:31" ht="15.75" customHeight="1">
      <c r="A13" s="344" t="s">
        <v>320</v>
      </c>
      <c r="B13" s="345" t="s">
        <v>309</v>
      </c>
      <c r="C13" s="345" t="s">
        <v>310</v>
      </c>
      <c r="D13" s="346">
        <v>24.9</v>
      </c>
      <c r="E13" s="347">
        <v>20</v>
      </c>
      <c r="F13" s="347">
        <v>1</v>
      </c>
      <c r="G13" s="348">
        <f t="shared" si="0"/>
        <v>24.9</v>
      </c>
      <c r="H13" s="348">
        <f t="shared" si="1"/>
        <v>1.2449999999999999</v>
      </c>
      <c r="I13" s="349" t="s">
        <v>311</v>
      </c>
      <c r="J13" s="340"/>
      <c r="K13" s="1"/>
      <c r="L13" s="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</row>
    <row r="14" spans="1:31" ht="15.75" customHeight="1">
      <c r="A14" s="344" t="s">
        <v>321</v>
      </c>
      <c r="B14" s="345" t="s">
        <v>309</v>
      </c>
      <c r="C14" s="345" t="s">
        <v>322</v>
      </c>
      <c r="D14" s="346">
        <v>116.43</v>
      </c>
      <c r="E14" s="347">
        <v>20</v>
      </c>
      <c r="F14" s="347">
        <v>1</v>
      </c>
      <c r="G14" s="348">
        <f t="shared" si="0"/>
        <v>116.43</v>
      </c>
      <c r="H14" s="348">
        <f t="shared" si="1"/>
        <v>5.8215000000000003</v>
      </c>
      <c r="I14" s="349" t="s">
        <v>311</v>
      </c>
      <c r="J14" s="340"/>
      <c r="K14" s="1"/>
      <c r="L14" s="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41"/>
      <c r="AC14" s="341"/>
      <c r="AD14" s="341"/>
      <c r="AE14" s="341"/>
    </row>
    <row r="15" spans="1:31" ht="15.75" customHeight="1">
      <c r="A15" s="344" t="s">
        <v>323</v>
      </c>
      <c r="B15" s="345" t="s">
        <v>309</v>
      </c>
      <c r="C15" s="345" t="s">
        <v>322</v>
      </c>
      <c r="D15" s="346">
        <v>16.47</v>
      </c>
      <c r="E15" s="347">
        <v>20</v>
      </c>
      <c r="F15" s="347">
        <v>2</v>
      </c>
      <c r="G15" s="348">
        <f t="shared" si="0"/>
        <v>32.94</v>
      </c>
      <c r="H15" s="348">
        <f t="shared" si="1"/>
        <v>1.6469999999999998</v>
      </c>
      <c r="I15" s="349" t="s">
        <v>311</v>
      </c>
      <c r="J15" s="340"/>
      <c r="K15" s="1"/>
      <c r="L15" s="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</row>
    <row r="16" spans="1:31" ht="15.75" customHeight="1">
      <c r="A16" s="344" t="s">
        <v>324</v>
      </c>
      <c r="B16" s="345" t="s">
        <v>309</v>
      </c>
      <c r="C16" s="345" t="s">
        <v>310</v>
      </c>
      <c r="D16" s="346">
        <v>56.3</v>
      </c>
      <c r="E16" s="347">
        <v>20</v>
      </c>
      <c r="F16" s="347">
        <v>1</v>
      </c>
      <c r="G16" s="348">
        <f t="shared" si="0"/>
        <v>56.3</v>
      </c>
      <c r="H16" s="348">
        <f t="shared" si="1"/>
        <v>2.8149999999999999</v>
      </c>
      <c r="I16" s="349" t="s">
        <v>311</v>
      </c>
      <c r="J16" s="340"/>
      <c r="K16" s="1"/>
      <c r="L16" s="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</row>
    <row r="17" spans="1:31" ht="15.75" customHeight="1">
      <c r="A17" s="344" t="s">
        <v>325</v>
      </c>
      <c r="B17" s="345" t="s">
        <v>309</v>
      </c>
      <c r="C17" s="345" t="s">
        <v>322</v>
      </c>
      <c r="D17" s="346">
        <v>77.599999999999994</v>
      </c>
      <c r="E17" s="347">
        <v>20</v>
      </c>
      <c r="F17" s="347">
        <v>1</v>
      </c>
      <c r="G17" s="348">
        <f t="shared" si="0"/>
        <v>77.599999999999994</v>
      </c>
      <c r="H17" s="348">
        <f t="shared" si="1"/>
        <v>3.88</v>
      </c>
      <c r="I17" s="349" t="s">
        <v>311</v>
      </c>
      <c r="J17" s="340"/>
      <c r="K17" s="1"/>
      <c r="L17" s="1"/>
      <c r="M17" s="341"/>
      <c r="N17" s="341"/>
      <c r="O17" s="341"/>
      <c r="P17" s="341"/>
      <c r="Q17" s="341"/>
      <c r="R17" s="341"/>
      <c r="S17" s="341"/>
      <c r="T17" s="341"/>
      <c r="U17" s="34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</row>
    <row r="18" spans="1:31" ht="15.75" customHeight="1">
      <c r="A18" s="344" t="s">
        <v>326</v>
      </c>
      <c r="B18" s="345" t="s">
        <v>309</v>
      </c>
      <c r="C18" s="345" t="s">
        <v>310</v>
      </c>
      <c r="D18" s="346">
        <v>18.02</v>
      </c>
      <c r="E18" s="347">
        <v>20</v>
      </c>
      <c r="F18" s="347">
        <v>1</v>
      </c>
      <c r="G18" s="348">
        <f t="shared" si="0"/>
        <v>18.02</v>
      </c>
      <c r="H18" s="348">
        <f t="shared" si="1"/>
        <v>0.90100000000000002</v>
      </c>
      <c r="I18" s="349" t="s">
        <v>327</v>
      </c>
      <c r="J18" s="340"/>
      <c r="K18" s="1"/>
      <c r="L18" s="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</row>
    <row r="19" spans="1:31" ht="15.75" customHeight="1">
      <c r="A19" s="344" t="s">
        <v>328</v>
      </c>
      <c r="B19" s="345" t="s">
        <v>309</v>
      </c>
      <c r="C19" s="345" t="s">
        <v>310</v>
      </c>
      <c r="D19" s="346">
        <v>35.75</v>
      </c>
      <c r="E19" s="347">
        <v>20</v>
      </c>
      <c r="F19" s="347">
        <v>0.5</v>
      </c>
      <c r="G19" s="348">
        <f t="shared" si="0"/>
        <v>17.875</v>
      </c>
      <c r="H19" s="348">
        <f t="shared" si="1"/>
        <v>0.89375000000000004</v>
      </c>
      <c r="I19" s="349" t="s">
        <v>329</v>
      </c>
      <c r="J19" s="340"/>
      <c r="K19" s="1"/>
      <c r="L19" s="1"/>
      <c r="M19" s="341"/>
      <c r="N19" s="341"/>
      <c r="O19" s="341"/>
      <c r="P19" s="341"/>
      <c r="Q19" s="341"/>
      <c r="R19" s="341"/>
      <c r="S19" s="341"/>
      <c r="T19" s="341"/>
      <c r="U19" s="341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</row>
    <row r="20" spans="1:31" ht="15.75" customHeight="1">
      <c r="A20" s="344" t="s">
        <v>330</v>
      </c>
      <c r="B20" s="345" t="s">
        <v>309</v>
      </c>
      <c r="C20" s="345" t="s">
        <v>310</v>
      </c>
      <c r="D20" s="346">
        <v>30.23</v>
      </c>
      <c r="E20" s="347">
        <v>20</v>
      </c>
      <c r="F20" s="347">
        <v>0.5</v>
      </c>
      <c r="G20" s="348">
        <f t="shared" si="0"/>
        <v>15.115</v>
      </c>
      <c r="H20" s="348">
        <f t="shared" si="1"/>
        <v>0.75575000000000003</v>
      </c>
      <c r="I20" s="349" t="s">
        <v>331</v>
      </c>
      <c r="J20" s="340"/>
      <c r="K20" s="1"/>
      <c r="L20" s="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</row>
    <row r="21" spans="1:31" ht="15.75" customHeight="1">
      <c r="A21" s="344" t="s">
        <v>332</v>
      </c>
      <c r="B21" s="345" t="s">
        <v>309</v>
      </c>
      <c r="C21" s="345" t="s">
        <v>310</v>
      </c>
      <c r="D21" s="346">
        <v>15.48</v>
      </c>
      <c r="E21" s="347">
        <v>20</v>
      </c>
      <c r="F21" s="347">
        <v>0.5</v>
      </c>
      <c r="G21" s="348">
        <f t="shared" si="0"/>
        <v>7.74</v>
      </c>
      <c r="H21" s="348">
        <f t="shared" si="1"/>
        <v>0.38700000000000001</v>
      </c>
      <c r="I21" s="349" t="s">
        <v>333</v>
      </c>
      <c r="J21" s="340"/>
      <c r="K21" s="1"/>
      <c r="L21" s="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</row>
    <row r="22" spans="1:31" ht="35.25" customHeight="1">
      <c r="A22" s="350" t="s">
        <v>334</v>
      </c>
      <c r="B22" s="351" t="s">
        <v>309</v>
      </c>
      <c r="C22" s="351" t="s">
        <v>310</v>
      </c>
      <c r="D22" s="352">
        <v>21.32</v>
      </c>
      <c r="E22" s="347">
        <v>20</v>
      </c>
      <c r="F22" s="353">
        <v>0.5</v>
      </c>
      <c r="G22" s="348">
        <f t="shared" si="0"/>
        <v>10.66</v>
      </c>
      <c r="H22" s="348">
        <f t="shared" si="1"/>
        <v>0.53300000000000003</v>
      </c>
      <c r="I22" s="349" t="s">
        <v>335</v>
      </c>
      <c r="J22" s="340"/>
      <c r="K22" s="1"/>
      <c r="L22" s="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</row>
    <row r="23" spans="1:31" ht="15.75" customHeight="1">
      <c r="A23" s="667" t="s">
        <v>336</v>
      </c>
      <c r="B23" s="602"/>
      <c r="C23" s="602"/>
      <c r="D23" s="602"/>
      <c r="E23" s="602"/>
      <c r="F23" s="602"/>
      <c r="G23" s="603"/>
      <c r="H23" s="354">
        <f>SUM(H4:H22)</f>
        <v>67.156000000000006</v>
      </c>
      <c r="I23" s="355"/>
      <c r="J23" s="340"/>
      <c r="K23" s="1"/>
      <c r="L23" s="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</row>
    <row r="24" spans="1:31" ht="15.75" customHeight="1">
      <c r="A24" s="667" t="s">
        <v>337</v>
      </c>
      <c r="B24" s="602"/>
      <c r="C24" s="602"/>
      <c r="D24" s="602"/>
      <c r="E24" s="602"/>
      <c r="F24" s="602"/>
      <c r="G24" s="603"/>
      <c r="H24" s="356">
        <f>H23*2</f>
        <v>134.31200000000001</v>
      </c>
      <c r="I24" s="357"/>
      <c r="J24" s="340"/>
      <c r="K24" s="1"/>
      <c r="L24" s="1"/>
      <c r="M24" s="341"/>
      <c r="N24" s="341"/>
      <c r="O24" s="341"/>
      <c r="P24" s="341"/>
      <c r="Q24" s="341"/>
      <c r="R24" s="341"/>
      <c r="S24" s="341"/>
      <c r="T24" s="341"/>
      <c r="U24" s="341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</row>
    <row r="25" spans="1:31" ht="15.75" customHeight="1">
      <c r="A25" s="340"/>
      <c r="B25" s="1"/>
      <c r="C25" s="1"/>
      <c r="D25" s="340"/>
      <c r="E25" s="340"/>
      <c r="F25" s="340"/>
      <c r="G25" s="1"/>
      <c r="H25" s="1"/>
      <c r="I25" s="357"/>
      <c r="J25" s="340"/>
      <c r="K25" s="1"/>
      <c r="L25" s="1"/>
      <c r="M25" s="341"/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41"/>
      <c r="AB25" s="341"/>
      <c r="AC25" s="341"/>
      <c r="AD25" s="341"/>
      <c r="AE25" s="341"/>
    </row>
    <row r="26" spans="1:31" ht="15.75" customHeight="1">
      <c r="A26" s="340"/>
      <c r="B26" s="1"/>
      <c r="C26" s="1"/>
      <c r="D26" s="340"/>
      <c r="E26" s="340"/>
      <c r="F26" s="340"/>
      <c r="G26" s="1"/>
      <c r="H26" s="1"/>
      <c r="I26" s="340"/>
      <c r="J26" s="340"/>
      <c r="K26" s="1"/>
      <c r="L26" s="1"/>
      <c r="M26" s="341"/>
      <c r="N26" s="341"/>
      <c r="O26" s="341"/>
      <c r="P26" s="341"/>
      <c r="Q26" s="341"/>
      <c r="R26" s="341"/>
      <c r="S26" s="341"/>
      <c r="T26" s="341"/>
      <c r="U26" s="341"/>
      <c r="V26" s="341"/>
      <c r="W26" s="341"/>
      <c r="X26" s="341"/>
      <c r="Y26" s="341"/>
      <c r="Z26" s="341"/>
      <c r="AA26" s="341"/>
      <c r="AB26" s="341"/>
      <c r="AC26" s="341"/>
      <c r="AD26" s="341"/>
      <c r="AE26" s="341"/>
    </row>
    <row r="27" spans="1:31" ht="15.75" customHeight="1">
      <c r="A27" s="668" t="s">
        <v>338</v>
      </c>
      <c r="B27" s="602"/>
      <c r="C27" s="602"/>
      <c r="D27" s="602"/>
      <c r="E27" s="602"/>
      <c r="F27" s="602"/>
      <c r="G27" s="602"/>
      <c r="H27" s="602"/>
      <c r="I27" s="603"/>
      <c r="J27" s="339"/>
      <c r="K27" s="1"/>
      <c r="L27" s="1"/>
      <c r="M27" s="341"/>
      <c r="N27" s="341"/>
      <c r="O27" s="341"/>
      <c r="P27" s="341"/>
      <c r="Q27" s="341"/>
      <c r="R27" s="341"/>
      <c r="S27" s="341"/>
      <c r="T27" s="341"/>
      <c r="U27" s="341"/>
      <c r="V27" s="341"/>
      <c r="W27" s="341"/>
      <c r="X27" s="341"/>
      <c r="Y27" s="341"/>
      <c r="Z27" s="341"/>
      <c r="AA27" s="341"/>
      <c r="AB27" s="341"/>
      <c r="AC27" s="341"/>
      <c r="AD27" s="341"/>
      <c r="AE27" s="341"/>
    </row>
    <row r="28" spans="1:31" ht="15.75" customHeight="1">
      <c r="A28" s="358" t="s">
        <v>299</v>
      </c>
      <c r="B28" s="359" t="s">
        <v>300</v>
      </c>
      <c r="C28" s="359" t="s">
        <v>301</v>
      </c>
      <c r="D28" s="358" t="s">
        <v>302</v>
      </c>
      <c r="E28" s="358" t="s">
        <v>303</v>
      </c>
      <c r="F28" s="669" t="s">
        <v>339</v>
      </c>
      <c r="G28" s="603"/>
      <c r="H28" s="360" t="s">
        <v>340</v>
      </c>
      <c r="I28" s="360" t="s">
        <v>306</v>
      </c>
      <c r="J28" s="361" t="s">
        <v>307</v>
      </c>
      <c r="K28" s="669" t="s">
        <v>339</v>
      </c>
      <c r="L28" s="603"/>
      <c r="M28" s="341"/>
      <c r="N28" s="341"/>
      <c r="O28" s="341"/>
      <c r="P28" s="341"/>
      <c r="Q28" s="341"/>
      <c r="R28" s="341"/>
      <c r="S28" s="341"/>
      <c r="T28" s="341"/>
      <c r="U28" s="341"/>
      <c r="V28" s="341"/>
      <c r="W28" s="341"/>
      <c r="X28" s="341"/>
      <c r="Y28" s="341"/>
      <c r="Z28" s="341"/>
      <c r="AA28" s="341"/>
      <c r="AB28" s="341"/>
      <c r="AC28" s="341"/>
      <c r="AD28" s="341"/>
      <c r="AE28" s="341"/>
    </row>
    <row r="29" spans="1:31" ht="24.75" customHeight="1">
      <c r="A29" s="344" t="s">
        <v>341</v>
      </c>
      <c r="B29" s="345" t="s">
        <v>309</v>
      </c>
      <c r="C29" s="345" t="s">
        <v>310</v>
      </c>
      <c r="D29" s="346">
        <v>4605.33</v>
      </c>
      <c r="E29" s="347">
        <v>20</v>
      </c>
      <c r="F29" s="670">
        <f>IF(OR('1-ABA-DE-CARREGAMENTO'!$C$14="ALEGRETE ", '1-ABA-DE-CARREGAMENTO'!$C$14="URUGUAIANA"),0,K29)</f>
        <v>1</v>
      </c>
      <c r="G29" s="603"/>
      <c r="H29" s="362">
        <f t="shared" ref="H29:H34" si="2">F29*D29</f>
        <v>4605.33</v>
      </c>
      <c r="I29" s="346">
        <f t="shared" ref="I29:I34" si="3">H29/E29</f>
        <v>230.26650000000001</v>
      </c>
      <c r="J29" s="353" t="s">
        <v>311</v>
      </c>
      <c r="K29" s="670">
        <v>1</v>
      </c>
      <c r="L29" s="603"/>
      <c r="M29" s="341"/>
      <c r="N29" s="341"/>
      <c r="O29" s="341"/>
      <c r="P29" s="341"/>
      <c r="Q29" s="341"/>
      <c r="R29" s="341"/>
      <c r="S29" s="341"/>
      <c r="T29" s="341"/>
      <c r="U29" s="341"/>
      <c r="V29" s="341"/>
      <c r="W29" s="341"/>
      <c r="X29" s="341"/>
      <c r="Y29" s="341"/>
      <c r="Z29" s="341"/>
      <c r="AA29" s="341"/>
      <c r="AB29" s="341"/>
      <c r="AC29" s="341"/>
      <c r="AD29" s="341"/>
      <c r="AE29" s="341"/>
    </row>
    <row r="30" spans="1:31" ht="15.75" customHeight="1">
      <c r="A30" s="344" t="s">
        <v>342</v>
      </c>
      <c r="B30" s="345" t="s">
        <v>309</v>
      </c>
      <c r="C30" s="345" t="s">
        <v>310</v>
      </c>
      <c r="D30" s="346">
        <v>34.799999999999997</v>
      </c>
      <c r="E30" s="347">
        <v>20</v>
      </c>
      <c r="F30" s="670">
        <f>IF(OR('1-ABA-DE-CARREGAMENTO'!$C$14="ALEGRETE ", '1-ABA-DE-CARREGAMENTO'!$C$14="URUGUAIANA"),0,K30)</f>
        <v>1</v>
      </c>
      <c r="G30" s="603"/>
      <c r="H30" s="362">
        <f t="shared" si="2"/>
        <v>34.799999999999997</v>
      </c>
      <c r="I30" s="346">
        <f t="shared" si="3"/>
        <v>1.7399999999999998</v>
      </c>
      <c r="J30" s="353" t="s">
        <v>311</v>
      </c>
      <c r="K30" s="670">
        <v>1</v>
      </c>
      <c r="L30" s="603"/>
      <c r="M30" s="341"/>
      <c r="N30" s="341"/>
      <c r="O30" s="341"/>
      <c r="P30" s="341"/>
      <c r="Q30" s="341"/>
      <c r="R30" s="341"/>
      <c r="S30" s="341"/>
      <c r="T30" s="341"/>
      <c r="U30" s="341"/>
      <c r="V30" s="341"/>
      <c r="W30" s="341"/>
      <c r="X30" s="341"/>
      <c r="Y30" s="341"/>
      <c r="Z30" s="341"/>
      <c r="AA30" s="341"/>
      <c r="AB30" s="341"/>
      <c r="AC30" s="341"/>
      <c r="AD30" s="341"/>
      <c r="AE30" s="341"/>
    </row>
    <row r="31" spans="1:31" ht="15.75" customHeight="1">
      <c r="A31" s="344" t="s">
        <v>343</v>
      </c>
      <c r="B31" s="345" t="s">
        <v>309</v>
      </c>
      <c r="C31" s="345" t="s">
        <v>344</v>
      </c>
      <c r="D31" s="346">
        <v>64.66</v>
      </c>
      <c r="E31" s="347">
        <v>20</v>
      </c>
      <c r="F31" s="670">
        <f>IF(OR('1-ABA-DE-CARREGAMENTO'!$C$14="ALEGRETE ", '1-ABA-DE-CARREGAMENTO'!$C$14="URUGUAIANA"),0,K31)</f>
        <v>1</v>
      </c>
      <c r="G31" s="603"/>
      <c r="H31" s="362">
        <f t="shared" si="2"/>
        <v>64.66</v>
      </c>
      <c r="I31" s="346">
        <f t="shared" si="3"/>
        <v>3.2329999999999997</v>
      </c>
      <c r="J31" s="353" t="s">
        <v>311</v>
      </c>
      <c r="K31" s="670">
        <v>1</v>
      </c>
      <c r="L31" s="603"/>
      <c r="M31" s="341"/>
      <c r="N31" s="341"/>
      <c r="O31" s="341"/>
      <c r="P31" s="341"/>
      <c r="Q31" s="341"/>
      <c r="R31" s="341"/>
      <c r="S31" s="341"/>
      <c r="T31" s="341"/>
      <c r="U31" s="341"/>
      <c r="V31" s="341"/>
      <c r="W31" s="341"/>
      <c r="X31" s="341"/>
      <c r="Y31" s="341"/>
      <c r="Z31" s="341"/>
      <c r="AA31" s="341"/>
      <c r="AB31" s="341"/>
      <c r="AC31" s="341"/>
      <c r="AD31" s="341"/>
      <c r="AE31" s="341"/>
    </row>
    <row r="32" spans="1:31" ht="15.75" customHeight="1">
      <c r="A32" s="344" t="s">
        <v>345</v>
      </c>
      <c r="B32" s="345" t="s">
        <v>309</v>
      </c>
      <c r="C32" s="345" t="s">
        <v>310</v>
      </c>
      <c r="D32" s="346">
        <v>59.6</v>
      </c>
      <c r="E32" s="347">
        <v>20</v>
      </c>
      <c r="F32" s="670">
        <f>IF(OR('1-ABA-DE-CARREGAMENTO'!$C$14="ALEGRETE ", '1-ABA-DE-CARREGAMENTO'!$C$14="URUGUAIANA"),0,K32)</f>
        <v>1</v>
      </c>
      <c r="G32" s="603"/>
      <c r="H32" s="362">
        <f t="shared" si="2"/>
        <v>59.6</v>
      </c>
      <c r="I32" s="346">
        <f t="shared" si="3"/>
        <v>2.98</v>
      </c>
      <c r="J32" s="353" t="s">
        <v>311</v>
      </c>
      <c r="K32" s="670">
        <v>1</v>
      </c>
      <c r="L32" s="603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</row>
    <row r="33" spans="1:31" ht="15.75" customHeight="1">
      <c r="A33" s="344" t="s">
        <v>346</v>
      </c>
      <c r="B33" s="345" t="s">
        <v>309</v>
      </c>
      <c r="C33" s="345" t="s">
        <v>310</v>
      </c>
      <c r="D33" s="346">
        <v>263.57</v>
      </c>
      <c r="E33" s="347">
        <v>20</v>
      </c>
      <c r="F33" s="670">
        <f>IF(OR('1-ABA-DE-CARREGAMENTO'!$C$14="ALEGRETE ", '1-ABA-DE-CARREGAMENTO'!$C$14="URUGUAIANA"),0,K33)</f>
        <v>1</v>
      </c>
      <c r="G33" s="603"/>
      <c r="H33" s="362">
        <f t="shared" si="2"/>
        <v>263.57</v>
      </c>
      <c r="I33" s="346">
        <f t="shared" si="3"/>
        <v>13.1785</v>
      </c>
      <c r="J33" s="353" t="s">
        <v>311</v>
      </c>
      <c r="K33" s="670">
        <v>1</v>
      </c>
      <c r="L33" s="603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</row>
    <row r="34" spans="1:31" ht="15.75" customHeight="1">
      <c r="A34" s="344" t="s">
        <v>347</v>
      </c>
      <c r="B34" s="345" t="s">
        <v>309</v>
      </c>
      <c r="C34" s="345" t="s">
        <v>310</v>
      </c>
      <c r="D34" s="346">
        <v>236.29</v>
      </c>
      <c r="E34" s="347">
        <v>20</v>
      </c>
      <c r="F34" s="670">
        <f>IF(OR('1-ABA-DE-CARREGAMENTO'!$C$14="ALEGRETE ", '1-ABA-DE-CARREGAMENTO'!$C$14="URUGUAIANA"),0,K34)</f>
        <v>2</v>
      </c>
      <c r="G34" s="603"/>
      <c r="H34" s="362">
        <f t="shared" si="2"/>
        <v>472.58</v>
      </c>
      <c r="I34" s="346">
        <f t="shared" si="3"/>
        <v>23.628999999999998</v>
      </c>
      <c r="J34" s="353" t="s">
        <v>311</v>
      </c>
      <c r="K34" s="670">
        <v>2</v>
      </c>
      <c r="L34" s="603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</row>
    <row r="35" spans="1:31" ht="15.75" customHeight="1">
      <c r="A35" s="671" t="s">
        <v>348</v>
      </c>
      <c r="B35" s="602"/>
      <c r="C35" s="602"/>
      <c r="D35" s="602"/>
      <c r="E35" s="602"/>
      <c r="F35" s="602"/>
      <c r="G35" s="602"/>
      <c r="H35" s="603"/>
      <c r="I35" s="363">
        <f>SUM(I29:I34)</f>
        <v>275.02700000000004</v>
      </c>
      <c r="J35" s="340"/>
      <c r="K35" s="1"/>
      <c r="L35" s="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</row>
    <row r="36" spans="1:31" ht="15.75" customHeight="1">
      <c r="A36" s="340"/>
      <c r="B36" s="1"/>
      <c r="C36" s="1"/>
      <c r="D36" s="340"/>
      <c r="E36" s="340"/>
      <c r="F36" s="340"/>
      <c r="G36" s="1"/>
      <c r="H36" s="1"/>
      <c r="I36" s="340"/>
      <c r="J36" s="340"/>
      <c r="K36" s="1"/>
      <c r="L36" s="1"/>
      <c r="M36" s="341"/>
      <c r="N36" s="341"/>
      <c r="O36" s="341"/>
      <c r="P36" s="341"/>
      <c r="Q36" s="341"/>
      <c r="R36" s="341"/>
      <c r="S36" s="341"/>
      <c r="T36" s="341"/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</row>
    <row r="37" spans="1:31" ht="15.75" customHeight="1">
      <c r="A37" s="340"/>
      <c r="B37" s="1"/>
      <c r="C37" s="1"/>
      <c r="D37" s="340"/>
      <c r="E37" s="340"/>
      <c r="F37" s="340"/>
      <c r="G37" s="1"/>
      <c r="H37" s="1"/>
      <c r="I37" s="340"/>
      <c r="J37" s="340"/>
      <c r="K37" s="1"/>
      <c r="L37" s="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</row>
    <row r="38" spans="1:31" ht="15.75" customHeight="1">
      <c r="A38" s="668" t="s">
        <v>349</v>
      </c>
      <c r="B38" s="602"/>
      <c r="C38" s="602"/>
      <c r="D38" s="602"/>
      <c r="E38" s="602"/>
      <c r="F38" s="602"/>
      <c r="G38" s="602"/>
      <c r="H38" s="602"/>
      <c r="I38" s="603"/>
      <c r="J38" s="339"/>
      <c r="K38" s="1"/>
      <c r="L38" s="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</row>
    <row r="39" spans="1:31" ht="15.75" customHeight="1">
      <c r="A39" s="358" t="s">
        <v>299</v>
      </c>
      <c r="B39" s="359" t="s">
        <v>300</v>
      </c>
      <c r="C39" s="359" t="s">
        <v>301</v>
      </c>
      <c r="D39" s="358" t="s">
        <v>302</v>
      </c>
      <c r="E39" s="358" t="s">
        <v>303</v>
      </c>
      <c r="F39" s="669" t="s">
        <v>350</v>
      </c>
      <c r="G39" s="603"/>
      <c r="H39" s="360" t="s">
        <v>351</v>
      </c>
      <c r="I39" s="360" t="s">
        <v>306</v>
      </c>
      <c r="J39" s="361" t="s">
        <v>307</v>
      </c>
      <c r="K39" s="1"/>
      <c r="L39" s="1"/>
      <c r="M39" s="341"/>
      <c r="N39" s="341"/>
      <c r="O39" s="341"/>
      <c r="P39" s="341"/>
      <c r="Q39" s="341"/>
      <c r="R39" s="341"/>
      <c r="S39" s="341"/>
      <c r="T39" s="341"/>
      <c r="U39" s="341"/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</row>
    <row r="40" spans="1:31" ht="15.75" customHeight="1">
      <c r="A40" s="344" t="s">
        <v>352</v>
      </c>
      <c r="B40" s="345" t="s">
        <v>309</v>
      </c>
      <c r="C40" s="345" t="s">
        <v>310</v>
      </c>
      <c r="D40" s="346">
        <v>65.459999999999994</v>
      </c>
      <c r="E40" s="347">
        <v>20</v>
      </c>
      <c r="F40" s="670">
        <v>1</v>
      </c>
      <c r="G40" s="603"/>
      <c r="H40" s="362">
        <f>F40*D40</f>
        <v>65.459999999999994</v>
      </c>
      <c r="I40" s="346">
        <f>H40/E40</f>
        <v>3.2729999999999997</v>
      </c>
      <c r="J40" s="353" t="s">
        <v>311</v>
      </c>
      <c r="K40" s="1"/>
      <c r="L40" s="1"/>
      <c r="M40" s="341"/>
      <c r="N40" s="341"/>
      <c r="O40" s="341"/>
      <c r="P40" s="341"/>
      <c r="Q40" s="341"/>
      <c r="R40" s="341"/>
      <c r="S40" s="341"/>
      <c r="T40" s="341"/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</row>
    <row r="41" spans="1:31" ht="15.75" customHeight="1">
      <c r="A41" s="671" t="s">
        <v>348</v>
      </c>
      <c r="B41" s="602"/>
      <c r="C41" s="602"/>
      <c r="D41" s="602"/>
      <c r="E41" s="602"/>
      <c r="F41" s="602"/>
      <c r="G41" s="602"/>
      <c r="H41" s="603"/>
      <c r="I41" s="363">
        <f>SUM(I40)</f>
        <v>3.2729999999999997</v>
      </c>
      <c r="J41" s="340"/>
      <c r="K41" s="1"/>
      <c r="L41" s="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1"/>
      <c r="Y41" s="341"/>
      <c r="Z41" s="341"/>
      <c r="AA41" s="341"/>
      <c r="AB41" s="341"/>
      <c r="AC41" s="341"/>
      <c r="AD41" s="341"/>
      <c r="AE41" s="341"/>
    </row>
    <row r="42" spans="1:31" ht="15.75" customHeight="1">
      <c r="A42" s="340"/>
      <c r="B42" s="1"/>
      <c r="C42" s="1"/>
      <c r="D42" s="340"/>
      <c r="E42" s="340"/>
      <c r="F42" s="340"/>
      <c r="G42" s="1"/>
      <c r="H42" s="1"/>
      <c r="I42" s="340"/>
      <c r="J42" s="340"/>
      <c r="K42" s="1"/>
      <c r="L42" s="1"/>
      <c r="M42" s="341"/>
      <c r="N42" s="341"/>
      <c r="O42" s="341"/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</row>
    <row r="43" spans="1:31" ht="15.75" customHeight="1">
      <c r="A43" s="668" t="s">
        <v>353</v>
      </c>
      <c r="B43" s="602"/>
      <c r="C43" s="602"/>
      <c r="D43" s="602"/>
      <c r="E43" s="602"/>
      <c r="F43" s="602"/>
      <c r="G43" s="602"/>
      <c r="H43" s="602"/>
      <c r="I43" s="603"/>
      <c r="J43" s="339"/>
      <c r="K43" s="1"/>
      <c r="L43" s="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341"/>
      <c r="AC43" s="341"/>
      <c r="AD43" s="341"/>
      <c r="AE43" s="341"/>
    </row>
    <row r="44" spans="1:31" ht="15.75" customHeight="1">
      <c r="A44" s="358" t="s">
        <v>299</v>
      </c>
      <c r="B44" s="359" t="s">
        <v>300</v>
      </c>
      <c r="C44" s="359" t="s">
        <v>301</v>
      </c>
      <c r="D44" s="358" t="s">
        <v>302</v>
      </c>
      <c r="E44" s="358" t="s">
        <v>303</v>
      </c>
      <c r="F44" s="669" t="s">
        <v>350</v>
      </c>
      <c r="G44" s="603"/>
      <c r="H44" s="360" t="s">
        <v>351</v>
      </c>
      <c r="I44" s="360" t="s">
        <v>306</v>
      </c>
      <c r="J44" s="361" t="s">
        <v>307</v>
      </c>
      <c r="K44" s="1"/>
      <c r="L44" s="1"/>
      <c r="M44" s="341"/>
      <c r="N44" s="341"/>
      <c r="O44" s="341"/>
      <c r="P44" s="341"/>
      <c r="Q44" s="341"/>
      <c r="R44" s="341"/>
      <c r="S44" s="341"/>
      <c r="T44" s="341"/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</row>
    <row r="45" spans="1:31" ht="15.75" customHeight="1">
      <c r="A45" s="364" t="s">
        <v>354</v>
      </c>
      <c r="B45" s="345" t="s">
        <v>309</v>
      </c>
      <c r="C45" s="345" t="s">
        <v>355</v>
      </c>
      <c r="D45" s="346">
        <v>773</v>
      </c>
      <c r="E45" s="347">
        <v>20</v>
      </c>
      <c r="F45" s="670">
        <v>1</v>
      </c>
      <c r="G45" s="603"/>
      <c r="H45" s="362" t="e">
        <f>(F45*D45)/('1-ABA-DE-CARREGAMENTO'!C92+'1-ABA-DE-CARREGAMENTO'!D92)</f>
        <v>#N/A</v>
      </c>
      <c r="I45" s="346" t="e">
        <f t="shared" ref="I45:I46" si="4">H45/E45</f>
        <v>#N/A</v>
      </c>
      <c r="J45" s="353" t="s">
        <v>356</v>
      </c>
      <c r="K45" s="1"/>
      <c r="L45" s="1"/>
      <c r="M45" s="341"/>
      <c r="N45" s="341"/>
      <c r="O45" s="341"/>
      <c r="P45" s="341"/>
      <c r="Q45" s="341"/>
      <c r="R45" s="341"/>
      <c r="S45" s="341"/>
      <c r="T45" s="341"/>
      <c r="U45" s="341"/>
      <c r="V45" s="341"/>
      <c r="W45" s="341"/>
      <c r="X45" s="341"/>
      <c r="Y45" s="341"/>
      <c r="Z45" s="341"/>
      <c r="AA45" s="341"/>
      <c r="AB45" s="341"/>
      <c r="AC45" s="341"/>
      <c r="AD45" s="341"/>
      <c r="AE45" s="341"/>
    </row>
    <row r="46" spans="1:31" ht="15.75" customHeight="1">
      <c r="A46" s="344" t="s">
        <v>357</v>
      </c>
      <c r="B46" s="345" t="s">
        <v>309</v>
      </c>
      <c r="C46" s="345" t="s">
        <v>310</v>
      </c>
      <c r="D46" s="346">
        <v>572.03</v>
      </c>
      <c r="E46" s="347">
        <v>20</v>
      </c>
      <c r="F46" s="670">
        <v>1</v>
      </c>
      <c r="G46" s="603"/>
      <c r="H46" s="362" t="e">
        <f>(F46*D46)/('1-ABA-DE-CARREGAMENTO'!C92+'1-ABA-DE-CARREGAMENTO'!D92)</f>
        <v>#N/A</v>
      </c>
      <c r="I46" s="346" t="e">
        <f t="shared" si="4"/>
        <v>#N/A</v>
      </c>
      <c r="J46" s="353" t="s">
        <v>356</v>
      </c>
      <c r="K46" s="1"/>
      <c r="L46" s="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</row>
    <row r="47" spans="1:31" ht="15.75" customHeight="1">
      <c r="A47" s="671" t="s">
        <v>348</v>
      </c>
      <c r="B47" s="602"/>
      <c r="C47" s="602"/>
      <c r="D47" s="602"/>
      <c r="E47" s="602"/>
      <c r="F47" s="602"/>
      <c r="G47" s="602"/>
      <c r="H47" s="603"/>
      <c r="I47" s="363" t="e">
        <f>SUM(I45:I46)</f>
        <v>#N/A</v>
      </c>
      <c r="J47" s="340"/>
      <c r="K47" s="1"/>
      <c r="L47" s="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341"/>
      <c r="AB47" s="341"/>
      <c r="AC47" s="341"/>
      <c r="AD47" s="341"/>
      <c r="AE47" s="341"/>
    </row>
    <row r="48" spans="1:31" ht="15.75" customHeight="1">
      <c r="A48" s="340"/>
      <c r="B48" s="1"/>
      <c r="C48" s="1"/>
      <c r="D48" s="340"/>
      <c r="E48" s="340"/>
      <c r="F48" s="340"/>
      <c r="G48" s="1"/>
      <c r="H48" s="1"/>
      <c r="I48" s="340"/>
      <c r="J48" s="340"/>
      <c r="K48" s="1"/>
      <c r="L48" s="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</row>
    <row r="49" spans="1:31" ht="15.75" customHeight="1">
      <c r="A49" s="340"/>
      <c r="B49" s="1"/>
      <c r="C49" s="1"/>
      <c r="D49" s="340"/>
      <c r="E49" s="340"/>
      <c r="F49" s="340"/>
      <c r="G49" s="1"/>
      <c r="H49" s="1"/>
      <c r="I49" s="340"/>
      <c r="J49" s="340"/>
      <c r="K49" s="1"/>
      <c r="L49" s="1"/>
      <c r="M49" s="341"/>
      <c r="N49" s="341"/>
      <c r="O49" s="341"/>
      <c r="P49" s="341"/>
      <c r="Q49" s="341"/>
      <c r="R49" s="341"/>
      <c r="S49" s="341"/>
      <c r="T49" s="341"/>
      <c r="U49" s="341"/>
      <c r="V49" s="341"/>
      <c r="W49" s="341"/>
      <c r="X49" s="341"/>
      <c r="Y49" s="341"/>
      <c r="Z49" s="341"/>
      <c r="AA49" s="341"/>
      <c r="AB49" s="341"/>
      <c r="AC49" s="341"/>
      <c r="AD49" s="341"/>
      <c r="AE49" s="341"/>
    </row>
    <row r="50" spans="1:31" ht="15.75" customHeight="1">
      <c r="A50" s="340"/>
      <c r="B50" s="1"/>
      <c r="C50" s="1"/>
      <c r="D50" s="340"/>
      <c r="E50" s="340"/>
      <c r="F50" s="340"/>
      <c r="G50" s="1"/>
      <c r="H50" s="1"/>
      <c r="I50" s="340"/>
      <c r="J50" s="340"/>
      <c r="K50" s="1"/>
      <c r="L50" s="1"/>
      <c r="M50" s="341"/>
      <c r="N50" s="341"/>
      <c r="O50" s="341"/>
      <c r="P50" s="341"/>
      <c r="Q50" s="341"/>
      <c r="R50" s="341"/>
      <c r="S50" s="341"/>
      <c r="T50" s="341"/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</row>
    <row r="51" spans="1:31" ht="15.75" customHeight="1">
      <c r="A51" s="340"/>
      <c r="B51" s="1"/>
      <c r="C51" s="1"/>
      <c r="D51" s="340"/>
      <c r="E51" s="340"/>
      <c r="F51" s="340"/>
      <c r="G51" s="1"/>
      <c r="H51" s="1"/>
      <c r="I51" s="340"/>
      <c r="J51" s="340"/>
      <c r="K51" s="1"/>
      <c r="L51" s="1"/>
      <c r="M51" s="341"/>
      <c r="N51" s="341"/>
      <c r="O51" s="341"/>
      <c r="P51" s="341"/>
      <c r="Q51" s="341"/>
      <c r="R51" s="341"/>
      <c r="S51" s="341"/>
      <c r="T51" s="341"/>
      <c r="U51" s="341"/>
      <c r="V51" s="341"/>
      <c r="W51" s="341"/>
      <c r="X51" s="341"/>
      <c r="Y51" s="341"/>
      <c r="Z51" s="341"/>
      <c r="AA51" s="341"/>
      <c r="AB51" s="341"/>
      <c r="AC51" s="341"/>
      <c r="AD51" s="341"/>
      <c r="AE51" s="341"/>
    </row>
    <row r="52" spans="1:31" ht="15.75" customHeight="1">
      <c r="A52" s="340"/>
      <c r="B52" s="1"/>
      <c r="C52" s="1"/>
      <c r="D52" s="340"/>
      <c r="E52" s="340"/>
      <c r="F52" s="340"/>
      <c r="G52" s="1"/>
      <c r="H52" s="1"/>
      <c r="I52" s="340"/>
      <c r="J52" s="340"/>
      <c r="K52" s="1"/>
      <c r="L52" s="1"/>
      <c r="M52" s="341"/>
      <c r="N52" s="341"/>
      <c r="O52" s="341"/>
      <c r="P52" s="341"/>
      <c r="Q52" s="341"/>
      <c r="R52" s="341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</row>
    <row r="53" spans="1:31" ht="15.75" customHeight="1">
      <c r="A53" s="340"/>
      <c r="B53" s="1"/>
      <c r="C53" s="1"/>
      <c r="D53" s="340"/>
      <c r="E53" s="340"/>
      <c r="F53" s="340"/>
      <c r="G53" s="1"/>
      <c r="H53" s="1"/>
      <c r="I53" s="340"/>
      <c r="J53" s="340"/>
      <c r="K53" s="1"/>
      <c r="L53" s="1"/>
      <c r="M53" s="341"/>
      <c r="N53" s="341"/>
      <c r="O53" s="341"/>
      <c r="P53" s="341"/>
      <c r="Q53" s="341"/>
      <c r="R53" s="341"/>
      <c r="S53" s="341"/>
      <c r="T53" s="341"/>
      <c r="U53" s="341"/>
      <c r="V53" s="341"/>
      <c r="W53" s="341"/>
      <c r="X53" s="341"/>
      <c r="Y53" s="341"/>
      <c r="Z53" s="341"/>
      <c r="AA53" s="341"/>
      <c r="AB53" s="341"/>
      <c r="AC53" s="341"/>
      <c r="AD53" s="341"/>
      <c r="AE53" s="341"/>
    </row>
    <row r="54" spans="1:31" ht="15.75" customHeight="1">
      <c r="A54" s="340"/>
      <c r="B54" s="1"/>
      <c r="C54" s="1"/>
      <c r="D54" s="340"/>
      <c r="E54" s="340"/>
      <c r="F54" s="340"/>
      <c r="G54" s="1"/>
      <c r="H54" s="1"/>
      <c r="I54" s="340"/>
      <c r="J54" s="340"/>
      <c r="K54" s="1"/>
      <c r="L54" s="1"/>
      <c r="M54" s="341"/>
      <c r="N54" s="341"/>
      <c r="O54" s="341"/>
      <c r="P54" s="341"/>
      <c r="Q54" s="341"/>
      <c r="R54" s="341"/>
      <c r="S54" s="341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</row>
    <row r="55" spans="1:31" ht="15.75" customHeight="1">
      <c r="A55" s="340"/>
      <c r="B55" s="1"/>
      <c r="C55" s="1"/>
      <c r="D55" s="340"/>
      <c r="E55" s="340"/>
      <c r="F55" s="340"/>
      <c r="G55" s="1"/>
      <c r="H55" s="1"/>
      <c r="I55" s="340"/>
      <c r="J55" s="340"/>
      <c r="K55" s="1"/>
      <c r="L55" s="1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</row>
    <row r="56" spans="1:31" ht="15.75" customHeight="1">
      <c r="A56" s="340"/>
      <c r="B56" s="1"/>
      <c r="C56" s="1"/>
      <c r="D56" s="340"/>
      <c r="E56" s="340"/>
      <c r="F56" s="340"/>
      <c r="G56" s="1"/>
      <c r="H56" s="1"/>
      <c r="I56" s="340"/>
      <c r="J56" s="340"/>
      <c r="K56" s="1"/>
      <c r="L56" s="1"/>
      <c r="M56" s="341"/>
      <c r="N56" s="341"/>
      <c r="O56" s="341"/>
      <c r="P56" s="341"/>
      <c r="Q56" s="341"/>
      <c r="R56" s="341"/>
      <c r="S56" s="34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</row>
    <row r="57" spans="1:31" ht="15.75" customHeight="1">
      <c r="A57" s="340"/>
      <c r="B57" s="1"/>
      <c r="C57" s="1"/>
      <c r="D57" s="340"/>
      <c r="E57" s="340"/>
      <c r="F57" s="340"/>
      <c r="G57" s="1"/>
      <c r="H57" s="1"/>
      <c r="I57" s="340"/>
      <c r="J57" s="340"/>
      <c r="K57" s="1"/>
      <c r="L57" s="1"/>
      <c r="M57" s="341"/>
      <c r="N57" s="341"/>
      <c r="O57" s="341"/>
      <c r="P57" s="341"/>
      <c r="Q57" s="341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</row>
    <row r="58" spans="1:31" ht="15.75" customHeight="1">
      <c r="A58" s="340"/>
      <c r="B58" s="1"/>
      <c r="C58" s="1"/>
      <c r="D58" s="340"/>
      <c r="E58" s="340"/>
      <c r="F58" s="340"/>
      <c r="G58" s="1"/>
      <c r="H58" s="1"/>
      <c r="I58" s="340"/>
      <c r="J58" s="340"/>
      <c r="K58" s="1"/>
      <c r="L58" s="1"/>
      <c r="M58" s="341"/>
      <c r="N58" s="341"/>
      <c r="O58" s="341"/>
      <c r="P58" s="341"/>
      <c r="Q58" s="341"/>
      <c r="R58" s="341"/>
      <c r="S58" s="341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</row>
    <row r="59" spans="1:31" ht="15.75" customHeight="1">
      <c r="A59" s="340"/>
      <c r="B59" s="1"/>
      <c r="C59" s="1"/>
      <c r="D59" s="340"/>
      <c r="E59" s="340"/>
      <c r="F59" s="340"/>
      <c r="G59" s="1"/>
      <c r="H59" s="1"/>
      <c r="I59" s="340"/>
      <c r="J59" s="340"/>
      <c r="K59" s="1"/>
      <c r="L59" s="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</row>
    <row r="60" spans="1:31" ht="15.75" customHeight="1">
      <c r="A60" s="340"/>
      <c r="B60" s="1"/>
      <c r="C60" s="1"/>
      <c r="D60" s="340"/>
      <c r="E60" s="340"/>
      <c r="F60" s="340"/>
      <c r="G60" s="1"/>
      <c r="H60" s="1"/>
      <c r="I60" s="340"/>
      <c r="J60" s="340"/>
      <c r="K60" s="1"/>
      <c r="L60" s="1"/>
      <c r="M60" s="341"/>
      <c r="N60" s="341"/>
      <c r="O60" s="341"/>
      <c r="P60" s="341"/>
      <c r="Q60" s="341"/>
      <c r="R60" s="341"/>
      <c r="S60" s="341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</row>
    <row r="61" spans="1:31" ht="15.75" customHeight="1">
      <c r="A61" s="340"/>
      <c r="B61" s="1"/>
      <c r="C61" s="1"/>
      <c r="D61" s="340"/>
      <c r="E61" s="340"/>
      <c r="F61" s="340"/>
      <c r="G61" s="1"/>
      <c r="H61" s="1"/>
      <c r="I61" s="340"/>
      <c r="J61" s="340"/>
      <c r="K61" s="1"/>
      <c r="L61" s="1"/>
      <c r="M61" s="341"/>
      <c r="N61" s="341"/>
      <c r="O61" s="341"/>
      <c r="P61" s="341"/>
      <c r="Q61" s="341"/>
      <c r="R61" s="341"/>
      <c r="S61" s="341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</row>
    <row r="62" spans="1:31" ht="15.75" customHeight="1">
      <c r="A62" s="340"/>
      <c r="B62" s="1"/>
      <c r="C62" s="1"/>
      <c r="D62" s="340"/>
      <c r="E62" s="340"/>
      <c r="F62" s="340"/>
      <c r="G62" s="1"/>
      <c r="H62" s="1"/>
      <c r="I62" s="340"/>
      <c r="J62" s="340"/>
      <c r="K62" s="1"/>
      <c r="L62" s="1"/>
      <c r="M62" s="341"/>
      <c r="N62" s="341"/>
      <c r="O62" s="341"/>
      <c r="P62" s="341"/>
      <c r="Q62" s="341"/>
      <c r="R62" s="341"/>
      <c r="S62" s="341"/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</row>
    <row r="63" spans="1:31" ht="15.75" customHeight="1">
      <c r="A63" s="340"/>
      <c r="B63" s="1"/>
      <c r="C63" s="1"/>
      <c r="D63" s="340"/>
      <c r="E63" s="340"/>
      <c r="F63" s="340"/>
      <c r="G63" s="1"/>
      <c r="H63" s="1"/>
      <c r="I63" s="340"/>
      <c r="J63" s="340"/>
      <c r="K63" s="1"/>
      <c r="L63" s="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</row>
    <row r="64" spans="1:31" ht="15.75" customHeight="1">
      <c r="A64" s="340"/>
      <c r="B64" s="1"/>
      <c r="C64" s="1"/>
      <c r="D64" s="340"/>
      <c r="E64" s="340"/>
      <c r="F64" s="340"/>
      <c r="G64" s="1"/>
      <c r="H64" s="1"/>
      <c r="I64" s="340"/>
      <c r="J64" s="340"/>
      <c r="K64" s="1"/>
      <c r="L64" s="1"/>
      <c r="M64" s="341"/>
      <c r="N64" s="341"/>
      <c r="O64" s="341"/>
      <c r="P64" s="341"/>
      <c r="Q64" s="341"/>
      <c r="R64" s="341"/>
      <c r="S64" s="341"/>
      <c r="T64" s="341"/>
      <c r="U64" s="341"/>
      <c r="V64" s="341"/>
      <c r="W64" s="341"/>
      <c r="X64" s="341"/>
      <c r="Y64" s="341"/>
      <c r="Z64" s="341"/>
      <c r="AA64" s="341"/>
      <c r="AB64" s="341"/>
      <c r="AC64" s="341"/>
      <c r="AD64" s="341"/>
      <c r="AE64" s="341"/>
    </row>
    <row r="65" spans="1:31" ht="15.75" customHeight="1">
      <c r="A65" s="340"/>
      <c r="B65" s="1"/>
      <c r="C65" s="1"/>
      <c r="D65" s="340"/>
      <c r="E65" s="340"/>
      <c r="F65" s="340"/>
      <c r="G65" s="1"/>
      <c r="H65" s="1"/>
      <c r="I65" s="340"/>
      <c r="J65" s="340"/>
      <c r="K65" s="1"/>
      <c r="L65" s="1"/>
      <c r="M65" s="341"/>
      <c r="N65" s="341"/>
      <c r="O65" s="341"/>
      <c r="P65" s="341"/>
      <c r="Q65" s="341"/>
      <c r="R65" s="341"/>
      <c r="S65" s="341"/>
      <c r="T65" s="341"/>
      <c r="U65" s="341"/>
      <c r="V65" s="341"/>
      <c r="W65" s="341"/>
      <c r="X65" s="341"/>
      <c r="Y65" s="341"/>
      <c r="Z65" s="341"/>
      <c r="AA65" s="341"/>
      <c r="AB65" s="341"/>
      <c r="AC65" s="341"/>
      <c r="AD65" s="341"/>
      <c r="AE65" s="341"/>
    </row>
    <row r="66" spans="1:31" ht="15.75" customHeight="1">
      <c r="A66" s="340"/>
      <c r="B66" s="1"/>
      <c r="C66" s="1"/>
      <c r="D66" s="340"/>
      <c r="E66" s="340"/>
      <c r="F66" s="340"/>
      <c r="G66" s="1"/>
      <c r="H66" s="1"/>
      <c r="I66" s="340"/>
      <c r="J66" s="340"/>
      <c r="K66" s="1"/>
      <c r="L66" s="1"/>
      <c r="M66" s="341"/>
      <c r="N66" s="341"/>
      <c r="O66" s="341"/>
      <c r="P66" s="341"/>
      <c r="Q66" s="341"/>
      <c r="R66" s="341"/>
      <c r="S66" s="341"/>
      <c r="T66" s="341"/>
      <c r="U66" s="341"/>
      <c r="V66" s="341"/>
      <c r="W66" s="341"/>
      <c r="X66" s="341"/>
      <c r="Y66" s="341"/>
      <c r="Z66" s="341"/>
      <c r="AA66" s="341"/>
      <c r="AB66" s="341"/>
      <c r="AC66" s="341"/>
      <c r="AD66" s="341"/>
      <c r="AE66" s="341"/>
    </row>
    <row r="67" spans="1:31" ht="15.75" customHeight="1">
      <c r="A67" s="340"/>
      <c r="B67" s="1"/>
      <c r="C67" s="1"/>
      <c r="D67" s="340"/>
      <c r="E67" s="340"/>
      <c r="F67" s="340"/>
      <c r="G67" s="1"/>
      <c r="H67" s="1"/>
      <c r="I67" s="340"/>
      <c r="J67" s="340"/>
      <c r="K67" s="1"/>
      <c r="L67" s="1"/>
      <c r="M67" s="341"/>
      <c r="N67" s="341"/>
      <c r="O67" s="341"/>
      <c r="P67" s="341"/>
      <c r="Q67" s="341"/>
      <c r="R67" s="341"/>
      <c r="S67" s="341"/>
      <c r="T67" s="341"/>
      <c r="U67" s="341"/>
      <c r="V67" s="341"/>
      <c r="W67" s="341"/>
      <c r="X67" s="341"/>
      <c r="Y67" s="341"/>
      <c r="Z67" s="341"/>
      <c r="AA67" s="341"/>
      <c r="AB67" s="341"/>
      <c r="AC67" s="341"/>
      <c r="AD67" s="341"/>
      <c r="AE67" s="341"/>
    </row>
    <row r="68" spans="1:31" ht="15.75" customHeight="1">
      <c r="A68" s="340"/>
      <c r="B68" s="1"/>
      <c r="C68" s="1"/>
      <c r="D68" s="340"/>
      <c r="E68" s="340"/>
      <c r="F68" s="340"/>
      <c r="G68" s="1"/>
      <c r="H68" s="1"/>
      <c r="I68" s="340"/>
      <c r="J68" s="340"/>
      <c r="K68" s="1"/>
      <c r="L68" s="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</row>
    <row r="69" spans="1:31" ht="15.75" customHeight="1">
      <c r="A69" s="340"/>
      <c r="B69" s="1"/>
      <c r="C69" s="1"/>
      <c r="D69" s="340"/>
      <c r="E69" s="340"/>
      <c r="F69" s="340"/>
      <c r="G69" s="1"/>
      <c r="H69" s="1"/>
      <c r="I69" s="340"/>
      <c r="J69" s="340"/>
      <c r="K69" s="1"/>
      <c r="L69" s="1"/>
      <c r="M69" s="341"/>
      <c r="N69" s="341"/>
      <c r="O69" s="341"/>
      <c r="P69" s="341"/>
      <c r="Q69" s="341"/>
      <c r="R69" s="341"/>
      <c r="S69" s="341"/>
      <c r="T69" s="341"/>
      <c r="U69" s="341"/>
      <c r="V69" s="341"/>
      <c r="W69" s="341"/>
      <c r="X69" s="341"/>
      <c r="Y69" s="341"/>
      <c r="Z69" s="341"/>
      <c r="AA69" s="341"/>
      <c r="AB69" s="341"/>
      <c r="AC69" s="341"/>
      <c r="AD69" s="341"/>
      <c r="AE69" s="341"/>
    </row>
    <row r="70" spans="1:31" ht="15.75" customHeight="1">
      <c r="A70" s="340"/>
      <c r="B70" s="1"/>
      <c r="C70" s="1"/>
      <c r="D70" s="340"/>
      <c r="E70" s="340"/>
      <c r="F70" s="340"/>
      <c r="G70" s="1"/>
      <c r="H70" s="1"/>
      <c r="I70" s="340"/>
      <c r="J70" s="340"/>
      <c r="K70" s="1"/>
      <c r="L70" s="1"/>
      <c r="M70" s="341"/>
      <c r="N70" s="341"/>
      <c r="O70" s="341"/>
      <c r="P70" s="341"/>
      <c r="Q70" s="341"/>
      <c r="R70" s="341"/>
      <c r="S70" s="341"/>
      <c r="T70" s="341"/>
      <c r="U70" s="341"/>
      <c r="V70" s="341"/>
      <c r="W70" s="341"/>
      <c r="X70" s="341"/>
      <c r="Y70" s="341"/>
      <c r="Z70" s="341"/>
      <c r="AA70" s="341"/>
      <c r="AB70" s="341"/>
      <c r="AC70" s="341"/>
      <c r="AD70" s="341"/>
      <c r="AE70" s="341"/>
    </row>
    <row r="71" spans="1:31" ht="15.75" customHeight="1">
      <c r="A71" s="340"/>
      <c r="B71" s="1"/>
      <c r="C71" s="1"/>
      <c r="D71" s="340"/>
      <c r="E71" s="340"/>
      <c r="F71" s="340"/>
      <c r="G71" s="1"/>
      <c r="H71" s="1"/>
      <c r="I71" s="340"/>
      <c r="J71" s="340"/>
      <c r="K71" s="1"/>
      <c r="L71" s="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</row>
    <row r="72" spans="1:31" ht="15.75" customHeight="1">
      <c r="A72" s="340"/>
      <c r="B72" s="1"/>
      <c r="C72" s="1"/>
      <c r="D72" s="340"/>
      <c r="E72" s="340"/>
      <c r="F72" s="340"/>
      <c r="G72" s="1"/>
      <c r="H72" s="1"/>
      <c r="I72" s="340"/>
      <c r="J72" s="340"/>
      <c r="K72" s="1"/>
      <c r="L72" s="1"/>
      <c r="M72" s="341"/>
      <c r="N72" s="341"/>
      <c r="O72" s="341"/>
      <c r="P72" s="341"/>
      <c r="Q72" s="341"/>
      <c r="R72" s="341"/>
      <c r="S72" s="341"/>
      <c r="T72" s="341"/>
      <c r="U72" s="341"/>
      <c r="V72" s="341"/>
      <c r="W72" s="341"/>
      <c r="X72" s="341"/>
      <c r="Y72" s="341"/>
      <c r="Z72" s="341"/>
      <c r="AA72" s="341"/>
      <c r="AB72" s="341"/>
      <c r="AC72" s="341"/>
      <c r="AD72" s="341"/>
      <c r="AE72" s="341"/>
    </row>
    <row r="73" spans="1:31" ht="15.75" customHeight="1">
      <c r="A73" s="340"/>
      <c r="B73" s="1"/>
      <c r="C73" s="1"/>
      <c r="D73" s="340"/>
      <c r="E73" s="340"/>
      <c r="F73" s="340"/>
      <c r="G73" s="1"/>
      <c r="H73" s="1"/>
      <c r="I73" s="340"/>
      <c r="J73" s="340"/>
      <c r="K73" s="1"/>
      <c r="L73" s="1"/>
      <c r="M73" s="341"/>
      <c r="N73" s="341"/>
      <c r="O73" s="341"/>
      <c r="P73" s="341"/>
      <c r="Q73" s="341"/>
      <c r="R73" s="341"/>
      <c r="S73" s="341"/>
      <c r="T73" s="341"/>
      <c r="U73" s="341"/>
      <c r="V73" s="341"/>
      <c r="W73" s="341"/>
      <c r="X73" s="341"/>
      <c r="Y73" s="341"/>
      <c r="Z73" s="341"/>
      <c r="AA73" s="341"/>
      <c r="AB73" s="341"/>
      <c r="AC73" s="341"/>
      <c r="AD73" s="341"/>
      <c r="AE73" s="341"/>
    </row>
    <row r="74" spans="1:31" ht="15.75" customHeight="1">
      <c r="A74" s="340"/>
      <c r="B74" s="1"/>
      <c r="C74" s="1"/>
      <c r="D74" s="340"/>
      <c r="E74" s="340"/>
      <c r="F74" s="340"/>
      <c r="G74" s="1"/>
      <c r="H74" s="1"/>
      <c r="I74" s="340"/>
      <c r="J74" s="340"/>
      <c r="K74" s="1"/>
      <c r="L74" s="1"/>
      <c r="M74" s="341"/>
      <c r="N74" s="341"/>
      <c r="O74" s="341"/>
      <c r="P74" s="341"/>
      <c r="Q74" s="341"/>
      <c r="R74" s="341"/>
      <c r="S74" s="341"/>
      <c r="T74" s="341"/>
      <c r="U74" s="3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</row>
    <row r="75" spans="1:31" ht="15.75" customHeight="1">
      <c r="A75" s="340"/>
      <c r="B75" s="1"/>
      <c r="C75" s="1"/>
      <c r="D75" s="340"/>
      <c r="E75" s="340"/>
      <c r="F75" s="340"/>
      <c r="G75" s="1"/>
      <c r="H75" s="1"/>
      <c r="I75" s="340"/>
      <c r="J75" s="340"/>
      <c r="K75" s="1"/>
      <c r="L75" s="1"/>
      <c r="M75" s="341"/>
      <c r="N75" s="341"/>
      <c r="O75" s="341"/>
      <c r="P75" s="341"/>
      <c r="Q75" s="341"/>
      <c r="R75" s="341"/>
      <c r="S75" s="341"/>
      <c r="T75" s="341"/>
      <c r="U75" s="341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</row>
    <row r="76" spans="1:31" ht="15.75" customHeight="1">
      <c r="A76" s="340"/>
      <c r="B76" s="1"/>
      <c r="C76" s="1"/>
      <c r="D76" s="340"/>
      <c r="E76" s="340"/>
      <c r="F76" s="340"/>
      <c r="G76" s="1"/>
      <c r="H76" s="1"/>
      <c r="I76" s="340"/>
      <c r="J76" s="340"/>
      <c r="K76" s="1"/>
      <c r="L76" s="1"/>
      <c r="M76" s="341"/>
      <c r="N76" s="341"/>
      <c r="O76" s="341"/>
      <c r="P76" s="341"/>
      <c r="Q76" s="341"/>
      <c r="R76" s="341"/>
      <c r="S76" s="341"/>
      <c r="T76" s="341"/>
      <c r="U76" s="341"/>
      <c r="V76" s="341"/>
      <c r="W76" s="341"/>
      <c r="X76" s="341"/>
      <c r="Y76" s="341"/>
      <c r="Z76" s="341"/>
      <c r="AA76" s="341"/>
      <c r="AB76" s="341"/>
      <c r="AC76" s="341"/>
      <c r="AD76" s="341"/>
      <c r="AE76" s="341"/>
    </row>
    <row r="77" spans="1:31" ht="15.75" customHeight="1">
      <c r="A77" s="340"/>
      <c r="B77" s="1"/>
      <c r="C77" s="1"/>
      <c r="D77" s="340"/>
      <c r="E77" s="340"/>
      <c r="F77" s="340"/>
      <c r="G77" s="1"/>
      <c r="H77" s="1"/>
      <c r="I77" s="340"/>
      <c r="J77" s="340"/>
      <c r="K77" s="1"/>
      <c r="L77" s="1"/>
      <c r="M77" s="341"/>
      <c r="N77" s="341"/>
      <c r="O77" s="341"/>
      <c r="P77" s="341"/>
      <c r="Q77" s="341"/>
      <c r="R77" s="341"/>
      <c r="S77" s="341"/>
      <c r="T77" s="341"/>
      <c r="U77" s="341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</row>
    <row r="78" spans="1:31" ht="15.75" customHeight="1">
      <c r="A78" s="340"/>
      <c r="B78" s="1"/>
      <c r="C78" s="1"/>
      <c r="D78" s="340"/>
      <c r="E78" s="340"/>
      <c r="F78" s="340"/>
      <c r="G78" s="1"/>
      <c r="H78" s="1"/>
      <c r="I78" s="340"/>
      <c r="J78" s="340"/>
      <c r="K78" s="1"/>
      <c r="L78" s="1"/>
      <c r="M78" s="341"/>
      <c r="N78" s="341"/>
      <c r="O78" s="341"/>
      <c r="P78" s="341"/>
      <c r="Q78" s="341"/>
      <c r="R78" s="341"/>
      <c r="S78" s="341"/>
      <c r="T78" s="341"/>
      <c r="U78" s="341"/>
      <c r="V78" s="341"/>
      <c r="W78" s="341"/>
      <c r="X78" s="341"/>
      <c r="Y78" s="341"/>
      <c r="Z78" s="341"/>
      <c r="AA78" s="341"/>
      <c r="AB78" s="341"/>
      <c r="AC78" s="341"/>
      <c r="AD78" s="341"/>
      <c r="AE78" s="341"/>
    </row>
    <row r="79" spans="1:31" ht="15.75" customHeight="1">
      <c r="A79" s="340"/>
      <c r="B79" s="1"/>
      <c r="C79" s="1"/>
      <c r="D79" s="340"/>
      <c r="E79" s="340"/>
      <c r="F79" s="340"/>
      <c r="G79" s="1"/>
      <c r="H79" s="1"/>
      <c r="I79" s="340"/>
      <c r="J79" s="340"/>
      <c r="K79" s="1"/>
      <c r="L79" s="1"/>
      <c r="M79" s="341"/>
      <c r="N79" s="341"/>
      <c r="O79" s="341"/>
      <c r="P79" s="341"/>
      <c r="Q79" s="341"/>
      <c r="R79" s="341"/>
      <c r="S79" s="341"/>
      <c r="T79" s="341"/>
      <c r="U79" s="341"/>
      <c r="V79" s="341"/>
      <c r="W79" s="341"/>
      <c r="X79" s="341"/>
      <c r="Y79" s="341"/>
      <c r="Z79" s="341"/>
      <c r="AA79" s="341"/>
      <c r="AB79" s="341"/>
      <c r="AC79" s="341"/>
      <c r="AD79" s="341"/>
      <c r="AE79" s="341"/>
    </row>
    <row r="80" spans="1:31" ht="15.75" customHeight="1">
      <c r="A80" s="340"/>
      <c r="B80" s="1"/>
      <c r="C80" s="1"/>
      <c r="D80" s="340"/>
      <c r="E80" s="340"/>
      <c r="F80" s="340"/>
      <c r="G80" s="1"/>
      <c r="H80" s="1"/>
      <c r="I80" s="340"/>
      <c r="J80" s="340"/>
      <c r="K80" s="1"/>
      <c r="L80" s="1"/>
      <c r="M80" s="341"/>
      <c r="N80" s="341"/>
      <c r="O80" s="341"/>
      <c r="P80" s="341"/>
      <c r="Q80" s="341"/>
      <c r="R80" s="341"/>
      <c r="S80" s="341"/>
      <c r="T80" s="341"/>
      <c r="U80" s="341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</row>
    <row r="81" spans="1:31" ht="15.75" customHeight="1">
      <c r="A81" s="340"/>
      <c r="B81" s="1"/>
      <c r="C81" s="1"/>
      <c r="D81" s="340"/>
      <c r="E81" s="340"/>
      <c r="F81" s="340"/>
      <c r="G81" s="1"/>
      <c r="H81" s="1"/>
      <c r="I81" s="340"/>
      <c r="J81" s="340"/>
      <c r="K81" s="1"/>
      <c r="L81" s="1"/>
      <c r="M81" s="341"/>
      <c r="N81" s="341"/>
      <c r="O81" s="341"/>
      <c r="P81" s="341"/>
      <c r="Q81" s="341"/>
      <c r="R81" s="341"/>
      <c r="S81" s="341"/>
      <c r="T81" s="341"/>
      <c r="U81" s="341"/>
      <c r="V81" s="341"/>
      <c r="W81" s="341"/>
      <c r="X81" s="341"/>
      <c r="Y81" s="341"/>
      <c r="Z81" s="341"/>
      <c r="AA81" s="341"/>
      <c r="AB81" s="341"/>
      <c r="AC81" s="341"/>
      <c r="AD81" s="341"/>
      <c r="AE81" s="341"/>
    </row>
    <row r="82" spans="1:31" ht="15.75" customHeight="1">
      <c r="A82" s="340"/>
      <c r="B82" s="1"/>
      <c r="C82" s="1"/>
      <c r="D82" s="340"/>
      <c r="E82" s="340"/>
      <c r="F82" s="340"/>
      <c r="G82" s="1"/>
      <c r="H82" s="1"/>
      <c r="I82" s="340"/>
      <c r="J82" s="340"/>
      <c r="K82" s="1"/>
      <c r="L82" s="1"/>
      <c r="M82" s="341"/>
      <c r="N82" s="341"/>
      <c r="O82" s="341"/>
      <c r="P82" s="341"/>
      <c r="Q82" s="341"/>
      <c r="R82" s="341"/>
      <c r="S82" s="341"/>
      <c r="T82" s="341"/>
      <c r="U82" s="341"/>
      <c r="V82" s="341"/>
      <c r="W82" s="341"/>
      <c r="X82" s="341"/>
      <c r="Y82" s="341"/>
      <c r="Z82" s="341"/>
      <c r="AA82" s="341"/>
      <c r="AB82" s="341"/>
      <c r="AC82" s="341"/>
      <c r="AD82" s="341"/>
      <c r="AE82" s="341"/>
    </row>
    <row r="83" spans="1:31" ht="15.75" customHeight="1">
      <c r="A83" s="340"/>
      <c r="B83" s="1"/>
      <c r="C83" s="1"/>
      <c r="D83" s="340"/>
      <c r="E83" s="340"/>
      <c r="F83" s="340"/>
      <c r="G83" s="1"/>
      <c r="H83" s="1"/>
      <c r="I83" s="340"/>
      <c r="J83" s="340"/>
      <c r="K83" s="1"/>
      <c r="L83" s="1"/>
      <c r="M83" s="341"/>
      <c r="N83" s="341"/>
      <c r="O83" s="341"/>
      <c r="P83" s="341"/>
      <c r="Q83" s="341"/>
      <c r="R83" s="341"/>
      <c r="S83" s="341"/>
      <c r="T83" s="341"/>
      <c r="U83" s="341"/>
      <c r="V83" s="341"/>
      <c r="W83" s="341"/>
      <c r="X83" s="341"/>
      <c r="Y83" s="341"/>
      <c r="Z83" s="341"/>
      <c r="AA83" s="341"/>
      <c r="AB83" s="341"/>
      <c r="AC83" s="341"/>
      <c r="AD83" s="341"/>
      <c r="AE83" s="341"/>
    </row>
    <row r="84" spans="1:31" ht="15.75" customHeight="1">
      <c r="A84" s="340"/>
      <c r="B84" s="1"/>
      <c r="C84" s="1"/>
      <c r="D84" s="340"/>
      <c r="E84" s="340"/>
      <c r="F84" s="340"/>
      <c r="G84" s="1"/>
      <c r="H84" s="1"/>
      <c r="I84" s="340"/>
      <c r="J84" s="340"/>
      <c r="K84" s="1"/>
      <c r="L84" s="1"/>
      <c r="M84" s="341"/>
      <c r="N84" s="341"/>
      <c r="O84" s="341"/>
      <c r="P84" s="341"/>
      <c r="Q84" s="341"/>
      <c r="R84" s="341"/>
      <c r="S84" s="341"/>
      <c r="T84" s="341"/>
      <c r="U84" s="341"/>
      <c r="V84" s="341"/>
      <c r="W84" s="341"/>
      <c r="X84" s="341"/>
      <c r="Y84" s="341"/>
      <c r="Z84" s="341"/>
      <c r="AA84" s="341"/>
      <c r="AB84" s="341"/>
      <c r="AC84" s="341"/>
      <c r="AD84" s="341"/>
      <c r="AE84" s="341"/>
    </row>
    <row r="85" spans="1:31" ht="15.75" customHeight="1">
      <c r="A85" s="340"/>
      <c r="B85" s="1"/>
      <c r="C85" s="1"/>
      <c r="D85" s="340"/>
      <c r="E85" s="340"/>
      <c r="F85" s="340"/>
      <c r="G85" s="1"/>
      <c r="H85" s="1"/>
      <c r="I85" s="340"/>
      <c r="J85" s="340"/>
      <c r="K85" s="1"/>
      <c r="L85" s="1"/>
      <c r="M85" s="341"/>
      <c r="N85" s="341"/>
      <c r="O85" s="341"/>
      <c r="P85" s="341"/>
      <c r="Q85" s="341"/>
      <c r="R85" s="341"/>
      <c r="S85" s="341"/>
      <c r="T85" s="341"/>
      <c r="U85" s="341"/>
      <c r="V85" s="341"/>
      <c r="W85" s="341"/>
      <c r="X85" s="341"/>
      <c r="Y85" s="341"/>
      <c r="Z85" s="341"/>
      <c r="AA85" s="341"/>
      <c r="AB85" s="341"/>
      <c r="AC85" s="341"/>
      <c r="AD85" s="341"/>
      <c r="AE85" s="341"/>
    </row>
    <row r="86" spans="1:31" ht="15.75" customHeight="1">
      <c r="A86" s="340"/>
      <c r="B86" s="1"/>
      <c r="C86" s="1"/>
      <c r="D86" s="340"/>
      <c r="E86" s="340"/>
      <c r="F86" s="340"/>
      <c r="G86" s="1"/>
      <c r="H86" s="1"/>
      <c r="I86" s="340"/>
      <c r="J86" s="340"/>
      <c r="K86" s="1"/>
      <c r="L86" s="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</row>
    <row r="87" spans="1:31" ht="15.75" customHeight="1">
      <c r="A87" s="340"/>
      <c r="B87" s="1"/>
      <c r="C87" s="1"/>
      <c r="D87" s="340"/>
      <c r="E87" s="340"/>
      <c r="F87" s="340"/>
      <c r="G87" s="1"/>
      <c r="H87" s="1"/>
      <c r="I87" s="340"/>
      <c r="J87" s="340"/>
      <c r="K87" s="1"/>
      <c r="L87" s="1"/>
      <c r="M87" s="341"/>
      <c r="N87" s="341"/>
      <c r="O87" s="341"/>
      <c r="P87" s="341"/>
      <c r="Q87" s="341"/>
      <c r="R87" s="341"/>
      <c r="S87" s="341"/>
      <c r="T87" s="341"/>
      <c r="U87" s="341"/>
      <c r="V87" s="341"/>
      <c r="W87" s="341"/>
      <c r="X87" s="341"/>
      <c r="Y87" s="341"/>
      <c r="Z87" s="341"/>
      <c r="AA87" s="341"/>
      <c r="AB87" s="341"/>
      <c r="AC87" s="341"/>
      <c r="AD87" s="341"/>
      <c r="AE87" s="341"/>
    </row>
    <row r="88" spans="1:31" ht="15.75" customHeight="1">
      <c r="A88" s="340"/>
      <c r="B88" s="1"/>
      <c r="C88" s="1"/>
      <c r="D88" s="340"/>
      <c r="E88" s="340"/>
      <c r="F88" s="340"/>
      <c r="G88" s="1"/>
      <c r="H88" s="1"/>
      <c r="I88" s="340"/>
      <c r="J88" s="340"/>
      <c r="K88" s="1"/>
      <c r="L88" s="1"/>
      <c r="M88" s="341"/>
      <c r="N88" s="341"/>
      <c r="O88" s="341"/>
      <c r="P88" s="341"/>
      <c r="Q88" s="341"/>
      <c r="R88" s="341"/>
      <c r="S88" s="341"/>
      <c r="T88" s="341"/>
      <c r="U88" s="341"/>
      <c r="V88" s="341"/>
      <c r="W88" s="341"/>
      <c r="X88" s="341"/>
      <c r="Y88" s="341"/>
      <c r="Z88" s="341"/>
      <c r="AA88" s="341"/>
      <c r="AB88" s="341"/>
      <c r="AC88" s="341"/>
      <c r="AD88" s="341"/>
      <c r="AE88" s="341"/>
    </row>
    <row r="89" spans="1:31" ht="15.75" customHeight="1">
      <c r="A89" s="340"/>
      <c r="B89" s="1"/>
      <c r="C89" s="1"/>
      <c r="D89" s="340"/>
      <c r="E89" s="340"/>
      <c r="F89" s="340"/>
      <c r="G89" s="1"/>
      <c r="H89" s="1"/>
      <c r="I89" s="340"/>
      <c r="J89" s="340"/>
      <c r="K89" s="1"/>
      <c r="L89" s="1"/>
      <c r="M89" s="341"/>
      <c r="N89" s="341"/>
      <c r="O89" s="341"/>
      <c r="P89" s="341"/>
      <c r="Q89" s="341"/>
      <c r="R89" s="341"/>
      <c r="S89" s="341"/>
      <c r="T89" s="341"/>
      <c r="U89" s="341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</row>
    <row r="90" spans="1:31" ht="15.75" customHeight="1">
      <c r="A90" s="340"/>
      <c r="B90" s="1"/>
      <c r="C90" s="1"/>
      <c r="D90" s="340"/>
      <c r="E90" s="340"/>
      <c r="F90" s="340"/>
      <c r="G90" s="1"/>
      <c r="H90" s="1"/>
      <c r="I90" s="340"/>
      <c r="J90" s="340"/>
      <c r="K90" s="1"/>
      <c r="L90" s="1"/>
      <c r="M90" s="341"/>
      <c r="N90" s="341"/>
      <c r="O90" s="341"/>
      <c r="P90" s="341"/>
      <c r="Q90" s="341"/>
      <c r="R90" s="341"/>
      <c r="S90" s="341"/>
      <c r="T90" s="341"/>
      <c r="U90" s="341"/>
      <c r="V90" s="341"/>
      <c r="W90" s="341"/>
      <c r="X90" s="341"/>
      <c r="Y90" s="341"/>
      <c r="Z90" s="341"/>
      <c r="AA90" s="341"/>
      <c r="AB90" s="341"/>
      <c r="AC90" s="341"/>
      <c r="AD90" s="341"/>
      <c r="AE90" s="341"/>
    </row>
    <row r="91" spans="1:31" ht="15.75" customHeight="1">
      <c r="A91" s="340"/>
      <c r="B91" s="1"/>
      <c r="C91" s="1"/>
      <c r="D91" s="340"/>
      <c r="E91" s="340"/>
      <c r="F91" s="340"/>
      <c r="G91" s="1"/>
      <c r="H91" s="1"/>
      <c r="I91" s="340"/>
      <c r="J91" s="340"/>
      <c r="K91" s="1"/>
      <c r="L91" s="1"/>
      <c r="M91" s="341"/>
      <c r="N91" s="341"/>
      <c r="O91" s="341"/>
      <c r="P91" s="341"/>
      <c r="Q91" s="341"/>
      <c r="R91" s="341"/>
      <c r="S91" s="341"/>
      <c r="T91" s="341"/>
      <c r="U91" s="341"/>
      <c r="V91" s="341"/>
      <c r="W91" s="341"/>
      <c r="X91" s="341"/>
      <c r="Y91" s="341"/>
      <c r="Z91" s="341"/>
      <c r="AA91" s="341"/>
      <c r="AB91" s="341"/>
      <c r="AC91" s="341"/>
      <c r="AD91" s="341"/>
      <c r="AE91" s="341"/>
    </row>
    <row r="92" spans="1:31" ht="15.75" customHeight="1">
      <c r="A92" s="340"/>
      <c r="B92" s="1"/>
      <c r="C92" s="1"/>
      <c r="D92" s="340"/>
      <c r="E92" s="340"/>
      <c r="F92" s="340"/>
      <c r="G92" s="1"/>
      <c r="H92" s="1"/>
      <c r="I92" s="340"/>
      <c r="J92" s="340"/>
      <c r="K92" s="1"/>
      <c r="L92" s="1"/>
      <c r="M92" s="341"/>
      <c r="N92" s="341"/>
      <c r="O92" s="341"/>
      <c r="P92" s="341"/>
      <c r="Q92" s="341"/>
      <c r="R92" s="341"/>
      <c r="S92" s="341"/>
      <c r="T92" s="341"/>
      <c r="U92" s="341"/>
      <c r="V92" s="341"/>
      <c r="W92" s="341"/>
      <c r="X92" s="341"/>
      <c r="Y92" s="341"/>
      <c r="Z92" s="341"/>
      <c r="AA92" s="341"/>
      <c r="AB92" s="341"/>
      <c r="AC92" s="341"/>
      <c r="AD92" s="341"/>
      <c r="AE92" s="341"/>
    </row>
    <row r="93" spans="1:31" ht="15.75" customHeight="1">
      <c r="A93" s="340"/>
      <c r="B93" s="1"/>
      <c r="C93" s="1"/>
      <c r="D93" s="340"/>
      <c r="E93" s="340"/>
      <c r="F93" s="340"/>
      <c r="G93" s="1"/>
      <c r="H93" s="1"/>
      <c r="I93" s="340"/>
      <c r="J93" s="340"/>
      <c r="K93" s="1"/>
      <c r="L93" s="1"/>
      <c r="M93" s="341"/>
      <c r="N93" s="341"/>
      <c r="O93" s="341"/>
      <c r="P93" s="341"/>
      <c r="Q93" s="341"/>
      <c r="R93" s="341"/>
      <c r="S93" s="341"/>
      <c r="T93" s="341"/>
      <c r="U93" s="341"/>
      <c r="V93" s="341"/>
      <c r="W93" s="341"/>
      <c r="X93" s="341"/>
      <c r="Y93" s="341"/>
      <c r="Z93" s="341"/>
      <c r="AA93" s="341"/>
      <c r="AB93" s="341"/>
      <c r="AC93" s="341"/>
      <c r="AD93" s="341"/>
      <c r="AE93" s="341"/>
    </row>
    <row r="94" spans="1:31" ht="15.75" customHeight="1">
      <c r="A94" s="340"/>
      <c r="B94" s="1"/>
      <c r="C94" s="1"/>
      <c r="D94" s="340"/>
      <c r="E94" s="340"/>
      <c r="F94" s="340"/>
      <c r="G94" s="1"/>
      <c r="H94" s="1"/>
      <c r="I94" s="340"/>
      <c r="J94" s="340"/>
      <c r="K94" s="1"/>
      <c r="L94" s="1"/>
      <c r="M94" s="341"/>
      <c r="N94" s="341"/>
      <c r="O94" s="341"/>
      <c r="P94" s="341"/>
      <c r="Q94" s="341"/>
      <c r="R94" s="341"/>
      <c r="S94" s="341"/>
      <c r="T94" s="341"/>
      <c r="U94" s="341"/>
      <c r="V94" s="341"/>
      <c r="W94" s="341"/>
      <c r="X94" s="341"/>
      <c r="Y94" s="341"/>
      <c r="Z94" s="341"/>
      <c r="AA94" s="341"/>
      <c r="AB94" s="341"/>
      <c r="AC94" s="341"/>
      <c r="AD94" s="341"/>
      <c r="AE94" s="341"/>
    </row>
    <row r="95" spans="1:31" ht="15.75" customHeight="1">
      <c r="A95" s="340"/>
      <c r="B95" s="1"/>
      <c r="C95" s="1"/>
      <c r="D95" s="340"/>
      <c r="E95" s="340"/>
      <c r="F95" s="340"/>
      <c r="G95" s="1"/>
      <c r="H95" s="1"/>
      <c r="I95" s="340"/>
      <c r="J95" s="340"/>
      <c r="K95" s="1"/>
      <c r="L95" s="1"/>
      <c r="M95" s="341"/>
      <c r="N95" s="341"/>
      <c r="O95" s="341"/>
      <c r="P95" s="341"/>
      <c r="Q95" s="341"/>
      <c r="R95" s="341"/>
      <c r="S95" s="341"/>
      <c r="T95" s="341"/>
      <c r="U95" s="341"/>
      <c r="V95" s="341"/>
      <c r="W95" s="341"/>
      <c r="X95" s="341"/>
      <c r="Y95" s="341"/>
      <c r="Z95" s="341"/>
      <c r="AA95" s="341"/>
      <c r="AB95" s="341"/>
      <c r="AC95" s="341"/>
      <c r="AD95" s="341"/>
      <c r="AE95" s="341"/>
    </row>
    <row r="96" spans="1:31" ht="15.75" customHeight="1">
      <c r="A96" s="340"/>
      <c r="B96" s="1"/>
      <c r="C96" s="1"/>
      <c r="D96" s="340"/>
      <c r="E96" s="340"/>
      <c r="F96" s="340"/>
      <c r="G96" s="1"/>
      <c r="H96" s="1"/>
      <c r="I96" s="340"/>
      <c r="J96" s="340"/>
      <c r="K96" s="1"/>
      <c r="L96" s="1"/>
      <c r="M96" s="341"/>
      <c r="N96" s="341"/>
      <c r="O96" s="341"/>
      <c r="P96" s="341"/>
      <c r="Q96" s="341"/>
      <c r="R96" s="341"/>
      <c r="S96" s="341"/>
      <c r="T96" s="341"/>
      <c r="U96" s="341"/>
      <c r="V96" s="341"/>
      <c r="W96" s="341"/>
      <c r="X96" s="341"/>
      <c r="Y96" s="341"/>
      <c r="Z96" s="341"/>
      <c r="AA96" s="341"/>
      <c r="AB96" s="341"/>
      <c r="AC96" s="341"/>
      <c r="AD96" s="341"/>
      <c r="AE96" s="341"/>
    </row>
    <row r="97" spans="1:31" ht="15.75" customHeight="1">
      <c r="A97" s="340"/>
      <c r="B97" s="1"/>
      <c r="C97" s="1"/>
      <c r="D97" s="340"/>
      <c r="E97" s="340"/>
      <c r="F97" s="340"/>
      <c r="G97" s="1"/>
      <c r="H97" s="1"/>
      <c r="I97" s="340"/>
      <c r="J97" s="340"/>
      <c r="K97" s="1"/>
      <c r="L97" s="1"/>
      <c r="M97" s="341"/>
      <c r="N97" s="341"/>
      <c r="O97" s="341"/>
      <c r="P97" s="341"/>
      <c r="Q97" s="341"/>
      <c r="R97" s="341"/>
      <c r="S97" s="341"/>
      <c r="T97" s="341"/>
      <c r="U97" s="341"/>
      <c r="V97" s="341"/>
      <c r="W97" s="341"/>
      <c r="X97" s="341"/>
      <c r="Y97" s="341"/>
      <c r="Z97" s="341"/>
      <c r="AA97" s="341"/>
      <c r="AB97" s="341"/>
      <c r="AC97" s="341"/>
      <c r="AD97" s="341"/>
      <c r="AE97" s="341"/>
    </row>
    <row r="98" spans="1:31" ht="15.75" customHeight="1">
      <c r="A98" s="340"/>
      <c r="B98" s="1"/>
      <c r="C98" s="1"/>
      <c r="D98" s="340"/>
      <c r="E98" s="340"/>
      <c r="F98" s="340"/>
      <c r="G98" s="1"/>
      <c r="H98" s="1"/>
      <c r="I98" s="340"/>
      <c r="J98" s="340"/>
      <c r="K98" s="1"/>
      <c r="L98" s="1"/>
      <c r="M98" s="341"/>
      <c r="N98" s="341"/>
      <c r="O98" s="341"/>
      <c r="P98" s="341"/>
      <c r="Q98" s="341"/>
      <c r="R98" s="341"/>
      <c r="S98" s="341"/>
      <c r="T98" s="341"/>
      <c r="U98" s="341"/>
      <c r="V98" s="341"/>
      <c r="W98" s="341"/>
      <c r="X98" s="341"/>
      <c r="Y98" s="341"/>
      <c r="Z98" s="341"/>
      <c r="AA98" s="341"/>
      <c r="AB98" s="341"/>
      <c r="AC98" s="341"/>
      <c r="AD98" s="341"/>
      <c r="AE98" s="341"/>
    </row>
    <row r="99" spans="1:31" ht="15.75" customHeight="1">
      <c r="A99" s="340"/>
      <c r="B99" s="1"/>
      <c r="C99" s="1"/>
      <c r="D99" s="340"/>
      <c r="E99" s="340"/>
      <c r="F99" s="340"/>
      <c r="G99" s="1"/>
      <c r="H99" s="1"/>
      <c r="I99" s="340"/>
      <c r="J99" s="340"/>
      <c r="K99" s="1"/>
      <c r="L99" s="1"/>
      <c r="M99" s="341"/>
      <c r="N99" s="341"/>
      <c r="O99" s="341"/>
      <c r="P99" s="341"/>
      <c r="Q99" s="341"/>
      <c r="R99" s="341"/>
      <c r="S99" s="341"/>
      <c r="T99" s="341"/>
      <c r="U99" s="341"/>
      <c r="V99" s="341"/>
      <c r="W99" s="341"/>
      <c r="X99" s="341"/>
      <c r="Y99" s="341"/>
      <c r="Z99" s="341"/>
      <c r="AA99" s="341"/>
      <c r="AB99" s="341"/>
      <c r="AC99" s="341"/>
      <c r="AD99" s="341"/>
      <c r="AE99" s="341"/>
    </row>
    <row r="100" spans="1:31" ht="15.75" customHeight="1">
      <c r="A100" s="340"/>
      <c r="B100" s="1"/>
      <c r="C100" s="1"/>
      <c r="D100" s="340"/>
      <c r="E100" s="340"/>
      <c r="F100" s="340"/>
      <c r="G100" s="1"/>
      <c r="H100" s="1"/>
      <c r="I100" s="340"/>
      <c r="J100" s="340"/>
      <c r="K100" s="1"/>
      <c r="L100" s="1"/>
      <c r="M100" s="341"/>
      <c r="N100" s="341"/>
      <c r="O100" s="341"/>
      <c r="P100" s="341"/>
      <c r="Q100" s="341"/>
      <c r="R100" s="341"/>
      <c r="S100" s="341"/>
      <c r="T100" s="341"/>
      <c r="U100" s="341"/>
      <c r="V100" s="341"/>
      <c r="W100" s="341"/>
      <c r="X100" s="341"/>
      <c r="Y100" s="341"/>
      <c r="Z100" s="341"/>
      <c r="AA100" s="341"/>
      <c r="AB100" s="341"/>
      <c r="AC100" s="341"/>
      <c r="AD100" s="341"/>
      <c r="AE100" s="341"/>
    </row>
    <row r="101" spans="1:31" ht="15.75" customHeight="1">
      <c r="A101" s="340"/>
      <c r="B101" s="1"/>
      <c r="C101" s="1"/>
      <c r="D101" s="340"/>
      <c r="E101" s="340"/>
      <c r="F101" s="340"/>
      <c r="G101" s="1"/>
      <c r="H101" s="1"/>
      <c r="I101" s="340"/>
      <c r="J101" s="340"/>
      <c r="K101" s="1"/>
      <c r="L101" s="1"/>
      <c r="M101" s="341"/>
      <c r="N101" s="341"/>
      <c r="O101" s="341"/>
      <c r="P101" s="341"/>
      <c r="Q101" s="341"/>
      <c r="R101" s="341"/>
      <c r="S101" s="341"/>
      <c r="T101" s="341"/>
      <c r="U101" s="341"/>
      <c r="V101" s="341"/>
      <c r="W101" s="341"/>
      <c r="X101" s="341"/>
      <c r="Y101" s="341"/>
      <c r="Z101" s="341"/>
      <c r="AA101" s="341"/>
      <c r="AB101" s="341"/>
      <c r="AC101" s="341"/>
      <c r="AD101" s="341"/>
      <c r="AE101" s="341"/>
    </row>
    <row r="102" spans="1:31" ht="15.75" customHeight="1">
      <c r="A102" s="340"/>
      <c r="B102" s="1"/>
      <c r="C102" s="1"/>
      <c r="D102" s="340"/>
      <c r="E102" s="340"/>
      <c r="F102" s="340"/>
      <c r="G102" s="1"/>
      <c r="H102" s="1"/>
      <c r="I102" s="340"/>
      <c r="J102" s="340"/>
      <c r="K102" s="1"/>
      <c r="L102" s="1"/>
      <c r="M102" s="341"/>
      <c r="N102" s="341"/>
      <c r="O102" s="341"/>
      <c r="P102" s="341"/>
      <c r="Q102" s="341"/>
      <c r="R102" s="341"/>
      <c r="S102" s="341"/>
      <c r="T102" s="341"/>
      <c r="U102" s="341"/>
      <c r="V102" s="341"/>
      <c r="W102" s="341"/>
      <c r="X102" s="341"/>
      <c r="Y102" s="341"/>
      <c r="Z102" s="341"/>
      <c r="AA102" s="341"/>
      <c r="AB102" s="341"/>
      <c r="AC102" s="341"/>
      <c r="AD102" s="341"/>
      <c r="AE102" s="341"/>
    </row>
    <row r="103" spans="1:31" ht="15.75" customHeight="1">
      <c r="A103" s="340"/>
      <c r="B103" s="1"/>
      <c r="C103" s="1"/>
      <c r="D103" s="340"/>
      <c r="E103" s="340"/>
      <c r="F103" s="340"/>
      <c r="G103" s="1"/>
      <c r="H103" s="1"/>
      <c r="I103" s="340"/>
      <c r="J103" s="340"/>
      <c r="K103" s="1"/>
      <c r="L103" s="1"/>
      <c r="M103" s="341"/>
      <c r="N103" s="341"/>
      <c r="O103" s="341"/>
      <c r="P103" s="341"/>
      <c r="Q103" s="341"/>
      <c r="R103" s="341"/>
      <c r="S103" s="341"/>
      <c r="T103" s="341"/>
      <c r="U103" s="341"/>
      <c r="V103" s="341"/>
      <c r="W103" s="341"/>
      <c r="X103" s="341"/>
      <c r="Y103" s="341"/>
      <c r="Z103" s="341"/>
      <c r="AA103" s="341"/>
      <c r="AB103" s="341"/>
      <c r="AC103" s="341"/>
      <c r="AD103" s="341"/>
      <c r="AE103" s="341"/>
    </row>
    <row r="104" spans="1:31" ht="15.75" customHeight="1">
      <c r="A104" s="340"/>
      <c r="B104" s="1"/>
      <c r="C104" s="1"/>
      <c r="D104" s="340"/>
      <c r="E104" s="340"/>
      <c r="F104" s="340"/>
      <c r="G104" s="1"/>
      <c r="H104" s="1"/>
      <c r="I104" s="340"/>
      <c r="J104" s="340"/>
      <c r="K104" s="1"/>
      <c r="L104" s="1"/>
      <c r="M104" s="341"/>
      <c r="N104" s="341"/>
      <c r="O104" s="341"/>
      <c r="P104" s="341"/>
      <c r="Q104" s="341"/>
      <c r="R104" s="341"/>
      <c r="S104" s="341"/>
      <c r="T104" s="341"/>
      <c r="U104" s="341"/>
      <c r="V104" s="341"/>
      <c r="W104" s="341"/>
      <c r="X104" s="341"/>
      <c r="Y104" s="341"/>
      <c r="Z104" s="341"/>
      <c r="AA104" s="341"/>
      <c r="AB104" s="341"/>
      <c r="AC104" s="341"/>
      <c r="AD104" s="341"/>
      <c r="AE104" s="341"/>
    </row>
    <row r="105" spans="1:31" ht="15.75" customHeight="1">
      <c r="A105" s="340"/>
      <c r="B105" s="1"/>
      <c r="C105" s="1"/>
      <c r="D105" s="340"/>
      <c r="E105" s="340"/>
      <c r="F105" s="340"/>
      <c r="G105" s="1"/>
      <c r="H105" s="1"/>
      <c r="I105" s="340"/>
      <c r="J105" s="340"/>
      <c r="K105" s="1"/>
      <c r="L105" s="1"/>
      <c r="M105" s="341"/>
      <c r="N105" s="341"/>
      <c r="O105" s="341"/>
      <c r="P105" s="341"/>
      <c r="Q105" s="341"/>
      <c r="R105" s="341"/>
      <c r="S105" s="341"/>
      <c r="T105" s="341"/>
      <c r="U105" s="341"/>
      <c r="V105" s="341"/>
      <c r="W105" s="341"/>
      <c r="X105" s="341"/>
      <c r="Y105" s="341"/>
      <c r="Z105" s="341"/>
      <c r="AA105" s="341"/>
      <c r="AB105" s="341"/>
      <c r="AC105" s="341"/>
      <c r="AD105" s="341"/>
      <c r="AE105" s="341"/>
    </row>
    <row r="106" spans="1:31" ht="15.75" customHeight="1">
      <c r="A106" s="340"/>
      <c r="B106" s="1"/>
      <c r="C106" s="1"/>
      <c r="D106" s="340"/>
      <c r="E106" s="340"/>
      <c r="F106" s="340"/>
      <c r="G106" s="1"/>
      <c r="H106" s="1"/>
      <c r="I106" s="340"/>
      <c r="J106" s="340"/>
      <c r="K106" s="1"/>
      <c r="L106" s="1"/>
      <c r="M106" s="341"/>
      <c r="N106" s="341"/>
      <c r="O106" s="341"/>
      <c r="P106" s="341"/>
      <c r="Q106" s="341"/>
      <c r="R106" s="341"/>
      <c r="S106" s="341"/>
      <c r="T106" s="341"/>
      <c r="U106" s="341"/>
      <c r="V106" s="341"/>
      <c r="W106" s="341"/>
      <c r="X106" s="341"/>
      <c r="Y106" s="341"/>
      <c r="Z106" s="341"/>
      <c r="AA106" s="341"/>
      <c r="AB106" s="341"/>
      <c r="AC106" s="341"/>
      <c r="AD106" s="341"/>
      <c r="AE106" s="341"/>
    </row>
    <row r="107" spans="1:31" ht="15.75" customHeight="1">
      <c r="A107" s="340"/>
      <c r="B107" s="1"/>
      <c r="C107" s="1"/>
      <c r="D107" s="340"/>
      <c r="E107" s="340"/>
      <c r="F107" s="340"/>
      <c r="G107" s="1"/>
      <c r="H107" s="1"/>
      <c r="I107" s="340"/>
      <c r="J107" s="340"/>
      <c r="K107" s="1"/>
      <c r="L107" s="1"/>
      <c r="M107" s="341"/>
      <c r="N107" s="341"/>
      <c r="O107" s="341"/>
      <c r="P107" s="341"/>
      <c r="Q107" s="341"/>
      <c r="R107" s="341"/>
      <c r="S107" s="341"/>
      <c r="T107" s="341"/>
      <c r="U107" s="341"/>
      <c r="V107" s="341"/>
      <c r="W107" s="341"/>
      <c r="X107" s="341"/>
      <c r="Y107" s="341"/>
      <c r="Z107" s="341"/>
      <c r="AA107" s="341"/>
      <c r="AB107" s="341"/>
      <c r="AC107" s="341"/>
      <c r="AD107" s="341"/>
      <c r="AE107" s="341"/>
    </row>
    <row r="108" spans="1:31" ht="15.75" customHeight="1">
      <c r="A108" s="340"/>
      <c r="B108" s="1"/>
      <c r="C108" s="1"/>
      <c r="D108" s="340"/>
      <c r="E108" s="340"/>
      <c r="F108" s="340"/>
      <c r="G108" s="1"/>
      <c r="H108" s="1"/>
      <c r="I108" s="340"/>
      <c r="J108" s="340"/>
      <c r="K108" s="1"/>
      <c r="L108" s="1"/>
      <c r="M108" s="341"/>
      <c r="N108" s="341"/>
      <c r="O108" s="341"/>
      <c r="P108" s="341"/>
      <c r="Q108" s="341"/>
      <c r="R108" s="341"/>
      <c r="S108" s="341"/>
      <c r="T108" s="341"/>
      <c r="U108" s="341"/>
      <c r="V108" s="341"/>
      <c r="W108" s="341"/>
      <c r="X108" s="341"/>
      <c r="Y108" s="341"/>
      <c r="Z108" s="341"/>
      <c r="AA108" s="341"/>
      <c r="AB108" s="341"/>
      <c r="AC108" s="341"/>
      <c r="AD108" s="341"/>
      <c r="AE108" s="341"/>
    </row>
    <row r="109" spans="1:31" ht="15.75" customHeight="1">
      <c r="A109" s="340"/>
      <c r="B109" s="1"/>
      <c r="C109" s="1"/>
      <c r="D109" s="340"/>
      <c r="E109" s="340"/>
      <c r="F109" s="340"/>
      <c r="G109" s="1"/>
      <c r="H109" s="1"/>
      <c r="I109" s="340"/>
      <c r="J109" s="340"/>
      <c r="K109" s="1"/>
      <c r="L109" s="1"/>
      <c r="M109" s="341"/>
      <c r="N109" s="341"/>
      <c r="O109" s="341"/>
      <c r="P109" s="341"/>
      <c r="Q109" s="341"/>
      <c r="R109" s="341"/>
      <c r="S109" s="341"/>
      <c r="T109" s="341"/>
      <c r="U109" s="341"/>
      <c r="V109" s="341"/>
      <c r="W109" s="341"/>
      <c r="X109" s="341"/>
      <c r="Y109" s="341"/>
      <c r="Z109" s="341"/>
      <c r="AA109" s="341"/>
      <c r="AB109" s="341"/>
      <c r="AC109" s="341"/>
      <c r="AD109" s="341"/>
      <c r="AE109" s="341"/>
    </row>
    <row r="110" spans="1:31" ht="15.75" customHeight="1">
      <c r="A110" s="340"/>
      <c r="B110" s="1"/>
      <c r="C110" s="1"/>
      <c r="D110" s="340"/>
      <c r="E110" s="340"/>
      <c r="F110" s="340"/>
      <c r="G110" s="1"/>
      <c r="H110" s="1"/>
      <c r="I110" s="340"/>
      <c r="J110" s="340"/>
      <c r="K110" s="1"/>
      <c r="L110" s="1"/>
      <c r="M110" s="341"/>
      <c r="N110" s="341"/>
      <c r="O110" s="341"/>
      <c r="P110" s="341"/>
      <c r="Q110" s="341"/>
      <c r="R110" s="341"/>
      <c r="S110" s="341"/>
      <c r="T110" s="341"/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</row>
    <row r="111" spans="1:31" ht="15.75" customHeight="1">
      <c r="A111" s="340"/>
      <c r="B111" s="1"/>
      <c r="C111" s="1"/>
      <c r="D111" s="340"/>
      <c r="E111" s="340"/>
      <c r="F111" s="340"/>
      <c r="G111" s="1"/>
      <c r="H111" s="1"/>
      <c r="I111" s="340"/>
      <c r="J111" s="340"/>
      <c r="K111" s="1"/>
      <c r="L111" s="1"/>
      <c r="M111" s="341"/>
      <c r="N111" s="341"/>
      <c r="O111" s="341"/>
      <c r="P111" s="341"/>
      <c r="Q111" s="341"/>
      <c r="R111" s="341"/>
      <c r="S111" s="341"/>
      <c r="T111" s="341"/>
      <c r="U111" s="341"/>
      <c r="V111" s="341"/>
      <c r="W111" s="341"/>
      <c r="X111" s="341"/>
      <c r="Y111" s="341"/>
      <c r="Z111" s="341"/>
      <c r="AA111" s="341"/>
      <c r="AB111" s="341"/>
      <c r="AC111" s="341"/>
      <c r="AD111" s="341"/>
      <c r="AE111" s="341"/>
    </row>
    <row r="112" spans="1:31" ht="15.75" customHeight="1">
      <c r="A112" s="340"/>
      <c r="B112" s="1"/>
      <c r="C112" s="1"/>
      <c r="D112" s="340"/>
      <c r="E112" s="340"/>
      <c r="F112" s="340"/>
      <c r="G112" s="1"/>
      <c r="H112" s="1"/>
      <c r="I112" s="340"/>
      <c r="J112" s="340"/>
      <c r="K112" s="1"/>
      <c r="L112" s="1"/>
      <c r="M112" s="341"/>
      <c r="N112" s="341"/>
      <c r="O112" s="341"/>
      <c r="P112" s="341"/>
      <c r="Q112" s="341"/>
      <c r="R112" s="341"/>
      <c r="S112" s="341"/>
      <c r="T112" s="341"/>
      <c r="U112" s="341"/>
      <c r="V112" s="341"/>
      <c r="W112" s="341"/>
      <c r="X112" s="341"/>
      <c r="Y112" s="341"/>
      <c r="Z112" s="341"/>
      <c r="AA112" s="341"/>
      <c r="AB112" s="341"/>
      <c r="AC112" s="341"/>
      <c r="AD112" s="341"/>
      <c r="AE112" s="341"/>
    </row>
    <row r="113" spans="1:31" ht="15.75" customHeight="1">
      <c r="A113" s="340"/>
      <c r="B113" s="1"/>
      <c r="C113" s="1"/>
      <c r="D113" s="340"/>
      <c r="E113" s="340"/>
      <c r="F113" s="340"/>
      <c r="G113" s="1"/>
      <c r="H113" s="1"/>
      <c r="I113" s="340"/>
      <c r="J113" s="340"/>
      <c r="K113" s="1"/>
      <c r="L113" s="1"/>
      <c r="M113" s="341"/>
      <c r="N113" s="341"/>
      <c r="O113" s="341"/>
      <c r="P113" s="341"/>
      <c r="Q113" s="341"/>
      <c r="R113" s="341"/>
      <c r="S113" s="341"/>
      <c r="T113" s="341"/>
      <c r="U113" s="341"/>
      <c r="V113" s="341"/>
      <c r="W113" s="341"/>
      <c r="X113" s="341"/>
      <c r="Y113" s="341"/>
      <c r="Z113" s="341"/>
      <c r="AA113" s="341"/>
      <c r="AB113" s="341"/>
      <c r="AC113" s="341"/>
      <c r="AD113" s="341"/>
      <c r="AE113" s="341"/>
    </row>
    <row r="114" spans="1:31" ht="15.75" customHeight="1">
      <c r="A114" s="340"/>
      <c r="B114" s="1"/>
      <c r="C114" s="1"/>
      <c r="D114" s="340"/>
      <c r="E114" s="340"/>
      <c r="F114" s="340"/>
      <c r="G114" s="1"/>
      <c r="H114" s="1"/>
      <c r="I114" s="340"/>
      <c r="J114" s="340"/>
      <c r="K114" s="1"/>
      <c r="L114" s="1"/>
      <c r="M114" s="341"/>
      <c r="N114" s="341"/>
      <c r="O114" s="341"/>
      <c r="P114" s="341"/>
      <c r="Q114" s="341"/>
      <c r="R114" s="341"/>
      <c r="S114" s="341"/>
      <c r="T114" s="341"/>
      <c r="U114" s="341"/>
      <c r="V114" s="341"/>
      <c r="W114" s="341"/>
      <c r="X114" s="341"/>
      <c r="Y114" s="341"/>
      <c r="Z114" s="341"/>
      <c r="AA114" s="341"/>
      <c r="AB114" s="341"/>
      <c r="AC114" s="341"/>
      <c r="AD114" s="341"/>
      <c r="AE114" s="341"/>
    </row>
    <row r="115" spans="1:31" ht="15.75" customHeight="1">
      <c r="A115" s="340"/>
      <c r="B115" s="1"/>
      <c r="C115" s="1"/>
      <c r="D115" s="340"/>
      <c r="E115" s="340"/>
      <c r="F115" s="340"/>
      <c r="G115" s="1"/>
      <c r="H115" s="1"/>
      <c r="I115" s="340"/>
      <c r="J115" s="340"/>
      <c r="K115" s="1"/>
      <c r="L115" s="1"/>
      <c r="M115" s="341"/>
      <c r="N115" s="341"/>
      <c r="O115" s="341"/>
      <c r="P115" s="341"/>
      <c r="Q115" s="341"/>
      <c r="R115" s="341"/>
      <c r="S115" s="341"/>
      <c r="T115" s="341"/>
      <c r="U115" s="341"/>
      <c r="V115" s="341"/>
      <c r="W115" s="341"/>
      <c r="X115" s="341"/>
      <c r="Y115" s="341"/>
      <c r="Z115" s="341"/>
      <c r="AA115" s="341"/>
      <c r="AB115" s="341"/>
      <c r="AC115" s="341"/>
      <c r="AD115" s="341"/>
      <c r="AE115" s="341"/>
    </row>
    <row r="116" spans="1:31" ht="15.75" customHeight="1">
      <c r="A116" s="340"/>
      <c r="B116" s="1"/>
      <c r="C116" s="1"/>
      <c r="D116" s="340"/>
      <c r="E116" s="340"/>
      <c r="F116" s="340"/>
      <c r="G116" s="1"/>
      <c r="H116" s="1"/>
      <c r="I116" s="340"/>
      <c r="J116" s="340"/>
      <c r="K116" s="1"/>
      <c r="L116" s="1"/>
      <c r="M116" s="341"/>
      <c r="N116" s="341"/>
      <c r="O116" s="341"/>
      <c r="P116" s="341"/>
      <c r="Q116" s="341"/>
      <c r="R116" s="341"/>
      <c r="S116" s="341"/>
      <c r="T116" s="341"/>
      <c r="U116" s="341"/>
      <c r="V116" s="341"/>
      <c r="W116" s="341"/>
      <c r="X116" s="341"/>
      <c r="Y116" s="341"/>
      <c r="Z116" s="341"/>
      <c r="AA116" s="341"/>
      <c r="AB116" s="341"/>
      <c r="AC116" s="341"/>
      <c r="AD116" s="341"/>
      <c r="AE116" s="341"/>
    </row>
    <row r="117" spans="1:31" ht="15.75" customHeight="1">
      <c r="A117" s="340"/>
      <c r="B117" s="1"/>
      <c r="C117" s="1"/>
      <c r="D117" s="340"/>
      <c r="E117" s="340"/>
      <c r="F117" s="340"/>
      <c r="G117" s="1"/>
      <c r="H117" s="1"/>
      <c r="I117" s="340"/>
      <c r="J117" s="340"/>
      <c r="K117" s="1"/>
      <c r="L117" s="1"/>
      <c r="M117" s="341"/>
      <c r="N117" s="341"/>
      <c r="O117" s="341"/>
      <c r="P117" s="341"/>
      <c r="Q117" s="341"/>
      <c r="R117" s="341"/>
      <c r="S117" s="341"/>
      <c r="T117" s="341"/>
      <c r="U117" s="341"/>
      <c r="V117" s="341"/>
      <c r="W117" s="341"/>
      <c r="X117" s="341"/>
      <c r="Y117" s="341"/>
      <c r="Z117" s="341"/>
      <c r="AA117" s="341"/>
      <c r="AB117" s="341"/>
      <c r="AC117" s="341"/>
      <c r="AD117" s="341"/>
      <c r="AE117" s="341"/>
    </row>
    <row r="118" spans="1:31" ht="15.75" customHeight="1">
      <c r="A118" s="340"/>
      <c r="B118" s="1"/>
      <c r="C118" s="1"/>
      <c r="D118" s="340"/>
      <c r="E118" s="340"/>
      <c r="F118" s="340"/>
      <c r="G118" s="1"/>
      <c r="H118" s="1"/>
      <c r="I118" s="340"/>
      <c r="J118" s="340"/>
      <c r="K118" s="1"/>
      <c r="L118" s="1"/>
      <c r="M118" s="341"/>
      <c r="N118" s="341"/>
      <c r="O118" s="341"/>
      <c r="P118" s="341"/>
      <c r="Q118" s="341"/>
      <c r="R118" s="341"/>
      <c r="S118" s="341"/>
      <c r="T118" s="341"/>
      <c r="U118" s="341"/>
      <c r="V118" s="341"/>
      <c r="W118" s="341"/>
      <c r="X118" s="341"/>
      <c r="Y118" s="341"/>
      <c r="Z118" s="341"/>
      <c r="AA118" s="341"/>
      <c r="AB118" s="341"/>
      <c r="AC118" s="341"/>
      <c r="AD118" s="341"/>
      <c r="AE118" s="341"/>
    </row>
    <row r="119" spans="1:31" ht="15.75" customHeight="1">
      <c r="A119" s="340"/>
      <c r="B119" s="1"/>
      <c r="C119" s="1"/>
      <c r="D119" s="340"/>
      <c r="E119" s="340"/>
      <c r="F119" s="340"/>
      <c r="G119" s="1"/>
      <c r="H119" s="1"/>
      <c r="I119" s="340"/>
      <c r="J119" s="340"/>
      <c r="K119" s="1"/>
      <c r="L119" s="1"/>
      <c r="M119" s="341"/>
      <c r="N119" s="341"/>
      <c r="O119" s="341"/>
      <c r="P119" s="341"/>
      <c r="Q119" s="341"/>
      <c r="R119" s="341"/>
      <c r="S119" s="341"/>
      <c r="T119" s="341"/>
      <c r="U119" s="341"/>
      <c r="V119" s="341"/>
      <c r="W119" s="341"/>
      <c r="X119" s="341"/>
      <c r="Y119" s="341"/>
      <c r="Z119" s="341"/>
      <c r="AA119" s="341"/>
      <c r="AB119" s="341"/>
      <c r="AC119" s="341"/>
      <c r="AD119" s="341"/>
      <c r="AE119" s="341"/>
    </row>
    <row r="120" spans="1:31" ht="15.75" customHeight="1">
      <c r="A120" s="340"/>
      <c r="B120" s="1"/>
      <c r="C120" s="1"/>
      <c r="D120" s="340"/>
      <c r="E120" s="340"/>
      <c r="F120" s="340"/>
      <c r="G120" s="1"/>
      <c r="H120" s="1"/>
      <c r="I120" s="340"/>
      <c r="J120" s="340"/>
      <c r="K120" s="1"/>
      <c r="L120" s="1"/>
      <c r="M120" s="341"/>
      <c r="N120" s="341"/>
      <c r="O120" s="341"/>
      <c r="P120" s="341"/>
      <c r="Q120" s="341"/>
      <c r="R120" s="341"/>
      <c r="S120" s="341"/>
      <c r="T120" s="341"/>
      <c r="U120" s="341"/>
      <c r="V120" s="341"/>
      <c r="W120" s="341"/>
      <c r="X120" s="341"/>
      <c r="Y120" s="341"/>
      <c r="Z120" s="341"/>
      <c r="AA120" s="341"/>
      <c r="AB120" s="341"/>
      <c r="AC120" s="341"/>
      <c r="AD120" s="341"/>
      <c r="AE120" s="341"/>
    </row>
    <row r="121" spans="1:31" ht="15.75" customHeight="1">
      <c r="A121" s="340"/>
      <c r="B121" s="1"/>
      <c r="C121" s="1"/>
      <c r="D121" s="340"/>
      <c r="E121" s="340"/>
      <c r="F121" s="340"/>
      <c r="G121" s="1"/>
      <c r="H121" s="1"/>
      <c r="I121" s="340"/>
      <c r="J121" s="340"/>
      <c r="K121" s="1"/>
      <c r="L121" s="1"/>
      <c r="M121" s="341"/>
      <c r="N121" s="341"/>
      <c r="O121" s="341"/>
      <c r="P121" s="341"/>
      <c r="Q121" s="341"/>
      <c r="R121" s="341"/>
      <c r="S121" s="341"/>
      <c r="T121" s="341"/>
      <c r="U121" s="341"/>
      <c r="V121" s="341"/>
      <c r="W121" s="341"/>
      <c r="X121" s="341"/>
      <c r="Y121" s="341"/>
      <c r="Z121" s="341"/>
      <c r="AA121" s="341"/>
      <c r="AB121" s="341"/>
      <c r="AC121" s="341"/>
      <c r="AD121" s="341"/>
      <c r="AE121" s="341"/>
    </row>
    <row r="122" spans="1:31" ht="15.75" customHeight="1">
      <c r="A122" s="340"/>
      <c r="B122" s="1"/>
      <c r="C122" s="1"/>
      <c r="D122" s="340"/>
      <c r="E122" s="340"/>
      <c r="F122" s="340"/>
      <c r="G122" s="1"/>
      <c r="H122" s="1"/>
      <c r="I122" s="340"/>
      <c r="J122" s="340"/>
      <c r="K122" s="1"/>
      <c r="L122" s="1"/>
      <c r="M122" s="341"/>
      <c r="N122" s="341"/>
      <c r="O122" s="341"/>
      <c r="P122" s="341"/>
      <c r="Q122" s="341"/>
      <c r="R122" s="341"/>
      <c r="S122" s="341"/>
      <c r="T122" s="341"/>
      <c r="U122" s="341"/>
      <c r="V122" s="341"/>
      <c r="W122" s="341"/>
      <c r="X122" s="341"/>
      <c r="Y122" s="341"/>
      <c r="Z122" s="341"/>
      <c r="AA122" s="341"/>
      <c r="AB122" s="341"/>
      <c r="AC122" s="341"/>
      <c r="AD122" s="341"/>
      <c r="AE122" s="341"/>
    </row>
    <row r="123" spans="1:31" ht="15.75" customHeight="1">
      <c r="A123" s="340"/>
      <c r="B123" s="1"/>
      <c r="C123" s="1"/>
      <c r="D123" s="340"/>
      <c r="E123" s="340"/>
      <c r="F123" s="340"/>
      <c r="G123" s="1"/>
      <c r="H123" s="1"/>
      <c r="I123" s="340"/>
      <c r="J123" s="340"/>
      <c r="K123" s="1"/>
      <c r="L123" s="1"/>
      <c r="M123" s="341"/>
      <c r="N123" s="341"/>
      <c r="O123" s="341"/>
      <c r="P123" s="341"/>
      <c r="Q123" s="341"/>
      <c r="R123" s="341"/>
      <c r="S123" s="341"/>
      <c r="T123" s="341"/>
      <c r="U123" s="341"/>
      <c r="V123" s="341"/>
      <c r="W123" s="341"/>
      <c r="X123" s="341"/>
      <c r="Y123" s="341"/>
      <c r="Z123" s="341"/>
      <c r="AA123" s="341"/>
      <c r="AB123" s="341"/>
      <c r="AC123" s="341"/>
      <c r="AD123" s="341"/>
      <c r="AE123" s="341"/>
    </row>
    <row r="124" spans="1:31" ht="15.75" customHeight="1">
      <c r="A124" s="340"/>
      <c r="B124" s="1"/>
      <c r="C124" s="1"/>
      <c r="D124" s="340"/>
      <c r="E124" s="340"/>
      <c r="F124" s="340"/>
      <c r="G124" s="1"/>
      <c r="H124" s="1"/>
      <c r="I124" s="340"/>
      <c r="J124" s="340"/>
      <c r="K124" s="1"/>
      <c r="L124" s="1"/>
      <c r="M124" s="341"/>
      <c r="N124" s="341"/>
      <c r="O124" s="341"/>
      <c r="P124" s="341"/>
      <c r="Q124" s="341"/>
      <c r="R124" s="341"/>
      <c r="S124" s="341"/>
      <c r="T124" s="341"/>
      <c r="U124" s="341"/>
      <c r="V124" s="341"/>
      <c r="W124" s="341"/>
      <c r="X124" s="341"/>
      <c r="Y124" s="341"/>
      <c r="Z124" s="341"/>
      <c r="AA124" s="341"/>
      <c r="AB124" s="341"/>
      <c r="AC124" s="341"/>
      <c r="AD124" s="341"/>
      <c r="AE124" s="341"/>
    </row>
    <row r="125" spans="1:31" ht="15.75" customHeight="1">
      <c r="A125" s="340"/>
      <c r="B125" s="1"/>
      <c r="C125" s="1"/>
      <c r="D125" s="340"/>
      <c r="E125" s="340"/>
      <c r="F125" s="340"/>
      <c r="G125" s="1"/>
      <c r="H125" s="1"/>
      <c r="I125" s="340"/>
      <c r="J125" s="340"/>
      <c r="K125" s="1"/>
      <c r="L125" s="1"/>
      <c r="M125" s="341"/>
      <c r="N125" s="341"/>
      <c r="O125" s="341"/>
      <c r="P125" s="341"/>
      <c r="Q125" s="341"/>
      <c r="R125" s="341"/>
      <c r="S125" s="341"/>
      <c r="T125" s="341"/>
      <c r="U125" s="341"/>
      <c r="V125" s="341"/>
      <c r="W125" s="341"/>
      <c r="X125" s="341"/>
      <c r="Y125" s="341"/>
      <c r="Z125" s="341"/>
      <c r="AA125" s="341"/>
      <c r="AB125" s="341"/>
      <c r="AC125" s="341"/>
      <c r="AD125" s="341"/>
      <c r="AE125" s="341"/>
    </row>
    <row r="126" spans="1:31" ht="15.75" customHeight="1">
      <c r="A126" s="340"/>
      <c r="B126" s="1"/>
      <c r="C126" s="1"/>
      <c r="D126" s="340"/>
      <c r="E126" s="340"/>
      <c r="F126" s="340"/>
      <c r="G126" s="1"/>
      <c r="H126" s="1"/>
      <c r="I126" s="340"/>
      <c r="J126" s="340"/>
      <c r="K126" s="1"/>
      <c r="L126" s="1"/>
      <c r="M126" s="341"/>
      <c r="N126" s="341"/>
      <c r="O126" s="341"/>
      <c r="P126" s="341"/>
      <c r="Q126" s="341"/>
      <c r="R126" s="341"/>
      <c r="S126" s="341"/>
      <c r="T126" s="341"/>
      <c r="U126" s="341"/>
      <c r="V126" s="341"/>
      <c r="W126" s="341"/>
      <c r="X126" s="341"/>
      <c r="Y126" s="341"/>
      <c r="Z126" s="341"/>
      <c r="AA126" s="341"/>
      <c r="AB126" s="341"/>
      <c r="AC126" s="341"/>
      <c r="AD126" s="341"/>
      <c r="AE126" s="341"/>
    </row>
    <row r="127" spans="1:31" ht="15.75" customHeight="1">
      <c r="A127" s="340"/>
      <c r="B127" s="1"/>
      <c r="C127" s="1"/>
      <c r="D127" s="340"/>
      <c r="E127" s="340"/>
      <c r="F127" s="340"/>
      <c r="G127" s="1"/>
      <c r="H127" s="1"/>
      <c r="I127" s="340"/>
      <c r="J127" s="340"/>
      <c r="K127" s="1"/>
      <c r="L127" s="1"/>
      <c r="M127" s="341"/>
      <c r="N127" s="341"/>
      <c r="O127" s="341"/>
      <c r="P127" s="341"/>
      <c r="Q127" s="341"/>
      <c r="R127" s="341"/>
      <c r="S127" s="341"/>
      <c r="T127" s="341"/>
      <c r="U127" s="341"/>
      <c r="V127" s="341"/>
      <c r="W127" s="341"/>
      <c r="X127" s="341"/>
      <c r="Y127" s="341"/>
      <c r="Z127" s="341"/>
      <c r="AA127" s="341"/>
      <c r="AB127" s="341"/>
      <c r="AC127" s="341"/>
      <c r="AD127" s="341"/>
      <c r="AE127" s="341"/>
    </row>
    <row r="128" spans="1:31" ht="15.75" customHeight="1">
      <c r="A128" s="340"/>
      <c r="B128" s="1"/>
      <c r="C128" s="1"/>
      <c r="D128" s="340"/>
      <c r="E128" s="340"/>
      <c r="F128" s="340"/>
      <c r="G128" s="1"/>
      <c r="H128" s="1"/>
      <c r="I128" s="340"/>
      <c r="J128" s="340"/>
      <c r="K128" s="1"/>
      <c r="L128" s="1"/>
      <c r="M128" s="341"/>
      <c r="N128" s="341"/>
      <c r="O128" s="341"/>
      <c r="P128" s="341"/>
      <c r="Q128" s="341"/>
      <c r="R128" s="341"/>
      <c r="S128" s="341"/>
      <c r="T128" s="341"/>
      <c r="U128" s="341"/>
      <c r="V128" s="341"/>
      <c r="W128" s="341"/>
      <c r="X128" s="341"/>
      <c r="Y128" s="341"/>
      <c r="Z128" s="341"/>
      <c r="AA128" s="341"/>
      <c r="AB128" s="341"/>
      <c r="AC128" s="341"/>
      <c r="AD128" s="341"/>
      <c r="AE128" s="341"/>
    </row>
    <row r="129" spans="1:31" ht="15.75" customHeight="1">
      <c r="A129" s="340"/>
      <c r="B129" s="1"/>
      <c r="C129" s="1"/>
      <c r="D129" s="340"/>
      <c r="E129" s="340"/>
      <c r="F129" s="340"/>
      <c r="G129" s="1"/>
      <c r="H129" s="1"/>
      <c r="I129" s="340"/>
      <c r="J129" s="340"/>
      <c r="K129" s="1"/>
      <c r="L129" s="1"/>
      <c r="M129" s="341"/>
      <c r="N129" s="341"/>
      <c r="O129" s="341"/>
      <c r="P129" s="341"/>
      <c r="Q129" s="341"/>
      <c r="R129" s="341"/>
      <c r="S129" s="341"/>
      <c r="T129" s="341"/>
      <c r="U129" s="341"/>
      <c r="V129" s="341"/>
      <c r="W129" s="341"/>
      <c r="X129" s="341"/>
      <c r="Y129" s="341"/>
      <c r="Z129" s="341"/>
      <c r="AA129" s="341"/>
      <c r="AB129" s="341"/>
      <c r="AC129" s="341"/>
      <c r="AD129" s="341"/>
      <c r="AE129" s="341"/>
    </row>
    <row r="130" spans="1:31" ht="15.75" customHeight="1">
      <c r="A130" s="340"/>
      <c r="B130" s="1"/>
      <c r="C130" s="1"/>
      <c r="D130" s="340"/>
      <c r="E130" s="340"/>
      <c r="F130" s="340"/>
      <c r="G130" s="1"/>
      <c r="H130" s="1"/>
      <c r="I130" s="340"/>
      <c r="J130" s="340"/>
      <c r="K130" s="1"/>
      <c r="L130" s="1"/>
      <c r="M130" s="341"/>
      <c r="N130" s="341"/>
      <c r="O130" s="341"/>
      <c r="P130" s="341"/>
      <c r="Q130" s="341"/>
      <c r="R130" s="341"/>
      <c r="S130" s="341"/>
      <c r="T130" s="341"/>
      <c r="U130" s="341"/>
      <c r="V130" s="341"/>
      <c r="W130" s="341"/>
      <c r="X130" s="341"/>
      <c r="Y130" s="341"/>
      <c r="Z130" s="341"/>
      <c r="AA130" s="341"/>
      <c r="AB130" s="341"/>
      <c r="AC130" s="341"/>
      <c r="AD130" s="341"/>
      <c r="AE130" s="341"/>
    </row>
    <row r="131" spans="1:31" ht="15.75" customHeight="1">
      <c r="A131" s="340"/>
      <c r="B131" s="1"/>
      <c r="C131" s="1"/>
      <c r="D131" s="340"/>
      <c r="E131" s="340"/>
      <c r="F131" s="340"/>
      <c r="G131" s="1"/>
      <c r="H131" s="1"/>
      <c r="I131" s="340"/>
      <c r="J131" s="340"/>
      <c r="K131" s="1"/>
      <c r="L131" s="1"/>
      <c r="M131" s="341"/>
      <c r="N131" s="341"/>
      <c r="O131" s="341"/>
      <c r="P131" s="341"/>
      <c r="Q131" s="341"/>
      <c r="R131" s="341"/>
      <c r="S131" s="341"/>
      <c r="T131" s="341"/>
      <c r="U131" s="341"/>
      <c r="V131" s="341"/>
      <c r="W131" s="341"/>
      <c r="X131" s="341"/>
      <c r="Y131" s="341"/>
      <c r="Z131" s="341"/>
      <c r="AA131" s="341"/>
      <c r="AB131" s="341"/>
      <c r="AC131" s="341"/>
      <c r="AD131" s="341"/>
      <c r="AE131" s="341"/>
    </row>
    <row r="132" spans="1:31" ht="15.75" customHeight="1">
      <c r="A132" s="340"/>
      <c r="B132" s="1"/>
      <c r="C132" s="1"/>
      <c r="D132" s="340"/>
      <c r="E132" s="340"/>
      <c r="F132" s="340"/>
      <c r="G132" s="1"/>
      <c r="H132" s="1"/>
      <c r="I132" s="340"/>
      <c r="J132" s="340"/>
      <c r="K132" s="1"/>
      <c r="L132" s="1"/>
      <c r="M132" s="341"/>
      <c r="N132" s="341"/>
      <c r="O132" s="341"/>
      <c r="P132" s="341"/>
      <c r="Q132" s="341"/>
      <c r="R132" s="341"/>
      <c r="S132" s="341"/>
      <c r="T132" s="341"/>
      <c r="U132" s="341"/>
      <c r="V132" s="341"/>
      <c r="W132" s="341"/>
      <c r="X132" s="341"/>
      <c r="Y132" s="341"/>
      <c r="Z132" s="341"/>
      <c r="AA132" s="341"/>
      <c r="AB132" s="341"/>
      <c r="AC132" s="341"/>
      <c r="AD132" s="341"/>
      <c r="AE132" s="341"/>
    </row>
    <row r="133" spans="1:31" ht="15.75" customHeight="1">
      <c r="A133" s="340"/>
      <c r="B133" s="1"/>
      <c r="C133" s="1"/>
      <c r="D133" s="340"/>
      <c r="E133" s="340"/>
      <c r="F133" s="340"/>
      <c r="G133" s="1"/>
      <c r="H133" s="1"/>
      <c r="I133" s="340"/>
      <c r="J133" s="340"/>
      <c r="K133" s="1"/>
      <c r="L133" s="1"/>
      <c r="M133" s="341"/>
      <c r="N133" s="341"/>
      <c r="O133" s="341"/>
      <c r="P133" s="341"/>
      <c r="Q133" s="341"/>
      <c r="R133" s="341"/>
      <c r="S133" s="341"/>
      <c r="T133" s="341"/>
      <c r="U133" s="341"/>
      <c r="V133" s="341"/>
      <c r="W133" s="341"/>
      <c r="X133" s="341"/>
      <c r="Y133" s="341"/>
      <c r="Z133" s="341"/>
      <c r="AA133" s="341"/>
      <c r="AB133" s="341"/>
      <c r="AC133" s="341"/>
      <c r="AD133" s="341"/>
      <c r="AE133" s="341"/>
    </row>
    <row r="134" spans="1:31" ht="15.75" customHeight="1">
      <c r="A134" s="340"/>
      <c r="B134" s="1"/>
      <c r="C134" s="1"/>
      <c r="D134" s="340"/>
      <c r="E134" s="340"/>
      <c r="F134" s="340"/>
      <c r="G134" s="1"/>
      <c r="H134" s="1"/>
      <c r="I134" s="340"/>
      <c r="J134" s="340"/>
      <c r="K134" s="1"/>
      <c r="L134" s="1"/>
      <c r="M134" s="341"/>
      <c r="N134" s="341"/>
      <c r="O134" s="341"/>
      <c r="P134" s="341"/>
      <c r="Q134" s="341"/>
      <c r="R134" s="341"/>
      <c r="S134" s="341"/>
      <c r="T134" s="341"/>
      <c r="U134" s="341"/>
      <c r="V134" s="341"/>
      <c r="W134" s="341"/>
      <c r="X134" s="341"/>
      <c r="Y134" s="341"/>
      <c r="Z134" s="341"/>
      <c r="AA134" s="341"/>
      <c r="AB134" s="341"/>
      <c r="AC134" s="341"/>
      <c r="AD134" s="341"/>
      <c r="AE134" s="341"/>
    </row>
    <row r="135" spans="1:31" ht="15.75" customHeight="1">
      <c r="A135" s="340"/>
      <c r="B135" s="1"/>
      <c r="C135" s="1"/>
      <c r="D135" s="340"/>
      <c r="E135" s="340"/>
      <c r="F135" s="340"/>
      <c r="G135" s="1"/>
      <c r="H135" s="1"/>
      <c r="I135" s="340"/>
      <c r="J135" s="340"/>
      <c r="K135" s="1"/>
      <c r="L135" s="1"/>
      <c r="M135" s="341"/>
      <c r="N135" s="341"/>
      <c r="O135" s="341"/>
      <c r="P135" s="341"/>
      <c r="Q135" s="341"/>
      <c r="R135" s="341"/>
      <c r="S135" s="341"/>
      <c r="T135" s="341"/>
      <c r="U135" s="341"/>
      <c r="V135" s="341"/>
      <c r="W135" s="341"/>
      <c r="X135" s="341"/>
      <c r="Y135" s="341"/>
      <c r="Z135" s="341"/>
      <c r="AA135" s="341"/>
      <c r="AB135" s="341"/>
      <c r="AC135" s="341"/>
      <c r="AD135" s="341"/>
      <c r="AE135" s="341"/>
    </row>
    <row r="136" spans="1:31" ht="15.75" customHeight="1">
      <c r="A136" s="340"/>
      <c r="B136" s="1"/>
      <c r="C136" s="1"/>
      <c r="D136" s="340"/>
      <c r="E136" s="340"/>
      <c r="F136" s="340"/>
      <c r="G136" s="1"/>
      <c r="H136" s="1"/>
      <c r="I136" s="340"/>
      <c r="J136" s="340"/>
      <c r="K136" s="1"/>
      <c r="L136" s="1"/>
      <c r="M136" s="341"/>
      <c r="N136" s="341"/>
      <c r="O136" s="341"/>
      <c r="P136" s="341"/>
      <c r="Q136" s="341"/>
      <c r="R136" s="341"/>
      <c r="S136" s="341"/>
      <c r="T136" s="341"/>
      <c r="U136" s="341"/>
      <c r="V136" s="341"/>
      <c r="W136" s="341"/>
      <c r="X136" s="341"/>
      <c r="Y136" s="341"/>
      <c r="Z136" s="341"/>
      <c r="AA136" s="341"/>
      <c r="AB136" s="341"/>
      <c r="AC136" s="341"/>
      <c r="AD136" s="341"/>
      <c r="AE136" s="341"/>
    </row>
    <row r="137" spans="1:31" ht="15.75" customHeight="1">
      <c r="A137" s="340"/>
      <c r="B137" s="1"/>
      <c r="C137" s="1"/>
      <c r="D137" s="340"/>
      <c r="E137" s="340"/>
      <c r="F137" s="340"/>
      <c r="G137" s="1"/>
      <c r="H137" s="1"/>
      <c r="I137" s="340"/>
      <c r="J137" s="340"/>
      <c r="K137" s="1"/>
      <c r="L137" s="1"/>
      <c r="M137" s="341"/>
      <c r="N137" s="341"/>
      <c r="O137" s="341"/>
      <c r="P137" s="341"/>
      <c r="Q137" s="341"/>
      <c r="R137" s="341"/>
      <c r="S137" s="341"/>
      <c r="T137" s="341"/>
      <c r="U137" s="341"/>
      <c r="V137" s="341"/>
      <c r="W137" s="341"/>
      <c r="X137" s="341"/>
      <c r="Y137" s="341"/>
      <c r="Z137" s="341"/>
      <c r="AA137" s="341"/>
      <c r="AB137" s="341"/>
      <c r="AC137" s="341"/>
      <c r="AD137" s="341"/>
      <c r="AE137" s="341"/>
    </row>
    <row r="138" spans="1:31" ht="15.75" customHeight="1">
      <c r="A138" s="340"/>
      <c r="B138" s="1"/>
      <c r="C138" s="1"/>
      <c r="D138" s="340"/>
      <c r="E138" s="340"/>
      <c r="F138" s="340"/>
      <c r="G138" s="1"/>
      <c r="H138" s="1"/>
      <c r="I138" s="340"/>
      <c r="J138" s="340"/>
      <c r="K138" s="1"/>
      <c r="L138" s="1"/>
      <c r="M138" s="341"/>
      <c r="N138" s="341"/>
      <c r="O138" s="341"/>
      <c r="P138" s="341"/>
      <c r="Q138" s="341"/>
      <c r="R138" s="341"/>
      <c r="S138" s="341"/>
      <c r="T138" s="341"/>
      <c r="U138" s="341"/>
      <c r="V138" s="341"/>
      <c r="W138" s="341"/>
      <c r="X138" s="341"/>
      <c r="Y138" s="341"/>
      <c r="Z138" s="341"/>
      <c r="AA138" s="341"/>
      <c r="AB138" s="341"/>
      <c r="AC138" s="341"/>
      <c r="AD138" s="341"/>
      <c r="AE138" s="341"/>
    </row>
    <row r="139" spans="1:31" ht="15.75" customHeight="1">
      <c r="A139" s="340"/>
      <c r="B139" s="1"/>
      <c r="C139" s="1"/>
      <c r="D139" s="340"/>
      <c r="E139" s="340"/>
      <c r="F139" s="340"/>
      <c r="G139" s="1"/>
      <c r="H139" s="1"/>
      <c r="I139" s="340"/>
      <c r="J139" s="340"/>
      <c r="K139" s="1"/>
      <c r="L139" s="1"/>
      <c r="M139" s="341"/>
      <c r="N139" s="341"/>
      <c r="O139" s="341"/>
      <c r="P139" s="341"/>
      <c r="Q139" s="341"/>
      <c r="R139" s="341"/>
      <c r="S139" s="341"/>
      <c r="T139" s="341"/>
      <c r="U139" s="341"/>
      <c r="V139" s="341"/>
      <c r="W139" s="341"/>
      <c r="X139" s="341"/>
      <c r="Y139" s="341"/>
      <c r="Z139" s="341"/>
      <c r="AA139" s="341"/>
      <c r="AB139" s="341"/>
      <c r="AC139" s="341"/>
      <c r="AD139" s="341"/>
      <c r="AE139" s="341"/>
    </row>
    <row r="140" spans="1:31" ht="15.75" customHeight="1">
      <c r="A140" s="340"/>
      <c r="B140" s="1"/>
      <c r="C140" s="1"/>
      <c r="D140" s="340"/>
      <c r="E140" s="340"/>
      <c r="F140" s="340"/>
      <c r="G140" s="1"/>
      <c r="H140" s="1"/>
      <c r="I140" s="340"/>
      <c r="J140" s="340"/>
      <c r="K140" s="1"/>
      <c r="L140" s="1"/>
      <c r="M140" s="341"/>
      <c r="N140" s="341"/>
      <c r="O140" s="341"/>
      <c r="P140" s="341"/>
      <c r="Q140" s="341"/>
      <c r="R140" s="341"/>
      <c r="S140" s="341"/>
      <c r="T140" s="341"/>
      <c r="U140" s="341"/>
      <c r="V140" s="341"/>
      <c r="W140" s="341"/>
      <c r="X140" s="341"/>
      <c r="Y140" s="341"/>
      <c r="Z140" s="341"/>
      <c r="AA140" s="341"/>
      <c r="AB140" s="341"/>
      <c r="AC140" s="341"/>
      <c r="AD140" s="341"/>
      <c r="AE140" s="341"/>
    </row>
    <row r="141" spans="1:31" ht="15.75" customHeight="1">
      <c r="A141" s="340"/>
      <c r="B141" s="1"/>
      <c r="C141" s="1"/>
      <c r="D141" s="340"/>
      <c r="E141" s="340"/>
      <c r="F141" s="340"/>
      <c r="G141" s="1"/>
      <c r="H141" s="1"/>
      <c r="I141" s="340"/>
      <c r="J141" s="340"/>
      <c r="K141" s="1"/>
      <c r="L141" s="1"/>
      <c r="M141" s="341"/>
      <c r="N141" s="341"/>
      <c r="O141" s="341"/>
      <c r="P141" s="341"/>
      <c r="Q141" s="341"/>
      <c r="R141" s="341"/>
      <c r="S141" s="341"/>
      <c r="T141" s="341"/>
      <c r="U141" s="341"/>
      <c r="V141" s="341"/>
      <c r="W141" s="341"/>
      <c r="X141" s="341"/>
      <c r="Y141" s="341"/>
      <c r="Z141" s="341"/>
      <c r="AA141" s="341"/>
      <c r="AB141" s="341"/>
      <c r="AC141" s="341"/>
      <c r="AD141" s="341"/>
      <c r="AE141" s="341"/>
    </row>
    <row r="142" spans="1:31" ht="15.75" customHeight="1">
      <c r="A142" s="340"/>
      <c r="B142" s="1"/>
      <c r="C142" s="1"/>
      <c r="D142" s="340"/>
      <c r="E142" s="340"/>
      <c r="F142" s="340"/>
      <c r="G142" s="1"/>
      <c r="H142" s="1"/>
      <c r="I142" s="340"/>
      <c r="J142" s="340"/>
      <c r="K142" s="1"/>
      <c r="L142" s="1"/>
      <c r="M142" s="341"/>
      <c r="N142" s="341"/>
      <c r="O142" s="341"/>
      <c r="P142" s="341"/>
      <c r="Q142" s="341"/>
      <c r="R142" s="341"/>
      <c r="S142" s="341"/>
      <c r="T142" s="341"/>
      <c r="U142" s="341"/>
      <c r="V142" s="341"/>
      <c r="W142" s="341"/>
      <c r="X142" s="341"/>
      <c r="Y142" s="341"/>
      <c r="Z142" s="341"/>
      <c r="AA142" s="341"/>
      <c r="AB142" s="341"/>
      <c r="AC142" s="341"/>
      <c r="AD142" s="341"/>
      <c r="AE142" s="341"/>
    </row>
    <row r="143" spans="1:31" ht="15.75" customHeight="1">
      <c r="A143" s="340"/>
      <c r="B143" s="1"/>
      <c r="C143" s="1"/>
      <c r="D143" s="340"/>
      <c r="E143" s="340"/>
      <c r="F143" s="340"/>
      <c r="G143" s="1"/>
      <c r="H143" s="1"/>
      <c r="I143" s="340"/>
      <c r="J143" s="340"/>
      <c r="K143" s="1"/>
      <c r="L143" s="1"/>
      <c r="M143" s="341"/>
      <c r="N143" s="341"/>
      <c r="O143" s="341"/>
      <c r="P143" s="341"/>
      <c r="Q143" s="341"/>
      <c r="R143" s="341"/>
      <c r="S143" s="341"/>
      <c r="T143" s="341"/>
      <c r="U143" s="341"/>
      <c r="V143" s="341"/>
      <c r="W143" s="341"/>
      <c r="X143" s="341"/>
      <c r="Y143" s="341"/>
      <c r="Z143" s="341"/>
      <c r="AA143" s="341"/>
      <c r="AB143" s="341"/>
      <c r="AC143" s="341"/>
      <c r="AD143" s="341"/>
      <c r="AE143" s="341"/>
    </row>
    <row r="144" spans="1:31" ht="15.75" customHeight="1">
      <c r="A144" s="340"/>
      <c r="B144" s="1"/>
      <c r="C144" s="1"/>
      <c r="D144" s="340"/>
      <c r="E144" s="340"/>
      <c r="F144" s="340"/>
      <c r="G144" s="1"/>
      <c r="H144" s="1"/>
      <c r="I144" s="340"/>
      <c r="J144" s="340"/>
      <c r="K144" s="1"/>
      <c r="L144" s="1"/>
      <c r="M144" s="341"/>
      <c r="N144" s="341"/>
      <c r="O144" s="341"/>
      <c r="P144" s="341"/>
      <c r="Q144" s="341"/>
      <c r="R144" s="341"/>
      <c r="S144" s="341"/>
      <c r="T144" s="341"/>
      <c r="U144" s="341"/>
      <c r="V144" s="341"/>
      <c r="W144" s="341"/>
      <c r="X144" s="341"/>
      <c r="Y144" s="341"/>
      <c r="Z144" s="341"/>
      <c r="AA144" s="341"/>
      <c r="AB144" s="341"/>
      <c r="AC144" s="341"/>
      <c r="AD144" s="341"/>
      <c r="AE144" s="341"/>
    </row>
    <row r="145" spans="1:31" ht="15.75" customHeight="1">
      <c r="A145" s="340"/>
      <c r="B145" s="1"/>
      <c r="C145" s="1"/>
      <c r="D145" s="340"/>
      <c r="E145" s="340"/>
      <c r="F145" s="340"/>
      <c r="G145" s="1"/>
      <c r="H145" s="1"/>
      <c r="I145" s="340"/>
      <c r="J145" s="340"/>
      <c r="K145" s="1"/>
      <c r="L145" s="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</row>
    <row r="146" spans="1:31" ht="15.75" customHeight="1">
      <c r="A146" s="340"/>
      <c r="B146" s="1"/>
      <c r="C146" s="1"/>
      <c r="D146" s="340"/>
      <c r="E146" s="340"/>
      <c r="F146" s="340"/>
      <c r="G146" s="1"/>
      <c r="H146" s="1"/>
      <c r="I146" s="340"/>
      <c r="J146" s="340"/>
      <c r="K146" s="1"/>
      <c r="L146" s="1"/>
      <c r="M146" s="341"/>
      <c r="N146" s="341"/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341"/>
      <c r="AA146" s="341"/>
      <c r="AB146" s="341"/>
      <c r="AC146" s="341"/>
      <c r="AD146" s="341"/>
      <c r="AE146" s="341"/>
    </row>
    <row r="147" spans="1:31" ht="15.75" customHeight="1">
      <c r="A147" s="340"/>
      <c r="B147" s="1"/>
      <c r="C147" s="1"/>
      <c r="D147" s="340"/>
      <c r="E147" s="340"/>
      <c r="F147" s="340"/>
      <c r="G147" s="1"/>
      <c r="H147" s="1"/>
      <c r="I147" s="340"/>
      <c r="J147" s="340"/>
      <c r="K147" s="1"/>
      <c r="L147" s="1"/>
      <c r="M147" s="341"/>
      <c r="N147" s="341"/>
      <c r="O147" s="341"/>
      <c r="P147" s="341"/>
      <c r="Q147" s="341"/>
      <c r="R147" s="341"/>
      <c r="S147" s="341"/>
      <c r="T147" s="341"/>
      <c r="U147" s="341"/>
      <c r="V147" s="341"/>
      <c r="W147" s="341"/>
      <c r="X147" s="341"/>
      <c r="Y147" s="341"/>
      <c r="Z147" s="341"/>
      <c r="AA147" s="341"/>
      <c r="AB147" s="341"/>
      <c r="AC147" s="341"/>
      <c r="AD147" s="341"/>
      <c r="AE147" s="341"/>
    </row>
    <row r="148" spans="1:31" ht="15.75" customHeight="1">
      <c r="A148" s="340"/>
      <c r="B148" s="1"/>
      <c r="C148" s="1"/>
      <c r="D148" s="340"/>
      <c r="E148" s="340"/>
      <c r="F148" s="340"/>
      <c r="G148" s="1"/>
      <c r="H148" s="1"/>
      <c r="I148" s="340"/>
      <c r="J148" s="340"/>
      <c r="K148" s="1"/>
      <c r="L148" s="1"/>
      <c r="M148" s="341"/>
      <c r="N148" s="341"/>
      <c r="O148" s="341"/>
      <c r="P148" s="341"/>
      <c r="Q148" s="341"/>
      <c r="R148" s="341"/>
      <c r="S148" s="341"/>
      <c r="T148" s="341"/>
      <c r="U148" s="341"/>
      <c r="V148" s="341"/>
      <c r="W148" s="341"/>
      <c r="X148" s="341"/>
      <c r="Y148" s="341"/>
      <c r="Z148" s="341"/>
      <c r="AA148" s="341"/>
      <c r="AB148" s="341"/>
      <c r="AC148" s="341"/>
      <c r="AD148" s="341"/>
      <c r="AE148" s="341"/>
    </row>
    <row r="149" spans="1:31" ht="15.75" customHeight="1">
      <c r="A149" s="340"/>
      <c r="B149" s="1"/>
      <c r="C149" s="1"/>
      <c r="D149" s="340"/>
      <c r="E149" s="340"/>
      <c r="F149" s="340"/>
      <c r="G149" s="1"/>
      <c r="H149" s="1"/>
      <c r="I149" s="340"/>
      <c r="J149" s="340"/>
      <c r="K149" s="1"/>
      <c r="L149" s="1"/>
      <c r="M149" s="341"/>
      <c r="N149" s="341"/>
      <c r="O149" s="341"/>
      <c r="P149" s="341"/>
      <c r="Q149" s="341"/>
      <c r="R149" s="341"/>
      <c r="S149" s="341"/>
      <c r="T149" s="341"/>
      <c r="U149" s="341"/>
      <c r="V149" s="341"/>
      <c r="W149" s="341"/>
      <c r="X149" s="341"/>
      <c r="Y149" s="341"/>
      <c r="Z149" s="341"/>
      <c r="AA149" s="341"/>
      <c r="AB149" s="341"/>
      <c r="AC149" s="341"/>
      <c r="AD149" s="341"/>
      <c r="AE149" s="341"/>
    </row>
    <row r="150" spans="1:31" ht="15.75" customHeight="1">
      <c r="A150" s="340"/>
      <c r="B150" s="1"/>
      <c r="C150" s="1"/>
      <c r="D150" s="340"/>
      <c r="E150" s="340"/>
      <c r="F150" s="340"/>
      <c r="G150" s="1"/>
      <c r="H150" s="1"/>
      <c r="I150" s="340"/>
      <c r="J150" s="340"/>
      <c r="K150" s="1"/>
      <c r="L150" s="1"/>
      <c r="M150" s="341"/>
      <c r="N150" s="341"/>
      <c r="O150" s="341"/>
      <c r="P150" s="341"/>
      <c r="Q150" s="341"/>
      <c r="R150" s="341"/>
      <c r="S150" s="341"/>
      <c r="T150" s="341"/>
      <c r="U150" s="341"/>
      <c r="V150" s="341"/>
      <c r="W150" s="341"/>
      <c r="X150" s="341"/>
      <c r="Y150" s="341"/>
      <c r="Z150" s="341"/>
      <c r="AA150" s="341"/>
      <c r="AB150" s="341"/>
      <c r="AC150" s="341"/>
      <c r="AD150" s="341"/>
      <c r="AE150" s="341"/>
    </row>
    <row r="151" spans="1:31" ht="15.75" customHeight="1">
      <c r="A151" s="340"/>
      <c r="B151" s="1"/>
      <c r="C151" s="1"/>
      <c r="D151" s="340"/>
      <c r="E151" s="340"/>
      <c r="F151" s="340"/>
      <c r="G151" s="1"/>
      <c r="H151" s="1"/>
      <c r="I151" s="340"/>
      <c r="J151" s="340"/>
      <c r="K151" s="1"/>
      <c r="L151" s="1"/>
      <c r="M151" s="341"/>
      <c r="N151" s="341"/>
      <c r="O151" s="341"/>
      <c r="P151" s="341"/>
      <c r="Q151" s="341"/>
      <c r="R151" s="341"/>
      <c r="S151" s="341"/>
      <c r="T151" s="341"/>
      <c r="U151" s="341"/>
      <c r="V151" s="341"/>
      <c r="W151" s="341"/>
      <c r="X151" s="341"/>
      <c r="Y151" s="341"/>
      <c r="Z151" s="341"/>
      <c r="AA151" s="341"/>
      <c r="AB151" s="341"/>
      <c r="AC151" s="341"/>
      <c r="AD151" s="341"/>
      <c r="AE151" s="341"/>
    </row>
    <row r="152" spans="1:31" ht="15.75" customHeight="1">
      <c r="A152" s="340"/>
      <c r="B152" s="1"/>
      <c r="C152" s="1"/>
      <c r="D152" s="340"/>
      <c r="E152" s="340"/>
      <c r="F152" s="340"/>
      <c r="G152" s="1"/>
      <c r="H152" s="1"/>
      <c r="I152" s="340"/>
      <c r="J152" s="340"/>
      <c r="K152" s="1"/>
      <c r="L152" s="1"/>
      <c r="M152" s="341"/>
      <c r="N152" s="341"/>
      <c r="O152" s="341"/>
      <c r="P152" s="341"/>
      <c r="Q152" s="341"/>
      <c r="R152" s="341"/>
      <c r="S152" s="341"/>
      <c r="T152" s="341"/>
      <c r="U152" s="341"/>
      <c r="V152" s="341"/>
      <c r="W152" s="341"/>
      <c r="X152" s="341"/>
      <c r="Y152" s="341"/>
      <c r="Z152" s="341"/>
      <c r="AA152" s="341"/>
      <c r="AB152" s="341"/>
      <c r="AC152" s="341"/>
      <c r="AD152" s="341"/>
      <c r="AE152" s="341"/>
    </row>
    <row r="153" spans="1:31" ht="15.75" customHeight="1">
      <c r="A153" s="340"/>
      <c r="B153" s="1"/>
      <c r="C153" s="1"/>
      <c r="D153" s="340"/>
      <c r="E153" s="340"/>
      <c r="F153" s="340"/>
      <c r="G153" s="1"/>
      <c r="H153" s="1"/>
      <c r="I153" s="340"/>
      <c r="J153" s="340"/>
      <c r="K153" s="1"/>
      <c r="L153" s="1"/>
      <c r="M153" s="341"/>
      <c r="N153" s="341"/>
      <c r="O153" s="341"/>
      <c r="P153" s="341"/>
      <c r="Q153" s="341"/>
      <c r="R153" s="341"/>
      <c r="S153" s="341"/>
      <c r="T153" s="341"/>
      <c r="U153" s="341"/>
      <c r="V153" s="341"/>
      <c r="W153" s="341"/>
      <c r="X153" s="341"/>
      <c r="Y153" s="341"/>
      <c r="Z153" s="341"/>
      <c r="AA153" s="341"/>
      <c r="AB153" s="341"/>
      <c r="AC153" s="341"/>
      <c r="AD153" s="341"/>
      <c r="AE153" s="341"/>
    </row>
    <row r="154" spans="1:31" ht="15.75" customHeight="1">
      <c r="A154" s="340"/>
      <c r="B154" s="1"/>
      <c r="C154" s="1"/>
      <c r="D154" s="340"/>
      <c r="E154" s="340"/>
      <c r="F154" s="340"/>
      <c r="G154" s="1"/>
      <c r="H154" s="1"/>
      <c r="I154" s="340"/>
      <c r="J154" s="340"/>
      <c r="K154" s="1"/>
      <c r="L154" s="1"/>
      <c r="M154" s="341"/>
      <c r="N154" s="341"/>
      <c r="O154" s="341"/>
      <c r="P154" s="341"/>
      <c r="Q154" s="341"/>
      <c r="R154" s="341"/>
      <c r="S154" s="341"/>
      <c r="T154" s="341"/>
      <c r="U154" s="341"/>
      <c r="V154" s="341"/>
      <c r="W154" s="341"/>
      <c r="X154" s="341"/>
      <c r="Y154" s="341"/>
      <c r="Z154" s="341"/>
      <c r="AA154" s="341"/>
      <c r="AB154" s="341"/>
      <c r="AC154" s="341"/>
      <c r="AD154" s="341"/>
      <c r="AE154" s="341"/>
    </row>
    <row r="155" spans="1:31" ht="15.75" customHeight="1">
      <c r="A155" s="340"/>
      <c r="B155" s="1"/>
      <c r="C155" s="1"/>
      <c r="D155" s="340"/>
      <c r="E155" s="340"/>
      <c r="F155" s="340"/>
      <c r="G155" s="1"/>
      <c r="H155" s="1"/>
      <c r="I155" s="340"/>
      <c r="J155" s="340"/>
      <c r="K155" s="1"/>
      <c r="L155" s="1"/>
      <c r="M155" s="341"/>
      <c r="N155" s="341"/>
      <c r="O155" s="341"/>
      <c r="P155" s="341"/>
      <c r="Q155" s="341"/>
      <c r="R155" s="341"/>
      <c r="S155" s="341"/>
      <c r="T155" s="341"/>
      <c r="U155" s="341"/>
      <c r="V155" s="341"/>
      <c r="W155" s="341"/>
      <c r="X155" s="341"/>
      <c r="Y155" s="341"/>
      <c r="Z155" s="341"/>
      <c r="AA155" s="341"/>
      <c r="AB155" s="341"/>
      <c r="AC155" s="341"/>
      <c r="AD155" s="341"/>
      <c r="AE155" s="341"/>
    </row>
    <row r="156" spans="1:31" ht="15.75" customHeight="1">
      <c r="A156" s="340"/>
      <c r="B156" s="1"/>
      <c r="C156" s="1"/>
      <c r="D156" s="340"/>
      <c r="E156" s="340"/>
      <c r="F156" s="340"/>
      <c r="G156" s="1"/>
      <c r="H156" s="1"/>
      <c r="I156" s="340"/>
      <c r="J156" s="340"/>
      <c r="K156" s="1"/>
      <c r="L156" s="1"/>
      <c r="M156" s="341"/>
      <c r="N156" s="341"/>
      <c r="O156" s="341"/>
      <c r="P156" s="341"/>
      <c r="Q156" s="341"/>
      <c r="R156" s="341"/>
      <c r="S156" s="341"/>
      <c r="T156" s="341"/>
      <c r="U156" s="341"/>
      <c r="V156" s="341"/>
      <c r="W156" s="341"/>
      <c r="X156" s="341"/>
      <c r="Y156" s="341"/>
      <c r="Z156" s="341"/>
      <c r="AA156" s="341"/>
      <c r="AB156" s="341"/>
      <c r="AC156" s="341"/>
      <c r="AD156" s="341"/>
      <c r="AE156" s="341"/>
    </row>
    <row r="157" spans="1:31" ht="15.75" customHeight="1">
      <c r="A157" s="340"/>
      <c r="B157" s="1"/>
      <c r="C157" s="1"/>
      <c r="D157" s="340"/>
      <c r="E157" s="340"/>
      <c r="F157" s="340"/>
      <c r="G157" s="1"/>
      <c r="H157" s="1"/>
      <c r="I157" s="340"/>
      <c r="J157" s="340"/>
      <c r="K157" s="1"/>
      <c r="L157" s="1"/>
      <c r="M157" s="341"/>
      <c r="N157" s="341"/>
      <c r="O157" s="341"/>
      <c r="P157" s="341"/>
      <c r="Q157" s="341"/>
      <c r="R157" s="341"/>
      <c r="S157" s="341"/>
      <c r="T157" s="341"/>
      <c r="U157" s="341"/>
      <c r="V157" s="341"/>
      <c r="W157" s="341"/>
      <c r="X157" s="341"/>
      <c r="Y157" s="341"/>
      <c r="Z157" s="341"/>
      <c r="AA157" s="341"/>
      <c r="AB157" s="341"/>
      <c r="AC157" s="341"/>
      <c r="AD157" s="341"/>
      <c r="AE157" s="341"/>
    </row>
    <row r="158" spans="1:31" ht="15.75" customHeight="1">
      <c r="A158" s="340"/>
      <c r="B158" s="1"/>
      <c r="C158" s="1"/>
      <c r="D158" s="340"/>
      <c r="E158" s="340"/>
      <c r="F158" s="340"/>
      <c r="G158" s="1"/>
      <c r="H158" s="1"/>
      <c r="I158" s="340"/>
      <c r="J158" s="340"/>
      <c r="K158" s="1"/>
      <c r="L158" s="1"/>
      <c r="M158" s="341"/>
      <c r="N158" s="341"/>
      <c r="O158" s="341"/>
      <c r="P158" s="341"/>
      <c r="Q158" s="341"/>
      <c r="R158" s="341"/>
      <c r="S158" s="341"/>
      <c r="T158" s="341"/>
      <c r="U158" s="341"/>
      <c r="V158" s="341"/>
      <c r="W158" s="341"/>
      <c r="X158" s="341"/>
      <c r="Y158" s="341"/>
      <c r="Z158" s="341"/>
      <c r="AA158" s="341"/>
      <c r="AB158" s="341"/>
      <c r="AC158" s="341"/>
      <c r="AD158" s="341"/>
      <c r="AE158" s="341"/>
    </row>
    <row r="159" spans="1:31" ht="15.75" customHeight="1">
      <c r="A159" s="340"/>
      <c r="B159" s="1"/>
      <c r="C159" s="1"/>
      <c r="D159" s="340"/>
      <c r="E159" s="340"/>
      <c r="F159" s="340"/>
      <c r="G159" s="1"/>
      <c r="H159" s="1"/>
      <c r="I159" s="340"/>
      <c r="J159" s="340"/>
      <c r="K159" s="1"/>
      <c r="L159" s="1"/>
      <c r="M159" s="341"/>
      <c r="N159" s="341"/>
      <c r="O159" s="341"/>
      <c r="P159" s="341"/>
      <c r="Q159" s="341"/>
      <c r="R159" s="341"/>
      <c r="S159" s="341"/>
      <c r="T159" s="341"/>
      <c r="U159" s="341"/>
      <c r="V159" s="341"/>
      <c r="W159" s="341"/>
      <c r="X159" s="341"/>
      <c r="Y159" s="341"/>
      <c r="Z159" s="341"/>
      <c r="AA159" s="341"/>
      <c r="AB159" s="341"/>
      <c r="AC159" s="341"/>
      <c r="AD159" s="341"/>
      <c r="AE159" s="341"/>
    </row>
    <row r="160" spans="1:31" ht="15.75" customHeight="1">
      <c r="A160" s="340"/>
      <c r="B160" s="1"/>
      <c r="C160" s="1"/>
      <c r="D160" s="340"/>
      <c r="E160" s="340"/>
      <c r="F160" s="340"/>
      <c r="G160" s="1"/>
      <c r="H160" s="1"/>
      <c r="I160" s="340"/>
      <c r="J160" s="340"/>
      <c r="K160" s="1"/>
      <c r="L160" s="1"/>
      <c r="M160" s="341"/>
      <c r="N160" s="341"/>
      <c r="O160" s="341"/>
      <c r="P160" s="341"/>
      <c r="Q160" s="341"/>
      <c r="R160" s="341"/>
      <c r="S160" s="341"/>
      <c r="T160" s="341"/>
      <c r="U160" s="341"/>
      <c r="V160" s="341"/>
      <c r="W160" s="341"/>
      <c r="X160" s="341"/>
      <c r="Y160" s="341"/>
      <c r="Z160" s="341"/>
      <c r="AA160" s="341"/>
      <c r="AB160" s="341"/>
      <c r="AC160" s="341"/>
      <c r="AD160" s="341"/>
      <c r="AE160" s="341"/>
    </row>
    <row r="161" spans="1:31" ht="15.75" customHeight="1">
      <c r="A161" s="340"/>
      <c r="B161" s="1"/>
      <c r="C161" s="1"/>
      <c r="D161" s="340"/>
      <c r="E161" s="340"/>
      <c r="F161" s="340"/>
      <c r="G161" s="1"/>
      <c r="H161" s="1"/>
      <c r="I161" s="340"/>
      <c r="J161" s="340"/>
      <c r="K161" s="1"/>
      <c r="L161" s="1"/>
      <c r="M161" s="341"/>
      <c r="N161" s="341"/>
      <c r="O161" s="341"/>
      <c r="P161" s="341"/>
      <c r="Q161" s="341"/>
      <c r="R161" s="341"/>
      <c r="S161" s="341"/>
      <c r="T161" s="341"/>
      <c r="U161" s="341"/>
      <c r="V161" s="341"/>
      <c r="W161" s="341"/>
      <c r="X161" s="341"/>
      <c r="Y161" s="341"/>
      <c r="Z161" s="341"/>
      <c r="AA161" s="341"/>
      <c r="AB161" s="341"/>
      <c r="AC161" s="341"/>
      <c r="AD161" s="341"/>
      <c r="AE161" s="341"/>
    </row>
    <row r="162" spans="1:31" ht="15.75" customHeight="1">
      <c r="A162" s="340"/>
      <c r="B162" s="1"/>
      <c r="C162" s="1"/>
      <c r="D162" s="340"/>
      <c r="E162" s="340"/>
      <c r="F162" s="340"/>
      <c r="G162" s="1"/>
      <c r="H162" s="1"/>
      <c r="I162" s="340"/>
      <c r="J162" s="340"/>
      <c r="K162" s="1"/>
      <c r="L162" s="1"/>
      <c r="M162" s="341"/>
      <c r="N162" s="341"/>
      <c r="O162" s="341"/>
      <c r="P162" s="341"/>
      <c r="Q162" s="341"/>
      <c r="R162" s="341"/>
      <c r="S162" s="341"/>
      <c r="T162" s="341"/>
      <c r="U162" s="341"/>
      <c r="V162" s="341"/>
      <c r="W162" s="341"/>
      <c r="X162" s="341"/>
      <c r="Y162" s="341"/>
      <c r="Z162" s="341"/>
      <c r="AA162" s="341"/>
      <c r="AB162" s="341"/>
      <c r="AC162" s="341"/>
      <c r="AD162" s="341"/>
      <c r="AE162" s="341"/>
    </row>
    <row r="163" spans="1:31" ht="15.75" customHeight="1">
      <c r="A163" s="340"/>
      <c r="B163" s="1"/>
      <c r="C163" s="1"/>
      <c r="D163" s="340"/>
      <c r="E163" s="340"/>
      <c r="F163" s="340"/>
      <c r="G163" s="1"/>
      <c r="H163" s="1"/>
      <c r="I163" s="340"/>
      <c r="J163" s="340"/>
      <c r="K163" s="1"/>
      <c r="L163" s="1"/>
      <c r="M163" s="341"/>
      <c r="N163" s="341"/>
      <c r="O163" s="341"/>
      <c r="P163" s="341"/>
      <c r="Q163" s="341"/>
      <c r="R163" s="341"/>
      <c r="S163" s="341"/>
      <c r="T163" s="341"/>
      <c r="U163" s="341"/>
      <c r="V163" s="341"/>
      <c r="W163" s="341"/>
      <c r="X163" s="341"/>
      <c r="Y163" s="341"/>
      <c r="Z163" s="341"/>
      <c r="AA163" s="341"/>
      <c r="AB163" s="341"/>
      <c r="AC163" s="341"/>
      <c r="AD163" s="341"/>
      <c r="AE163" s="341"/>
    </row>
    <row r="164" spans="1:31" ht="15.75" customHeight="1">
      <c r="A164" s="340"/>
      <c r="B164" s="1"/>
      <c r="C164" s="1"/>
      <c r="D164" s="340"/>
      <c r="E164" s="340"/>
      <c r="F164" s="340"/>
      <c r="G164" s="1"/>
      <c r="H164" s="1"/>
      <c r="I164" s="340"/>
      <c r="J164" s="340"/>
      <c r="K164" s="1"/>
      <c r="L164" s="1"/>
      <c r="M164" s="341"/>
      <c r="N164" s="341"/>
      <c r="O164" s="341"/>
      <c r="P164" s="341"/>
      <c r="Q164" s="341"/>
      <c r="R164" s="341"/>
      <c r="S164" s="341"/>
      <c r="T164" s="341"/>
      <c r="U164" s="341"/>
      <c r="V164" s="341"/>
      <c r="W164" s="341"/>
      <c r="X164" s="341"/>
      <c r="Y164" s="341"/>
      <c r="Z164" s="341"/>
      <c r="AA164" s="341"/>
      <c r="AB164" s="341"/>
      <c r="AC164" s="341"/>
      <c r="AD164" s="341"/>
      <c r="AE164" s="341"/>
    </row>
    <row r="165" spans="1:31" ht="15.75" customHeight="1">
      <c r="A165" s="340"/>
      <c r="B165" s="1"/>
      <c r="C165" s="1"/>
      <c r="D165" s="340"/>
      <c r="E165" s="340"/>
      <c r="F165" s="340"/>
      <c r="G165" s="1"/>
      <c r="H165" s="1"/>
      <c r="I165" s="340"/>
      <c r="J165" s="340"/>
      <c r="K165" s="1"/>
      <c r="L165" s="1"/>
      <c r="M165" s="341"/>
      <c r="N165" s="341"/>
      <c r="O165" s="341"/>
      <c r="P165" s="341"/>
      <c r="Q165" s="341"/>
      <c r="R165" s="341"/>
      <c r="S165" s="341"/>
      <c r="T165" s="341"/>
      <c r="U165" s="341"/>
      <c r="V165" s="341"/>
      <c r="W165" s="341"/>
      <c r="X165" s="341"/>
      <c r="Y165" s="341"/>
      <c r="Z165" s="341"/>
      <c r="AA165" s="341"/>
      <c r="AB165" s="341"/>
      <c r="AC165" s="341"/>
      <c r="AD165" s="341"/>
      <c r="AE165" s="341"/>
    </row>
    <row r="166" spans="1:31" ht="15.75" customHeight="1">
      <c r="A166" s="340"/>
      <c r="B166" s="1"/>
      <c r="C166" s="1"/>
      <c r="D166" s="340"/>
      <c r="E166" s="340"/>
      <c r="F166" s="340"/>
      <c r="G166" s="1"/>
      <c r="H166" s="1"/>
      <c r="I166" s="340"/>
      <c r="J166" s="340"/>
      <c r="K166" s="1"/>
      <c r="L166" s="1"/>
      <c r="M166" s="341"/>
      <c r="N166" s="341"/>
      <c r="O166" s="341"/>
      <c r="P166" s="341"/>
      <c r="Q166" s="341"/>
      <c r="R166" s="341"/>
      <c r="S166" s="341"/>
      <c r="T166" s="341"/>
      <c r="U166" s="341"/>
      <c r="V166" s="341"/>
      <c r="W166" s="341"/>
      <c r="X166" s="341"/>
      <c r="Y166" s="341"/>
      <c r="Z166" s="341"/>
      <c r="AA166" s="341"/>
      <c r="AB166" s="341"/>
      <c r="AC166" s="341"/>
      <c r="AD166" s="341"/>
      <c r="AE166" s="341"/>
    </row>
    <row r="167" spans="1:31" ht="15.75" customHeight="1">
      <c r="A167" s="340"/>
      <c r="B167" s="1"/>
      <c r="C167" s="1"/>
      <c r="D167" s="340"/>
      <c r="E167" s="340"/>
      <c r="F167" s="340"/>
      <c r="G167" s="1"/>
      <c r="H167" s="1"/>
      <c r="I167" s="340"/>
      <c r="J167" s="340"/>
      <c r="K167" s="1"/>
      <c r="L167" s="1"/>
      <c r="M167" s="341"/>
      <c r="N167" s="341"/>
      <c r="O167" s="341"/>
      <c r="P167" s="341"/>
      <c r="Q167" s="341"/>
      <c r="R167" s="341"/>
      <c r="S167" s="341"/>
      <c r="T167" s="341"/>
      <c r="U167" s="341"/>
      <c r="V167" s="341"/>
      <c r="W167" s="341"/>
      <c r="X167" s="341"/>
      <c r="Y167" s="341"/>
      <c r="Z167" s="341"/>
      <c r="AA167" s="341"/>
      <c r="AB167" s="341"/>
      <c r="AC167" s="341"/>
      <c r="AD167" s="341"/>
      <c r="AE167" s="341"/>
    </row>
    <row r="168" spans="1:31" ht="15.75" customHeight="1">
      <c r="A168" s="340"/>
      <c r="B168" s="1"/>
      <c r="C168" s="1"/>
      <c r="D168" s="340"/>
      <c r="E168" s="340"/>
      <c r="F168" s="340"/>
      <c r="G168" s="1"/>
      <c r="H168" s="1"/>
      <c r="I168" s="340"/>
      <c r="J168" s="340"/>
      <c r="K168" s="1"/>
      <c r="L168" s="1"/>
      <c r="M168" s="341"/>
      <c r="N168" s="341"/>
      <c r="O168" s="341"/>
      <c r="P168" s="341"/>
      <c r="Q168" s="341"/>
      <c r="R168" s="341"/>
      <c r="S168" s="341"/>
      <c r="T168" s="341"/>
      <c r="U168" s="341"/>
      <c r="V168" s="341"/>
      <c r="W168" s="341"/>
      <c r="X168" s="341"/>
      <c r="Y168" s="341"/>
      <c r="Z168" s="341"/>
      <c r="AA168" s="341"/>
      <c r="AB168" s="341"/>
      <c r="AC168" s="341"/>
      <c r="AD168" s="341"/>
      <c r="AE168" s="341"/>
    </row>
    <row r="169" spans="1:31" ht="15.75" customHeight="1">
      <c r="A169" s="340"/>
      <c r="B169" s="1"/>
      <c r="C169" s="1"/>
      <c r="D169" s="340"/>
      <c r="E169" s="340"/>
      <c r="F169" s="340"/>
      <c r="G169" s="1"/>
      <c r="H169" s="1"/>
      <c r="I169" s="340"/>
      <c r="J169" s="340"/>
      <c r="K169" s="1"/>
      <c r="L169" s="1"/>
      <c r="M169" s="341"/>
      <c r="N169" s="341"/>
      <c r="O169" s="341"/>
      <c r="P169" s="341"/>
      <c r="Q169" s="341"/>
      <c r="R169" s="341"/>
      <c r="S169" s="341"/>
      <c r="T169" s="341"/>
      <c r="U169" s="341"/>
      <c r="V169" s="341"/>
      <c r="W169" s="341"/>
      <c r="X169" s="341"/>
      <c r="Y169" s="341"/>
      <c r="Z169" s="341"/>
      <c r="AA169" s="341"/>
      <c r="AB169" s="341"/>
      <c r="AC169" s="341"/>
      <c r="AD169" s="341"/>
      <c r="AE169" s="341"/>
    </row>
    <row r="170" spans="1:31" ht="15.75" customHeight="1">
      <c r="A170" s="340"/>
      <c r="B170" s="1"/>
      <c r="C170" s="1"/>
      <c r="D170" s="340"/>
      <c r="E170" s="340"/>
      <c r="F170" s="340"/>
      <c r="G170" s="1"/>
      <c r="H170" s="1"/>
      <c r="I170" s="340"/>
      <c r="J170" s="340"/>
      <c r="K170" s="1"/>
      <c r="L170" s="1"/>
      <c r="M170" s="341"/>
      <c r="N170" s="341"/>
      <c r="O170" s="341"/>
      <c r="P170" s="341"/>
      <c r="Q170" s="341"/>
      <c r="R170" s="341"/>
      <c r="S170" s="341"/>
      <c r="T170" s="341"/>
      <c r="U170" s="341"/>
      <c r="V170" s="341"/>
      <c r="W170" s="341"/>
      <c r="X170" s="341"/>
      <c r="Y170" s="341"/>
      <c r="Z170" s="341"/>
      <c r="AA170" s="341"/>
      <c r="AB170" s="341"/>
      <c r="AC170" s="341"/>
      <c r="AD170" s="341"/>
      <c r="AE170" s="341"/>
    </row>
    <row r="171" spans="1:31" ht="15.75" customHeight="1">
      <c r="A171" s="340"/>
      <c r="B171" s="1"/>
      <c r="C171" s="1"/>
      <c r="D171" s="340"/>
      <c r="E171" s="340"/>
      <c r="F171" s="340"/>
      <c r="G171" s="1"/>
      <c r="H171" s="1"/>
      <c r="I171" s="340"/>
      <c r="J171" s="340"/>
      <c r="K171" s="1"/>
      <c r="L171" s="1"/>
      <c r="M171" s="341"/>
      <c r="N171" s="341"/>
      <c r="O171" s="341"/>
      <c r="P171" s="341"/>
      <c r="Q171" s="341"/>
      <c r="R171" s="341"/>
      <c r="S171" s="341"/>
      <c r="T171" s="341"/>
      <c r="U171" s="341"/>
      <c r="V171" s="341"/>
      <c r="W171" s="341"/>
      <c r="X171" s="341"/>
      <c r="Y171" s="341"/>
      <c r="Z171" s="341"/>
      <c r="AA171" s="341"/>
      <c r="AB171" s="341"/>
      <c r="AC171" s="341"/>
      <c r="AD171" s="341"/>
      <c r="AE171" s="341"/>
    </row>
    <row r="172" spans="1:31" ht="15.75" customHeight="1">
      <c r="A172" s="340"/>
      <c r="B172" s="1"/>
      <c r="C172" s="1"/>
      <c r="D172" s="340"/>
      <c r="E172" s="340"/>
      <c r="F172" s="340"/>
      <c r="G172" s="1"/>
      <c r="H172" s="1"/>
      <c r="I172" s="340"/>
      <c r="J172" s="340"/>
      <c r="K172" s="1"/>
      <c r="L172" s="1"/>
      <c r="M172" s="341"/>
      <c r="N172" s="341"/>
      <c r="O172" s="341"/>
      <c r="P172" s="341"/>
      <c r="Q172" s="341"/>
      <c r="R172" s="341"/>
      <c r="S172" s="341"/>
      <c r="T172" s="341"/>
      <c r="U172" s="341"/>
      <c r="V172" s="341"/>
      <c r="W172" s="341"/>
      <c r="X172" s="341"/>
      <c r="Y172" s="341"/>
      <c r="Z172" s="341"/>
      <c r="AA172" s="341"/>
      <c r="AB172" s="341"/>
      <c r="AC172" s="341"/>
      <c r="AD172" s="341"/>
      <c r="AE172" s="341"/>
    </row>
    <row r="173" spans="1:31" ht="15.75" customHeight="1">
      <c r="A173" s="340"/>
      <c r="B173" s="1"/>
      <c r="C173" s="1"/>
      <c r="D173" s="340"/>
      <c r="E173" s="340"/>
      <c r="F173" s="340"/>
      <c r="G173" s="1"/>
      <c r="H173" s="1"/>
      <c r="I173" s="340"/>
      <c r="J173" s="340"/>
      <c r="K173" s="1"/>
      <c r="L173" s="1"/>
      <c r="M173" s="341"/>
      <c r="N173" s="341"/>
      <c r="O173" s="341"/>
      <c r="P173" s="341"/>
      <c r="Q173" s="341"/>
      <c r="R173" s="341"/>
      <c r="S173" s="341"/>
      <c r="T173" s="341"/>
      <c r="U173" s="341"/>
      <c r="V173" s="341"/>
      <c r="W173" s="341"/>
      <c r="X173" s="341"/>
      <c r="Y173" s="341"/>
      <c r="Z173" s="341"/>
      <c r="AA173" s="341"/>
      <c r="AB173" s="341"/>
      <c r="AC173" s="341"/>
      <c r="AD173" s="341"/>
      <c r="AE173" s="341"/>
    </row>
    <row r="174" spans="1:31" ht="15.75" customHeight="1">
      <c r="A174" s="340"/>
      <c r="B174" s="1"/>
      <c r="C174" s="1"/>
      <c r="D174" s="340"/>
      <c r="E174" s="340"/>
      <c r="F174" s="340"/>
      <c r="G174" s="1"/>
      <c r="H174" s="1"/>
      <c r="I174" s="340"/>
      <c r="J174" s="340"/>
      <c r="K174" s="1"/>
      <c r="L174" s="1"/>
      <c r="M174" s="341"/>
      <c r="N174" s="341"/>
      <c r="O174" s="341"/>
      <c r="P174" s="341"/>
      <c r="Q174" s="341"/>
      <c r="R174" s="341"/>
      <c r="S174" s="341"/>
      <c r="T174" s="341"/>
      <c r="U174" s="341"/>
      <c r="V174" s="341"/>
      <c r="W174" s="341"/>
      <c r="X174" s="341"/>
      <c r="Y174" s="341"/>
      <c r="Z174" s="341"/>
      <c r="AA174" s="341"/>
      <c r="AB174" s="341"/>
      <c r="AC174" s="341"/>
      <c r="AD174" s="341"/>
      <c r="AE174" s="341"/>
    </row>
    <row r="175" spans="1:31" ht="15.75" customHeight="1">
      <c r="A175" s="340"/>
      <c r="B175" s="1"/>
      <c r="C175" s="1"/>
      <c r="D175" s="340"/>
      <c r="E175" s="340"/>
      <c r="F175" s="340"/>
      <c r="G175" s="1"/>
      <c r="H175" s="1"/>
      <c r="I175" s="340"/>
      <c r="J175" s="340"/>
      <c r="K175" s="1"/>
      <c r="L175" s="1"/>
      <c r="M175" s="341"/>
      <c r="N175" s="341"/>
      <c r="O175" s="341"/>
      <c r="P175" s="341"/>
      <c r="Q175" s="341"/>
      <c r="R175" s="341"/>
      <c r="S175" s="341"/>
      <c r="T175" s="341"/>
      <c r="U175" s="341"/>
      <c r="V175" s="341"/>
      <c r="W175" s="341"/>
      <c r="X175" s="341"/>
      <c r="Y175" s="341"/>
      <c r="Z175" s="341"/>
      <c r="AA175" s="341"/>
      <c r="AB175" s="341"/>
      <c r="AC175" s="341"/>
      <c r="AD175" s="341"/>
      <c r="AE175" s="341"/>
    </row>
    <row r="176" spans="1:31" ht="15.75" customHeight="1">
      <c r="A176" s="340"/>
      <c r="B176" s="1"/>
      <c r="C176" s="1"/>
      <c r="D176" s="340"/>
      <c r="E176" s="340"/>
      <c r="F176" s="340"/>
      <c r="G176" s="1"/>
      <c r="H176" s="1"/>
      <c r="I176" s="340"/>
      <c r="J176" s="340"/>
      <c r="K176" s="1"/>
      <c r="L176" s="1"/>
      <c r="M176" s="341"/>
      <c r="N176" s="341"/>
      <c r="O176" s="341"/>
      <c r="P176" s="341"/>
      <c r="Q176" s="341"/>
      <c r="R176" s="341"/>
      <c r="S176" s="341"/>
      <c r="T176" s="341"/>
      <c r="U176" s="341"/>
      <c r="V176" s="341"/>
      <c r="W176" s="341"/>
      <c r="X176" s="341"/>
      <c r="Y176" s="341"/>
      <c r="Z176" s="341"/>
      <c r="AA176" s="341"/>
      <c r="AB176" s="341"/>
      <c r="AC176" s="341"/>
      <c r="AD176" s="341"/>
      <c r="AE176" s="341"/>
    </row>
    <row r="177" spans="1:31" ht="15.75" customHeight="1">
      <c r="A177" s="340"/>
      <c r="B177" s="1"/>
      <c r="C177" s="1"/>
      <c r="D177" s="340"/>
      <c r="E177" s="340"/>
      <c r="F177" s="340"/>
      <c r="G177" s="1"/>
      <c r="H177" s="1"/>
      <c r="I177" s="340"/>
      <c r="J177" s="340"/>
      <c r="K177" s="1"/>
      <c r="L177" s="1"/>
      <c r="M177" s="341"/>
      <c r="N177" s="341"/>
      <c r="O177" s="341"/>
      <c r="P177" s="341"/>
      <c r="Q177" s="341"/>
      <c r="R177" s="341"/>
      <c r="S177" s="341"/>
      <c r="T177" s="341"/>
      <c r="U177" s="341"/>
      <c r="V177" s="341"/>
      <c r="W177" s="341"/>
      <c r="X177" s="341"/>
      <c r="Y177" s="341"/>
      <c r="Z177" s="341"/>
      <c r="AA177" s="341"/>
      <c r="AB177" s="341"/>
      <c r="AC177" s="341"/>
      <c r="AD177" s="341"/>
      <c r="AE177" s="341"/>
    </row>
    <row r="178" spans="1:31" ht="15.75" customHeight="1">
      <c r="A178" s="340"/>
      <c r="B178" s="1"/>
      <c r="C178" s="1"/>
      <c r="D178" s="340"/>
      <c r="E178" s="340"/>
      <c r="F178" s="340"/>
      <c r="G178" s="1"/>
      <c r="H178" s="1"/>
      <c r="I178" s="340"/>
      <c r="J178" s="340"/>
      <c r="K178" s="1"/>
      <c r="L178" s="1"/>
      <c r="M178" s="341"/>
      <c r="N178" s="341"/>
      <c r="O178" s="341"/>
      <c r="P178" s="341"/>
      <c r="Q178" s="341"/>
      <c r="R178" s="341"/>
      <c r="S178" s="341"/>
      <c r="T178" s="341"/>
      <c r="U178" s="341"/>
      <c r="V178" s="341"/>
      <c r="W178" s="341"/>
      <c r="X178" s="341"/>
      <c r="Y178" s="341"/>
      <c r="Z178" s="341"/>
      <c r="AA178" s="341"/>
      <c r="AB178" s="341"/>
      <c r="AC178" s="341"/>
      <c r="AD178" s="341"/>
      <c r="AE178" s="341"/>
    </row>
    <row r="179" spans="1:31" ht="15.75" customHeight="1">
      <c r="A179" s="340"/>
      <c r="B179" s="1"/>
      <c r="C179" s="1"/>
      <c r="D179" s="340"/>
      <c r="E179" s="340"/>
      <c r="F179" s="340"/>
      <c r="G179" s="1"/>
      <c r="H179" s="1"/>
      <c r="I179" s="340"/>
      <c r="J179" s="340"/>
      <c r="K179" s="1"/>
      <c r="L179" s="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341"/>
      <c r="AA179" s="341"/>
      <c r="AB179" s="341"/>
      <c r="AC179" s="341"/>
      <c r="AD179" s="341"/>
      <c r="AE179" s="341"/>
    </row>
    <row r="180" spans="1:31" ht="15.75" customHeight="1">
      <c r="A180" s="340"/>
      <c r="B180" s="1"/>
      <c r="C180" s="1"/>
      <c r="D180" s="340"/>
      <c r="E180" s="340"/>
      <c r="F180" s="340"/>
      <c r="G180" s="1"/>
      <c r="H180" s="1"/>
      <c r="I180" s="340"/>
      <c r="J180" s="340"/>
      <c r="K180" s="1"/>
      <c r="L180" s="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41"/>
      <c r="Z180" s="341"/>
      <c r="AA180" s="341"/>
      <c r="AB180" s="341"/>
      <c r="AC180" s="341"/>
      <c r="AD180" s="341"/>
      <c r="AE180" s="341"/>
    </row>
    <row r="181" spans="1:31" ht="15.75" customHeight="1">
      <c r="A181" s="340"/>
      <c r="B181" s="1"/>
      <c r="C181" s="1"/>
      <c r="D181" s="340"/>
      <c r="E181" s="340"/>
      <c r="F181" s="340"/>
      <c r="G181" s="1"/>
      <c r="H181" s="1"/>
      <c r="I181" s="340"/>
      <c r="J181" s="340"/>
      <c r="K181" s="1"/>
      <c r="L181" s="1"/>
      <c r="M181" s="341"/>
      <c r="N181" s="341"/>
      <c r="O181" s="341"/>
      <c r="P181" s="341"/>
      <c r="Q181" s="341"/>
      <c r="R181" s="341"/>
      <c r="S181" s="341"/>
      <c r="T181" s="341"/>
      <c r="U181" s="341"/>
      <c r="V181" s="341"/>
      <c r="W181" s="341"/>
      <c r="X181" s="341"/>
      <c r="Y181" s="341"/>
      <c r="Z181" s="341"/>
      <c r="AA181" s="341"/>
      <c r="AB181" s="341"/>
      <c r="AC181" s="341"/>
      <c r="AD181" s="341"/>
      <c r="AE181" s="341"/>
    </row>
    <row r="182" spans="1:31" ht="15.75" customHeight="1">
      <c r="A182" s="340"/>
      <c r="B182" s="1"/>
      <c r="C182" s="1"/>
      <c r="D182" s="340"/>
      <c r="E182" s="340"/>
      <c r="F182" s="340"/>
      <c r="G182" s="1"/>
      <c r="H182" s="1"/>
      <c r="I182" s="340"/>
      <c r="J182" s="340"/>
      <c r="K182" s="1"/>
      <c r="L182" s="1"/>
      <c r="M182" s="341"/>
      <c r="N182" s="341"/>
      <c r="O182" s="341"/>
      <c r="P182" s="341"/>
      <c r="Q182" s="341"/>
      <c r="R182" s="341"/>
      <c r="S182" s="341"/>
      <c r="T182" s="341"/>
      <c r="U182" s="341"/>
      <c r="V182" s="341"/>
      <c r="W182" s="341"/>
      <c r="X182" s="341"/>
      <c r="Y182" s="341"/>
      <c r="Z182" s="341"/>
      <c r="AA182" s="341"/>
      <c r="AB182" s="341"/>
      <c r="AC182" s="341"/>
      <c r="AD182" s="341"/>
      <c r="AE182" s="341"/>
    </row>
    <row r="183" spans="1:31" ht="15.75" customHeight="1">
      <c r="A183" s="340"/>
      <c r="B183" s="1"/>
      <c r="C183" s="1"/>
      <c r="D183" s="340"/>
      <c r="E183" s="340"/>
      <c r="F183" s="340"/>
      <c r="G183" s="1"/>
      <c r="H183" s="1"/>
      <c r="I183" s="340"/>
      <c r="J183" s="340"/>
      <c r="K183" s="1"/>
      <c r="L183" s="1"/>
      <c r="M183" s="341"/>
      <c r="N183" s="341"/>
      <c r="O183" s="341"/>
      <c r="P183" s="341"/>
      <c r="Q183" s="341"/>
      <c r="R183" s="341"/>
      <c r="S183" s="341"/>
      <c r="T183" s="341"/>
      <c r="U183" s="341"/>
      <c r="V183" s="341"/>
      <c r="W183" s="341"/>
      <c r="X183" s="341"/>
      <c r="Y183" s="341"/>
      <c r="Z183" s="341"/>
      <c r="AA183" s="341"/>
      <c r="AB183" s="341"/>
      <c r="AC183" s="341"/>
      <c r="AD183" s="341"/>
      <c r="AE183" s="341"/>
    </row>
    <row r="184" spans="1:31" ht="15.75" customHeight="1">
      <c r="A184" s="340"/>
      <c r="B184" s="1"/>
      <c r="C184" s="1"/>
      <c r="D184" s="340"/>
      <c r="E184" s="340"/>
      <c r="F184" s="340"/>
      <c r="G184" s="1"/>
      <c r="H184" s="1"/>
      <c r="I184" s="340"/>
      <c r="J184" s="340"/>
      <c r="K184" s="1"/>
      <c r="L184" s="1"/>
      <c r="M184" s="341"/>
      <c r="N184" s="341"/>
      <c r="O184" s="341"/>
      <c r="P184" s="341"/>
      <c r="Q184" s="341"/>
      <c r="R184" s="341"/>
      <c r="S184" s="341"/>
      <c r="T184" s="341"/>
      <c r="U184" s="341"/>
      <c r="V184" s="341"/>
      <c r="W184" s="341"/>
      <c r="X184" s="341"/>
      <c r="Y184" s="341"/>
      <c r="Z184" s="341"/>
      <c r="AA184" s="341"/>
      <c r="AB184" s="341"/>
      <c r="AC184" s="341"/>
      <c r="AD184" s="341"/>
      <c r="AE184" s="341"/>
    </row>
    <row r="185" spans="1:31" ht="15.75" customHeight="1">
      <c r="A185" s="340"/>
      <c r="B185" s="1"/>
      <c r="C185" s="1"/>
      <c r="D185" s="340"/>
      <c r="E185" s="340"/>
      <c r="F185" s="340"/>
      <c r="G185" s="1"/>
      <c r="H185" s="1"/>
      <c r="I185" s="340"/>
      <c r="J185" s="340"/>
      <c r="K185" s="1"/>
      <c r="L185" s="1"/>
      <c r="M185" s="341"/>
      <c r="N185" s="341"/>
      <c r="O185" s="341"/>
      <c r="P185" s="341"/>
      <c r="Q185" s="341"/>
      <c r="R185" s="341"/>
      <c r="S185" s="341"/>
      <c r="T185" s="341"/>
      <c r="U185" s="341"/>
      <c r="V185" s="341"/>
      <c r="W185" s="341"/>
      <c r="X185" s="341"/>
      <c r="Y185" s="341"/>
      <c r="Z185" s="341"/>
      <c r="AA185" s="341"/>
      <c r="AB185" s="341"/>
      <c r="AC185" s="341"/>
      <c r="AD185" s="341"/>
      <c r="AE185" s="341"/>
    </row>
    <row r="186" spans="1:31" ht="15.75" customHeight="1">
      <c r="A186" s="340"/>
      <c r="B186" s="1"/>
      <c r="C186" s="1"/>
      <c r="D186" s="340"/>
      <c r="E186" s="340"/>
      <c r="F186" s="340"/>
      <c r="G186" s="1"/>
      <c r="H186" s="1"/>
      <c r="I186" s="340"/>
      <c r="J186" s="340"/>
      <c r="K186" s="1"/>
      <c r="L186" s="1"/>
      <c r="M186" s="341"/>
      <c r="N186" s="341"/>
      <c r="O186" s="341"/>
      <c r="P186" s="341"/>
      <c r="Q186" s="341"/>
      <c r="R186" s="341"/>
      <c r="S186" s="341"/>
      <c r="T186" s="341"/>
      <c r="U186" s="341"/>
      <c r="V186" s="341"/>
      <c r="W186" s="341"/>
      <c r="X186" s="341"/>
      <c r="Y186" s="341"/>
      <c r="Z186" s="341"/>
      <c r="AA186" s="341"/>
      <c r="AB186" s="341"/>
      <c r="AC186" s="341"/>
      <c r="AD186" s="341"/>
      <c r="AE186" s="341"/>
    </row>
    <row r="187" spans="1:31" ht="15.75" customHeight="1">
      <c r="A187" s="340"/>
      <c r="B187" s="1"/>
      <c r="C187" s="1"/>
      <c r="D187" s="340"/>
      <c r="E187" s="340"/>
      <c r="F187" s="340"/>
      <c r="G187" s="1"/>
      <c r="H187" s="1"/>
      <c r="I187" s="340"/>
      <c r="J187" s="340"/>
      <c r="K187" s="1"/>
      <c r="L187" s="1"/>
      <c r="M187" s="341"/>
      <c r="N187" s="341"/>
      <c r="O187" s="341"/>
      <c r="P187" s="341"/>
      <c r="Q187" s="341"/>
      <c r="R187" s="341"/>
      <c r="S187" s="341"/>
      <c r="T187" s="341"/>
      <c r="U187" s="341"/>
      <c r="V187" s="341"/>
      <c r="W187" s="341"/>
      <c r="X187" s="341"/>
      <c r="Y187" s="341"/>
      <c r="Z187" s="341"/>
      <c r="AA187" s="341"/>
      <c r="AB187" s="341"/>
      <c r="AC187" s="341"/>
      <c r="AD187" s="341"/>
      <c r="AE187" s="341"/>
    </row>
    <row r="188" spans="1:31" ht="15.75" customHeight="1">
      <c r="A188" s="340"/>
      <c r="B188" s="1"/>
      <c r="C188" s="1"/>
      <c r="D188" s="340"/>
      <c r="E188" s="340"/>
      <c r="F188" s="340"/>
      <c r="G188" s="1"/>
      <c r="H188" s="1"/>
      <c r="I188" s="340"/>
      <c r="J188" s="340"/>
      <c r="K188" s="1"/>
      <c r="L188" s="1"/>
      <c r="M188" s="341"/>
      <c r="N188" s="341"/>
      <c r="O188" s="341"/>
      <c r="P188" s="341"/>
      <c r="Q188" s="341"/>
      <c r="R188" s="341"/>
      <c r="S188" s="341"/>
      <c r="T188" s="341"/>
      <c r="U188" s="341"/>
      <c r="V188" s="341"/>
      <c r="W188" s="341"/>
      <c r="X188" s="341"/>
      <c r="Y188" s="341"/>
      <c r="Z188" s="341"/>
      <c r="AA188" s="341"/>
      <c r="AB188" s="341"/>
      <c r="AC188" s="341"/>
      <c r="AD188" s="341"/>
      <c r="AE188" s="341"/>
    </row>
    <row r="189" spans="1:31" ht="15.75" customHeight="1">
      <c r="A189" s="340"/>
      <c r="B189" s="1"/>
      <c r="C189" s="1"/>
      <c r="D189" s="340"/>
      <c r="E189" s="340"/>
      <c r="F189" s="340"/>
      <c r="G189" s="1"/>
      <c r="H189" s="1"/>
      <c r="I189" s="340"/>
      <c r="J189" s="340"/>
      <c r="K189" s="1"/>
      <c r="L189" s="1"/>
      <c r="M189" s="341"/>
      <c r="N189" s="341"/>
      <c r="O189" s="341"/>
      <c r="P189" s="341"/>
      <c r="Q189" s="341"/>
      <c r="R189" s="341"/>
      <c r="S189" s="341"/>
      <c r="T189" s="341"/>
      <c r="U189" s="341"/>
      <c r="V189" s="341"/>
      <c r="W189" s="341"/>
      <c r="X189" s="341"/>
      <c r="Y189" s="341"/>
      <c r="Z189" s="341"/>
      <c r="AA189" s="341"/>
      <c r="AB189" s="341"/>
      <c r="AC189" s="341"/>
      <c r="AD189" s="341"/>
      <c r="AE189" s="341"/>
    </row>
    <row r="190" spans="1:31" ht="15.75" customHeight="1">
      <c r="A190" s="340"/>
      <c r="B190" s="1"/>
      <c r="C190" s="1"/>
      <c r="D190" s="340"/>
      <c r="E190" s="340"/>
      <c r="F190" s="340"/>
      <c r="G190" s="1"/>
      <c r="H190" s="1"/>
      <c r="I190" s="340"/>
      <c r="J190" s="340"/>
      <c r="K190" s="1"/>
      <c r="L190" s="1"/>
      <c r="M190" s="341"/>
      <c r="N190" s="341"/>
      <c r="O190" s="341"/>
      <c r="P190" s="341"/>
      <c r="Q190" s="341"/>
      <c r="R190" s="341"/>
      <c r="S190" s="341"/>
      <c r="T190" s="341"/>
      <c r="U190" s="341"/>
      <c r="V190" s="341"/>
      <c r="W190" s="341"/>
      <c r="X190" s="341"/>
      <c r="Y190" s="341"/>
      <c r="Z190" s="341"/>
      <c r="AA190" s="341"/>
      <c r="AB190" s="341"/>
      <c r="AC190" s="341"/>
      <c r="AD190" s="341"/>
      <c r="AE190" s="341"/>
    </row>
    <row r="191" spans="1:31" ht="15.75" customHeight="1">
      <c r="A191" s="340"/>
      <c r="B191" s="1"/>
      <c r="C191" s="1"/>
      <c r="D191" s="340"/>
      <c r="E191" s="340"/>
      <c r="F191" s="340"/>
      <c r="G191" s="1"/>
      <c r="H191" s="1"/>
      <c r="I191" s="340"/>
      <c r="J191" s="340"/>
      <c r="K191" s="1"/>
      <c r="L191" s="1"/>
      <c r="M191" s="341"/>
      <c r="N191" s="341"/>
      <c r="O191" s="341"/>
      <c r="P191" s="341"/>
      <c r="Q191" s="341"/>
      <c r="R191" s="341"/>
      <c r="S191" s="341"/>
      <c r="T191" s="341"/>
      <c r="U191" s="341"/>
      <c r="V191" s="341"/>
      <c r="W191" s="341"/>
      <c r="X191" s="341"/>
      <c r="Y191" s="341"/>
      <c r="Z191" s="341"/>
      <c r="AA191" s="341"/>
      <c r="AB191" s="341"/>
      <c r="AC191" s="341"/>
      <c r="AD191" s="341"/>
      <c r="AE191" s="341"/>
    </row>
    <row r="192" spans="1:31" ht="15.75" customHeight="1">
      <c r="A192" s="340"/>
      <c r="B192" s="1"/>
      <c r="C192" s="1"/>
      <c r="D192" s="340"/>
      <c r="E192" s="340"/>
      <c r="F192" s="340"/>
      <c r="G192" s="1"/>
      <c r="H192" s="1"/>
      <c r="I192" s="340"/>
      <c r="J192" s="340"/>
      <c r="K192" s="1"/>
      <c r="L192" s="1"/>
      <c r="M192" s="341"/>
      <c r="N192" s="341"/>
      <c r="O192" s="341"/>
      <c r="P192" s="341"/>
      <c r="Q192" s="341"/>
      <c r="R192" s="341"/>
      <c r="S192" s="341"/>
      <c r="T192" s="341"/>
      <c r="U192" s="341"/>
      <c r="V192" s="341"/>
      <c r="W192" s="341"/>
      <c r="X192" s="341"/>
      <c r="Y192" s="341"/>
      <c r="Z192" s="341"/>
      <c r="AA192" s="341"/>
      <c r="AB192" s="341"/>
      <c r="AC192" s="341"/>
      <c r="AD192" s="341"/>
      <c r="AE192" s="341"/>
    </row>
    <row r="193" spans="1:31" ht="15.75" customHeight="1">
      <c r="A193" s="340"/>
      <c r="B193" s="1"/>
      <c r="C193" s="1"/>
      <c r="D193" s="340"/>
      <c r="E193" s="340"/>
      <c r="F193" s="340"/>
      <c r="G193" s="1"/>
      <c r="H193" s="1"/>
      <c r="I193" s="340"/>
      <c r="J193" s="340"/>
      <c r="K193" s="1"/>
      <c r="L193" s="1"/>
      <c r="M193" s="341"/>
      <c r="N193" s="341"/>
      <c r="O193" s="341"/>
      <c r="P193" s="341"/>
      <c r="Q193" s="341"/>
      <c r="R193" s="341"/>
      <c r="S193" s="341"/>
      <c r="T193" s="341"/>
      <c r="U193" s="341"/>
      <c r="V193" s="341"/>
      <c r="W193" s="341"/>
      <c r="X193" s="341"/>
      <c r="Y193" s="341"/>
      <c r="Z193" s="341"/>
      <c r="AA193" s="341"/>
      <c r="AB193" s="341"/>
      <c r="AC193" s="341"/>
      <c r="AD193" s="341"/>
      <c r="AE193" s="341"/>
    </row>
    <row r="194" spans="1:31" ht="15.75" customHeight="1">
      <c r="A194" s="340"/>
      <c r="B194" s="1"/>
      <c r="C194" s="1"/>
      <c r="D194" s="340"/>
      <c r="E194" s="340"/>
      <c r="F194" s="340"/>
      <c r="G194" s="1"/>
      <c r="H194" s="1"/>
      <c r="I194" s="340"/>
      <c r="J194" s="340"/>
      <c r="K194" s="1"/>
      <c r="L194" s="1"/>
      <c r="M194" s="341"/>
      <c r="N194" s="341"/>
      <c r="O194" s="341"/>
      <c r="P194" s="341"/>
      <c r="Q194" s="341"/>
      <c r="R194" s="341"/>
      <c r="S194" s="341"/>
      <c r="T194" s="341"/>
      <c r="U194" s="341"/>
      <c r="V194" s="341"/>
      <c r="W194" s="341"/>
      <c r="X194" s="341"/>
      <c r="Y194" s="341"/>
      <c r="Z194" s="341"/>
      <c r="AA194" s="341"/>
      <c r="AB194" s="341"/>
      <c r="AC194" s="341"/>
      <c r="AD194" s="341"/>
      <c r="AE194" s="341"/>
    </row>
    <row r="195" spans="1:31" ht="15.75" customHeight="1">
      <c r="A195" s="340"/>
      <c r="B195" s="1"/>
      <c r="C195" s="1"/>
      <c r="D195" s="340"/>
      <c r="E195" s="340"/>
      <c r="F195" s="340"/>
      <c r="G195" s="1"/>
      <c r="H195" s="1"/>
      <c r="I195" s="340"/>
      <c r="J195" s="340"/>
      <c r="K195" s="1"/>
      <c r="L195" s="1"/>
      <c r="M195" s="341"/>
      <c r="N195" s="341"/>
      <c r="O195" s="341"/>
      <c r="P195" s="341"/>
      <c r="Q195" s="341"/>
      <c r="R195" s="341"/>
      <c r="S195" s="341"/>
      <c r="T195" s="341"/>
      <c r="U195" s="341"/>
      <c r="V195" s="341"/>
      <c r="W195" s="341"/>
      <c r="X195" s="341"/>
      <c r="Y195" s="341"/>
      <c r="Z195" s="341"/>
      <c r="AA195" s="341"/>
      <c r="AB195" s="341"/>
      <c r="AC195" s="341"/>
      <c r="AD195" s="341"/>
      <c r="AE195" s="341"/>
    </row>
    <row r="196" spans="1:31" ht="15.75" customHeight="1">
      <c r="A196" s="340"/>
      <c r="B196" s="1"/>
      <c r="C196" s="1"/>
      <c r="D196" s="340"/>
      <c r="E196" s="340"/>
      <c r="F196" s="340"/>
      <c r="G196" s="1"/>
      <c r="H196" s="1"/>
      <c r="I196" s="340"/>
      <c r="J196" s="340"/>
      <c r="K196" s="1"/>
      <c r="L196" s="1"/>
      <c r="M196" s="341"/>
      <c r="N196" s="341"/>
      <c r="O196" s="341"/>
      <c r="P196" s="341"/>
      <c r="Q196" s="341"/>
      <c r="R196" s="341"/>
      <c r="S196" s="341"/>
      <c r="T196" s="341"/>
      <c r="U196" s="341"/>
      <c r="V196" s="341"/>
      <c r="W196" s="341"/>
      <c r="X196" s="341"/>
      <c r="Y196" s="341"/>
      <c r="Z196" s="341"/>
      <c r="AA196" s="341"/>
      <c r="AB196" s="341"/>
      <c r="AC196" s="341"/>
      <c r="AD196" s="341"/>
      <c r="AE196" s="341"/>
    </row>
    <row r="197" spans="1:31" ht="15.75" customHeight="1">
      <c r="A197" s="340"/>
      <c r="B197" s="1"/>
      <c r="C197" s="1"/>
      <c r="D197" s="340"/>
      <c r="E197" s="340"/>
      <c r="F197" s="340"/>
      <c r="G197" s="1"/>
      <c r="H197" s="1"/>
      <c r="I197" s="340"/>
      <c r="J197" s="340"/>
      <c r="K197" s="1"/>
      <c r="L197" s="1"/>
      <c r="M197" s="341"/>
      <c r="N197" s="341"/>
      <c r="O197" s="341"/>
      <c r="P197" s="341"/>
      <c r="Q197" s="341"/>
      <c r="R197" s="341"/>
      <c r="S197" s="341"/>
      <c r="T197" s="341"/>
      <c r="U197" s="341"/>
      <c r="V197" s="341"/>
      <c r="W197" s="341"/>
      <c r="X197" s="341"/>
      <c r="Y197" s="341"/>
      <c r="Z197" s="341"/>
      <c r="AA197" s="341"/>
      <c r="AB197" s="341"/>
      <c r="AC197" s="341"/>
      <c r="AD197" s="341"/>
      <c r="AE197" s="341"/>
    </row>
    <row r="198" spans="1:31" ht="15.75" customHeight="1">
      <c r="A198" s="340"/>
      <c r="B198" s="1"/>
      <c r="C198" s="1"/>
      <c r="D198" s="340"/>
      <c r="E198" s="340"/>
      <c r="F198" s="340"/>
      <c r="G198" s="1"/>
      <c r="H198" s="1"/>
      <c r="I198" s="340"/>
      <c r="J198" s="340"/>
      <c r="K198" s="1"/>
      <c r="L198" s="1"/>
      <c r="M198" s="341"/>
      <c r="N198" s="341"/>
      <c r="O198" s="341"/>
      <c r="P198" s="341"/>
      <c r="Q198" s="341"/>
      <c r="R198" s="341"/>
      <c r="S198" s="341"/>
      <c r="T198" s="341"/>
      <c r="U198" s="341"/>
      <c r="V198" s="341"/>
      <c r="W198" s="341"/>
      <c r="X198" s="341"/>
      <c r="Y198" s="341"/>
      <c r="Z198" s="341"/>
      <c r="AA198" s="341"/>
      <c r="AB198" s="341"/>
      <c r="AC198" s="341"/>
      <c r="AD198" s="341"/>
      <c r="AE198" s="341"/>
    </row>
    <row r="199" spans="1:31" ht="15.75" customHeight="1">
      <c r="A199" s="340"/>
      <c r="B199" s="1"/>
      <c r="C199" s="1"/>
      <c r="D199" s="340"/>
      <c r="E199" s="340"/>
      <c r="F199" s="340"/>
      <c r="G199" s="1"/>
      <c r="H199" s="1"/>
      <c r="I199" s="340"/>
      <c r="J199" s="340"/>
      <c r="K199" s="1"/>
      <c r="L199" s="1"/>
      <c r="M199" s="341"/>
      <c r="N199" s="341"/>
      <c r="O199" s="341"/>
      <c r="P199" s="341"/>
      <c r="Q199" s="341"/>
      <c r="R199" s="341"/>
      <c r="S199" s="341"/>
      <c r="T199" s="341"/>
      <c r="U199" s="341"/>
      <c r="V199" s="341"/>
      <c r="W199" s="341"/>
      <c r="X199" s="341"/>
      <c r="Y199" s="341"/>
      <c r="Z199" s="341"/>
      <c r="AA199" s="341"/>
      <c r="AB199" s="341"/>
      <c r="AC199" s="341"/>
      <c r="AD199" s="341"/>
      <c r="AE199" s="341"/>
    </row>
    <row r="200" spans="1:31" ht="15.75" customHeight="1">
      <c r="A200" s="340"/>
      <c r="B200" s="1"/>
      <c r="C200" s="1"/>
      <c r="D200" s="340"/>
      <c r="E200" s="340"/>
      <c r="F200" s="340"/>
      <c r="G200" s="1"/>
      <c r="H200" s="1"/>
      <c r="I200" s="340"/>
      <c r="J200" s="340"/>
      <c r="K200" s="1"/>
      <c r="L200" s="1"/>
      <c r="M200" s="341"/>
      <c r="N200" s="341"/>
      <c r="O200" s="341"/>
      <c r="P200" s="341"/>
      <c r="Q200" s="341"/>
      <c r="R200" s="341"/>
      <c r="S200" s="341"/>
      <c r="T200" s="341"/>
      <c r="U200" s="341"/>
      <c r="V200" s="341"/>
      <c r="W200" s="341"/>
      <c r="X200" s="341"/>
      <c r="Y200" s="341"/>
      <c r="Z200" s="341"/>
      <c r="AA200" s="341"/>
      <c r="AB200" s="341"/>
      <c r="AC200" s="341"/>
      <c r="AD200" s="341"/>
      <c r="AE200" s="341"/>
    </row>
    <row r="201" spans="1:31" ht="15.75" customHeight="1">
      <c r="A201" s="340"/>
      <c r="B201" s="1"/>
      <c r="C201" s="1"/>
      <c r="D201" s="340"/>
      <c r="E201" s="340"/>
      <c r="F201" s="340"/>
      <c r="G201" s="1"/>
      <c r="H201" s="1"/>
      <c r="I201" s="340"/>
      <c r="J201" s="340"/>
      <c r="K201" s="1"/>
      <c r="L201" s="1"/>
      <c r="M201" s="341"/>
      <c r="N201" s="341"/>
      <c r="O201" s="341"/>
      <c r="P201" s="341"/>
      <c r="Q201" s="341"/>
      <c r="R201" s="341"/>
      <c r="S201" s="341"/>
      <c r="T201" s="341"/>
      <c r="U201" s="341"/>
      <c r="V201" s="341"/>
      <c r="W201" s="341"/>
      <c r="X201" s="341"/>
      <c r="Y201" s="341"/>
      <c r="Z201" s="341"/>
      <c r="AA201" s="341"/>
      <c r="AB201" s="341"/>
      <c r="AC201" s="341"/>
      <c r="AD201" s="341"/>
      <c r="AE201" s="341"/>
    </row>
    <row r="202" spans="1:31" ht="15.75" customHeight="1">
      <c r="A202" s="340"/>
      <c r="B202" s="1"/>
      <c r="C202" s="1"/>
      <c r="D202" s="340"/>
      <c r="E202" s="340"/>
      <c r="F202" s="340"/>
      <c r="G202" s="1"/>
      <c r="H202" s="1"/>
      <c r="I202" s="340"/>
      <c r="J202" s="340"/>
      <c r="K202" s="1"/>
      <c r="L202" s="1"/>
      <c r="M202" s="341"/>
      <c r="N202" s="341"/>
      <c r="O202" s="341"/>
      <c r="P202" s="341"/>
      <c r="Q202" s="341"/>
      <c r="R202" s="341"/>
      <c r="S202" s="341"/>
      <c r="T202" s="341"/>
      <c r="U202" s="341"/>
      <c r="V202" s="341"/>
      <c r="W202" s="341"/>
      <c r="X202" s="341"/>
      <c r="Y202" s="341"/>
      <c r="Z202" s="341"/>
      <c r="AA202" s="341"/>
      <c r="AB202" s="341"/>
      <c r="AC202" s="341"/>
      <c r="AD202" s="341"/>
      <c r="AE202" s="341"/>
    </row>
    <row r="203" spans="1:31" ht="15.75" customHeight="1">
      <c r="A203" s="340"/>
      <c r="B203" s="1"/>
      <c r="C203" s="1"/>
      <c r="D203" s="340"/>
      <c r="E203" s="340"/>
      <c r="F203" s="340"/>
      <c r="G203" s="1"/>
      <c r="H203" s="1"/>
      <c r="I203" s="340"/>
      <c r="J203" s="340"/>
      <c r="K203" s="1"/>
      <c r="L203" s="1"/>
      <c r="M203" s="341"/>
      <c r="N203" s="341"/>
      <c r="O203" s="341"/>
      <c r="P203" s="341"/>
      <c r="Q203" s="341"/>
      <c r="R203" s="341"/>
      <c r="S203" s="341"/>
      <c r="T203" s="341"/>
      <c r="U203" s="341"/>
      <c r="V203" s="341"/>
      <c r="W203" s="341"/>
      <c r="X203" s="341"/>
      <c r="Y203" s="341"/>
      <c r="Z203" s="341"/>
      <c r="AA203" s="341"/>
      <c r="AB203" s="341"/>
      <c r="AC203" s="341"/>
      <c r="AD203" s="341"/>
      <c r="AE203" s="341"/>
    </row>
    <row r="204" spans="1:31" ht="15.75" customHeight="1">
      <c r="A204" s="340"/>
      <c r="B204" s="1"/>
      <c r="C204" s="1"/>
      <c r="D204" s="340"/>
      <c r="E204" s="340"/>
      <c r="F204" s="340"/>
      <c r="G204" s="1"/>
      <c r="H204" s="1"/>
      <c r="I204" s="340"/>
      <c r="J204" s="340"/>
      <c r="K204" s="1"/>
      <c r="L204" s="1"/>
      <c r="M204" s="341"/>
      <c r="N204" s="341"/>
      <c r="O204" s="341"/>
      <c r="P204" s="341"/>
      <c r="Q204" s="341"/>
      <c r="R204" s="341"/>
      <c r="S204" s="341"/>
      <c r="T204" s="341"/>
      <c r="U204" s="341"/>
      <c r="V204" s="341"/>
      <c r="W204" s="341"/>
      <c r="X204" s="341"/>
      <c r="Y204" s="341"/>
      <c r="Z204" s="341"/>
      <c r="AA204" s="341"/>
      <c r="AB204" s="341"/>
      <c r="AC204" s="341"/>
      <c r="AD204" s="341"/>
      <c r="AE204" s="341"/>
    </row>
    <row r="205" spans="1:31" ht="15.75" customHeight="1">
      <c r="A205" s="340"/>
      <c r="B205" s="1"/>
      <c r="C205" s="1"/>
      <c r="D205" s="340"/>
      <c r="E205" s="340"/>
      <c r="F205" s="340"/>
      <c r="G205" s="1"/>
      <c r="H205" s="1"/>
      <c r="I205" s="340"/>
      <c r="J205" s="340"/>
      <c r="K205" s="1"/>
      <c r="L205" s="1"/>
      <c r="M205" s="341"/>
      <c r="N205" s="341"/>
      <c r="O205" s="341"/>
      <c r="P205" s="341"/>
      <c r="Q205" s="341"/>
      <c r="R205" s="341"/>
      <c r="S205" s="341"/>
      <c r="T205" s="341"/>
      <c r="U205" s="341"/>
      <c r="V205" s="341"/>
      <c r="W205" s="341"/>
      <c r="X205" s="341"/>
      <c r="Y205" s="341"/>
      <c r="Z205" s="341"/>
      <c r="AA205" s="341"/>
      <c r="AB205" s="341"/>
      <c r="AC205" s="341"/>
      <c r="AD205" s="341"/>
      <c r="AE205" s="341"/>
    </row>
    <row r="206" spans="1:31" ht="15.75" customHeight="1">
      <c r="A206" s="340"/>
      <c r="B206" s="1"/>
      <c r="C206" s="1"/>
      <c r="D206" s="340"/>
      <c r="E206" s="340"/>
      <c r="F206" s="340"/>
      <c r="G206" s="1"/>
      <c r="H206" s="1"/>
      <c r="I206" s="340"/>
      <c r="J206" s="340"/>
      <c r="K206" s="1"/>
      <c r="L206" s="1"/>
      <c r="M206" s="341"/>
      <c r="N206" s="341"/>
      <c r="O206" s="341"/>
      <c r="P206" s="341"/>
      <c r="Q206" s="341"/>
      <c r="R206" s="341"/>
      <c r="S206" s="341"/>
      <c r="T206" s="341"/>
      <c r="U206" s="341"/>
      <c r="V206" s="341"/>
      <c r="W206" s="341"/>
      <c r="X206" s="341"/>
      <c r="Y206" s="341"/>
      <c r="Z206" s="341"/>
      <c r="AA206" s="341"/>
      <c r="AB206" s="341"/>
      <c r="AC206" s="341"/>
      <c r="AD206" s="341"/>
      <c r="AE206" s="341"/>
    </row>
    <row r="207" spans="1:31" ht="15.75" customHeight="1">
      <c r="A207" s="340"/>
      <c r="B207" s="1"/>
      <c r="C207" s="1"/>
      <c r="D207" s="340"/>
      <c r="E207" s="340"/>
      <c r="F207" s="340"/>
      <c r="G207" s="1"/>
      <c r="H207" s="1"/>
      <c r="I207" s="340"/>
      <c r="J207" s="340"/>
      <c r="K207" s="1"/>
      <c r="L207" s="1"/>
      <c r="M207" s="341"/>
      <c r="N207" s="341"/>
      <c r="O207" s="341"/>
      <c r="P207" s="341"/>
      <c r="Q207" s="341"/>
      <c r="R207" s="341"/>
      <c r="S207" s="341"/>
      <c r="T207" s="341"/>
      <c r="U207" s="341"/>
      <c r="V207" s="341"/>
      <c r="W207" s="341"/>
      <c r="X207" s="341"/>
      <c r="Y207" s="341"/>
      <c r="Z207" s="341"/>
      <c r="AA207" s="341"/>
      <c r="AB207" s="341"/>
      <c r="AC207" s="341"/>
      <c r="AD207" s="341"/>
      <c r="AE207" s="341"/>
    </row>
    <row r="208" spans="1:31" ht="15.75" customHeight="1">
      <c r="A208" s="340"/>
      <c r="B208" s="1"/>
      <c r="C208" s="1"/>
      <c r="D208" s="340"/>
      <c r="E208" s="340"/>
      <c r="F208" s="340"/>
      <c r="G208" s="1"/>
      <c r="H208" s="1"/>
      <c r="I208" s="340"/>
      <c r="J208" s="340"/>
      <c r="K208" s="1"/>
      <c r="L208" s="1"/>
      <c r="M208" s="341"/>
      <c r="N208" s="341"/>
      <c r="O208" s="341"/>
      <c r="P208" s="341"/>
      <c r="Q208" s="341"/>
      <c r="R208" s="341"/>
      <c r="S208" s="341"/>
      <c r="T208" s="341"/>
      <c r="U208" s="341"/>
      <c r="V208" s="341"/>
      <c r="W208" s="341"/>
      <c r="X208" s="341"/>
      <c r="Y208" s="341"/>
      <c r="Z208" s="341"/>
      <c r="AA208" s="341"/>
      <c r="AB208" s="341"/>
      <c r="AC208" s="341"/>
      <c r="AD208" s="341"/>
      <c r="AE208" s="341"/>
    </row>
    <row r="209" spans="1:31" ht="15.75" customHeight="1">
      <c r="A209" s="340"/>
      <c r="B209" s="1"/>
      <c r="C209" s="1"/>
      <c r="D209" s="340"/>
      <c r="E209" s="340"/>
      <c r="F209" s="340"/>
      <c r="G209" s="1"/>
      <c r="H209" s="1"/>
      <c r="I209" s="340"/>
      <c r="J209" s="340"/>
      <c r="K209" s="1"/>
      <c r="L209" s="1"/>
      <c r="M209" s="341"/>
      <c r="N209" s="341"/>
      <c r="O209" s="341"/>
      <c r="P209" s="341"/>
      <c r="Q209" s="341"/>
      <c r="R209" s="341"/>
      <c r="S209" s="341"/>
      <c r="T209" s="341"/>
      <c r="U209" s="341"/>
      <c r="V209" s="341"/>
      <c r="W209" s="341"/>
      <c r="X209" s="341"/>
      <c r="Y209" s="341"/>
      <c r="Z209" s="341"/>
      <c r="AA209" s="341"/>
      <c r="AB209" s="341"/>
      <c r="AC209" s="341"/>
      <c r="AD209" s="341"/>
      <c r="AE209" s="341"/>
    </row>
    <row r="210" spans="1:31" ht="15.75" customHeight="1">
      <c r="A210" s="340"/>
      <c r="B210" s="1"/>
      <c r="C210" s="1"/>
      <c r="D210" s="340"/>
      <c r="E210" s="340"/>
      <c r="F210" s="340"/>
      <c r="G210" s="1"/>
      <c r="H210" s="1"/>
      <c r="I210" s="340"/>
      <c r="J210" s="340"/>
      <c r="K210" s="1"/>
      <c r="L210" s="1"/>
      <c r="M210" s="341"/>
      <c r="N210" s="341"/>
      <c r="O210" s="341"/>
      <c r="P210" s="341"/>
      <c r="Q210" s="341"/>
      <c r="R210" s="341"/>
      <c r="S210" s="341"/>
      <c r="T210" s="341"/>
      <c r="U210" s="341"/>
      <c r="V210" s="341"/>
      <c r="W210" s="341"/>
      <c r="X210" s="341"/>
      <c r="Y210" s="341"/>
      <c r="Z210" s="341"/>
      <c r="AA210" s="341"/>
      <c r="AB210" s="341"/>
      <c r="AC210" s="341"/>
      <c r="AD210" s="341"/>
      <c r="AE210" s="341"/>
    </row>
    <row r="211" spans="1:31" ht="15.75" customHeight="1">
      <c r="A211" s="340"/>
      <c r="B211" s="1"/>
      <c r="C211" s="1"/>
      <c r="D211" s="340"/>
      <c r="E211" s="340"/>
      <c r="F211" s="340"/>
      <c r="G211" s="1"/>
      <c r="H211" s="1"/>
      <c r="I211" s="340"/>
      <c r="J211" s="340"/>
      <c r="K211" s="1"/>
      <c r="L211" s="1"/>
      <c r="M211" s="341"/>
      <c r="N211" s="341"/>
      <c r="O211" s="341"/>
      <c r="P211" s="341"/>
      <c r="Q211" s="341"/>
      <c r="R211" s="341"/>
      <c r="S211" s="341"/>
      <c r="T211" s="341"/>
      <c r="U211" s="341"/>
      <c r="V211" s="341"/>
      <c r="W211" s="341"/>
      <c r="X211" s="341"/>
      <c r="Y211" s="341"/>
      <c r="Z211" s="341"/>
      <c r="AA211" s="341"/>
      <c r="AB211" s="341"/>
      <c r="AC211" s="341"/>
      <c r="AD211" s="341"/>
      <c r="AE211" s="341"/>
    </row>
    <row r="212" spans="1:31" ht="15.75" customHeight="1">
      <c r="A212" s="340"/>
      <c r="B212" s="1"/>
      <c r="C212" s="1"/>
      <c r="D212" s="340"/>
      <c r="E212" s="340"/>
      <c r="F212" s="340"/>
      <c r="G212" s="1"/>
      <c r="H212" s="1"/>
      <c r="I212" s="340"/>
      <c r="J212" s="340"/>
      <c r="K212" s="1"/>
      <c r="L212" s="1"/>
      <c r="M212" s="341"/>
      <c r="N212" s="341"/>
      <c r="O212" s="341"/>
      <c r="P212" s="341"/>
      <c r="Q212" s="341"/>
      <c r="R212" s="341"/>
      <c r="S212" s="341"/>
      <c r="T212" s="341"/>
      <c r="U212" s="341"/>
      <c r="V212" s="341"/>
      <c r="W212" s="341"/>
      <c r="X212" s="341"/>
      <c r="Y212" s="341"/>
      <c r="Z212" s="341"/>
      <c r="AA212" s="341"/>
      <c r="AB212" s="341"/>
      <c r="AC212" s="341"/>
      <c r="AD212" s="341"/>
      <c r="AE212" s="341"/>
    </row>
    <row r="213" spans="1:31" ht="15.75" customHeight="1">
      <c r="A213" s="340"/>
      <c r="B213" s="1"/>
      <c r="C213" s="1"/>
      <c r="D213" s="340"/>
      <c r="E213" s="340"/>
      <c r="F213" s="340"/>
      <c r="G213" s="1"/>
      <c r="H213" s="1"/>
      <c r="I213" s="340"/>
      <c r="J213" s="340"/>
      <c r="K213" s="1"/>
      <c r="L213" s="1"/>
      <c r="M213" s="341"/>
      <c r="N213" s="341"/>
      <c r="O213" s="341"/>
      <c r="P213" s="341"/>
      <c r="Q213" s="341"/>
      <c r="R213" s="341"/>
      <c r="S213" s="341"/>
      <c r="T213" s="341"/>
      <c r="U213" s="341"/>
      <c r="V213" s="341"/>
      <c r="W213" s="341"/>
      <c r="X213" s="341"/>
      <c r="Y213" s="341"/>
      <c r="Z213" s="341"/>
      <c r="AA213" s="341"/>
      <c r="AB213" s="341"/>
      <c r="AC213" s="341"/>
      <c r="AD213" s="341"/>
      <c r="AE213" s="341"/>
    </row>
    <row r="214" spans="1:31" ht="15.75" customHeight="1">
      <c r="A214" s="340"/>
      <c r="B214" s="1"/>
      <c r="C214" s="1"/>
      <c r="D214" s="340"/>
      <c r="E214" s="340"/>
      <c r="F214" s="340"/>
      <c r="G214" s="1"/>
      <c r="H214" s="1"/>
      <c r="I214" s="340"/>
      <c r="J214" s="340"/>
      <c r="K214" s="1"/>
      <c r="L214" s="1"/>
      <c r="M214" s="341"/>
      <c r="N214" s="341"/>
      <c r="O214" s="341"/>
      <c r="P214" s="341"/>
      <c r="Q214" s="341"/>
      <c r="R214" s="341"/>
      <c r="S214" s="341"/>
      <c r="T214" s="341"/>
      <c r="U214" s="341"/>
      <c r="V214" s="341"/>
      <c r="W214" s="341"/>
      <c r="X214" s="341"/>
      <c r="Y214" s="341"/>
      <c r="Z214" s="341"/>
      <c r="AA214" s="341"/>
      <c r="AB214" s="341"/>
      <c r="AC214" s="341"/>
      <c r="AD214" s="341"/>
      <c r="AE214" s="341"/>
    </row>
    <row r="215" spans="1:31" ht="15.75" customHeight="1">
      <c r="A215" s="340"/>
      <c r="B215" s="1"/>
      <c r="C215" s="1"/>
      <c r="D215" s="340"/>
      <c r="E215" s="340"/>
      <c r="F215" s="340"/>
      <c r="G215" s="1"/>
      <c r="H215" s="1"/>
      <c r="I215" s="340"/>
      <c r="J215" s="340"/>
      <c r="K215" s="1"/>
      <c r="L215" s="1"/>
      <c r="M215" s="341"/>
      <c r="N215" s="341"/>
      <c r="O215" s="341"/>
      <c r="P215" s="341"/>
      <c r="Q215" s="341"/>
      <c r="R215" s="341"/>
      <c r="S215" s="341"/>
      <c r="T215" s="341"/>
      <c r="U215" s="341"/>
      <c r="V215" s="341"/>
      <c r="W215" s="341"/>
      <c r="X215" s="341"/>
      <c r="Y215" s="341"/>
      <c r="Z215" s="341"/>
      <c r="AA215" s="341"/>
      <c r="AB215" s="341"/>
      <c r="AC215" s="341"/>
      <c r="AD215" s="341"/>
      <c r="AE215" s="341"/>
    </row>
    <row r="216" spans="1:31" ht="15.75" customHeight="1">
      <c r="A216" s="340"/>
      <c r="B216" s="1"/>
      <c r="C216" s="1"/>
      <c r="D216" s="340"/>
      <c r="E216" s="340"/>
      <c r="F216" s="340"/>
      <c r="G216" s="1"/>
      <c r="H216" s="1"/>
      <c r="I216" s="340"/>
      <c r="J216" s="340"/>
      <c r="K216" s="1"/>
      <c r="L216" s="1"/>
      <c r="M216" s="341"/>
      <c r="N216" s="341"/>
      <c r="O216" s="341"/>
      <c r="P216" s="341"/>
      <c r="Q216" s="341"/>
      <c r="R216" s="341"/>
      <c r="S216" s="341"/>
      <c r="T216" s="341"/>
      <c r="U216" s="341"/>
      <c r="V216" s="341"/>
      <c r="W216" s="341"/>
      <c r="X216" s="341"/>
      <c r="Y216" s="341"/>
      <c r="Z216" s="341"/>
      <c r="AA216" s="341"/>
      <c r="AB216" s="341"/>
      <c r="AC216" s="341"/>
      <c r="AD216" s="341"/>
      <c r="AE216" s="341"/>
    </row>
    <row r="217" spans="1:31" ht="15.75" customHeight="1">
      <c r="A217" s="340"/>
      <c r="B217" s="1"/>
      <c r="C217" s="1"/>
      <c r="D217" s="340"/>
      <c r="E217" s="340"/>
      <c r="F217" s="340"/>
      <c r="G217" s="1"/>
      <c r="H217" s="1"/>
      <c r="I217" s="340"/>
      <c r="J217" s="340"/>
      <c r="K217" s="1"/>
      <c r="L217" s="1"/>
      <c r="M217" s="341"/>
      <c r="N217" s="341"/>
      <c r="O217" s="341"/>
      <c r="P217" s="341"/>
      <c r="Q217" s="341"/>
      <c r="R217" s="341"/>
      <c r="S217" s="341"/>
      <c r="T217" s="341"/>
      <c r="U217" s="341"/>
      <c r="V217" s="341"/>
      <c r="W217" s="341"/>
      <c r="X217" s="341"/>
      <c r="Y217" s="341"/>
      <c r="Z217" s="341"/>
      <c r="AA217" s="341"/>
      <c r="AB217" s="341"/>
      <c r="AC217" s="341"/>
      <c r="AD217" s="341"/>
      <c r="AE217" s="341"/>
    </row>
    <row r="218" spans="1:31" ht="15.75" customHeight="1">
      <c r="A218" s="340"/>
      <c r="B218" s="1"/>
      <c r="C218" s="1"/>
      <c r="D218" s="340"/>
      <c r="E218" s="340"/>
      <c r="F218" s="340"/>
      <c r="G218" s="1"/>
      <c r="H218" s="1"/>
      <c r="I218" s="340"/>
      <c r="J218" s="340"/>
      <c r="K218" s="1"/>
      <c r="L218" s="1"/>
      <c r="M218" s="341"/>
      <c r="N218" s="341"/>
      <c r="O218" s="341"/>
      <c r="P218" s="341"/>
      <c r="Q218" s="341"/>
      <c r="R218" s="341"/>
      <c r="S218" s="341"/>
      <c r="T218" s="341"/>
      <c r="U218" s="341"/>
      <c r="V218" s="341"/>
      <c r="W218" s="341"/>
      <c r="X218" s="341"/>
      <c r="Y218" s="341"/>
      <c r="Z218" s="341"/>
      <c r="AA218" s="341"/>
      <c r="AB218" s="341"/>
      <c r="AC218" s="341"/>
      <c r="AD218" s="341"/>
      <c r="AE218" s="341"/>
    </row>
    <row r="219" spans="1:31" ht="15.75" customHeight="1">
      <c r="A219" s="340"/>
      <c r="B219" s="1"/>
      <c r="C219" s="1"/>
      <c r="D219" s="340"/>
      <c r="E219" s="340"/>
      <c r="F219" s="340"/>
      <c r="G219" s="1"/>
      <c r="H219" s="1"/>
      <c r="I219" s="340"/>
      <c r="J219" s="340"/>
      <c r="K219" s="1"/>
      <c r="L219" s="1"/>
      <c r="M219" s="341"/>
      <c r="N219" s="341"/>
      <c r="O219" s="341"/>
      <c r="P219" s="341"/>
      <c r="Q219" s="341"/>
      <c r="R219" s="341"/>
      <c r="S219" s="341"/>
      <c r="T219" s="341"/>
      <c r="U219" s="341"/>
      <c r="V219" s="341"/>
      <c r="W219" s="341"/>
      <c r="X219" s="341"/>
      <c r="Y219" s="341"/>
      <c r="Z219" s="341"/>
      <c r="AA219" s="341"/>
      <c r="AB219" s="341"/>
      <c r="AC219" s="341"/>
      <c r="AD219" s="341"/>
      <c r="AE219" s="341"/>
    </row>
    <row r="220" spans="1:31" ht="15.75" customHeight="1">
      <c r="A220" s="340"/>
      <c r="B220" s="1"/>
      <c r="C220" s="1"/>
      <c r="D220" s="340"/>
      <c r="E220" s="340"/>
      <c r="F220" s="340"/>
      <c r="G220" s="1"/>
      <c r="H220" s="1"/>
      <c r="I220" s="340"/>
      <c r="J220" s="340"/>
      <c r="K220" s="1"/>
      <c r="L220" s="1"/>
      <c r="M220" s="341"/>
      <c r="N220" s="341"/>
      <c r="O220" s="341"/>
      <c r="P220" s="341"/>
      <c r="Q220" s="341"/>
      <c r="R220" s="341"/>
      <c r="S220" s="341"/>
      <c r="T220" s="341"/>
      <c r="U220" s="341"/>
      <c r="V220" s="341"/>
      <c r="W220" s="341"/>
      <c r="X220" s="341"/>
      <c r="Y220" s="341"/>
      <c r="Z220" s="341"/>
      <c r="AA220" s="341"/>
      <c r="AB220" s="341"/>
      <c r="AC220" s="341"/>
      <c r="AD220" s="341"/>
      <c r="AE220" s="341"/>
    </row>
    <row r="221" spans="1:31" ht="15.75" customHeight="1">
      <c r="A221" s="340"/>
      <c r="B221" s="1"/>
      <c r="C221" s="1"/>
      <c r="D221" s="340"/>
      <c r="E221" s="340"/>
      <c r="F221" s="340"/>
      <c r="G221" s="1"/>
      <c r="H221" s="1"/>
      <c r="I221" s="340"/>
      <c r="J221" s="340"/>
      <c r="K221" s="1"/>
      <c r="L221" s="1"/>
      <c r="M221" s="341"/>
      <c r="N221" s="341"/>
      <c r="O221" s="341"/>
      <c r="P221" s="341"/>
      <c r="Q221" s="341"/>
      <c r="R221" s="341"/>
      <c r="S221" s="341"/>
      <c r="T221" s="341"/>
      <c r="U221" s="341"/>
      <c r="V221" s="341"/>
      <c r="W221" s="341"/>
      <c r="X221" s="341"/>
      <c r="Y221" s="341"/>
      <c r="Z221" s="341"/>
      <c r="AA221" s="341"/>
      <c r="AB221" s="341"/>
      <c r="AC221" s="341"/>
      <c r="AD221" s="341"/>
      <c r="AE221" s="341"/>
    </row>
    <row r="222" spans="1:31" ht="15.75" customHeight="1">
      <c r="A222" s="340"/>
      <c r="B222" s="1"/>
      <c r="C222" s="1"/>
      <c r="D222" s="340"/>
      <c r="E222" s="340"/>
      <c r="F222" s="340"/>
      <c r="G222" s="1"/>
      <c r="H222" s="1"/>
      <c r="I222" s="340"/>
      <c r="J222" s="340"/>
      <c r="K222" s="1"/>
      <c r="L222" s="1"/>
      <c r="M222" s="341"/>
      <c r="N222" s="341"/>
      <c r="O222" s="341"/>
      <c r="P222" s="341"/>
      <c r="Q222" s="341"/>
      <c r="R222" s="341"/>
      <c r="S222" s="341"/>
      <c r="T222" s="341"/>
      <c r="U222" s="341"/>
      <c r="V222" s="341"/>
      <c r="W222" s="341"/>
      <c r="X222" s="341"/>
      <c r="Y222" s="341"/>
      <c r="Z222" s="341"/>
      <c r="AA222" s="341"/>
      <c r="AB222" s="341"/>
      <c r="AC222" s="341"/>
      <c r="AD222" s="341"/>
      <c r="AE222" s="341"/>
    </row>
    <row r="223" spans="1:31" ht="15.75" customHeight="1">
      <c r="A223" s="340"/>
      <c r="B223" s="1"/>
      <c r="C223" s="1"/>
      <c r="D223" s="340"/>
      <c r="E223" s="340"/>
      <c r="F223" s="340"/>
      <c r="G223" s="1"/>
      <c r="H223" s="1"/>
      <c r="I223" s="340"/>
      <c r="J223" s="340"/>
      <c r="K223" s="1"/>
      <c r="L223" s="1"/>
      <c r="M223" s="341"/>
      <c r="N223" s="341"/>
      <c r="O223" s="341"/>
      <c r="P223" s="341"/>
      <c r="Q223" s="341"/>
      <c r="R223" s="341"/>
      <c r="S223" s="341"/>
      <c r="T223" s="341"/>
      <c r="U223" s="341"/>
      <c r="V223" s="341"/>
      <c r="W223" s="341"/>
      <c r="X223" s="341"/>
      <c r="Y223" s="341"/>
      <c r="Z223" s="341"/>
      <c r="AA223" s="341"/>
      <c r="AB223" s="341"/>
      <c r="AC223" s="341"/>
      <c r="AD223" s="341"/>
      <c r="AE223" s="341"/>
    </row>
    <row r="224" spans="1:31" ht="15.75" customHeight="1">
      <c r="A224" s="340"/>
      <c r="B224" s="1"/>
      <c r="C224" s="1"/>
      <c r="D224" s="340"/>
      <c r="E224" s="340"/>
      <c r="F224" s="340"/>
      <c r="G224" s="1"/>
      <c r="H224" s="1"/>
      <c r="I224" s="340"/>
      <c r="J224" s="340"/>
      <c r="K224" s="1"/>
      <c r="L224" s="1"/>
      <c r="M224" s="341"/>
      <c r="N224" s="341"/>
      <c r="O224" s="341"/>
      <c r="P224" s="341"/>
      <c r="Q224" s="341"/>
      <c r="R224" s="341"/>
      <c r="S224" s="341"/>
      <c r="T224" s="341"/>
      <c r="U224" s="341"/>
      <c r="V224" s="341"/>
      <c r="W224" s="341"/>
      <c r="X224" s="341"/>
      <c r="Y224" s="341"/>
      <c r="Z224" s="341"/>
      <c r="AA224" s="341"/>
      <c r="AB224" s="341"/>
      <c r="AC224" s="341"/>
      <c r="AD224" s="341"/>
      <c r="AE224" s="341"/>
    </row>
    <row r="225" spans="1:31" ht="15.75" customHeight="1">
      <c r="A225" s="340"/>
      <c r="B225" s="1"/>
      <c r="C225" s="1"/>
      <c r="D225" s="340"/>
      <c r="E225" s="340"/>
      <c r="F225" s="340"/>
      <c r="G225" s="1"/>
      <c r="H225" s="1"/>
      <c r="I225" s="340"/>
      <c r="J225" s="340"/>
      <c r="K225" s="1"/>
      <c r="L225" s="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</row>
    <row r="226" spans="1:31" ht="15.75" customHeight="1">
      <c r="A226" s="340"/>
      <c r="B226" s="1"/>
      <c r="C226" s="1"/>
      <c r="D226" s="340"/>
      <c r="E226" s="340"/>
      <c r="F226" s="340"/>
      <c r="G226" s="1"/>
      <c r="H226" s="1"/>
      <c r="I226" s="340"/>
      <c r="J226" s="340"/>
      <c r="K226" s="1"/>
      <c r="L226" s="1"/>
      <c r="M226" s="341"/>
      <c r="N226" s="341"/>
      <c r="O226" s="341"/>
      <c r="P226" s="341"/>
      <c r="Q226" s="341"/>
      <c r="R226" s="341"/>
      <c r="S226" s="341"/>
      <c r="T226" s="341"/>
      <c r="U226" s="341"/>
      <c r="V226" s="341"/>
      <c r="W226" s="341"/>
      <c r="X226" s="341"/>
      <c r="Y226" s="341"/>
      <c r="Z226" s="341"/>
      <c r="AA226" s="341"/>
      <c r="AB226" s="341"/>
      <c r="AC226" s="341"/>
      <c r="AD226" s="341"/>
      <c r="AE226" s="341"/>
    </row>
    <row r="227" spans="1:31" ht="15.75" customHeight="1">
      <c r="A227" s="340"/>
      <c r="B227" s="1"/>
      <c r="C227" s="1"/>
      <c r="D227" s="340"/>
      <c r="E227" s="340"/>
      <c r="F227" s="340"/>
      <c r="G227" s="1"/>
      <c r="H227" s="1"/>
      <c r="I227" s="340"/>
      <c r="J227" s="340"/>
      <c r="K227" s="1"/>
      <c r="L227" s="1"/>
      <c r="M227" s="341"/>
      <c r="N227" s="341"/>
      <c r="O227" s="341"/>
      <c r="P227" s="341"/>
      <c r="Q227" s="341"/>
      <c r="R227" s="341"/>
      <c r="S227" s="341"/>
      <c r="T227" s="341"/>
      <c r="U227" s="341"/>
      <c r="V227" s="341"/>
      <c r="W227" s="341"/>
      <c r="X227" s="341"/>
      <c r="Y227" s="341"/>
      <c r="Z227" s="341"/>
      <c r="AA227" s="341"/>
      <c r="AB227" s="341"/>
      <c r="AC227" s="341"/>
      <c r="AD227" s="341"/>
      <c r="AE227" s="341"/>
    </row>
    <row r="228" spans="1:31" ht="15.75" customHeight="1">
      <c r="A228" s="340"/>
      <c r="B228" s="1"/>
      <c r="C228" s="1"/>
      <c r="D228" s="340"/>
      <c r="E228" s="340"/>
      <c r="F228" s="340"/>
      <c r="G228" s="1"/>
      <c r="H228" s="1"/>
      <c r="I228" s="340"/>
      <c r="J228" s="340"/>
      <c r="K228" s="1"/>
      <c r="L228" s="1"/>
      <c r="M228" s="341"/>
      <c r="N228" s="341"/>
      <c r="O228" s="341"/>
      <c r="P228" s="341"/>
      <c r="Q228" s="341"/>
      <c r="R228" s="341"/>
      <c r="S228" s="341"/>
      <c r="T228" s="341"/>
      <c r="U228" s="341"/>
      <c r="V228" s="341"/>
      <c r="W228" s="341"/>
      <c r="X228" s="341"/>
      <c r="Y228" s="341"/>
      <c r="Z228" s="341"/>
      <c r="AA228" s="341"/>
      <c r="AB228" s="341"/>
      <c r="AC228" s="341"/>
      <c r="AD228" s="341"/>
      <c r="AE228" s="341"/>
    </row>
    <row r="229" spans="1:31" ht="15.75" customHeight="1">
      <c r="A229" s="340"/>
      <c r="B229" s="1"/>
      <c r="C229" s="1"/>
      <c r="D229" s="340"/>
      <c r="E229" s="340"/>
      <c r="F229" s="340"/>
      <c r="G229" s="1"/>
      <c r="H229" s="1"/>
      <c r="I229" s="340"/>
      <c r="J229" s="340"/>
      <c r="K229" s="1"/>
      <c r="L229" s="1"/>
      <c r="M229" s="341"/>
      <c r="N229" s="341"/>
      <c r="O229" s="341"/>
      <c r="P229" s="341"/>
      <c r="Q229" s="341"/>
      <c r="R229" s="341"/>
      <c r="S229" s="341"/>
      <c r="T229" s="341"/>
      <c r="U229" s="341"/>
      <c r="V229" s="341"/>
      <c r="W229" s="341"/>
      <c r="X229" s="341"/>
      <c r="Y229" s="341"/>
      <c r="Z229" s="341"/>
      <c r="AA229" s="341"/>
      <c r="AB229" s="341"/>
      <c r="AC229" s="341"/>
      <c r="AD229" s="341"/>
      <c r="AE229" s="341"/>
    </row>
    <row r="230" spans="1:31" ht="15.75" customHeight="1">
      <c r="A230" s="340"/>
      <c r="B230" s="1"/>
      <c r="C230" s="1"/>
      <c r="D230" s="340"/>
      <c r="E230" s="340"/>
      <c r="F230" s="340"/>
      <c r="G230" s="1"/>
      <c r="H230" s="1"/>
      <c r="I230" s="340"/>
      <c r="J230" s="340"/>
      <c r="K230" s="1"/>
      <c r="L230" s="1"/>
      <c r="M230" s="341"/>
      <c r="N230" s="341"/>
      <c r="O230" s="341"/>
      <c r="P230" s="341"/>
      <c r="Q230" s="341"/>
      <c r="R230" s="341"/>
      <c r="S230" s="341"/>
      <c r="T230" s="341"/>
      <c r="U230" s="341"/>
      <c r="V230" s="341"/>
      <c r="W230" s="341"/>
      <c r="X230" s="341"/>
      <c r="Y230" s="341"/>
      <c r="Z230" s="341"/>
      <c r="AA230" s="341"/>
      <c r="AB230" s="341"/>
      <c r="AC230" s="341"/>
      <c r="AD230" s="341"/>
      <c r="AE230" s="341"/>
    </row>
    <row r="231" spans="1:31" ht="15.75" customHeight="1">
      <c r="A231" s="340"/>
      <c r="B231" s="1"/>
      <c r="C231" s="1"/>
      <c r="D231" s="340"/>
      <c r="E231" s="340"/>
      <c r="F231" s="340"/>
      <c r="G231" s="1"/>
      <c r="H231" s="1"/>
      <c r="I231" s="340"/>
      <c r="J231" s="340"/>
      <c r="K231" s="1"/>
      <c r="L231" s="1"/>
      <c r="M231" s="341"/>
      <c r="N231" s="341"/>
      <c r="O231" s="341"/>
      <c r="P231" s="341"/>
      <c r="Q231" s="341"/>
      <c r="R231" s="341"/>
      <c r="S231" s="341"/>
      <c r="T231" s="341"/>
      <c r="U231" s="341"/>
      <c r="V231" s="341"/>
      <c r="W231" s="341"/>
      <c r="X231" s="341"/>
      <c r="Y231" s="341"/>
      <c r="Z231" s="341"/>
      <c r="AA231" s="341"/>
      <c r="AB231" s="341"/>
      <c r="AC231" s="341"/>
      <c r="AD231" s="341"/>
      <c r="AE231" s="341"/>
    </row>
    <row r="232" spans="1:31" ht="15.75" customHeight="1">
      <c r="A232" s="340"/>
      <c r="B232" s="1"/>
      <c r="C232" s="1"/>
      <c r="D232" s="340"/>
      <c r="E232" s="340"/>
      <c r="F232" s="340"/>
      <c r="G232" s="1"/>
      <c r="H232" s="1"/>
      <c r="I232" s="340"/>
      <c r="J232" s="340"/>
      <c r="K232" s="1"/>
      <c r="L232" s="1"/>
      <c r="M232" s="341"/>
      <c r="N232" s="341"/>
      <c r="O232" s="341"/>
      <c r="P232" s="341"/>
      <c r="Q232" s="341"/>
      <c r="R232" s="341"/>
      <c r="S232" s="341"/>
      <c r="T232" s="341"/>
      <c r="U232" s="341"/>
      <c r="V232" s="341"/>
      <c r="W232" s="341"/>
      <c r="X232" s="341"/>
      <c r="Y232" s="341"/>
      <c r="Z232" s="341"/>
      <c r="AA232" s="341"/>
      <c r="AB232" s="341"/>
      <c r="AC232" s="341"/>
      <c r="AD232" s="341"/>
      <c r="AE232" s="341"/>
    </row>
    <row r="233" spans="1:31" ht="15.75" customHeight="1">
      <c r="A233" s="340"/>
      <c r="B233" s="1"/>
      <c r="C233" s="1"/>
      <c r="D233" s="340"/>
      <c r="E233" s="340"/>
      <c r="F233" s="340"/>
      <c r="G233" s="1"/>
      <c r="H233" s="1"/>
      <c r="I233" s="340"/>
      <c r="J233" s="340"/>
      <c r="K233" s="1"/>
      <c r="L233" s="1"/>
      <c r="M233" s="341"/>
      <c r="N233" s="341"/>
      <c r="O233" s="341"/>
      <c r="P233" s="341"/>
      <c r="Q233" s="341"/>
      <c r="R233" s="341"/>
      <c r="S233" s="341"/>
      <c r="T233" s="341"/>
      <c r="U233" s="341"/>
      <c r="V233" s="341"/>
      <c r="W233" s="341"/>
      <c r="X233" s="341"/>
      <c r="Y233" s="341"/>
      <c r="Z233" s="341"/>
      <c r="AA233" s="341"/>
      <c r="AB233" s="341"/>
      <c r="AC233" s="341"/>
      <c r="AD233" s="341"/>
      <c r="AE233" s="341"/>
    </row>
    <row r="234" spans="1:31" ht="15.75" customHeight="1">
      <c r="A234" s="340"/>
      <c r="B234" s="1"/>
      <c r="C234" s="1"/>
      <c r="D234" s="340"/>
      <c r="E234" s="340"/>
      <c r="F234" s="340"/>
      <c r="G234" s="1"/>
      <c r="H234" s="1"/>
      <c r="I234" s="340"/>
      <c r="J234" s="340"/>
      <c r="K234" s="1"/>
      <c r="L234" s="1"/>
      <c r="M234" s="341"/>
      <c r="N234" s="341"/>
      <c r="O234" s="341"/>
      <c r="P234" s="341"/>
      <c r="Q234" s="341"/>
      <c r="R234" s="341"/>
      <c r="S234" s="341"/>
      <c r="T234" s="341"/>
      <c r="U234" s="341"/>
      <c r="V234" s="341"/>
      <c r="W234" s="341"/>
      <c r="X234" s="341"/>
      <c r="Y234" s="341"/>
      <c r="Z234" s="341"/>
      <c r="AA234" s="341"/>
      <c r="AB234" s="341"/>
      <c r="AC234" s="341"/>
      <c r="AD234" s="341"/>
      <c r="AE234" s="341"/>
    </row>
    <row r="235" spans="1:31" ht="15.75" customHeight="1">
      <c r="A235" s="340"/>
      <c r="B235" s="1"/>
      <c r="C235" s="1"/>
      <c r="D235" s="340"/>
      <c r="E235" s="340"/>
      <c r="F235" s="340"/>
      <c r="G235" s="1"/>
      <c r="H235" s="1"/>
      <c r="I235" s="340"/>
      <c r="J235" s="340"/>
      <c r="K235" s="1"/>
      <c r="L235" s="1"/>
      <c r="M235" s="341"/>
      <c r="N235" s="341"/>
      <c r="O235" s="341"/>
      <c r="P235" s="341"/>
      <c r="Q235" s="341"/>
      <c r="R235" s="341"/>
      <c r="S235" s="341"/>
      <c r="T235" s="341"/>
      <c r="U235" s="341"/>
      <c r="V235" s="341"/>
      <c r="W235" s="341"/>
      <c r="X235" s="341"/>
      <c r="Y235" s="341"/>
      <c r="Z235" s="341"/>
      <c r="AA235" s="341"/>
      <c r="AB235" s="341"/>
      <c r="AC235" s="341"/>
      <c r="AD235" s="341"/>
      <c r="AE235" s="341"/>
    </row>
    <row r="236" spans="1:31" ht="15.75" customHeight="1">
      <c r="A236" s="340"/>
      <c r="B236" s="1"/>
      <c r="C236" s="1"/>
      <c r="D236" s="340"/>
      <c r="E236" s="340"/>
      <c r="F236" s="340"/>
      <c r="G236" s="1"/>
      <c r="H236" s="1"/>
      <c r="I236" s="340"/>
      <c r="J236" s="340"/>
      <c r="K236" s="1"/>
      <c r="L236" s="1"/>
      <c r="M236" s="341"/>
      <c r="N236" s="341"/>
      <c r="O236" s="341"/>
      <c r="P236" s="341"/>
      <c r="Q236" s="341"/>
      <c r="R236" s="341"/>
      <c r="S236" s="341"/>
      <c r="T236" s="341"/>
      <c r="U236" s="341"/>
      <c r="V236" s="341"/>
      <c r="W236" s="341"/>
      <c r="X236" s="341"/>
      <c r="Y236" s="341"/>
      <c r="Z236" s="341"/>
      <c r="AA236" s="341"/>
      <c r="AB236" s="341"/>
      <c r="AC236" s="341"/>
      <c r="AD236" s="341"/>
      <c r="AE236" s="341"/>
    </row>
    <row r="237" spans="1:31" ht="15.75" customHeight="1">
      <c r="A237" s="340"/>
      <c r="B237" s="1"/>
      <c r="C237" s="1"/>
      <c r="D237" s="340"/>
      <c r="E237" s="340"/>
      <c r="F237" s="340"/>
      <c r="G237" s="1"/>
      <c r="H237" s="1"/>
      <c r="I237" s="340"/>
      <c r="J237" s="340"/>
      <c r="K237" s="1"/>
      <c r="L237" s="1"/>
      <c r="M237" s="341"/>
      <c r="N237" s="341"/>
      <c r="O237" s="341"/>
      <c r="P237" s="341"/>
      <c r="Q237" s="341"/>
      <c r="R237" s="341"/>
      <c r="S237" s="341"/>
      <c r="T237" s="341"/>
      <c r="U237" s="341"/>
      <c r="V237" s="341"/>
      <c r="W237" s="341"/>
      <c r="X237" s="341"/>
      <c r="Y237" s="341"/>
      <c r="Z237" s="341"/>
      <c r="AA237" s="341"/>
      <c r="AB237" s="341"/>
      <c r="AC237" s="341"/>
      <c r="AD237" s="341"/>
      <c r="AE237" s="341"/>
    </row>
    <row r="238" spans="1:31" ht="15.75" customHeight="1">
      <c r="A238" s="340"/>
      <c r="B238" s="1"/>
      <c r="C238" s="1"/>
      <c r="D238" s="340"/>
      <c r="E238" s="340"/>
      <c r="F238" s="340"/>
      <c r="G238" s="1"/>
      <c r="H238" s="1"/>
      <c r="I238" s="340"/>
      <c r="J238" s="340"/>
      <c r="K238" s="1"/>
      <c r="L238" s="1"/>
      <c r="M238" s="341"/>
      <c r="N238" s="341"/>
      <c r="O238" s="341"/>
      <c r="P238" s="341"/>
      <c r="Q238" s="341"/>
      <c r="R238" s="341"/>
      <c r="S238" s="341"/>
      <c r="T238" s="341"/>
      <c r="U238" s="341"/>
      <c r="V238" s="341"/>
      <c r="W238" s="341"/>
      <c r="X238" s="341"/>
      <c r="Y238" s="341"/>
      <c r="Z238" s="341"/>
      <c r="AA238" s="341"/>
      <c r="AB238" s="341"/>
      <c r="AC238" s="341"/>
      <c r="AD238" s="341"/>
      <c r="AE238" s="341"/>
    </row>
    <row r="239" spans="1:31" ht="15.75" customHeight="1">
      <c r="A239" s="340"/>
      <c r="B239" s="1"/>
      <c r="C239" s="1"/>
      <c r="D239" s="340"/>
      <c r="E239" s="340"/>
      <c r="F239" s="340"/>
      <c r="G239" s="1"/>
      <c r="H239" s="1"/>
      <c r="I239" s="340"/>
      <c r="J239" s="340"/>
      <c r="K239" s="1"/>
      <c r="L239" s="1"/>
      <c r="M239" s="341"/>
      <c r="N239" s="341"/>
      <c r="O239" s="341"/>
      <c r="P239" s="341"/>
      <c r="Q239" s="341"/>
      <c r="R239" s="341"/>
      <c r="S239" s="341"/>
      <c r="T239" s="341"/>
      <c r="U239" s="341"/>
      <c r="V239" s="341"/>
      <c r="W239" s="341"/>
      <c r="X239" s="341"/>
      <c r="Y239" s="341"/>
      <c r="Z239" s="341"/>
      <c r="AA239" s="341"/>
      <c r="AB239" s="341"/>
      <c r="AC239" s="341"/>
      <c r="AD239" s="341"/>
      <c r="AE239" s="341"/>
    </row>
    <row r="240" spans="1:31" ht="15.75" customHeight="1">
      <c r="A240" s="340"/>
      <c r="B240" s="1"/>
      <c r="C240" s="1"/>
      <c r="D240" s="340"/>
      <c r="E240" s="340"/>
      <c r="F240" s="340"/>
      <c r="G240" s="1"/>
      <c r="H240" s="1"/>
      <c r="I240" s="340"/>
      <c r="J240" s="340"/>
      <c r="K240" s="1"/>
      <c r="L240" s="1"/>
      <c r="M240" s="341"/>
      <c r="N240" s="341"/>
      <c r="O240" s="341"/>
      <c r="P240" s="341"/>
      <c r="Q240" s="341"/>
      <c r="R240" s="341"/>
      <c r="S240" s="341"/>
      <c r="T240" s="341"/>
      <c r="U240" s="341"/>
      <c r="V240" s="341"/>
      <c r="W240" s="341"/>
      <c r="X240" s="341"/>
      <c r="Y240" s="341"/>
      <c r="Z240" s="341"/>
      <c r="AA240" s="341"/>
      <c r="AB240" s="341"/>
      <c r="AC240" s="341"/>
      <c r="AD240" s="341"/>
      <c r="AE240" s="341"/>
    </row>
    <row r="241" spans="1:31" ht="15.75" customHeight="1">
      <c r="A241" s="340"/>
      <c r="B241" s="1"/>
      <c r="C241" s="1"/>
      <c r="D241" s="340"/>
      <c r="E241" s="340"/>
      <c r="F241" s="340"/>
      <c r="G241" s="1"/>
      <c r="H241" s="1"/>
      <c r="I241" s="340"/>
      <c r="J241" s="340"/>
      <c r="K241" s="1"/>
      <c r="L241" s="1"/>
      <c r="M241" s="341"/>
      <c r="N241" s="341"/>
      <c r="O241" s="341"/>
      <c r="P241" s="341"/>
      <c r="Q241" s="341"/>
      <c r="R241" s="341"/>
      <c r="S241" s="341"/>
      <c r="T241" s="341"/>
      <c r="U241" s="341"/>
      <c r="V241" s="341"/>
      <c r="W241" s="341"/>
      <c r="X241" s="341"/>
      <c r="Y241" s="341"/>
      <c r="Z241" s="341"/>
      <c r="AA241" s="341"/>
      <c r="AB241" s="341"/>
      <c r="AC241" s="341"/>
      <c r="AD241" s="341"/>
      <c r="AE241" s="341"/>
    </row>
    <row r="242" spans="1:31" ht="15.75" customHeight="1">
      <c r="A242" s="340"/>
      <c r="B242" s="1"/>
      <c r="C242" s="1"/>
      <c r="D242" s="340"/>
      <c r="E242" s="340"/>
      <c r="F242" s="340"/>
      <c r="G242" s="1"/>
      <c r="H242" s="1"/>
      <c r="I242" s="340"/>
      <c r="J242" s="340"/>
      <c r="K242" s="1"/>
      <c r="L242" s="1"/>
      <c r="M242" s="341"/>
      <c r="N242" s="341"/>
      <c r="O242" s="341"/>
      <c r="P242" s="341"/>
      <c r="Q242" s="341"/>
      <c r="R242" s="341"/>
      <c r="S242" s="341"/>
      <c r="T242" s="341"/>
      <c r="U242" s="341"/>
      <c r="V242" s="341"/>
      <c r="W242" s="341"/>
      <c r="X242" s="341"/>
      <c r="Y242" s="341"/>
      <c r="Z242" s="341"/>
      <c r="AA242" s="341"/>
      <c r="AB242" s="341"/>
      <c r="AC242" s="341"/>
      <c r="AD242" s="341"/>
      <c r="AE242" s="341"/>
    </row>
    <row r="243" spans="1:31" ht="15.75" customHeight="1">
      <c r="A243" s="340"/>
      <c r="B243" s="1"/>
      <c r="C243" s="1"/>
      <c r="D243" s="340"/>
      <c r="E243" s="340"/>
      <c r="F243" s="340"/>
      <c r="G243" s="1"/>
      <c r="H243" s="1"/>
      <c r="I243" s="340"/>
      <c r="J243" s="340"/>
      <c r="K243" s="1"/>
      <c r="L243" s="1"/>
      <c r="M243" s="341"/>
      <c r="N243" s="341"/>
      <c r="O243" s="341"/>
      <c r="P243" s="341"/>
      <c r="Q243" s="341"/>
      <c r="R243" s="341"/>
      <c r="S243" s="341"/>
      <c r="T243" s="341"/>
      <c r="U243" s="341"/>
      <c r="V243" s="341"/>
      <c r="W243" s="341"/>
      <c r="X243" s="341"/>
      <c r="Y243" s="341"/>
      <c r="Z243" s="341"/>
      <c r="AA243" s="341"/>
      <c r="AB243" s="341"/>
      <c r="AC243" s="341"/>
      <c r="AD243" s="341"/>
      <c r="AE243" s="341"/>
    </row>
    <row r="244" spans="1:31" ht="15.75" customHeight="1">
      <c r="A244" s="340"/>
      <c r="B244" s="1"/>
      <c r="C244" s="1"/>
      <c r="D244" s="340"/>
      <c r="E244" s="340"/>
      <c r="F244" s="340"/>
      <c r="G244" s="1"/>
      <c r="H244" s="1"/>
      <c r="I244" s="340"/>
      <c r="J244" s="340"/>
      <c r="K244" s="1"/>
      <c r="L244" s="1"/>
      <c r="M244" s="341"/>
      <c r="N244" s="341"/>
      <c r="O244" s="341"/>
      <c r="P244" s="341"/>
      <c r="Q244" s="341"/>
      <c r="R244" s="341"/>
      <c r="S244" s="341"/>
      <c r="T244" s="341"/>
      <c r="U244" s="341"/>
      <c r="V244" s="341"/>
      <c r="W244" s="341"/>
      <c r="X244" s="341"/>
      <c r="Y244" s="341"/>
      <c r="Z244" s="341"/>
      <c r="AA244" s="341"/>
      <c r="AB244" s="341"/>
      <c r="AC244" s="341"/>
      <c r="AD244" s="341"/>
      <c r="AE244" s="341"/>
    </row>
    <row r="245" spans="1:31" ht="15.75" customHeight="1">
      <c r="A245" s="340"/>
      <c r="B245" s="1"/>
      <c r="C245" s="1"/>
      <c r="D245" s="340"/>
      <c r="E245" s="340"/>
      <c r="F245" s="340"/>
      <c r="G245" s="1"/>
      <c r="H245" s="1"/>
      <c r="I245" s="340"/>
      <c r="J245" s="340"/>
      <c r="K245" s="1"/>
      <c r="L245" s="1"/>
      <c r="M245" s="341"/>
      <c r="N245" s="341"/>
      <c r="O245" s="341"/>
      <c r="P245" s="341"/>
      <c r="Q245" s="341"/>
      <c r="R245" s="341"/>
      <c r="S245" s="341"/>
      <c r="T245" s="341"/>
      <c r="U245" s="341"/>
      <c r="V245" s="341"/>
      <c r="W245" s="341"/>
      <c r="X245" s="341"/>
      <c r="Y245" s="341"/>
      <c r="Z245" s="341"/>
      <c r="AA245" s="341"/>
      <c r="AB245" s="341"/>
      <c r="AC245" s="341"/>
      <c r="AD245" s="341"/>
      <c r="AE245" s="341"/>
    </row>
    <row r="246" spans="1:31" ht="15.75" customHeight="1">
      <c r="A246" s="340"/>
      <c r="B246" s="1"/>
      <c r="C246" s="1"/>
      <c r="D246" s="340"/>
      <c r="E246" s="340"/>
      <c r="F246" s="340"/>
      <c r="G246" s="1"/>
      <c r="H246" s="1"/>
      <c r="I246" s="340"/>
      <c r="J246" s="340"/>
      <c r="K246" s="1"/>
      <c r="L246" s="1"/>
      <c r="M246" s="341"/>
      <c r="N246" s="341"/>
      <c r="O246" s="341"/>
      <c r="P246" s="341"/>
      <c r="Q246" s="341"/>
      <c r="R246" s="341"/>
      <c r="S246" s="341"/>
      <c r="T246" s="341"/>
      <c r="U246" s="341"/>
      <c r="V246" s="341"/>
      <c r="W246" s="341"/>
      <c r="X246" s="341"/>
      <c r="Y246" s="341"/>
      <c r="Z246" s="341"/>
      <c r="AA246" s="341"/>
      <c r="AB246" s="341"/>
      <c r="AC246" s="341"/>
      <c r="AD246" s="341"/>
      <c r="AE246" s="341"/>
    </row>
    <row r="247" spans="1:31" ht="15.75" customHeight="1">
      <c r="A247" s="340"/>
      <c r="B247" s="1"/>
      <c r="C247" s="1"/>
      <c r="D247" s="340"/>
      <c r="E247" s="340"/>
      <c r="F247" s="340"/>
      <c r="G247" s="1"/>
      <c r="H247" s="1"/>
      <c r="I247" s="340"/>
      <c r="J247" s="340"/>
      <c r="K247" s="1"/>
      <c r="L247" s="1"/>
      <c r="M247" s="341"/>
      <c r="N247" s="341"/>
      <c r="O247" s="341"/>
      <c r="P247" s="341"/>
      <c r="Q247" s="341"/>
      <c r="R247" s="341"/>
      <c r="S247" s="341"/>
      <c r="T247" s="341"/>
      <c r="U247" s="341"/>
      <c r="V247" s="341"/>
      <c r="W247" s="341"/>
      <c r="X247" s="341"/>
      <c r="Y247" s="341"/>
      <c r="Z247" s="341"/>
      <c r="AA247" s="341"/>
      <c r="AB247" s="341"/>
      <c r="AC247" s="341"/>
      <c r="AD247" s="341"/>
      <c r="AE247" s="341"/>
    </row>
    <row r="248" spans="1:31" ht="15.75" customHeight="1"/>
    <row r="249" spans="1:31" ht="15.75" customHeight="1"/>
    <row r="250" spans="1:31" ht="15.75" customHeight="1"/>
    <row r="251" spans="1:31" ht="15.75" customHeight="1"/>
    <row r="252" spans="1:31" ht="15.75" customHeight="1"/>
    <row r="253" spans="1:31" ht="15.75" customHeight="1"/>
    <row r="254" spans="1:31" ht="15.75" customHeight="1"/>
    <row r="255" spans="1:31" ht="15.75" customHeight="1"/>
    <row r="256" spans="1:3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A47:H47"/>
    <mergeCell ref="K34:L34"/>
    <mergeCell ref="A35:H35"/>
    <mergeCell ref="A38:I38"/>
    <mergeCell ref="F39:G39"/>
    <mergeCell ref="A41:H41"/>
    <mergeCell ref="F40:G40"/>
    <mergeCell ref="F44:G44"/>
    <mergeCell ref="F45:G45"/>
    <mergeCell ref="F46:G46"/>
    <mergeCell ref="F34:G34"/>
    <mergeCell ref="A43:I43"/>
    <mergeCell ref="K28:L28"/>
    <mergeCell ref="K29:L29"/>
    <mergeCell ref="K32:L32"/>
    <mergeCell ref="K33:L33"/>
    <mergeCell ref="F29:G29"/>
    <mergeCell ref="F30:G30"/>
    <mergeCell ref="K30:L30"/>
    <mergeCell ref="F31:G31"/>
    <mergeCell ref="K31:L31"/>
    <mergeCell ref="F32:G32"/>
    <mergeCell ref="F33:G33"/>
    <mergeCell ref="A2:I2"/>
    <mergeCell ref="A23:G23"/>
    <mergeCell ref="A24:G24"/>
    <mergeCell ref="A27:I27"/>
    <mergeCell ref="F28:G28"/>
  </mergeCells>
  <printOptions horizontalCentered="1" verticalCentered="1"/>
  <pageMargins left="0.11811023622047245" right="0.11811023622047245" top="0.11811023622047245" bottom="0.11811023622047245" header="0" footer="0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" customWidth="1"/>
    <col min="8" max="8" width="14.42578125" customWidth="1"/>
    <col min="9" max="9" width="11.28515625" customWidth="1"/>
    <col min="10" max="10" width="22.28515625" customWidth="1"/>
    <col min="11" max="11" width="8.5703125" customWidth="1"/>
  </cols>
  <sheetData>
    <row r="1" spans="1:11" ht="8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8.7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22.5" customHeight="1">
      <c r="A3" s="365"/>
      <c r="B3" s="758" t="str">
        <f>'1-ABA-DE-CARREGAMENTO'!C33</f>
        <v>5173-30_VIGILANTE_12×36_diurn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20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9.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9.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2.7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VLOOKUP('1-ABA-DE-CARREGAMENTO'!D35,'DADOS-CADASTRAIS'!C6:O60,1,0)</f>
        <v>#N/A</v>
      </c>
      <c r="J10" s="603"/>
      <c r="K10" s="369"/>
    </row>
    <row r="11" spans="1:11" ht="12.7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'1-ABA-DE-CARREGAMENTO'!C94</f>
        <v>20</v>
      </c>
      <c r="J11" s="603"/>
      <c r="K11" s="369"/>
    </row>
    <row r="12" spans="1:11" ht="13.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72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2.7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2.7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2.7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2.75" customHeight="1" collapsed="1">
      <c r="A17" s="365"/>
      <c r="B17" s="737" t="str">
        <f>B3</f>
        <v>5173-30_VIGILANTE_12×36_diurn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'1-ABA-DE-CARREGAMENTO'!C92</f>
        <v>#N/A</v>
      </c>
      <c r="J17" s="603"/>
      <c r="K17" s="377"/>
    </row>
    <row r="18" spans="1:11" ht="12.7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2" hidden="1" customHeight="1" outlineLevel="1">
      <c r="A19" s="365"/>
      <c r="B19" s="737" t="s">
        <v>378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23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2.7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22.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2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60" customHeight="1">
      <c r="A24" s="365"/>
      <c r="B24" s="742" t="s">
        <v>381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0.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6.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30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'1-ABA-DE-CARREGAMENTO'!C33</f>
        <v>5173-30_VIGILANTE_12×36_diurn</v>
      </c>
      <c r="J27" s="603"/>
      <c r="K27" s="382"/>
    </row>
    <row r="28" spans="1:11" ht="16.5" customHeight="1">
      <c r="A28" s="365"/>
      <c r="B28" s="383">
        <v>2</v>
      </c>
      <c r="C28" s="745" t="s">
        <v>384</v>
      </c>
      <c r="D28" s="746"/>
      <c r="E28" s="746"/>
      <c r="F28" s="746"/>
      <c r="G28" s="746"/>
      <c r="H28" s="747"/>
      <c r="I28" s="748"/>
      <c r="J28" s="603"/>
      <c r="K28" s="384"/>
    </row>
    <row r="29" spans="1:11" ht="54" customHeight="1">
      <c r="A29" s="365"/>
      <c r="B29" s="385">
        <v>3</v>
      </c>
      <c r="C29" s="749" t="s">
        <v>385</v>
      </c>
      <c r="D29" s="608"/>
      <c r="E29" s="386">
        <v>220</v>
      </c>
      <c r="F29" s="387" t="e">
        <f>'1-ABA-DE-CARREGAMENTO'!C37</f>
        <v>#N/A</v>
      </c>
      <c r="G29" s="370" t="s">
        <v>386</v>
      </c>
      <c r="H29" s="388">
        <f>'1-ABA-DE-CARREGAMENTO'!C52</f>
        <v>220</v>
      </c>
      <c r="I29" s="750" t="e">
        <f>F29/E29*H29</f>
        <v>#N/A</v>
      </c>
      <c r="J29" s="603"/>
      <c r="K29" s="389"/>
    </row>
    <row r="30" spans="1:11" ht="16.5" customHeight="1">
      <c r="A30" s="365"/>
      <c r="B30" s="373">
        <v>4</v>
      </c>
      <c r="C30" s="752" t="s">
        <v>387</v>
      </c>
      <c r="D30" s="688"/>
      <c r="E30" s="688"/>
      <c r="F30" s="688"/>
      <c r="G30" s="688"/>
      <c r="H30" s="692"/>
      <c r="I30" s="751"/>
      <c r="J30" s="603"/>
      <c r="K30" s="390"/>
    </row>
    <row r="31" spans="1:11" ht="18.7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'1-ABA-DE-CARREGAMENTO'!C36</f>
        <v>#N/A</v>
      </c>
      <c r="J31" s="603"/>
      <c r="K31" s="391"/>
    </row>
    <row r="32" spans="1:11" ht="29.25" customHeight="1">
      <c r="A32" s="365"/>
      <c r="B32" s="392">
        <v>6</v>
      </c>
      <c r="C32" s="754" t="s">
        <v>389</v>
      </c>
      <c r="D32" s="602"/>
      <c r="E32" s="602"/>
      <c r="F32" s="602"/>
      <c r="G32" s="602"/>
      <c r="H32" s="603"/>
      <c r="I32" s="755" t="e">
        <f>I29/220</f>
        <v>#N/A</v>
      </c>
      <c r="J32" s="603"/>
      <c r="K32" s="393"/>
    </row>
    <row r="33" spans="1:11" ht="39" customHeight="1">
      <c r="A33" s="365"/>
      <c r="B33" s="392">
        <v>7</v>
      </c>
      <c r="C33" s="754" t="s">
        <v>390</v>
      </c>
      <c r="D33" s="602"/>
      <c r="E33" s="602"/>
      <c r="F33" s="603"/>
      <c r="G33" s="756"/>
      <c r="H33" s="603"/>
      <c r="I33" s="755" t="e">
        <f>SUM(I32+E38)</f>
        <v>#N/A</v>
      </c>
      <c r="J33" s="603"/>
      <c r="K33" s="393"/>
    </row>
    <row r="34" spans="1:11" ht="29.25" customHeight="1">
      <c r="A34" s="365"/>
      <c r="B34" s="392">
        <v>8</v>
      </c>
      <c r="C34" s="754" t="s">
        <v>391</v>
      </c>
      <c r="D34" s="602"/>
      <c r="E34" s="602"/>
      <c r="F34" s="603"/>
      <c r="G34" s="756"/>
      <c r="H34" s="603"/>
      <c r="I34" s="755" t="e">
        <f>TRUNC(I32*1.5,2)</f>
        <v>#N/A</v>
      </c>
      <c r="J34" s="603"/>
      <c r="K34" s="393"/>
    </row>
    <row r="35" spans="1:11" ht="29.25" customHeight="1">
      <c r="A35" s="365"/>
      <c r="B35" s="392">
        <v>9</v>
      </c>
      <c r="C35" s="754" t="s">
        <v>392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9.25" customHeight="1" outlineLevel="1">
      <c r="A36" s="365"/>
      <c r="B36" s="392">
        <v>10</v>
      </c>
      <c r="C36" s="754" t="s">
        <v>394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9.25" customHeight="1" outlineLevel="1">
      <c r="A37" s="365"/>
      <c r="B37" s="392">
        <v>11</v>
      </c>
      <c r="C37" s="754" t="s">
        <v>395</v>
      </c>
      <c r="D37" s="602"/>
      <c r="E37" s="602"/>
      <c r="F37" s="602"/>
      <c r="G37" s="602"/>
      <c r="H37" s="603"/>
      <c r="I37" s="755" t="e">
        <f>I33*2*0</f>
        <v>#N/A</v>
      </c>
      <c r="J37" s="603"/>
      <c r="K37" s="393"/>
    </row>
    <row r="38" spans="1:11" ht="29.25" customHeight="1" outlineLevel="1">
      <c r="A38" s="365"/>
      <c r="B38" s="392">
        <v>12</v>
      </c>
      <c r="C38" s="754" t="s">
        <v>396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29.25" customHeight="1" outlineLevel="1">
      <c r="A39" s="365"/>
      <c r="B39" s="392">
        <v>13</v>
      </c>
      <c r="C39" s="754" t="s">
        <v>397</v>
      </c>
      <c r="D39" s="602"/>
      <c r="E39" s="602"/>
      <c r="F39" s="602"/>
      <c r="G39" s="602"/>
      <c r="H39" s="603"/>
      <c r="I39" s="755" t="e">
        <f>ROUND(I32/6,2)</f>
        <v>#N/A</v>
      </c>
      <c r="J39" s="603"/>
      <c r="K39" s="393"/>
    </row>
    <row r="40" spans="1:11" ht="29.25" customHeight="1">
      <c r="A40" s="365"/>
      <c r="B40" s="392">
        <v>14</v>
      </c>
      <c r="C40" s="682" t="s">
        <v>398</v>
      </c>
      <c r="D40" s="602"/>
      <c r="E40" s="602"/>
      <c r="F40" s="602"/>
      <c r="G40" s="602"/>
      <c r="H40" s="603"/>
      <c r="I40" s="771">
        <f>'1-ABA-DE-CARREGAMENTO'!C93</f>
        <v>2</v>
      </c>
      <c r="J40" s="603"/>
      <c r="K40" s="395"/>
    </row>
    <row r="41" spans="1:11" ht="26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'1-ABA-DE-CARREGAMENTO'!C42</f>
        <v>1212</v>
      </c>
      <c r="J41" s="603"/>
      <c r="K41" s="396"/>
    </row>
    <row r="42" spans="1:11" ht="14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30.75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2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24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2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'1-ABA-DE-CARREGAMENTO'!C52</f>
        <v>220</v>
      </c>
      <c r="I47" s="405"/>
      <c r="J47" s="406" t="e">
        <f>I29*I40</f>
        <v>#N/A</v>
      </c>
      <c r="K47" s="407"/>
    </row>
    <row r="48" spans="1:11" ht="23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'1-ABA-DE-CARREGAMENTO'!C38</f>
        <v>#N/A</v>
      </c>
      <c r="G48" s="602"/>
      <c r="H48" s="603"/>
      <c r="I48" s="408" t="e">
        <f>'1-ABA-DE-CARREGAMENTO'!C39</f>
        <v>#N/A</v>
      </c>
      <c r="J48" s="406" t="e">
        <f>J47*I48</f>
        <v>#N/A</v>
      </c>
      <c r="K48" s="407"/>
    </row>
    <row r="49" spans="1:11" ht="28.5" customHeight="1">
      <c r="A49" s="365"/>
      <c r="B49" s="373" t="s">
        <v>365</v>
      </c>
      <c r="C49" s="678" t="s">
        <v>408</v>
      </c>
      <c r="D49" s="602"/>
      <c r="E49" s="602"/>
      <c r="F49" s="602"/>
      <c r="G49" s="602"/>
      <c r="H49" s="603"/>
      <c r="I49" s="409" t="e">
        <f>'1-ABA-DE-CARREGAMENTO'!C44</f>
        <v>#N/A</v>
      </c>
      <c r="J49" s="406" t="e">
        <f>ROUND(J47*I49,2)</f>
        <v>#N/A</v>
      </c>
      <c r="K49" s="407"/>
    </row>
    <row r="50" spans="1:11" ht="15.75" customHeight="1">
      <c r="A50" s="365"/>
      <c r="B50" s="373" t="s">
        <v>367</v>
      </c>
      <c r="C50" s="678" t="s">
        <v>409</v>
      </c>
      <c r="D50" s="602"/>
      <c r="E50" s="602"/>
      <c r="F50" s="602"/>
      <c r="G50" s="776" t="e">
        <f>'1-ABA-DE-CARREGAMENTO'!C40</f>
        <v>#N/A</v>
      </c>
      <c r="H50" s="603"/>
      <c r="I50" s="410">
        <f>'1-ABA-DE-CARREGAMENTO'!C41</f>
        <v>0</v>
      </c>
      <c r="J50" s="406">
        <f>ROUND(I50*I41,2)</f>
        <v>0</v>
      </c>
      <c r="K50" s="407"/>
    </row>
    <row r="51" spans="1:11" ht="37.5" customHeight="1" outlineLevel="1">
      <c r="A51" s="365"/>
      <c r="B51" s="373" t="s">
        <v>410</v>
      </c>
      <c r="C51" s="678" t="s">
        <v>411</v>
      </c>
      <c r="D51" s="602"/>
      <c r="E51" s="602"/>
      <c r="F51" s="602"/>
      <c r="G51" s="602"/>
      <c r="H51" s="602"/>
      <c r="I51" s="603"/>
      <c r="J51" s="406" t="e">
        <f>IF(CAMPUS.CONTRATANTE!U10="N",(2*8*15*I36)*0,((2*8*15*I36)*1))</f>
        <v>#N/A</v>
      </c>
      <c r="K51" s="407"/>
    </row>
    <row r="52" spans="1:11" ht="45" customHeight="1" outlineLevel="1">
      <c r="A52" s="365"/>
      <c r="B52" s="373" t="s">
        <v>412</v>
      </c>
      <c r="C52" s="726" t="s">
        <v>413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5.25" customHeight="1">
      <c r="A53" s="365"/>
      <c r="B53" s="373" t="s">
        <v>414</v>
      </c>
      <c r="C53" s="726" t="s">
        <v>415</v>
      </c>
      <c r="D53" s="602"/>
      <c r="E53" s="602"/>
      <c r="F53" s="602"/>
      <c r="G53" s="602"/>
      <c r="H53" s="602"/>
      <c r="I53" s="603"/>
      <c r="J53" s="406" t="e">
        <f>ROUND(I39*I40*15,2)</f>
        <v>#N/A</v>
      </c>
      <c r="K53" s="407"/>
    </row>
    <row r="54" spans="1:11" ht="29.25" customHeight="1">
      <c r="A54" s="365"/>
      <c r="B54" s="373" t="s">
        <v>416</v>
      </c>
      <c r="C54" s="726" t="s">
        <v>417</v>
      </c>
      <c r="D54" s="602"/>
      <c r="E54" s="602"/>
      <c r="F54" s="777" t="s">
        <v>418</v>
      </c>
      <c r="G54" s="602"/>
      <c r="H54" s="602"/>
      <c r="I54" s="411" t="e">
        <f>'1-ABA-DE-CARREGAMENTO'!C65</f>
        <v>#N/A</v>
      </c>
      <c r="J54" s="406" t="e">
        <f>ROUND((((SUM(J47:J50))/220)*1.5)*I54,2)</f>
        <v>#N/A</v>
      </c>
      <c r="K54" s="407"/>
    </row>
    <row r="55" spans="1:11" ht="29.25" customHeight="1">
      <c r="A55" s="365"/>
      <c r="B55" s="373" t="s">
        <v>419</v>
      </c>
      <c r="C55" s="726" t="s">
        <v>420</v>
      </c>
      <c r="D55" s="602"/>
      <c r="E55" s="602"/>
      <c r="F55" s="777" t="s">
        <v>421</v>
      </c>
      <c r="G55" s="602"/>
      <c r="H55" s="602"/>
      <c r="I55" s="411" t="e">
        <f>'1-ABA-DE-CARREGAMENTO'!C68</f>
        <v>#N/A</v>
      </c>
      <c r="J55" s="406" t="e">
        <f>ROUND((((SUM(J47:J50))/220)*2)*I55,2)</f>
        <v>#N/A</v>
      </c>
      <c r="K55" s="407"/>
    </row>
    <row r="56" spans="1:11" ht="36" customHeight="1">
      <c r="A56" s="365"/>
      <c r="B56" s="373" t="s">
        <v>422</v>
      </c>
      <c r="C56" s="678" t="s">
        <v>423</v>
      </c>
      <c r="D56" s="602"/>
      <c r="E56" s="602"/>
      <c r="F56" s="602"/>
      <c r="G56" s="602"/>
      <c r="H56" s="602"/>
      <c r="I56" s="603"/>
      <c r="J56" s="406" t="e">
        <f>ROUND(SUM(J51:J53)*0.2,2)</f>
        <v>#N/A</v>
      </c>
      <c r="K56" s="407"/>
    </row>
    <row r="57" spans="1:11" ht="29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35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7.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29.25" customHeight="1">
      <c r="A60" s="365"/>
      <c r="B60" s="373" t="s">
        <v>416</v>
      </c>
      <c r="C60" s="678" t="s">
        <v>427</v>
      </c>
      <c r="D60" s="602"/>
      <c r="E60" s="602"/>
      <c r="F60" s="602"/>
      <c r="G60" s="602"/>
      <c r="H60" s="602"/>
      <c r="I60" s="603"/>
      <c r="J60" s="406" t="e">
        <f>ROUND(I34*15*I40*0.5,2)</f>
        <v>#N/A</v>
      </c>
      <c r="K60" s="407"/>
    </row>
    <row r="61" spans="1:11" ht="41.25" customHeight="1">
      <c r="A61" s="365"/>
      <c r="B61" s="695" t="s">
        <v>428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7.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53.25" customHeight="1">
      <c r="A63" s="365"/>
      <c r="B63" s="779" t="s">
        <v>429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7.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21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7.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7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7.25" customHeight="1">
      <c r="A68" s="365"/>
      <c r="B68" s="766" t="s">
        <v>432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31.5" customHeight="1">
      <c r="A69" s="365"/>
      <c r="B69" s="424" t="s">
        <v>433</v>
      </c>
      <c r="C69" s="767" t="s">
        <v>434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24" customHeight="1">
      <c r="A70" s="365"/>
      <c r="B70" s="424" t="s">
        <v>361</v>
      </c>
      <c r="C70" s="726" t="s">
        <v>436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76.5" customHeight="1">
      <c r="A71" s="365"/>
      <c r="B71" s="424" t="s">
        <v>363</v>
      </c>
      <c r="C71" s="768" t="s">
        <v>437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5.7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2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34.5" customHeight="1">
      <c r="A74" s="365"/>
      <c r="B74" s="722" t="s">
        <v>439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2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27.75" customHeight="1">
      <c r="A76" s="365"/>
      <c r="B76" s="729" t="s">
        <v>440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34.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6.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6.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32.25" customHeight="1">
      <c r="A80" s="365"/>
      <c r="B80" s="438" t="s">
        <v>365</v>
      </c>
      <c r="C80" s="678" t="s">
        <v>446</v>
      </c>
      <c r="D80" s="603"/>
      <c r="E80" s="441" t="s">
        <v>447</v>
      </c>
      <c r="F80" s="442">
        <f>'1-ABA-DE-CARREGAMENTO'!C57</f>
        <v>0.03</v>
      </c>
      <c r="G80" s="441" t="s">
        <v>448</v>
      </c>
      <c r="H80" s="443">
        <f>'1-ABA-DE-CARREGAMENTO'!C58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6.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6.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6.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6.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28.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2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12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45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2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5" customHeight="1">
      <c r="A92" s="365"/>
      <c r="B92" s="452" t="s">
        <v>361</v>
      </c>
      <c r="C92" s="678" t="s">
        <v>458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8.5" customHeight="1">
      <c r="A93" s="365"/>
      <c r="B93" s="452" t="s">
        <v>363</v>
      </c>
      <c r="C93" s="678" t="s">
        <v>459</v>
      </c>
      <c r="D93" s="602"/>
      <c r="E93" s="602"/>
      <c r="F93" s="602"/>
      <c r="G93" s="602"/>
      <c r="H93" s="602"/>
      <c r="I93" s="455" t="e">
        <f>'1-ABA-DE-CARREGAMENTO'!C72</f>
        <v>#N/A</v>
      </c>
      <c r="J93" s="456" t="s">
        <v>374</v>
      </c>
      <c r="K93" s="413"/>
    </row>
    <row r="94" spans="1:11" ht="17.25" customHeight="1">
      <c r="A94" s="365"/>
      <c r="B94" s="452" t="s">
        <v>365</v>
      </c>
      <c r="C94" s="678" t="s">
        <v>460</v>
      </c>
      <c r="D94" s="602"/>
      <c r="E94" s="602"/>
      <c r="F94" s="602"/>
      <c r="G94" s="602"/>
      <c r="H94" s="603"/>
      <c r="I94" s="457">
        <f>'1-ABA-DE-CARREGAMENTO'!C73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'1-ABA-DE-CARREGAMENTO'!C74</f>
        <v>#N/A</v>
      </c>
      <c r="J95" s="456" t="s">
        <v>374</v>
      </c>
      <c r="K95" s="413"/>
    </row>
    <row r="96" spans="1:11" ht="24.75" customHeight="1">
      <c r="A96" s="365"/>
      <c r="B96" s="452" t="s">
        <v>410</v>
      </c>
      <c r="C96" s="754" t="s">
        <v>462</v>
      </c>
      <c r="D96" s="602"/>
      <c r="E96" s="602"/>
      <c r="F96" s="602"/>
      <c r="G96" s="602"/>
      <c r="H96" s="603"/>
      <c r="I96" s="458" t="e">
        <f>'1-ABA-DE-CARREGAMENTO'!C75</f>
        <v>#N/A</v>
      </c>
      <c r="J96" s="459" t="s">
        <v>374</v>
      </c>
      <c r="K96" s="413"/>
    </row>
    <row r="97" spans="1:11" ht="15" customHeight="1">
      <c r="A97" s="365"/>
      <c r="B97" s="452" t="s">
        <v>412</v>
      </c>
      <c r="C97" s="678" t="s">
        <v>463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5" customHeight="1">
      <c r="A98" s="365"/>
      <c r="B98" s="452" t="s">
        <v>414</v>
      </c>
      <c r="C98" s="678" t="s">
        <v>464</v>
      </c>
      <c r="D98" s="602"/>
      <c r="E98" s="602"/>
      <c r="F98" s="602"/>
      <c r="G98" s="602"/>
      <c r="H98" s="602"/>
      <c r="I98" s="460" t="e">
        <f>IF('1-ABA-DE-CARREGAMENTO'!C60&gt;0,'1-ABA-DE-CARREGAMENTO'!C60,'1-ABA-DE-CARREGAMENTO'!C63)</f>
        <v>#N/A</v>
      </c>
      <c r="J98" s="461"/>
      <c r="K98" s="413"/>
    </row>
    <row r="99" spans="1:11" ht="15" customHeight="1">
      <c r="A99" s="365"/>
      <c r="B99" s="452" t="s">
        <v>416</v>
      </c>
      <c r="C99" s="678" t="s">
        <v>465</v>
      </c>
      <c r="D99" s="602"/>
      <c r="E99" s="602"/>
      <c r="F99" s="602"/>
      <c r="G99" s="602"/>
      <c r="H99" s="602"/>
      <c r="I99" s="462" t="e">
        <f>'1-ABA-DE-CARREGAMENTO'!C62</f>
        <v>#N/A</v>
      </c>
      <c r="J99" s="461"/>
      <c r="K99" s="413"/>
    </row>
    <row r="100" spans="1:11" ht="24.75" customHeight="1">
      <c r="A100" s="365"/>
      <c r="B100" s="452" t="s">
        <v>419</v>
      </c>
      <c r="C100" s="781" t="s">
        <v>466</v>
      </c>
      <c r="D100" s="602"/>
      <c r="E100" s="602"/>
      <c r="F100" s="602"/>
      <c r="G100" s="602"/>
      <c r="H100" s="603"/>
      <c r="I100" s="458" t="e">
        <f>'1-ABA-DE-CARREGAMENTO'!C61</f>
        <v>#N/A</v>
      </c>
      <c r="J100" s="463"/>
      <c r="K100" s="413"/>
    </row>
    <row r="101" spans="1:11" ht="1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64">
        <v>0</v>
      </c>
      <c r="K101" s="432"/>
    </row>
    <row r="102" spans="1:11" ht="33" customHeight="1">
      <c r="A102" s="365"/>
      <c r="B102" s="452" t="s">
        <v>424</v>
      </c>
      <c r="C102" s="678" t="s">
        <v>468</v>
      </c>
      <c r="D102" s="602"/>
      <c r="E102" s="602"/>
      <c r="F102" s="602"/>
      <c r="G102" s="602"/>
      <c r="H102" s="602"/>
      <c r="I102" s="602"/>
      <c r="J102" s="440" t="e">
        <f>'1-ABA-DE-CARREGAMENTO'!C77</f>
        <v>#N/A</v>
      </c>
      <c r="K102" s="432"/>
    </row>
    <row r="103" spans="1:11" ht="33" customHeight="1">
      <c r="A103" s="365"/>
      <c r="B103" s="452" t="s">
        <v>469</v>
      </c>
      <c r="C103" s="678" t="s">
        <v>470</v>
      </c>
      <c r="D103" s="602"/>
      <c r="E103" s="602"/>
      <c r="F103" s="602"/>
      <c r="G103" s="602"/>
      <c r="H103" s="602"/>
      <c r="I103" s="603"/>
      <c r="J103" s="440" t="e">
        <f>'1-ABA-DE-CARREGAMENTO'!C78</f>
        <v>#N/A</v>
      </c>
      <c r="K103" s="432"/>
    </row>
    <row r="104" spans="1:11" ht="16.5" customHeight="1">
      <c r="A104" s="365"/>
      <c r="B104" s="452" t="s">
        <v>471</v>
      </c>
      <c r="C104" s="678" t="s">
        <v>472</v>
      </c>
      <c r="D104" s="602"/>
      <c r="E104" s="602"/>
      <c r="F104" s="602"/>
      <c r="G104" s="602"/>
      <c r="H104" s="602"/>
      <c r="I104" s="603"/>
      <c r="J104" s="440" t="e">
        <f>'1-ABA-DE-CARREGAMENTO'!C76</f>
        <v>#N/A</v>
      </c>
      <c r="K104" s="432"/>
    </row>
    <row r="105" spans="1:11" ht="17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23.2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0.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4.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6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9.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9.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9.5" customHeight="1">
      <c r="A112" s="365"/>
      <c r="B112" s="383" t="s">
        <v>433</v>
      </c>
      <c r="C112" s="726" t="s">
        <v>477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9.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9.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4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8.7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.7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6.5" customHeight="1">
      <c r="A119" s="365"/>
      <c r="B119" s="452" t="s">
        <v>361</v>
      </c>
      <c r="C119" s="678" t="s">
        <v>480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20.2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32.25" customHeight="1">
      <c r="A121" s="365"/>
      <c r="B121" s="452" t="s">
        <v>365</v>
      </c>
      <c r="C121" s="678" t="s">
        <v>482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7.2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6.75" customHeight="1">
      <c r="A123" s="365"/>
      <c r="B123" s="452" t="s">
        <v>410</v>
      </c>
      <c r="C123" s="678" t="s">
        <v>484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9.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9.7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7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29.25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57.75" customHeight="1">
      <c r="A128" s="365"/>
      <c r="B128" s="729" t="s">
        <v>488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36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491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15.7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5.7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7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54.75" customHeight="1">
      <c r="A133" s="365"/>
      <c r="B133" s="452" t="s">
        <v>361</v>
      </c>
      <c r="C133" s="726" t="s">
        <v>496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21.75" customHeight="1">
      <c r="A134" s="365"/>
      <c r="B134" s="452" t="s">
        <v>363</v>
      </c>
      <c r="C134" s="678" t="s">
        <v>497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32.25" customHeight="1">
      <c r="A135" s="365"/>
      <c r="B135" s="452" t="s">
        <v>365</v>
      </c>
      <c r="C135" s="678" t="s">
        <v>498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32.25" customHeight="1">
      <c r="A136" s="365"/>
      <c r="B136" s="452" t="s">
        <v>367</v>
      </c>
      <c r="C136" s="678" t="s">
        <v>499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2.25" customHeight="1">
      <c r="A137" s="365"/>
      <c r="B137" s="488" t="s">
        <v>410</v>
      </c>
      <c r="C137" s="732" t="s">
        <v>500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63.75" customHeight="1">
      <c r="A138" s="365"/>
      <c r="B138" s="452" t="s">
        <v>412</v>
      </c>
      <c r="C138" s="678" t="s">
        <v>501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9.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9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9.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9.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9.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9.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9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9.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9.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28.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24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4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9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5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5.7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8" customHeight="1">
      <c r="A154" s="365"/>
      <c r="B154" s="452" t="s">
        <v>361</v>
      </c>
      <c r="C154" s="678" t="s">
        <v>511</v>
      </c>
      <c r="D154" s="602"/>
      <c r="E154" s="602"/>
      <c r="F154" s="602"/>
      <c r="G154" s="602"/>
      <c r="H154" s="602"/>
      <c r="I154" s="603"/>
      <c r="J154" s="440">
        <f>'Uniformes - EPIs_TODOS'!H24</f>
        <v>134.31200000000001</v>
      </c>
      <c r="K154" s="432"/>
    </row>
    <row r="155" spans="1:11" ht="18" customHeight="1">
      <c r="A155" s="365"/>
      <c r="B155" s="452" t="s">
        <v>363</v>
      </c>
      <c r="C155" s="678" t="s">
        <v>512</v>
      </c>
      <c r="D155" s="602"/>
      <c r="E155" s="602"/>
      <c r="F155" s="602"/>
      <c r="G155" s="602"/>
      <c r="H155" s="602"/>
      <c r="I155" s="603"/>
      <c r="J155" s="465" t="e">
        <f>IF('1-ABA-DE-CARREGAMENTO'!$C$14="SAO-VICENTE-DO-SUL",'Uniformes - EPIs_TODOS'!I47+'Uniformes - EPIs_TODOS'!I35,'Uniformes - EPIs_TODOS'!I47)</f>
        <v>#N/A</v>
      </c>
      <c r="K155" s="466"/>
    </row>
    <row r="156" spans="1:11" ht="18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9.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#N/A</v>
      </c>
      <c r="K157" s="466"/>
    </row>
    <row r="158" spans="1:11" ht="9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27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9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24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27.75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4.75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25.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'1-ABA-DE-CARREGAMENTO'!C85</f>
        <v>5.8299999999999998E-2</v>
      </c>
      <c r="J164" s="440" t="e">
        <f>ROUND(I164*J163,2)</f>
        <v>#N/A</v>
      </c>
      <c r="K164" s="432"/>
    </row>
    <row r="165" spans="1:11" ht="52.5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9.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'1-ABA-DE-CARREGAMENTO'!C86</f>
        <v>5.8299999999999998E-2</v>
      </c>
      <c r="J166" s="440" t="e">
        <f>ROUND(I166*J165,2)</f>
        <v>#N/A</v>
      </c>
      <c r="K166" s="432"/>
    </row>
    <row r="167" spans="1:11" ht="49.5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.7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30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23.25" customHeight="1">
      <c r="A170" s="365"/>
      <c r="B170" s="452"/>
      <c r="C170" s="783" t="s">
        <v>524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23.25" customHeight="1">
      <c r="A171" s="365"/>
      <c r="B171" s="452"/>
      <c r="C171" s="783" t="s">
        <v>525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9.25" customHeight="1">
      <c r="A172" s="365"/>
      <c r="B172" s="452"/>
      <c r="C172" s="678" t="s">
        <v>526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9.25" customHeight="1">
      <c r="A173" s="365"/>
      <c r="B173" s="452"/>
      <c r="C173" s="678" t="s">
        <v>527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5.7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5.7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.75" customHeight="1">
      <c r="A176" s="365"/>
      <c r="B176" s="452"/>
      <c r="C176" s="678" t="s">
        <v>530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11.2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5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5.7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5.7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10.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30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9.75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5.75" customHeight="1">
      <c r="A186" s="365"/>
      <c r="B186" s="676" t="s">
        <v>537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.7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.7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.7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.7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.7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.7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#N/A</v>
      </c>
      <c r="K192" s="466"/>
    </row>
    <row r="193" spans="1:11" ht="15.7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.7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.7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42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12" customHeight="1">
      <c r="A197" s="365"/>
      <c r="B197" s="701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.7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20.2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41.2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3.75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33.75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39" customHeight="1" collapsed="1">
      <c r="A203" s="365"/>
      <c r="B203" s="703" t="str">
        <f>B3</f>
        <v>5173-30_VIGILANTE_12×36_diurn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38.25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9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33.75" hidden="1" customHeight="1" outlineLevel="1">
      <c r="A206" s="365"/>
      <c r="B206" s="705" t="s">
        <v>556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5.7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8.25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.7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8.25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5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8.25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5.7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8.25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29.25" customHeight="1">
      <c r="A215" s="365"/>
      <c r="B215" s="712" t="s">
        <v>561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8.25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93" priority="1" operator="equal">
      <formula>0</formula>
    </cfRule>
  </conditionalFormatting>
  <conditionalFormatting sqref="I48">
    <cfRule type="cellIs" dxfId="92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orientation="portrait"/>
  <headerFooter>
    <oddFooter>&amp;C&amp;A » Página -&amp;P  de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ABF8F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7.5703125" customWidth="1"/>
    <col min="9" max="9" width="11.28515625" customWidth="1"/>
    <col min="10" max="10" width="22.5703125" customWidth="1"/>
    <col min="11" max="11" width="9.1406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32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24" customHeight="1">
      <c r="A3" s="365"/>
      <c r="B3" s="758" t="str">
        <f>'1-ABA-DE-CARREGAMENTO'!D33</f>
        <v>5173-30_VIGILANTE_12×36_notur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5.7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5.7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4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20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5.7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5.7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9.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VLOOKUP('1-ABA-DE-CARREGAMENTO'!D35,'DADOS-CADASTRAIS'!C6:O60,1,0)</f>
        <v>#N/A</v>
      </c>
      <c r="J10" s="603"/>
      <c r="K10" s="369"/>
    </row>
    <row r="11" spans="1:11" ht="15.7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'1-ABA-DE-CARREGAMENTO'!D94</f>
        <v>20</v>
      </c>
      <c r="J11" s="603"/>
      <c r="K11" s="369"/>
    </row>
    <row r="12" spans="1:11" ht="21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50.2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2.7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2.7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2.7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2.75" customHeight="1" collapsed="1">
      <c r="A17" s="365"/>
      <c r="B17" s="737" t="str">
        <f>B3</f>
        <v>5173-30_VIGILANTE_12×36_notur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'1-ABA-DE-CARREGAMENTO'!D92</f>
        <v>#N/A</v>
      </c>
      <c r="J17" s="603"/>
      <c r="K17" s="377"/>
    </row>
    <row r="18" spans="1:11" ht="12.7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2.75" hidden="1" customHeight="1" outlineLevel="1">
      <c r="A19" s="365"/>
      <c r="B19" s="737" t="s">
        <v>562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2.7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8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46.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7.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51.75" customHeight="1">
      <c r="A24" s="365"/>
      <c r="B24" s="742" t="s">
        <v>563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9.7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21.7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27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'1-ABA-DE-CARREGAMENTO'!D33</f>
        <v>5173-30_VIGILANTE_12×36_notur</v>
      </c>
      <c r="J27" s="603"/>
      <c r="K27" s="382"/>
    </row>
    <row r="28" spans="1:11" ht="19.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39" customHeight="1">
      <c r="A29" s="365"/>
      <c r="B29" s="373">
        <v>3</v>
      </c>
      <c r="C29" s="749" t="s">
        <v>564</v>
      </c>
      <c r="D29" s="608"/>
      <c r="E29" s="386">
        <v>220</v>
      </c>
      <c r="F29" s="387" t="e">
        <f>'1-ABA-DE-CARREGAMENTO'!D37</f>
        <v>#N/A</v>
      </c>
      <c r="G29" s="370" t="s">
        <v>386</v>
      </c>
      <c r="H29" s="388">
        <f>'1-ABA-DE-CARREGAMENTO'!D52</f>
        <v>220</v>
      </c>
      <c r="I29" s="750" t="e">
        <f>F29/E29*H29</f>
        <v>#N/A</v>
      </c>
      <c r="J29" s="603"/>
      <c r="K29" s="389"/>
    </row>
    <row r="30" spans="1:11" ht="15.7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5.7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'1-ABA-DE-CARREGAMENTO'!D36</f>
        <v>#N/A</v>
      </c>
      <c r="J31" s="603"/>
      <c r="K31" s="391"/>
    </row>
    <row r="32" spans="1:11" ht="27" customHeight="1">
      <c r="A32" s="365"/>
      <c r="B32" s="392">
        <v>6</v>
      </c>
      <c r="C32" s="754" t="s">
        <v>565</v>
      </c>
      <c r="D32" s="602"/>
      <c r="E32" s="602"/>
      <c r="F32" s="602"/>
      <c r="G32" s="602"/>
      <c r="H32" s="603"/>
      <c r="I32" s="755" t="e">
        <f>ROUND(I29/220,2)</f>
        <v>#N/A</v>
      </c>
      <c r="J32" s="603"/>
      <c r="K32" s="393"/>
    </row>
    <row r="33" spans="1:11" ht="27" customHeight="1">
      <c r="A33" s="365"/>
      <c r="B33" s="392">
        <v>7</v>
      </c>
      <c r="C33" s="754" t="s">
        <v>566</v>
      </c>
      <c r="D33" s="602"/>
      <c r="E33" s="602"/>
      <c r="F33" s="603"/>
      <c r="G33" s="756"/>
      <c r="H33" s="603"/>
      <c r="I33" s="755" t="e">
        <f>SUM(I32+E38)</f>
        <v>#N/A</v>
      </c>
      <c r="J33" s="603"/>
      <c r="K33" s="393"/>
    </row>
    <row r="34" spans="1:11" ht="27" customHeight="1">
      <c r="A34" s="365"/>
      <c r="B34" s="392">
        <v>8</v>
      </c>
      <c r="C34" s="754" t="s">
        <v>567</v>
      </c>
      <c r="D34" s="602"/>
      <c r="E34" s="602"/>
      <c r="F34" s="603"/>
      <c r="G34" s="756"/>
      <c r="H34" s="603"/>
      <c r="I34" s="755" t="e">
        <f>TRUNC(I32*1.5,2)</f>
        <v>#N/A</v>
      </c>
      <c r="J34" s="603"/>
      <c r="K34" s="393"/>
    </row>
    <row r="35" spans="1:11" ht="23.25" customHeight="1">
      <c r="A35" s="365"/>
      <c r="B35" s="392">
        <v>9</v>
      </c>
      <c r="C35" s="754" t="s">
        <v>568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6.25" customHeight="1" outlineLevel="1">
      <c r="A36" s="365"/>
      <c r="B36" s="392">
        <v>10</v>
      </c>
      <c r="C36" s="754" t="s">
        <v>569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7" customHeight="1" outlineLevel="1">
      <c r="A37" s="365"/>
      <c r="B37" s="392">
        <v>11</v>
      </c>
      <c r="C37" s="784" t="s">
        <v>570</v>
      </c>
      <c r="D37" s="746"/>
      <c r="E37" s="746"/>
      <c r="F37" s="746"/>
      <c r="G37" s="746"/>
      <c r="H37" s="747"/>
      <c r="I37" s="755" t="e">
        <f>I33*2*0</f>
        <v>#N/A</v>
      </c>
      <c r="J37" s="603"/>
      <c r="K37" s="393"/>
    </row>
    <row r="38" spans="1:11" ht="31.5" customHeight="1" outlineLevel="1">
      <c r="A38" s="365"/>
      <c r="B38" s="541">
        <v>12</v>
      </c>
      <c r="C38" s="754" t="s">
        <v>571</v>
      </c>
      <c r="D38" s="602"/>
      <c r="E38" s="542" t="e">
        <f>ROUND(I38/220,2)</f>
        <v>#N/A</v>
      </c>
      <c r="F38" s="785" t="s">
        <v>572</v>
      </c>
      <c r="G38" s="602"/>
      <c r="H38" s="603"/>
      <c r="I38" s="786" t="e">
        <f>I29*'1-ABA-DE-CARREGAMENTO'!D44</f>
        <v>#N/A</v>
      </c>
      <c r="J38" s="603"/>
      <c r="K38" s="393"/>
    </row>
    <row r="39" spans="1:11" ht="15.75" customHeight="1" outlineLevel="1">
      <c r="A39" s="365"/>
      <c r="B39" s="392">
        <v>13</v>
      </c>
      <c r="C39" s="787" t="s">
        <v>397</v>
      </c>
      <c r="D39" s="688"/>
      <c r="E39" s="688"/>
      <c r="F39" s="688"/>
      <c r="G39" s="688"/>
      <c r="H39" s="692"/>
      <c r="I39" s="755" t="e">
        <f>ROUND(I32/6,2)</f>
        <v>#N/A</v>
      </c>
      <c r="J39" s="603"/>
      <c r="K39" s="393"/>
    </row>
    <row r="40" spans="1:11" ht="15.75" customHeight="1">
      <c r="A40" s="365"/>
      <c r="B40" s="392">
        <v>14</v>
      </c>
      <c r="C40" s="682" t="s">
        <v>398</v>
      </c>
      <c r="D40" s="602"/>
      <c r="E40" s="602"/>
      <c r="F40" s="602"/>
      <c r="G40" s="602"/>
      <c r="H40" s="603"/>
      <c r="I40" s="771">
        <f>'1-ABA-DE-CARREGAMENTO'!D93</f>
        <v>2</v>
      </c>
      <c r="J40" s="603"/>
      <c r="K40" s="395"/>
    </row>
    <row r="41" spans="1:11" ht="15.7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'1-ABA-DE-CARREGAMENTO'!D42</f>
        <v>1212</v>
      </c>
      <c r="J41" s="603"/>
      <c r="K41" s="396"/>
    </row>
    <row r="42" spans="1:11" ht="9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1.75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9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20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30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24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'1-ABA-DE-CARREGAMENTO'!D52</f>
        <v>220</v>
      </c>
      <c r="I47" s="403"/>
      <c r="J47" s="406" t="e">
        <f>I29*I40</f>
        <v>#N/A</v>
      </c>
      <c r="K47" s="407"/>
    </row>
    <row r="48" spans="1:11" ht="24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'1-ABA-DE-CARREGAMENTO'!D38</f>
        <v>#N/A</v>
      </c>
      <c r="G48" s="602"/>
      <c r="H48" s="603"/>
      <c r="I48" s="543" t="e">
        <f>'1-ABA-DE-CARREGAMENTO'!D39</f>
        <v>#N/A</v>
      </c>
      <c r="J48" s="406" t="e">
        <f>J47*I48</f>
        <v>#N/A</v>
      </c>
      <c r="K48" s="407"/>
    </row>
    <row r="49" spans="1:11" ht="30" customHeight="1">
      <c r="A49" s="365"/>
      <c r="B49" s="373" t="s">
        <v>365</v>
      </c>
      <c r="C49" s="678" t="s">
        <v>573</v>
      </c>
      <c r="D49" s="602"/>
      <c r="E49" s="602"/>
      <c r="F49" s="602"/>
      <c r="G49" s="602"/>
      <c r="H49" s="603"/>
      <c r="I49" s="512" t="e">
        <f>'1-ABA-DE-CARREGAMENTO'!D44</f>
        <v>#N/A</v>
      </c>
      <c r="J49" s="406" t="e">
        <f>ROUND(J47*I49,2)</f>
        <v>#N/A</v>
      </c>
      <c r="K49" s="407"/>
    </row>
    <row r="50" spans="1:11" ht="30" customHeight="1">
      <c r="A50" s="365"/>
      <c r="B50" s="373" t="s">
        <v>367</v>
      </c>
      <c r="C50" s="678" t="s">
        <v>574</v>
      </c>
      <c r="D50" s="602"/>
      <c r="E50" s="602"/>
      <c r="F50" s="602"/>
      <c r="G50" s="776" t="e">
        <f>'1-ABA-DE-CARREGAMENTO'!D40</f>
        <v>#N/A</v>
      </c>
      <c r="H50" s="603"/>
      <c r="I50" s="544">
        <f>'1-ABA-DE-CARREGAMENTO'!D41</f>
        <v>0</v>
      </c>
      <c r="J50" s="406">
        <f>ROUND(I50*I41,2)</f>
        <v>0</v>
      </c>
      <c r="K50" s="407"/>
    </row>
    <row r="51" spans="1:11" ht="40.5" customHeight="1" outlineLevel="1">
      <c r="A51" s="365"/>
      <c r="B51" s="373" t="s">
        <v>410</v>
      </c>
      <c r="C51" s="678" t="s">
        <v>575</v>
      </c>
      <c r="D51" s="602"/>
      <c r="E51" s="602"/>
      <c r="F51" s="602"/>
      <c r="G51" s="602"/>
      <c r="H51" s="602"/>
      <c r="I51" s="603"/>
      <c r="J51" s="406" t="e">
        <f>IF(CAMPUS.CONTRATANTE!AL10="N",(2*8*15*I36)*0,((2*8*15*I36)*1))</f>
        <v>#N/A</v>
      </c>
      <c r="K51" s="407"/>
    </row>
    <row r="52" spans="1:11" ht="51" customHeight="1" outlineLevel="1">
      <c r="A52" s="365"/>
      <c r="B52" s="373" t="s">
        <v>412</v>
      </c>
      <c r="C52" s="726" t="s">
        <v>576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</f>
        <v>#N/A</v>
      </c>
      <c r="K52" s="407"/>
    </row>
    <row r="53" spans="1:11" ht="30" customHeight="1">
      <c r="A53" s="365"/>
      <c r="B53" s="373" t="s">
        <v>414</v>
      </c>
      <c r="C53" s="726" t="s">
        <v>577</v>
      </c>
      <c r="D53" s="602"/>
      <c r="E53" s="602"/>
      <c r="F53" s="602"/>
      <c r="G53" s="602"/>
      <c r="H53" s="602"/>
      <c r="I53" s="603"/>
      <c r="J53" s="406" t="e">
        <f>ROUND(I39*I40*15,2)</f>
        <v>#N/A</v>
      </c>
      <c r="K53" s="407"/>
    </row>
    <row r="54" spans="1:11" ht="30" customHeight="1">
      <c r="A54" s="365"/>
      <c r="B54" s="373" t="s">
        <v>416</v>
      </c>
      <c r="C54" s="726" t="s">
        <v>417</v>
      </c>
      <c r="D54" s="602"/>
      <c r="E54" s="602"/>
      <c r="F54" s="777" t="s">
        <v>578</v>
      </c>
      <c r="G54" s="602"/>
      <c r="H54" s="602"/>
      <c r="I54" s="411" t="e">
        <f>'1-ABA-DE-CARREGAMENTO'!D65</f>
        <v>#N/A</v>
      </c>
      <c r="J54" s="406" t="e">
        <f>ROUND((((SUM(J47:J50))/220)*1.5)*I54,2)</f>
        <v>#N/A</v>
      </c>
      <c r="K54" s="407"/>
    </row>
    <row r="55" spans="1:11" ht="30" customHeight="1">
      <c r="A55" s="365"/>
      <c r="B55" s="373" t="s">
        <v>419</v>
      </c>
      <c r="C55" s="726" t="s">
        <v>420</v>
      </c>
      <c r="D55" s="602"/>
      <c r="E55" s="602"/>
      <c r="F55" s="777" t="s">
        <v>579</v>
      </c>
      <c r="G55" s="602"/>
      <c r="H55" s="602"/>
      <c r="I55" s="411" t="e">
        <f>'1-ABA-DE-CARREGAMENTO'!D68</f>
        <v>#N/A</v>
      </c>
      <c r="J55" s="406" t="e">
        <f>ROUND((((SUM(J47:J50))/220)*2)*I55,2)</f>
        <v>#N/A</v>
      </c>
      <c r="K55" s="407"/>
    </row>
    <row r="56" spans="1:11" ht="43.5" customHeight="1">
      <c r="A56" s="365"/>
      <c r="B56" s="373" t="s">
        <v>422</v>
      </c>
      <c r="C56" s="678" t="s">
        <v>580</v>
      </c>
      <c r="D56" s="602"/>
      <c r="E56" s="602"/>
      <c r="F56" s="602"/>
      <c r="G56" s="602"/>
      <c r="H56" s="602"/>
      <c r="I56" s="603"/>
      <c r="J56" s="406" t="e">
        <f>ROUND(SUM(J51:J53)*0.2,2)</f>
        <v>#N/A</v>
      </c>
      <c r="K56" s="407"/>
    </row>
    <row r="57" spans="1:11" ht="15.7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32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9.7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29.25" customHeight="1">
      <c r="A60" s="365"/>
      <c r="B60" s="373" t="s">
        <v>416</v>
      </c>
      <c r="C60" s="678" t="s">
        <v>581</v>
      </c>
      <c r="D60" s="602"/>
      <c r="E60" s="602"/>
      <c r="F60" s="602"/>
      <c r="G60" s="602"/>
      <c r="H60" s="602"/>
      <c r="I60" s="603"/>
      <c r="J60" s="406" t="e">
        <f>ROUND(I34*15*I40*0.5,2)</f>
        <v>#N/A</v>
      </c>
      <c r="K60" s="407"/>
    </row>
    <row r="61" spans="1:11" ht="31.5" customHeight="1">
      <c r="A61" s="365"/>
      <c r="B61" s="695" t="s">
        <v>582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48" customHeight="1">
      <c r="A63" s="365"/>
      <c r="B63" s="779" t="s">
        <v>583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9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9.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8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27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27" customHeight="1">
      <c r="A68" s="365"/>
      <c r="B68" s="766" t="s">
        <v>584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22.5" customHeight="1">
      <c r="A69" s="365"/>
      <c r="B69" s="424" t="s">
        <v>433</v>
      </c>
      <c r="C69" s="767" t="s">
        <v>585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28.5" customHeight="1">
      <c r="A70" s="365"/>
      <c r="B70" s="424" t="s">
        <v>361</v>
      </c>
      <c r="C70" s="726" t="s">
        <v>586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93" customHeight="1">
      <c r="A71" s="365"/>
      <c r="B71" s="424" t="s">
        <v>363</v>
      </c>
      <c r="C71" s="768" t="s">
        <v>587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7.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84" customHeight="1">
      <c r="A74" s="365"/>
      <c r="B74" s="722" t="s">
        <v>588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7.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32.25" customHeight="1">
      <c r="A76" s="365"/>
      <c r="B76" s="729" t="s">
        <v>589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27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8.7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8.7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55.5" customHeight="1">
      <c r="A80" s="365"/>
      <c r="B80" s="438" t="s">
        <v>365</v>
      </c>
      <c r="C80" s="678" t="s">
        <v>590</v>
      </c>
      <c r="D80" s="603"/>
      <c r="E80" s="441" t="s">
        <v>447</v>
      </c>
      <c r="F80" s="442">
        <f>'1-ABA-DE-CARREGAMENTO'!D57</f>
        <v>0.03</v>
      </c>
      <c r="G80" s="441" t="s">
        <v>448</v>
      </c>
      <c r="H80" s="443">
        <f>'1-ABA-DE-CARREGAMENTO'!D58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5.7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5.7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5.7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5.7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15.7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5.75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8.25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35.25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9.7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20.2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27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23.25" customHeight="1">
      <c r="A92" s="365"/>
      <c r="B92" s="452" t="s">
        <v>361</v>
      </c>
      <c r="C92" s="678" t="s">
        <v>591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7" customHeight="1">
      <c r="A93" s="365"/>
      <c r="B93" s="452" t="s">
        <v>363</v>
      </c>
      <c r="C93" s="678" t="s">
        <v>592</v>
      </c>
      <c r="D93" s="602"/>
      <c r="E93" s="602"/>
      <c r="F93" s="602"/>
      <c r="G93" s="602"/>
      <c r="H93" s="602"/>
      <c r="I93" s="455" t="e">
        <f>'1-ABA-DE-CARREGAMENTO'!D72</f>
        <v>#N/A</v>
      </c>
      <c r="J93" s="456" t="s">
        <v>374</v>
      </c>
      <c r="K93" s="413"/>
    </row>
    <row r="94" spans="1:11" ht="19.5" customHeight="1">
      <c r="A94" s="365"/>
      <c r="B94" s="452" t="s">
        <v>365</v>
      </c>
      <c r="C94" s="678" t="s">
        <v>593</v>
      </c>
      <c r="D94" s="602"/>
      <c r="E94" s="602"/>
      <c r="F94" s="602"/>
      <c r="G94" s="602"/>
      <c r="H94" s="603"/>
      <c r="I94" s="457">
        <f>'1-ABA-DE-CARREGAMENTO'!D73</f>
        <v>2</v>
      </c>
      <c r="J94" s="456" t="s">
        <v>374</v>
      </c>
      <c r="K94" s="413"/>
    </row>
    <row r="95" spans="1:11" ht="19.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'1-ABA-DE-CARREGAMENTO'!D74</f>
        <v>#N/A</v>
      </c>
      <c r="J95" s="456" t="s">
        <v>374</v>
      </c>
      <c r="K95" s="413"/>
    </row>
    <row r="96" spans="1:11" ht="24.75" customHeight="1">
      <c r="A96" s="365"/>
      <c r="B96" s="452" t="s">
        <v>410</v>
      </c>
      <c r="C96" s="754" t="s">
        <v>594</v>
      </c>
      <c r="D96" s="602"/>
      <c r="E96" s="602"/>
      <c r="F96" s="602"/>
      <c r="G96" s="602"/>
      <c r="H96" s="603"/>
      <c r="I96" s="458" t="e">
        <f>'1-ABA-DE-CARREGAMENTO'!D75</f>
        <v>#N/A</v>
      </c>
      <c r="J96" s="459" t="s">
        <v>374</v>
      </c>
      <c r="K96" s="413"/>
    </row>
    <row r="97" spans="1:11" ht="14.25" customHeight="1">
      <c r="A97" s="365"/>
      <c r="B97" s="452" t="s">
        <v>412</v>
      </c>
      <c r="C97" s="678" t="s">
        <v>595</v>
      </c>
      <c r="D97" s="602"/>
      <c r="E97" s="602"/>
      <c r="F97" s="602"/>
      <c r="G97" s="602"/>
      <c r="H97" s="602"/>
      <c r="I97" s="603"/>
      <c r="J97" s="454" t="e">
        <f>ROUND(I98*I99,2)-ROUND((I98*I99)*I100,2)</f>
        <v>#N/A</v>
      </c>
      <c r="K97" s="432"/>
    </row>
    <row r="98" spans="1:11" ht="15.75" customHeight="1">
      <c r="A98" s="365"/>
      <c r="B98" s="452" t="s">
        <v>414</v>
      </c>
      <c r="C98" s="678" t="s">
        <v>596</v>
      </c>
      <c r="D98" s="602"/>
      <c r="E98" s="602"/>
      <c r="F98" s="602"/>
      <c r="G98" s="602"/>
      <c r="H98" s="603"/>
      <c r="I98" s="455" t="e">
        <f>IF('1-ABA-DE-CARREGAMENTO'!D60&gt;0,'1-ABA-DE-CARREGAMENTO'!D60,'1-ABA-DE-CARREGAMENTO'!D63)</f>
        <v>#N/A</v>
      </c>
      <c r="J98" s="461"/>
      <c r="K98" s="413"/>
    </row>
    <row r="99" spans="1:11" ht="27.75" customHeight="1">
      <c r="A99" s="365"/>
      <c r="B99" s="452" t="s">
        <v>416</v>
      </c>
      <c r="C99" s="678" t="s">
        <v>597</v>
      </c>
      <c r="D99" s="602"/>
      <c r="E99" s="602"/>
      <c r="F99" s="602"/>
      <c r="G99" s="602"/>
      <c r="H99" s="603"/>
      <c r="I99" s="457" t="e">
        <f>'1-ABA-DE-CARREGAMENTO'!D62</f>
        <v>#N/A</v>
      </c>
      <c r="J99" s="461"/>
      <c r="K99" s="413"/>
    </row>
    <row r="100" spans="1:11" ht="24" customHeight="1">
      <c r="A100" s="365"/>
      <c r="B100" s="452" t="s">
        <v>419</v>
      </c>
      <c r="C100" s="781" t="s">
        <v>598</v>
      </c>
      <c r="D100" s="602"/>
      <c r="E100" s="602"/>
      <c r="F100" s="602"/>
      <c r="G100" s="602"/>
      <c r="H100" s="603"/>
      <c r="I100" s="458" t="e">
        <f>'1-ABA-DE-CARREGAMENTO'!D61</f>
        <v>#N/A</v>
      </c>
      <c r="J100" s="463"/>
      <c r="K100" s="413"/>
    </row>
    <row r="101" spans="1:11" ht="15.75" customHeight="1" outlineLevel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40.5" customHeight="1" outlineLevel="1">
      <c r="A102" s="365"/>
      <c r="B102" s="452" t="s">
        <v>424</v>
      </c>
      <c r="C102" s="678" t="s">
        <v>599</v>
      </c>
      <c r="D102" s="602"/>
      <c r="E102" s="602"/>
      <c r="F102" s="602"/>
      <c r="G102" s="602"/>
      <c r="H102" s="602"/>
      <c r="I102" s="602"/>
      <c r="J102" s="440" t="e">
        <f>'1-ABA-DE-CARREGAMENTO'!D77</f>
        <v>#N/A</v>
      </c>
      <c r="K102" s="432"/>
    </row>
    <row r="103" spans="1:11" ht="40.5" customHeight="1" outlineLevel="1">
      <c r="A103" s="365"/>
      <c r="B103" s="452" t="s">
        <v>469</v>
      </c>
      <c r="C103" s="678" t="s">
        <v>600</v>
      </c>
      <c r="D103" s="602"/>
      <c r="E103" s="602"/>
      <c r="F103" s="602"/>
      <c r="G103" s="602"/>
      <c r="H103" s="602"/>
      <c r="I103" s="603"/>
      <c r="J103" s="440" t="e">
        <f>'1-ABA-DE-CARREGAMENTO'!D78</f>
        <v>#N/A</v>
      </c>
      <c r="K103" s="432"/>
    </row>
    <row r="104" spans="1:11" ht="21" customHeight="1" outlineLevel="1">
      <c r="A104" s="365"/>
      <c r="B104" s="452" t="s">
        <v>471</v>
      </c>
      <c r="C104" s="678" t="s">
        <v>472</v>
      </c>
      <c r="D104" s="602"/>
      <c r="E104" s="602"/>
      <c r="F104" s="602"/>
      <c r="G104" s="602"/>
      <c r="H104" s="602"/>
      <c r="I104" s="603"/>
      <c r="J104" s="440" t="e">
        <f>'1-ABA-DE-CARREGAMENTO'!D76</f>
        <v>#N/A</v>
      </c>
      <c r="K104" s="432"/>
    </row>
    <row r="105" spans="1:11" ht="15.75" customHeight="1" outlineLevel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18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9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2.2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8.2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7.2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5.7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4.25" customHeight="1">
      <c r="A112" s="365"/>
      <c r="B112" s="383" t="s">
        <v>433</v>
      </c>
      <c r="C112" s="726" t="s">
        <v>601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4.2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4.2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4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8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20.2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4.25" customHeight="1">
      <c r="A119" s="365"/>
      <c r="B119" s="452" t="s">
        <v>361</v>
      </c>
      <c r="C119" s="678" t="s">
        <v>602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4.2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27.75" customHeight="1">
      <c r="A121" s="365"/>
      <c r="B121" s="452" t="s">
        <v>365</v>
      </c>
      <c r="C121" s="678" t="s">
        <v>603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23.2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7.5" customHeight="1">
      <c r="A123" s="365"/>
      <c r="B123" s="452" t="s">
        <v>410</v>
      </c>
      <c r="C123" s="678" t="s">
        <v>604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5.7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9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24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26.25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55.5" customHeight="1">
      <c r="A128" s="365"/>
      <c r="B128" s="729" t="s">
        <v>605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36.7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606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7.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25.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24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51" customHeight="1">
      <c r="A133" s="365"/>
      <c r="B133" s="452" t="s">
        <v>361</v>
      </c>
      <c r="C133" s="726" t="s">
        <v>607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21" customHeight="1">
      <c r="A134" s="365"/>
      <c r="B134" s="452" t="s">
        <v>363</v>
      </c>
      <c r="C134" s="678" t="s">
        <v>608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30.75" customHeight="1">
      <c r="A135" s="365"/>
      <c r="B135" s="452" t="s">
        <v>365</v>
      </c>
      <c r="C135" s="678" t="s">
        <v>609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24" customHeight="1">
      <c r="A136" s="365"/>
      <c r="B136" s="452" t="s">
        <v>367</v>
      </c>
      <c r="C136" s="678" t="s">
        <v>610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35.25" customHeight="1">
      <c r="A137" s="365"/>
      <c r="B137" s="488" t="s">
        <v>410</v>
      </c>
      <c r="C137" s="732" t="s">
        <v>611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63.75" customHeight="1">
      <c r="A138" s="365"/>
      <c r="B138" s="452" t="s">
        <v>412</v>
      </c>
      <c r="C138" s="678" t="s">
        <v>612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5.7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9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5.7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5.7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5.7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5.7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7.5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23.2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23.2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18.7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21.75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23.25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7.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27.7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27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8.75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>
        <f>'Uniformes - EPIs_TODOS'!H24</f>
        <v>134.31200000000001</v>
      </c>
      <c r="K154" s="432"/>
    </row>
    <row r="155" spans="1:11" ht="18.75" customHeight="1">
      <c r="A155" s="365"/>
      <c r="B155" s="452" t="s">
        <v>363</v>
      </c>
      <c r="C155" s="678" t="s">
        <v>512</v>
      </c>
      <c r="D155" s="602"/>
      <c r="E155" s="602"/>
      <c r="F155" s="602"/>
      <c r="G155" s="602"/>
      <c r="H155" s="602"/>
      <c r="I155" s="603"/>
      <c r="J155" s="465" t="e">
        <f>'Uniformes - EPIs_TODOS'!I41+'Uniformes - EPIs_TODOS'!I47+'Uniformes - EPIs_TODOS'!I35</f>
        <v>#N/A</v>
      </c>
      <c r="K155" s="466"/>
    </row>
    <row r="156" spans="1:11" ht="18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5.7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#N/A</v>
      </c>
      <c r="K157" s="466"/>
    </row>
    <row r="158" spans="1:11" ht="7.5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15.7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6.7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16.5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30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65.25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1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'1-ABA-DE-CARREGAMENTO'!D85</f>
        <v>0.1</v>
      </c>
      <c r="J164" s="440" t="e">
        <f>ROUND(I164*J163,2)</f>
        <v>#N/A</v>
      </c>
      <c r="K164" s="432"/>
    </row>
    <row r="165" spans="1:11" ht="50.25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'1-ABA-DE-CARREGAMENTO'!D86</f>
        <v>0.1</v>
      </c>
      <c r="J166" s="440" t="e">
        <f>ROUND(I166*J165,2)</f>
        <v>#N/A</v>
      </c>
      <c r="K166" s="432"/>
    </row>
    <row r="167" spans="1:11" ht="48.75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6.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14.25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22.5" customHeight="1">
      <c r="A170" s="365"/>
      <c r="B170" s="452"/>
      <c r="C170" s="783" t="s">
        <v>614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22.5" customHeight="1">
      <c r="A171" s="365"/>
      <c r="B171" s="452"/>
      <c r="C171" s="783" t="s">
        <v>615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29.25" customHeight="1">
      <c r="A172" s="365"/>
      <c r="B172" s="452"/>
      <c r="C172" s="678" t="s">
        <v>616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29.25" customHeight="1">
      <c r="A173" s="365"/>
      <c r="B173" s="452"/>
      <c r="C173" s="678" t="s">
        <v>617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8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8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5" customHeight="1">
      <c r="A176" s="365"/>
      <c r="B176" s="452"/>
      <c r="C176" s="678" t="s">
        <v>618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5.7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6.7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5.7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2.7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2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3.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6.7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24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8.25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27.75" customHeight="1">
      <c r="A186" s="365"/>
      <c r="B186" s="676" t="s">
        <v>619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#N/A</v>
      </c>
      <c r="K192" s="466"/>
    </row>
    <row r="193" spans="1:11" ht="1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6.75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9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5" hidden="1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31.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4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3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42.75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41.25" customHeight="1" collapsed="1">
      <c r="A203" s="365"/>
      <c r="B203" s="703" t="str">
        <f>B3</f>
        <v>5173-30_VIGILANTE_12×36_notur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41.25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9.75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35.25" hidden="1" customHeight="1" outlineLevel="1">
      <c r="A206" s="365"/>
      <c r="B206" s="705" t="s">
        <v>620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20.2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6.75" customHeight="1">
      <c r="A208" s="365"/>
      <c r="B208" s="788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7.2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6.75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8.7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8.25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9.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8.25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31.5" customHeight="1">
      <c r="A215" s="365"/>
      <c r="B215" s="712" t="s">
        <v>621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8.25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5.75" customHeight="1"/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4">
    <mergeCell ref="F201:G201"/>
    <mergeCell ref="I201:J201"/>
    <mergeCell ref="B201:E201"/>
    <mergeCell ref="B202:E202"/>
    <mergeCell ref="F202:G202"/>
    <mergeCell ref="I202:J202"/>
    <mergeCell ref="B203:E203"/>
    <mergeCell ref="F203:G203"/>
    <mergeCell ref="I203:J203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183:J183"/>
    <mergeCell ref="B184:J184"/>
    <mergeCell ref="B185:J185"/>
    <mergeCell ref="B186:J186"/>
    <mergeCell ref="B187:I187"/>
    <mergeCell ref="C188:I188"/>
    <mergeCell ref="C189:I189"/>
    <mergeCell ref="C190:I190"/>
    <mergeCell ref="C191:I191"/>
    <mergeCell ref="C168:H168"/>
    <mergeCell ref="C169:H169"/>
    <mergeCell ref="C170:H170"/>
    <mergeCell ref="C171:H171"/>
    <mergeCell ref="C172:H172"/>
    <mergeCell ref="C173:H173"/>
    <mergeCell ref="C174:H174"/>
    <mergeCell ref="D181:J181"/>
    <mergeCell ref="D182:J182"/>
    <mergeCell ref="C175:H175"/>
    <mergeCell ref="C176:H176"/>
    <mergeCell ref="B177:I177"/>
    <mergeCell ref="B178:J178"/>
    <mergeCell ref="B179:H179"/>
    <mergeCell ref="B180:C182"/>
    <mergeCell ref="D180:J180"/>
    <mergeCell ref="B212:J212"/>
    <mergeCell ref="B213:G213"/>
    <mergeCell ref="H213:J213"/>
    <mergeCell ref="B214:J214"/>
    <mergeCell ref="B215:G215"/>
    <mergeCell ref="H215:J215"/>
    <mergeCell ref="B216:J216"/>
    <mergeCell ref="B207:G207"/>
    <mergeCell ref="I207:J207"/>
    <mergeCell ref="B208:J208"/>
    <mergeCell ref="B209:J209"/>
    <mergeCell ref="B210:J210"/>
    <mergeCell ref="B211:G211"/>
    <mergeCell ref="H211:J211"/>
    <mergeCell ref="I205:J205"/>
    <mergeCell ref="I206:J206"/>
    <mergeCell ref="B204:E204"/>
    <mergeCell ref="F204:G204"/>
    <mergeCell ref="I204:J204"/>
    <mergeCell ref="B205:E205"/>
    <mergeCell ref="F205:G205"/>
    <mergeCell ref="B206:E206"/>
    <mergeCell ref="F206:G206"/>
    <mergeCell ref="B65:J65"/>
    <mergeCell ref="B66:J66"/>
    <mergeCell ref="C96:H96"/>
    <mergeCell ref="C97:I97"/>
    <mergeCell ref="C98:H98"/>
    <mergeCell ref="C99:H99"/>
    <mergeCell ref="C100:H100"/>
    <mergeCell ref="C101:I101"/>
    <mergeCell ref="C102:I102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88:J88"/>
    <mergeCell ref="B89:J89"/>
    <mergeCell ref="B90:J90"/>
    <mergeCell ref="C91:I91"/>
    <mergeCell ref="C92:H92"/>
    <mergeCell ref="C93:H93"/>
    <mergeCell ref="C94:H94"/>
    <mergeCell ref="C95:H95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C40:H40"/>
    <mergeCell ref="I40:J40"/>
    <mergeCell ref="C41:H41"/>
    <mergeCell ref="I41:J41"/>
    <mergeCell ref="B42:J42"/>
    <mergeCell ref="B43:J43"/>
    <mergeCell ref="B44:J44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33:F33"/>
    <mergeCell ref="C34:F34"/>
    <mergeCell ref="G34:H34"/>
    <mergeCell ref="I34:J34"/>
    <mergeCell ref="C35:F35"/>
    <mergeCell ref="G35:H35"/>
    <mergeCell ref="I35:J35"/>
    <mergeCell ref="B67:J67"/>
    <mergeCell ref="B68:J68"/>
    <mergeCell ref="B45:J45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F54:H54"/>
    <mergeCell ref="C54:E54"/>
    <mergeCell ref="C55:E55"/>
    <mergeCell ref="F55:H55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B165:H165"/>
    <mergeCell ref="C166:H166"/>
    <mergeCell ref="B167:H167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41:J141"/>
    <mergeCell ref="C142:I142"/>
    <mergeCell ref="C143:I143"/>
    <mergeCell ref="B144:I144"/>
    <mergeCell ref="B145:J145"/>
    <mergeCell ref="B161:J161"/>
    <mergeCell ref="C162:H162"/>
    <mergeCell ref="B163:H163"/>
    <mergeCell ref="C164:H164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55:I155"/>
    <mergeCell ref="C156:I156"/>
    <mergeCell ref="B157:I157"/>
    <mergeCell ref="B158:J158"/>
    <mergeCell ref="B159:J159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54:I154"/>
  </mergeCells>
  <conditionalFormatting sqref="I49:I50">
    <cfRule type="cellIs" dxfId="91" priority="1" operator="equal">
      <formula>0</formula>
    </cfRule>
  </conditionalFormatting>
  <conditionalFormatting sqref="I48">
    <cfRule type="cellIs" dxfId="90" priority="2" operator="equal">
      <formula>0</formula>
    </cfRule>
  </conditionalFormatting>
  <printOptions horizontalCentered="1"/>
  <pageMargins left="0.19685039370078741" right="0.11811023622047245" top="0.19685039370078741" bottom="0.19685039370078741" header="0" footer="0"/>
  <pageSetup paperSize="9" orientation="portrait"/>
  <headerFooter>
    <oddFooter>&amp;C&amp;A » Página -&amp;P  de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42578125" customWidth="1"/>
    <col min="8" max="8" width="14.42578125" customWidth="1"/>
    <col min="9" max="9" width="11.28515625" customWidth="1"/>
    <col min="10" max="10" width="17.710937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'1-ABA-DE-CARREGAMENTO'!E33</f>
        <v>A NÃO TEM MAIS POSTOS-00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VLOOKUP('1-ABA-DE-CARREGAMENTO'!D35,'DADOS-CADASTRAIS'!C6:J16,1,0)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'1-ABA-DE-CARREGAMENTO'!E94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11.2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POSTOS-00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'1-ABA-DE-CARREGAMENTO'!E92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622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9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6.7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1.25" customHeight="1">
      <c r="A24" s="365"/>
      <c r="B24" s="742" t="s">
        <v>623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9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11.25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'1-ABA-DE-CARREGAMENTO'!E33</f>
        <v>A NÃO TEM MAIS POSTOS-00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38.25" customHeight="1">
      <c r="A29" s="365"/>
      <c r="B29" s="373">
        <v>3</v>
      </c>
      <c r="C29" s="749" t="s">
        <v>624</v>
      </c>
      <c r="D29" s="608"/>
      <c r="E29" s="386">
        <v>200</v>
      </c>
      <c r="F29" s="387" t="e">
        <f>'1-ABA-DE-CARREGAMENTO'!E37</f>
        <v>#N/A</v>
      </c>
      <c r="G29" s="370" t="s">
        <v>386</v>
      </c>
      <c r="H29" s="388">
        <f>'1-ABA-DE-CARREGAMENTO'!E52</f>
        <v>200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'1-ABA-DE-CARREGAMENTO'!E36</f>
        <v>#N/A</v>
      </c>
      <c r="J31" s="603"/>
      <c r="K31" s="391"/>
    </row>
    <row r="32" spans="1:11" ht="26.25" customHeight="1">
      <c r="A32" s="365"/>
      <c r="B32" s="392">
        <v>6</v>
      </c>
      <c r="C32" s="754" t="s">
        <v>625</v>
      </c>
      <c r="D32" s="602"/>
      <c r="E32" s="602"/>
      <c r="F32" s="602"/>
      <c r="G32" s="602"/>
      <c r="H32" s="603"/>
      <c r="I32" s="755" t="e">
        <f>ROUND(I29/220,2)*0</f>
        <v>#N/A</v>
      </c>
      <c r="J32" s="603"/>
      <c r="K32" s="393"/>
    </row>
    <row r="33" spans="1:11" ht="26.25" customHeight="1">
      <c r="A33" s="365"/>
      <c r="B33" s="392">
        <v>7</v>
      </c>
      <c r="C33" s="754" t="s">
        <v>626</v>
      </c>
      <c r="D33" s="602"/>
      <c r="E33" s="602"/>
      <c r="F33" s="603"/>
      <c r="G33" s="756"/>
      <c r="H33" s="603"/>
      <c r="I33" s="755" t="e">
        <f>SUM(J47:J50)/220</f>
        <v>#N/A</v>
      </c>
      <c r="J33" s="603"/>
      <c r="K33" s="393"/>
    </row>
    <row r="34" spans="1:11" ht="26.25" customHeight="1">
      <c r="A34" s="365"/>
      <c r="B34" s="392">
        <v>8</v>
      </c>
      <c r="C34" s="754" t="s">
        <v>627</v>
      </c>
      <c r="D34" s="602"/>
      <c r="E34" s="602"/>
      <c r="F34" s="603"/>
      <c r="G34" s="756"/>
      <c r="H34" s="603"/>
      <c r="I34" s="755" t="e">
        <f>TRUNC(I33*1.5,2)*0</f>
        <v>#N/A</v>
      </c>
      <c r="J34" s="603"/>
      <c r="K34" s="393"/>
    </row>
    <row r="35" spans="1:11" ht="26.25" customHeight="1">
      <c r="A35" s="365"/>
      <c r="B35" s="392">
        <v>9</v>
      </c>
      <c r="C35" s="754" t="s">
        <v>628</v>
      </c>
      <c r="D35" s="602"/>
      <c r="E35" s="602"/>
      <c r="F35" s="603"/>
      <c r="G35" s="756" t="s">
        <v>393</v>
      </c>
      <c r="H35" s="603"/>
      <c r="I35" s="765" t="e">
        <f>I33*1.5</f>
        <v>#N/A</v>
      </c>
      <c r="J35" s="603"/>
      <c r="K35" s="394"/>
    </row>
    <row r="36" spans="1:11" ht="26.25" customHeight="1" outlineLevel="1">
      <c r="A36" s="365"/>
      <c r="B36" s="392">
        <v>10</v>
      </c>
      <c r="C36" s="754" t="s">
        <v>629</v>
      </c>
      <c r="D36" s="602"/>
      <c r="E36" s="602"/>
      <c r="F36" s="602"/>
      <c r="G36" s="602"/>
      <c r="H36" s="603"/>
      <c r="I36" s="755" t="e">
        <f>TRUNC(1.3*I32*0.2,2)</f>
        <v>#N/A</v>
      </c>
      <c r="J36" s="603"/>
      <c r="K36" s="393"/>
    </row>
    <row r="37" spans="1:11" ht="26.25" customHeight="1" outlineLevel="1">
      <c r="A37" s="365"/>
      <c r="B37" s="392">
        <v>11</v>
      </c>
      <c r="C37" s="754" t="s">
        <v>630</v>
      </c>
      <c r="D37" s="602"/>
      <c r="E37" s="602"/>
      <c r="F37" s="602"/>
      <c r="G37" s="602"/>
      <c r="H37" s="603"/>
      <c r="I37" s="755" t="e">
        <f>I33*2</f>
        <v>#N/A</v>
      </c>
      <c r="J37" s="603"/>
      <c r="K37" s="393"/>
    </row>
    <row r="38" spans="1:11" ht="14.25" customHeight="1" outlineLevel="1">
      <c r="A38" s="365"/>
      <c r="B38" s="392">
        <v>12</v>
      </c>
      <c r="C38" s="754" t="s">
        <v>631</v>
      </c>
      <c r="D38" s="602"/>
      <c r="E38" s="602"/>
      <c r="F38" s="602"/>
      <c r="G38" s="602"/>
      <c r="H38" s="603"/>
      <c r="I38" s="755" t="e">
        <f>I29*'1-ABA-DE-CARREGAMENTO'!D44</f>
        <v>#N/A</v>
      </c>
      <c r="J38" s="603"/>
      <c r="K38" s="393"/>
    </row>
    <row r="39" spans="1:11" ht="11.25" customHeight="1" outlineLevel="1">
      <c r="A39" s="365"/>
      <c r="B39" s="392">
        <v>13</v>
      </c>
      <c r="C39" s="754" t="s">
        <v>632</v>
      </c>
      <c r="D39" s="602"/>
      <c r="E39" s="602"/>
      <c r="F39" s="602"/>
      <c r="G39" s="602"/>
      <c r="H39" s="603"/>
      <c r="I39" s="755" t="e">
        <f>ROUND(I32/6,2)*1.3</f>
        <v>#N/A</v>
      </c>
      <c r="J39" s="603"/>
      <c r="K39" s="393"/>
    </row>
    <row r="40" spans="1:11" ht="11.25" customHeight="1">
      <c r="A40" s="365"/>
      <c r="B40" s="392">
        <v>14</v>
      </c>
      <c r="C40" s="772" t="s">
        <v>398</v>
      </c>
      <c r="D40" s="602"/>
      <c r="E40" s="602"/>
      <c r="F40" s="602"/>
      <c r="G40" s="602"/>
      <c r="H40" s="603"/>
      <c r="I40" s="790">
        <f>'1-ABA-DE-CARREGAMENTO'!E93</f>
        <v>1</v>
      </c>
      <c r="J40" s="603"/>
      <c r="K40" s="395"/>
    </row>
    <row r="41" spans="1:11" ht="11.25" customHeight="1">
      <c r="A41" s="365"/>
      <c r="B41" s="392">
        <v>15</v>
      </c>
      <c r="C41" s="772" t="s">
        <v>399</v>
      </c>
      <c r="D41" s="602"/>
      <c r="E41" s="602"/>
      <c r="F41" s="602"/>
      <c r="G41" s="602"/>
      <c r="H41" s="603"/>
      <c r="I41" s="773">
        <f>'1-ABA-DE-CARREGAMENTO'!E42</f>
        <v>1212</v>
      </c>
      <c r="J41" s="603"/>
      <c r="K41" s="396"/>
    </row>
    <row r="42" spans="1:11" ht="6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30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6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'1-ABA-DE-CARREGAMENTO'!E52</f>
        <v>200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'1-ABA-DE-CARREGAMENTO'!E38</f>
        <v>#N/A</v>
      </c>
      <c r="G48" s="602"/>
      <c r="H48" s="603"/>
      <c r="I48" s="543" t="e">
        <f>'1-ABA-DE-CARREGAMENTO'!E39</f>
        <v>#N/A</v>
      </c>
      <c r="J48" s="406" t="e">
        <f>J47*I48</f>
        <v>#N/A</v>
      </c>
      <c r="K48" s="407"/>
    </row>
    <row r="49" spans="1:11" ht="33" customHeight="1">
      <c r="A49" s="365"/>
      <c r="B49" s="373" t="s">
        <v>365</v>
      </c>
      <c r="C49" s="678" t="s">
        <v>633</v>
      </c>
      <c r="D49" s="602"/>
      <c r="E49" s="602"/>
      <c r="F49" s="602"/>
      <c r="G49" s="602"/>
      <c r="H49" s="603"/>
      <c r="I49" s="512" t="e">
        <f>'1-ABA-DE-CARREGAMENTO'!E44</f>
        <v>#N/A</v>
      </c>
      <c r="J49" s="406" t="e">
        <f>ROUND(J47*I49,2)</f>
        <v>#N/A</v>
      </c>
      <c r="K49" s="407"/>
    </row>
    <row r="50" spans="1:11" ht="21.75" customHeight="1">
      <c r="A50" s="365"/>
      <c r="B50" s="373" t="s">
        <v>367</v>
      </c>
      <c r="C50" s="678" t="s">
        <v>634</v>
      </c>
      <c r="D50" s="602"/>
      <c r="E50" s="602"/>
      <c r="F50" s="602"/>
      <c r="G50" s="776" t="e">
        <f>'1-ABA-DE-CARREGAMENTO'!E40</f>
        <v>#N/A</v>
      </c>
      <c r="H50" s="603"/>
      <c r="I50" s="544">
        <f>'1-ABA-DE-CARREGAMENTO'!E41</f>
        <v>0</v>
      </c>
      <c r="J50" s="406">
        <f>ROUND(I50*I41,2)</f>
        <v>0</v>
      </c>
      <c r="K50" s="407"/>
    </row>
    <row r="51" spans="1:11" ht="30.75" customHeight="1" outlineLevel="1">
      <c r="A51" s="365"/>
      <c r="B51" s="373" t="s">
        <v>410</v>
      </c>
      <c r="C51" s="678" t="s">
        <v>635</v>
      </c>
      <c r="D51" s="602"/>
      <c r="E51" s="602"/>
      <c r="F51" s="602"/>
      <c r="G51" s="602"/>
      <c r="H51" s="602"/>
      <c r="I51" s="603"/>
      <c r="J51" s="406" t="e">
        <f>ROUND(2*8*15*I36,2)*0</f>
        <v>#N/A</v>
      </c>
      <c r="K51" s="407"/>
    </row>
    <row r="52" spans="1:11" ht="38.25" customHeight="1" outlineLevel="1">
      <c r="A52" s="365"/>
      <c r="B52" s="373" t="s">
        <v>412</v>
      </c>
      <c r="C52" s="726" t="s">
        <v>636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38.25" customHeight="1" outlineLevel="1">
      <c r="A53" s="365"/>
      <c r="B53" s="373" t="s">
        <v>414</v>
      </c>
      <c r="C53" s="726" t="s">
        <v>637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27" customHeight="1">
      <c r="A54" s="365"/>
      <c r="B54" s="373" t="s">
        <v>416</v>
      </c>
      <c r="C54" s="726" t="s">
        <v>417</v>
      </c>
      <c r="D54" s="602"/>
      <c r="E54" s="602"/>
      <c r="F54" s="777" t="s">
        <v>638</v>
      </c>
      <c r="G54" s="602"/>
      <c r="H54" s="602"/>
      <c r="I54" s="411" t="e">
        <f>'1-ABA-DE-CARREGAMENTO'!E65</f>
        <v>#N/A</v>
      </c>
      <c r="J54" s="406" t="e">
        <f>ROUND((((SUM(J47:J50))/220)*1.5)*I54,2)</f>
        <v>#N/A</v>
      </c>
      <c r="K54" s="407"/>
    </row>
    <row r="55" spans="1:11" ht="27" customHeight="1">
      <c r="A55" s="365"/>
      <c r="B55" s="373" t="s">
        <v>419</v>
      </c>
      <c r="C55" s="726" t="s">
        <v>420</v>
      </c>
      <c r="D55" s="602"/>
      <c r="E55" s="602"/>
      <c r="F55" s="777" t="s">
        <v>639</v>
      </c>
      <c r="G55" s="602"/>
      <c r="H55" s="602"/>
      <c r="I55" s="411" t="e">
        <f>'1-ABA-DE-CARREGAMENTO'!E68</f>
        <v>#N/A</v>
      </c>
      <c r="J55" s="406" t="e">
        <f>ROUND((((SUM(J47:J50))/220)*2)*I55,2)</f>
        <v>#N/A</v>
      </c>
      <c r="K55" s="407"/>
    </row>
    <row r="56" spans="1:11" ht="40.5" customHeight="1">
      <c r="A56" s="365"/>
      <c r="B56" s="373" t="s">
        <v>422</v>
      </c>
      <c r="C56" s="678" t="s">
        <v>640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33.7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6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26.25" customHeight="1">
      <c r="A60" s="365"/>
      <c r="B60" s="373" t="s">
        <v>416</v>
      </c>
      <c r="C60" s="678" t="s">
        <v>641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36" customHeight="1">
      <c r="A61" s="365"/>
      <c r="B61" s="695" t="s">
        <v>642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6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48" customHeight="1">
      <c r="A63" s="365"/>
      <c r="B63" s="779" t="s">
        <v>643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6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3.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6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8" customHeight="1">
      <c r="A68" s="365"/>
      <c r="B68" s="766" t="s">
        <v>644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1.25" customHeight="1">
      <c r="A69" s="365"/>
      <c r="B69" s="424" t="s">
        <v>433</v>
      </c>
      <c r="C69" s="767" t="s">
        <v>645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646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1.25" customHeight="1">
      <c r="A71" s="365"/>
      <c r="B71" s="424" t="s">
        <v>363</v>
      </c>
      <c r="C71" s="768" t="s">
        <v>647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6.7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90" customHeight="1">
      <c r="A74" s="365"/>
      <c r="B74" s="722" t="s">
        <v>648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6.7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28.5" customHeight="1">
      <c r="A76" s="365"/>
      <c r="B76" s="729" t="s">
        <v>649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48.75" customHeight="1">
      <c r="A80" s="365"/>
      <c r="B80" s="438" t="s">
        <v>365</v>
      </c>
      <c r="C80" s="678" t="s">
        <v>650</v>
      </c>
      <c r="D80" s="603"/>
      <c r="E80" s="441" t="s">
        <v>447</v>
      </c>
      <c r="F80" s="442">
        <f>'1-ABA-DE-CARREGAMENTO'!E57</f>
        <v>0.03</v>
      </c>
      <c r="G80" s="441" t="s">
        <v>448</v>
      </c>
      <c r="H80" s="443">
        <f>'1-ABA-DE-CARREGAMENTO'!E58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1.2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1.2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1.2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1.2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11.2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1.25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0">SUM(I78:I85)</f>
        <v>0.36800000000000005</v>
      </c>
      <c r="J86" s="431" t="e">
        <f t="shared" si="0"/>
        <v>#N/A</v>
      </c>
      <c r="K86" s="432"/>
    </row>
    <row r="87" spans="1:11" ht="6.75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11.25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7.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1.2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1.2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2.75" customHeight="1">
      <c r="A92" s="365"/>
      <c r="B92" s="452" t="s">
        <v>361</v>
      </c>
      <c r="C92" s="678" t="s">
        <v>651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11.25" customHeight="1">
      <c r="A93" s="365"/>
      <c r="B93" s="452" t="s">
        <v>363</v>
      </c>
      <c r="C93" s="678" t="s">
        <v>652</v>
      </c>
      <c r="D93" s="602"/>
      <c r="E93" s="602"/>
      <c r="F93" s="602"/>
      <c r="G93" s="602"/>
      <c r="H93" s="602"/>
      <c r="I93" s="455" t="e">
        <f>'1-ABA-DE-CARREGAMENTO'!E72</f>
        <v>#N/A</v>
      </c>
      <c r="J93" s="456" t="s">
        <v>374</v>
      </c>
      <c r="K93" s="413"/>
    </row>
    <row r="94" spans="1:11" ht="11.25" customHeight="1">
      <c r="A94" s="365"/>
      <c r="B94" s="452" t="s">
        <v>365</v>
      </c>
      <c r="C94" s="678" t="s">
        <v>653</v>
      </c>
      <c r="D94" s="602"/>
      <c r="E94" s="602"/>
      <c r="F94" s="602"/>
      <c r="G94" s="602"/>
      <c r="H94" s="603"/>
      <c r="I94" s="457">
        <f>'1-ABA-DE-CARREGAMENTO'!E73</f>
        <v>2</v>
      </c>
      <c r="J94" s="456" t="s">
        <v>374</v>
      </c>
      <c r="K94" s="413"/>
    </row>
    <row r="95" spans="1:11" ht="11.25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'1-ABA-DE-CARREGAMENTO'!E74</f>
        <v>#N/A</v>
      </c>
      <c r="J95" s="456" t="s">
        <v>374</v>
      </c>
      <c r="K95" s="413"/>
    </row>
    <row r="96" spans="1:11" ht="24" customHeight="1">
      <c r="A96" s="365"/>
      <c r="B96" s="452" t="s">
        <v>410</v>
      </c>
      <c r="C96" s="754" t="s">
        <v>654</v>
      </c>
      <c r="D96" s="602"/>
      <c r="E96" s="602"/>
      <c r="F96" s="602"/>
      <c r="G96" s="602"/>
      <c r="H96" s="603"/>
      <c r="I96" s="458" t="e">
        <f>'1-ABA-DE-CARREGAMENTO'!E75</f>
        <v>#N/A</v>
      </c>
      <c r="J96" s="459" t="s">
        <v>374</v>
      </c>
      <c r="K96" s="413"/>
    </row>
    <row r="97" spans="1:11" ht="12.75" customHeight="1">
      <c r="A97" s="365"/>
      <c r="B97" s="452" t="s">
        <v>412</v>
      </c>
      <c r="C97" s="678" t="s">
        <v>655</v>
      </c>
      <c r="D97" s="602"/>
      <c r="E97" s="602"/>
      <c r="F97" s="602"/>
      <c r="G97" s="602"/>
      <c r="H97" s="602"/>
      <c r="I97" s="603"/>
      <c r="J97" s="454" t="e">
        <f>ROUND(I98*I99,2)-ROUND((I98*I99)*I100,2)</f>
        <v>#N/A</v>
      </c>
      <c r="K97" s="432"/>
    </row>
    <row r="98" spans="1:11" ht="15.75" customHeight="1">
      <c r="A98" s="365"/>
      <c r="B98" s="452" t="s">
        <v>414</v>
      </c>
      <c r="C98" s="678" t="s">
        <v>656</v>
      </c>
      <c r="D98" s="602"/>
      <c r="E98" s="602"/>
      <c r="F98" s="602"/>
      <c r="G98" s="602"/>
      <c r="H98" s="603"/>
      <c r="I98" s="455" t="e">
        <f>IF('1-ABA-DE-CARREGAMENTO'!E60&gt;0,'1-ABA-DE-CARREGAMENTO'!E60,'1-ABA-DE-CARREGAMENTO'!E63)</f>
        <v>#N/A</v>
      </c>
      <c r="J98" s="461"/>
      <c r="K98" s="413"/>
    </row>
    <row r="99" spans="1:11" ht="18" customHeight="1">
      <c r="A99" s="365"/>
      <c r="B99" s="452" t="s">
        <v>416</v>
      </c>
      <c r="C99" s="678" t="s">
        <v>657</v>
      </c>
      <c r="D99" s="602"/>
      <c r="E99" s="602"/>
      <c r="F99" s="602"/>
      <c r="G99" s="602"/>
      <c r="H99" s="603"/>
      <c r="I99" s="457" t="e">
        <f>'1-ABA-DE-CARREGAMENTO'!E62</f>
        <v>#N/A</v>
      </c>
      <c r="J99" s="461"/>
      <c r="K99" s="413"/>
    </row>
    <row r="100" spans="1:11" ht="23.25" customHeight="1">
      <c r="A100" s="365"/>
      <c r="B100" s="452" t="s">
        <v>419</v>
      </c>
      <c r="C100" s="781" t="s">
        <v>658</v>
      </c>
      <c r="D100" s="602"/>
      <c r="E100" s="602"/>
      <c r="F100" s="602"/>
      <c r="G100" s="602"/>
      <c r="H100" s="603"/>
      <c r="I100" s="458" t="e">
        <f>'1-ABA-DE-CARREGAMENTO'!E61</f>
        <v>#N/A</v>
      </c>
      <c r="J100" s="463"/>
      <c r="K100" s="413"/>
    </row>
    <row r="101" spans="1:11" ht="11.25" customHeight="1" outlineLevel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32.25" customHeight="1" outlineLevel="1">
      <c r="A102" s="365"/>
      <c r="B102" s="452" t="s">
        <v>424</v>
      </c>
      <c r="C102" s="678" t="s">
        <v>659</v>
      </c>
      <c r="D102" s="602"/>
      <c r="E102" s="602"/>
      <c r="F102" s="602"/>
      <c r="G102" s="602"/>
      <c r="H102" s="602"/>
      <c r="I102" s="602"/>
      <c r="J102" s="440" t="e">
        <f>'1-ABA-DE-CARREGAMENTO'!E77</f>
        <v>#N/A</v>
      </c>
      <c r="K102" s="432"/>
    </row>
    <row r="103" spans="1:11" ht="32.25" customHeight="1" outlineLevel="1">
      <c r="A103" s="365"/>
      <c r="B103" s="452" t="s">
        <v>469</v>
      </c>
      <c r="C103" s="678" t="s">
        <v>660</v>
      </c>
      <c r="D103" s="602"/>
      <c r="E103" s="602"/>
      <c r="F103" s="602"/>
      <c r="G103" s="602"/>
      <c r="H103" s="602"/>
      <c r="I103" s="603"/>
      <c r="J103" s="440" t="e">
        <f>'1-ABA-DE-CARREGAMENTO'!E78</f>
        <v>#N/A</v>
      </c>
      <c r="K103" s="432"/>
    </row>
    <row r="104" spans="1:11" ht="11.25" customHeight="1" outlineLevel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'1-ABA-DE-CARREGAMENTO'!E76</f>
        <v>#N/A</v>
      </c>
      <c r="K104" s="432"/>
    </row>
    <row r="105" spans="1:11" ht="11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11.2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7.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37.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7.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1.2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1.2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1.25" customHeight="1">
      <c r="A112" s="365"/>
      <c r="B112" s="383" t="s">
        <v>433</v>
      </c>
      <c r="C112" s="726" t="s">
        <v>662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1.2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1.2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1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6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1.2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1.2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49.5" customHeight="1">
      <c r="A119" s="365"/>
      <c r="B119" s="452" t="s">
        <v>361</v>
      </c>
      <c r="C119" s="678" t="s">
        <v>663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6.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24.75" customHeight="1">
      <c r="A121" s="365"/>
      <c r="B121" s="452" t="s">
        <v>365</v>
      </c>
      <c r="C121" s="678" t="s">
        <v>664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24.7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9" customHeight="1">
      <c r="A123" s="365"/>
      <c r="B123" s="452" t="s">
        <v>410</v>
      </c>
      <c r="C123" s="678" t="s">
        <v>665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1.2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6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1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11.25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11.25" customHeight="1">
      <c r="A128" s="365"/>
      <c r="B128" s="729" t="s">
        <v>666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11.2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667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6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1.2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1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54.75" customHeight="1">
      <c r="A133" s="365"/>
      <c r="B133" s="452" t="s">
        <v>361</v>
      </c>
      <c r="C133" s="726" t="s">
        <v>668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24" customHeight="1">
      <c r="A134" s="365"/>
      <c r="B134" s="452" t="s">
        <v>363</v>
      </c>
      <c r="C134" s="678" t="s">
        <v>669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24" customHeight="1">
      <c r="A135" s="365"/>
      <c r="B135" s="452" t="s">
        <v>365</v>
      </c>
      <c r="C135" s="678" t="s">
        <v>670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24" customHeight="1">
      <c r="A136" s="365"/>
      <c r="B136" s="452" t="s">
        <v>367</v>
      </c>
      <c r="C136" s="678" t="s">
        <v>671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24" customHeight="1">
      <c r="A137" s="365"/>
      <c r="B137" s="488" t="s">
        <v>410</v>
      </c>
      <c r="C137" s="732" t="s">
        <v>672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24" customHeight="1">
      <c r="A138" s="365"/>
      <c r="B138" s="452" t="s">
        <v>412</v>
      </c>
      <c r="C138" s="678" t="s">
        <v>673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1.2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6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1.2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1.2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1.2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1.2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6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1.2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1.2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11.2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11.25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11.25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11.2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1.2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1.2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22.5" customHeight="1">
      <c r="A154" s="365"/>
      <c r="B154" s="452" t="s">
        <v>361</v>
      </c>
      <c r="C154" s="678" t="s">
        <v>511</v>
      </c>
      <c r="D154" s="602"/>
      <c r="E154" s="602"/>
      <c r="F154" s="602"/>
      <c r="G154" s="602"/>
      <c r="H154" s="602"/>
      <c r="I154" s="603"/>
      <c r="J154" s="440" t="e">
        <f>#REF!+#REF!</f>
        <v>#REF!</v>
      </c>
      <c r="K154" s="432"/>
    </row>
    <row r="155" spans="1:11" ht="20.25" customHeight="1">
      <c r="A155" s="365"/>
      <c r="B155" s="452" t="s">
        <v>363</v>
      </c>
      <c r="C155" s="678" t="s">
        <v>674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2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1.2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6.75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11.2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6.7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11.25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11.25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54.75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18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'1-ABA-DE-CARREGAMENTO'!E85</f>
        <v>0.06</v>
      </c>
      <c r="J164" s="440" t="e">
        <f>ROUND(I164*J163,2)</f>
        <v>#N/A</v>
      </c>
      <c r="K164" s="432"/>
    </row>
    <row r="165" spans="1:11" ht="51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'1-ABA-DE-CARREGAMENTO'!E86</f>
        <v>0.06</v>
      </c>
      <c r="J166" s="440" t="e">
        <f>ROUND(I166*J165,2)</f>
        <v>#N/A</v>
      </c>
      <c r="K166" s="432"/>
    </row>
    <row r="167" spans="1:11" ht="58.5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8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11.25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15" customHeight="1">
      <c r="A170" s="365"/>
      <c r="B170" s="452"/>
      <c r="C170" s="783" t="s">
        <v>675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1">ROUND(($J$167/(1-$I$179))*I170,2)</f>
        <v>#N/A</v>
      </c>
      <c r="K170" s="514"/>
    </row>
    <row r="171" spans="1:11" ht="15" customHeight="1">
      <c r="A171" s="365"/>
      <c r="B171" s="452"/>
      <c r="C171" s="783" t="s">
        <v>676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1"/>
        <v>#N/A</v>
      </c>
      <c r="K171" s="514"/>
    </row>
    <row r="172" spans="1:11" ht="11.25" customHeight="1">
      <c r="A172" s="365"/>
      <c r="B172" s="452"/>
      <c r="C172" s="678" t="s">
        <v>677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11.25" customHeight="1">
      <c r="A173" s="365"/>
      <c r="B173" s="452"/>
      <c r="C173" s="678" t="s">
        <v>678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1.2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1.2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1.25" customHeight="1">
      <c r="A176" s="365"/>
      <c r="B176" s="452"/>
      <c r="C176" s="678" t="s">
        <v>679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1.2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6.7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1.2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2">SUM(I170:I176)</f>
        <v>#N/A</v>
      </c>
      <c r="J179" s="508" t="e">
        <f t="shared" si="2"/>
        <v>#N/A</v>
      </c>
      <c r="K179" s="509"/>
    </row>
    <row r="180" spans="1:11" ht="11.2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1.2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1.2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6.7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11.25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6.75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1.25" customHeight="1">
      <c r="A186" s="365"/>
      <c r="B186" s="676" t="s">
        <v>680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1.2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1.2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1.2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1.2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1.2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1.2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1.2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1.2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1.2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42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9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1.2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1.2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11.2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38.25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3">E201*F201</f>
        <v>0</v>
      </c>
      <c r="I201" s="698">
        <f t="shared" ref="I201:I203" si="4">F201*H201</f>
        <v>0</v>
      </c>
      <c r="J201" s="603"/>
      <c r="K201" s="532"/>
    </row>
    <row r="202" spans="1:11" ht="38.25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3"/>
        <v>0</v>
      </c>
      <c r="I202" s="698">
        <f t="shared" si="4"/>
        <v>0</v>
      </c>
      <c r="J202" s="603"/>
      <c r="K202" s="532"/>
    </row>
    <row r="203" spans="1:11" ht="38.25" customHeight="1" collapsed="1">
      <c r="A203" s="365"/>
      <c r="B203" s="703" t="str">
        <f>B3</f>
        <v>A NÃO TEM MAIS POSTOS-00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4"/>
        <v>#N/A</v>
      </c>
      <c r="J203" s="603"/>
      <c r="K203" s="532"/>
    </row>
    <row r="204" spans="1:11" ht="38.25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5">E204*G204</f>
        <v>0</v>
      </c>
      <c r="I204" s="698">
        <f t="shared" si="5"/>
        <v>0</v>
      </c>
      <c r="J204" s="603"/>
      <c r="K204" s="532"/>
    </row>
    <row r="205" spans="1:11" ht="38.25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6">E205*G205</f>
        <v>0</v>
      </c>
      <c r="I205" s="698">
        <f t="shared" si="6"/>
        <v>0</v>
      </c>
      <c r="J205" s="603"/>
      <c r="K205" s="532"/>
    </row>
    <row r="206" spans="1:11" ht="38.25" hidden="1" customHeight="1" outlineLevel="1">
      <c r="A206" s="365"/>
      <c r="B206" s="705" t="s">
        <v>681</v>
      </c>
      <c r="C206" s="602"/>
      <c r="D206" s="602"/>
      <c r="E206" s="603"/>
      <c r="F206" s="698">
        <v>0</v>
      </c>
      <c r="G206" s="603"/>
      <c r="H206" s="531">
        <f t="shared" ref="H206:I206" si="7">E206*G206</f>
        <v>0</v>
      </c>
      <c r="I206" s="698">
        <f t="shared" si="7"/>
        <v>0</v>
      </c>
      <c r="J206" s="603"/>
      <c r="K206" s="532"/>
    </row>
    <row r="207" spans="1:11" ht="11.2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8.25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3.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8.25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1.2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8.25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1.2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8.25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33.75" customHeight="1">
      <c r="A215" s="365"/>
      <c r="B215" s="712" t="s">
        <v>682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7.5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1.2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3">
    <mergeCell ref="B66:J66"/>
    <mergeCell ref="B67:J67"/>
    <mergeCell ref="C97:I97"/>
    <mergeCell ref="C98:H98"/>
    <mergeCell ref="C99:H99"/>
    <mergeCell ref="C100:H100"/>
    <mergeCell ref="C101:I101"/>
    <mergeCell ref="C102:I102"/>
    <mergeCell ref="C103:I103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89:J89"/>
    <mergeCell ref="B90:J90"/>
    <mergeCell ref="C91:I91"/>
    <mergeCell ref="C92:H92"/>
    <mergeCell ref="C93:H93"/>
    <mergeCell ref="C94:H94"/>
    <mergeCell ref="C95:H95"/>
    <mergeCell ref="C96:H96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88:I188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</mergeCells>
  <conditionalFormatting sqref="I49:I50">
    <cfRule type="cellIs" dxfId="89" priority="1" operator="equal">
      <formula>0</formula>
    </cfRule>
  </conditionalFormatting>
  <conditionalFormatting sqref="I48">
    <cfRule type="cellIs" dxfId="88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BFBFBF"/>
  </sheetPr>
  <dimension ref="A1:K1000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6.42578125" customWidth="1"/>
    <col min="9" max="9" width="11.28515625" customWidth="1"/>
    <col min="10" max="10" width="16.5703125" customWidth="1"/>
    <col min="11" max="11" width="1.42578125" customWidth="1"/>
  </cols>
  <sheetData>
    <row r="1" spans="1:11" ht="11.25" customHeight="1">
      <c r="A1" s="365"/>
      <c r="B1" s="365"/>
      <c r="C1" s="365"/>
      <c r="D1" s="365"/>
      <c r="E1" s="365"/>
      <c r="F1" s="365"/>
      <c r="G1" s="365"/>
      <c r="H1" s="365"/>
      <c r="I1" s="365"/>
      <c r="J1" s="366"/>
      <c r="K1" s="365"/>
    </row>
    <row r="2" spans="1:11" ht="11.25" customHeight="1">
      <c r="A2" s="365"/>
      <c r="B2" s="757" t="str">
        <f>'1-ABA-DE-CARREGAMENTO'!C11</f>
        <v xml:space="preserve"> S E R V I Ç O S   de VIGILANCIA,  DESARMADA-diruna __ ARMADA-noturna</v>
      </c>
      <c r="C2" s="746"/>
      <c r="D2" s="746"/>
      <c r="E2" s="746"/>
      <c r="F2" s="746"/>
      <c r="G2" s="746"/>
      <c r="H2" s="746"/>
      <c r="I2" s="746"/>
      <c r="J2" s="747"/>
      <c r="K2" s="367"/>
    </row>
    <row r="3" spans="1:11" ht="11.25" customHeight="1">
      <c r="A3" s="365"/>
      <c r="B3" s="758" t="str">
        <f>'1-ABA-DE-CARREGAMENTO'!F33</f>
        <v>A NÃO TEM MAIS POSTOS-11</v>
      </c>
      <c r="C3" s="688"/>
      <c r="D3" s="688"/>
      <c r="E3" s="688"/>
      <c r="F3" s="688"/>
      <c r="G3" s="688"/>
      <c r="H3" s="688"/>
      <c r="I3" s="688"/>
      <c r="J3" s="692"/>
      <c r="K3" s="368"/>
    </row>
    <row r="4" spans="1:11" ht="11.25" customHeight="1">
      <c r="A4" s="365"/>
      <c r="B4" s="752" t="s">
        <v>358</v>
      </c>
      <c r="C4" s="688"/>
      <c r="D4" s="688"/>
      <c r="E4" s="688"/>
      <c r="F4" s="692"/>
      <c r="G4" s="759">
        <f>'1-ABA-DE-CARREGAMENTO'!C12</f>
        <v>0</v>
      </c>
      <c r="H4" s="688"/>
      <c r="I4" s="688"/>
      <c r="J4" s="692"/>
      <c r="K4" s="369"/>
    </row>
    <row r="5" spans="1:11" ht="11.25" customHeight="1">
      <c r="A5" s="365"/>
      <c r="B5" s="678" t="s">
        <v>359</v>
      </c>
      <c r="C5" s="602"/>
      <c r="D5" s="602"/>
      <c r="E5" s="602"/>
      <c r="F5" s="603"/>
      <c r="G5" s="760">
        <f>'1-ABA-DE-CARREGAMENTO'!C13</f>
        <v>0</v>
      </c>
      <c r="H5" s="602"/>
      <c r="I5" s="602"/>
      <c r="J5" s="603"/>
      <c r="K5" s="369"/>
    </row>
    <row r="6" spans="1:11" ht="11.25" customHeight="1">
      <c r="A6" s="365"/>
      <c r="B6" s="761">
        <f>'1-ABA-DE-CARREGAMENTO'!C16</f>
        <v>0</v>
      </c>
      <c r="C6" s="602"/>
      <c r="D6" s="602"/>
      <c r="E6" s="602"/>
      <c r="F6" s="602"/>
      <c r="G6" s="602"/>
      <c r="H6" s="602"/>
      <c r="I6" s="602"/>
      <c r="J6" s="603"/>
      <c r="K6" s="371"/>
    </row>
    <row r="7" spans="1:11" ht="11.25" customHeight="1">
      <c r="A7" s="365"/>
      <c r="B7" s="695" t="s">
        <v>360</v>
      </c>
      <c r="C7" s="602"/>
      <c r="D7" s="602"/>
      <c r="E7" s="602"/>
      <c r="F7" s="602"/>
      <c r="G7" s="602"/>
      <c r="H7" s="602"/>
      <c r="I7" s="602"/>
      <c r="J7" s="603"/>
      <c r="K7" s="372"/>
    </row>
    <row r="8" spans="1:11" ht="11.25" customHeight="1">
      <c r="A8" s="365"/>
      <c r="B8" s="373" t="s">
        <v>361</v>
      </c>
      <c r="C8" s="678" t="s">
        <v>362</v>
      </c>
      <c r="D8" s="602"/>
      <c r="E8" s="602"/>
      <c r="F8" s="602"/>
      <c r="G8" s="602"/>
      <c r="H8" s="603"/>
      <c r="I8" s="762">
        <f>'1-ABA-DE-CARREGAMENTO'!C16</f>
        <v>0</v>
      </c>
      <c r="J8" s="603"/>
      <c r="K8" s="374"/>
    </row>
    <row r="9" spans="1:11" ht="11.25" customHeight="1">
      <c r="A9" s="365"/>
      <c r="B9" s="373" t="s">
        <v>363</v>
      </c>
      <c r="C9" s="678" t="s">
        <v>364</v>
      </c>
      <c r="D9" s="602"/>
      <c r="E9" s="602"/>
      <c r="F9" s="602"/>
      <c r="G9" s="602"/>
      <c r="H9" s="603"/>
      <c r="I9" s="760">
        <f>'1-ABA-DE-CARREGAMENTO'!C14</f>
        <v>0</v>
      </c>
      <c r="J9" s="603"/>
      <c r="K9" s="369"/>
    </row>
    <row r="10" spans="1:11" ht="11.25" customHeight="1">
      <c r="A10" s="365"/>
      <c r="B10" s="373" t="s">
        <v>365</v>
      </c>
      <c r="C10" s="678" t="s">
        <v>366</v>
      </c>
      <c r="D10" s="602"/>
      <c r="E10" s="602"/>
      <c r="F10" s="602"/>
      <c r="G10" s="602"/>
      <c r="H10" s="603"/>
      <c r="I10" s="760" t="e">
        <f>VLOOKUP('1-ABA-DE-CARREGAMENTO'!E35,'DADOS-CADASTRAIS'!C6:J16,1,0)</f>
        <v>#N/A</v>
      </c>
      <c r="J10" s="603"/>
      <c r="K10" s="369"/>
    </row>
    <row r="11" spans="1:11" ht="11.25" customHeight="1">
      <c r="A11" s="365"/>
      <c r="B11" s="373" t="s">
        <v>367</v>
      </c>
      <c r="C11" s="678" t="s">
        <v>368</v>
      </c>
      <c r="D11" s="602"/>
      <c r="E11" s="602"/>
      <c r="F11" s="602"/>
      <c r="G11" s="602"/>
      <c r="H11" s="603"/>
      <c r="I11" s="763">
        <f>'1-ABA-DE-CARREGAMENTO'!F94</f>
        <v>20</v>
      </c>
      <c r="J11" s="603"/>
      <c r="K11" s="369"/>
    </row>
    <row r="12" spans="1:11" ht="11.25" customHeight="1">
      <c r="A12" s="365"/>
      <c r="B12" s="764" t="s">
        <v>369</v>
      </c>
      <c r="C12" s="602"/>
      <c r="D12" s="602"/>
      <c r="E12" s="602"/>
      <c r="F12" s="602"/>
      <c r="G12" s="602"/>
      <c r="H12" s="602"/>
      <c r="I12" s="602"/>
      <c r="J12" s="603"/>
      <c r="K12" s="375"/>
    </row>
    <row r="13" spans="1:11" ht="11.25" customHeight="1">
      <c r="A13" s="365"/>
      <c r="B13" s="697" t="str">
        <f>'1-ABA-DE-CARREGAMENTO'!C11</f>
        <v xml:space="preserve"> S E R V I Ç O S   de VIGILANCIA,  DESARMADA-diruna __ ARMADA-noturna</v>
      </c>
      <c r="C13" s="602"/>
      <c r="D13" s="602"/>
      <c r="E13" s="602"/>
      <c r="F13" s="602"/>
      <c r="G13" s="697" t="s">
        <v>370</v>
      </c>
      <c r="H13" s="603"/>
      <c r="I13" s="697" t="s">
        <v>371</v>
      </c>
      <c r="J13" s="603"/>
      <c r="K13" s="376"/>
    </row>
    <row r="14" spans="1:11" ht="11.25" hidden="1" customHeight="1" outlineLevel="1">
      <c r="A14" s="365"/>
      <c r="B14" s="737" t="s">
        <v>372</v>
      </c>
      <c r="C14" s="602"/>
      <c r="D14" s="602"/>
      <c r="E14" s="602"/>
      <c r="F14" s="603"/>
      <c r="G14" s="738" t="s">
        <v>373</v>
      </c>
      <c r="H14" s="603"/>
      <c r="I14" s="739" t="s">
        <v>374</v>
      </c>
      <c r="J14" s="603"/>
      <c r="K14" s="377"/>
    </row>
    <row r="15" spans="1:11" ht="11.25" hidden="1" customHeight="1" outlineLevel="1">
      <c r="A15" s="365"/>
      <c r="B15" s="737" t="s">
        <v>375</v>
      </c>
      <c r="C15" s="602"/>
      <c r="D15" s="602"/>
      <c r="E15" s="602"/>
      <c r="F15" s="603"/>
      <c r="G15" s="738" t="s">
        <v>373</v>
      </c>
      <c r="H15" s="603"/>
      <c r="I15" s="739" t="s">
        <v>374</v>
      </c>
      <c r="J15" s="603"/>
      <c r="K15" s="377"/>
    </row>
    <row r="16" spans="1:11" ht="11.25" hidden="1" customHeight="1" outlineLevel="1">
      <c r="A16" s="365"/>
      <c r="B16" s="737" t="s">
        <v>376</v>
      </c>
      <c r="C16" s="602"/>
      <c r="D16" s="602"/>
      <c r="E16" s="602"/>
      <c r="F16" s="603"/>
      <c r="G16" s="738" t="s">
        <v>373</v>
      </c>
      <c r="H16" s="603"/>
      <c r="I16" s="739" t="s">
        <v>374</v>
      </c>
      <c r="J16" s="603"/>
      <c r="K16" s="377"/>
    </row>
    <row r="17" spans="1:11" ht="11.25" customHeight="1" collapsed="1">
      <c r="A17" s="365"/>
      <c r="B17" s="737" t="str">
        <f>B3</f>
        <v>A NÃO TEM MAIS POSTOS-11</v>
      </c>
      <c r="C17" s="602"/>
      <c r="D17" s="602"/>
      <c r="E17" s="602"/>
      <c r="F17" s="603"/>
      <c r="G17" s="738" t="s">
        <v>373</v>
      </c>
      <c r="H17" s="603"/>
      <c r="I17" s="739" t="e">
        <f>'1-ABA-DE-CARREGAMENTO'!F92</f>
        <v>#N/A</v>
      </c>
      <c r="J17" s="603"/>
      <c r="K17" s="377"/>
    </row>
    <row r="18" spans="1:11" ht="11.25" hidden="1" customHeight="1" outlineLevel="1">
      <c r="A18" s="365"/>
      <c r="B18" s="737" t="s">
        <v>377</v>
      </c>
      <c r="C18" s="602"/>
      <c r="D18" s="602"/>
      <c r="E18" s="602"/>
      <c r="F18" s="603"/>
      <c r="G18" s="738" t="s">
        <v>373</v>
      </c>
      <c r="H18" s="603"/>
      <c r="I18" s="739" t="s">
        <v>374</v>
      </c>
      <c r="J18" s="603"/>
      <c r="K18" s="377"/>
    </row>
    <row r="19" spans="1:11" ht="11.25" hidden="1" customHeight="1" outlineLevel="1">
      <c r="A19" s="365"/>
      <c r="B19" s="737" t="s">
        <v>683</v>
      </c>
      <c r="C19" s="602"/>
      <c r="D19" s="602"/>
      <c r="E19" s="602"/>
      <c r="F19" s="603"/>
      <c r="G19" s="738" t="s">
        <v>373</v>
      </c>
      <c r="H19" s="603"/>
      <c r="I19" s="739" t="s">
        <v>374</v>
      </c>
      <c r="J19" s="603"/>
      <c r="K19" s="377"/>
    </row>
    <row r="20" spans="1:11" ht="11.25" customHeight="1" collapsed="1">
      <c r="A20" s="365"/>
      <c r="B20" s="741" t="s">
        <v>379</v>
      </c>
      <c r="C20" s="602"/>
      <c r="D20" s="602"/>
      <c r="E20" s="602"/>
      <c r="F20" s="602"/>
      <c r="G20" s="602"/>
      <c r="H20" s="603"/>
      <c r="I20" s="740" t="e">
        <f>SUM(I14:I19)</f>
        <v>#N/A</v>
      </c>
      <c r="J20" s="603"/>
      <c r="K20" s="378"/>
    </row>
    <row r="21" spans="1:11" ht="11.25" customHeight="1">
      <c r="A21" s="365"/>
      <c r="B21" s="723"/>
      <c r="C21" s="602"/>
      <c r="D21" s="602"/>
      <c r="E21" s="602"/>
      <c r="F21" s="602"/>
      <c r="G21" s="602"/>
      <c r="H21" s="602"/>
      <c r="I21" s="602"/>
      <c r="J21" s="603"/>
      <c r="K21" s="376"/>
    </row>
    <row r="22" spans="1:11" ht="11.25" customHeight="1">
      <c r="A22" s="365"/>
      <c r="B22" s="694" t="s">
        <v>380</v>
      </c>
      <c r="C22" s="602"/>
      <c r="D22" s="602"/>
      <c r="E22" s="602"/>
      <c r="F22" s="602"/>
      <c r="G22" s="602"/>
      <c r="H22" s="602"/>
      <c r="I22" s="602"/>
      <c r="J22" s="603"/>
      <c r="K22" s="379"/>
    </row>
    <row r="23" spans="1:11" ht="11.25" customHeight="1">
      <c r="A23" s="365"/>
      <c r="B23" s="721"/>
      <c r="C23" s="602"/>
      <c r="D23" s="602"/>
      <c r="E23" s="602"/>
      <c r="F23" s="602"/>
      <c r="G23" s="602"/>
      <c r="H23" s="602"/>
      <c r="I23" s="602"/>
      <c r="J23" s="603"/>
      <c r="K23" s="215"/>
    </row>
    <row r="24" spans="1:11" ht="11.25" customHeight="1">
      <c r="A24" s="365"/>
      <c r="B24" s="742" t="s">
        <v>684</v>
      </c>
      <c r="C24" s="602"/>
      <c r="D24" s="602"/>
      <c r="E24" s="602"/>
      <c r="F24" s="602"/>
      <c r="G24" s="602"/>
      <c r="H24" s="602"/>
      <c r="I24" s="602"/>
      <c r="J24" s="603"/>
      <c r="K24" s="380"/>
    </row>
    <row r="25" spans="1:11" ht="11.25" customHeight="1">
      <c r="A25" s="365"/>
      <c r="B25" s="743"/>
      <c r="C25" s="602"/>
      <c r="D25" s="602"/>
      <c r="E25" s="602"/>
      <c r="F25" s="602"/>
      <c r="G25" s="602"/>
      <c r="H25" s="602"/>
      <c r="I25" s="602"/>
      <c r="J25" s="603"/>
      <c r="K25" s="381"/>
    </row>
    <row r="26" spans="1:11" ht="11.25" customHeight="1">
      <c r="A26" s="376"/>
      <c r="B26" s="695" t="s">
        <v>382</v>
      </c>
      <c r="C26" s="602"/>
      <c r="D26" s="602"/>
      <c r="E26" s="602"/>
      <c r="F26" s="602"/>
      <c r="G26" s="602"/>
      <c r="H26" s="602"/>
      <c r="I26" s="602"/>
      <c r="J26" s="603"/>
      <c r="K26" s="372"/>
    </row>
    <row r="27" spans="1:11" ht="24" customHeight="1">
      <c r="A27" s="365"/>
      <c r="B27" s="373">
        <v>1</v>
      </c>
      <c r="C27" s="678" t="s">
        <v>383</v>
      </c>
      <c r="D27" s="602"/>
      <c r="E27" s="602"/>
      <c r="F27" s="602"/>
      <c r="G27" s="602"/>
      <c r="H27" s="603"/>
      <c r="I27" s="744" t="str">
        <f>'1-ABA-DE-CARREGAMENTO'!F33</f>
        <v>A NÃO TEM MAIS POSTOS-11</v>
      </c>
      <c r="J27" s="603"/>
      <c r="K27" s="382"/>
    </row>
    <row r="28" spans="1:11" ht="11.25" customHeight="1">
      <c r="A28" s="365"/>
      <c r="B28" s="383">
        <v>2</v>
      </c>
      <c r="C28" s="726" t="s">
        <v>384</v>
      </c>
      <c r="D28" s="602"/>
      <c r="E28" s="602"/>
      <c r="F28" s="602"/>
      <c r="G28" s="602"/>
      <c r="H28" s="603"/>
      <c r="I28" s="748"/>
      <c r="J28" s="603"/>
      <c r="K28" s="384"/>
    </row>
    <row r="29" spans="1:11" ht="52.5" customHeight="1">
      <c r="A29" s="365"/>
      <c r="B29" s="373">
        <v>3</v>
      </c>
      <c r="C29" s="749" t="s">
        <v>685</v>
      </c>
      <c r="D29" s="608"/>
      <c r="E29" s="386">
        <v>220</v>
      </c>
      <c r="F29" s="387" t="e">
        <f>'1-ABA-DE-CARREGAMENTO'!F37</f>
        <v>#N/A</v>
      </c>
      <c r="G29" s="370" t="s">
        <v>386</v>
      </c>
      <c r="H29" s="388">
        <f>'1-ABA-DE-CARREGAMENTO'!F52/I40</f>
        <v>50</v>
      </c>
      <c r="I29" s="750" t="e">
        <f>F29/E29*H29</f>
        <v>#N/A</v>
      </c>
      <c r="J29" s="603"/>
      <c r="K29" s="389"/>
    </row>
    <row r="30" spans="1:11" ht="11.25" customHeight="1">
      <c r="A30" s="365"/>
      <c r="B30" s="373">
        <v>4</v>
      </c>
      <c r="C30" s="678" t="s">
        <v>387</v>
      </c>
      <c r="D30" s="602"/>
      <c r="E30" s="602"/>
      <c r="F30" s="602"/>
      <c r="G30" s="602"/>
      <c r="H30" s="603"/>
      <c r="I30" s="751"/>
      <c r="J30" s="603"/>
      <c r="K30" s="390"/>
    </row>
    <row r="31" spans="1:11" ht="11.25" customHeight="1">
      <c r="A31" s="365"/>
      <c r="B31" s="373">
        <v>5</v>
      </c>
      <c r="C31" s="678" t="s">
        <v>388</v>
      </c>
      <c r="D31" s="602"/>
      <c r="E31" s="602"/>
      <c r="F31" s="602"/>
      <c r="G31" s="602"/>
      <c r="H31" s="603"/>
      <c r="I31" s="753" t="e">
        <f>'1-ABA-DE-CARREGAMENTO'!F36</f>
        <v>#N/A</v>
      </c>
      <c r="J31" s="603"/>
      <c r="K31" s="391"/>
    </row>
    <row r="32" spans="1:11" ht="12.75" customHeight="1">
      <c r="A32" s="365"/>
      <c r="B32" s="392">
        <v>6</v>
      </c>
      <c r="C32" s="754" t="s">
        <v>686</v>
      </c>
      <c r="D32" s="602"/>
      <c r="E32" s="602"/>
      <c r="F32" s="602"/>
      <c r="G32" s="602"/>
      <c r="H32" s="603"/>
      <c r="I32" s="755" t="e">
        <f>ROUND(F29/220,2)</f>
        <v>#N/A</v>
      </c>
      <c r="J32" s="603"/>
      <c r="K32" s="393"/>
    </row>
    <row r="33" spans="1:11" ht="40.5" customHeight="1">
      <c r="A33" s="365"/>
      <c r="B33" s="392">
        <v>7</v>
      </c>
      <c r="C33" s="754" t="s">
        <v>687</v>
      </c>
      <c r="D33" s="602"/>
      <c r="E33" s="602"/>
      <c r="F33" s="603"/>
      <c r="G33" s="756"/>
      <c r="H33" s="603"/>
      <c r="I33" s="755" t="e">
        <f>SUM(J47:J50)/E29*0</f>
        <v>#N/A</v>
      </c>
      <c r="J33" s="603"/>
      <c r="K33" s="393"/>
    </row>
    <row r="34" spans="1:11" ht="27" customHeight="1">
      <c r="A34" s="365"/>
      <c r="B34" s="392">
        <v>8</v>
      </c>
      <c r="C34" s="754" t="s">
        <v>688</v>
      </c>
      <c r="D34" s="602"/>
      <c r="E34" s="602"/>
      <c r="F34" s="603"/>
      <c r="G34" s="756"/>
      <c r="H34" s="603"/>
      <c r="I34" s="755" t="e">
        <f>TRUNC(I32*1.5,2)*0</f>
        <v>#N/A</v>
      </c>
      <c r="J34" s="603"/>
      <c r="K34" s="393"/>
    </row>
    <row r="35" spans="1:11" ht="27" customHeight="1">
      <c r="A35" s="365"/>
      <c r="B35" s="392">
        <v>9</v>
      </c>
      <c r="C35" s="754" t="s">
        <v>689</v>
      </c>
      <c r="D35" s="602"/>
      <c r="E35" s="602"/>
      <c r="F35" s="603"/>
      <c r="G35" s="756" t="s">
        <v>393</v>
      </c>
      <c r="H35" s="603"/>
      <c r="I35" s="765" t="e">
        <f>I32*1.5</f>
        <v>#N/A</v>
      </c>
      <c r="J35" s="603"/>
      <c r="K35" s="394"/>
    </row>
    <row r="36" spans="1:11" ht="27" customHeight="1">
      <c r="A36" s="365"/>
      <c r="B36" s="392">
        <v>10</v>
      </c>
      <c r="C36" s="754" t="s">
        <v>690</v>
      </c>
      <c r="D36" s="602"/>
      <c r="E36" s="602"/>
      <c r="F36" s="602"/>
      <c r="G36" s="602"/>
      <c r="H36" s="603"/>
      <c r="I36" s="755" t="e">
        <f>I32*1.25</f>
        <v>#N/A</v>
      </c>
      <c r="J36" s="603"/>
      <c r="K36" s="393"/>
    </row>
    <row r="37" spans="1:11" ht="27" customHeight="1">
      <c r="A37" s="365"/>
      <c r="B37" s="392">
        <v>11</v>
      </c>
      <c r="C37" s="754" t="s">
        <v>691</v>
      </c>
      <c r="D37" s="602"/>
      <c r="E37" s="602"/>
      <c r="F37" s="602"/>
      <c r="G37" s="602"/>
      <c r="H37" s="603"/>
      <c r="I37" s="755" t="e">
        <f>I32*1.75</f>
        <v>#N/A</v>
      </c>
      <c r="J37" s="603"/>
      <c r="K37" s="393"/>
    </row>
    <row r="38" spans="1:11" ht="24" customHeight="1">
      <c r="A38" s="365"/>
      <c r="B38" s="392">
        <v>12</v>
      </c>
      <c r="C38" s="754" t="s">
        <v>692</v>
      </c>
      <c r="D38" s="602"/>
      <c r="E38" s="602"/>
      <c r="F38" s="602"/>
      <c r="G38" s="602"/>
      <c r="H38" s="603"/>
      <c r="I38" s="755" t="e">
        <f>I32*2.5</f>
        <v>#N/A</v>
      </c>
      <c r="J38" s="603"/>
      <c r="K38" s="393"/>
    </row>
    <row r="39" spans="1:11" ht="11.25" customHeight="1">
      <c r="A39" s="365"/>
      <c r="B39" s="392">
        <v>13</v>
      </c>
      <c r="C39" s="784" t="s">
        <v>632</v>
      </c>
      <c r="D39" s="746"/>
      <c r="E39" s="746"/>
      <c r="F39" s="746"/>
      <c r="G39" s="746"/>
      <c r="H39" s="747"/>
      <c r="I39" s="791" t="e">
        <f>ROUND(I32/6,2)*1.3*0</f>
        <v>#N/A</v>
      </c>
      <c r="J39" s="747"/>
      <c r="K39" s="393"/>
    </row>
    <row r="40" spans="1:11" ht="11.25" customHeight="1">
      <c r="A40" s="365"/>
      <c r="B40" s="541">
        <v>14</v>
      </c>
      <c r="C40" s="792" t="s">
        <v>398</v>
      </c>
      <c r="D40" s="608"/>
      <c r="E40" s="608"/>
      <c r="F40" s="608"/>
      <c r="G40" s="608"/>
      <c r="H40" s="793"/>
      <c r="I40" s="794">
        <f>'1-ABA-DE-CARREGAMENTO'!F93</f>
        <v>2</v>
      </c>
      <c r="J40" s="609"/>
      <c r="K40" s="395"/>
    </row>
    <row r="41" spans="1:11" ht="11.25" customHeight="1">
      <c r="A41" s="365"/>
      <c r="B41" s="392">
        <v>15</v>
      </c>
      <c r="C41" s="795" t="s">
        <v>399</v>
      </c>
      <c r="D41" s="688"/>
      <c r="E41" s="688"/>
      <c r="F41" s="688"/>
      <c r="G41" s="688"/>
      <c r="H41" s="692"/>
      <c r="I41" s="796">
        <f>'1-ABA-DE-CARREGAMENTO'!E42</f>
        <v>1212</v>
      </c>
      <c r="J41" s="692"/>
      <c r="K41" s="396"/>
    </row>
    <row r="42" spans="1:11" ht="11.25" customHeight="1">
      <c r="A42" s="365"/>
      <c r="B42" s="721"/>
      <c r="C42" s="602"/>
      <c r="D42" s="602"/>
      <c r="E42" s="602"/>
      <c r="F42" s="602"/>
      <c r="G42" s="602"/>
      <c r="H42" s="602"/>
      <c r="I42" s="602"/>
      <c r="J42" s="603"/>
      <c r="K42" s="215"/>
    </row>
    <row r="43" spans="1:11" ht="28.5" customHeight="1">
      <c r="A43" s="365"/>
      <c r="B43" s="722" t="s">
        <v>400</v>
      </c>
      <c r="C43" s="602"/>
      <c r="D43" s="602"/>
      <c r="E43" s="602"/>
      <c r="F43" s="602"/>
      <c r="G43" s="602"/>
      <c r="H43" s="602"/>
      <c r="I43" s="602"/>
      <c r="J43" s="603"/>
      <c r="K43" s="397"/>
    </row>
    <row r="44" spans="1:11" ht="11.25" customHeight="1">
      <c r="A44" s="365"/>
      <c r="B44" s="774"/>
      <c r="C44" s="602"/>
      <c r="D44" s="602"/>
      <c r="E44" s="602"/>
      <c r="F44" s="602"/>
      <c r="G44" s="602"/>
      <c r="H44" s="602"/>
      <c r="I44" s="602"/>
      <c r="J44" s="603"/>
      <c r="K44" s="398"/>
    </row>
    <row r="45" spans="1:11" ht="11.25" customHeight="1">
      <c r="A45" s="365"/>
      <c r="B45" s="775" t="s">
        <v>401</v>
      </c>
      <c r="C45" s="602"/>
      <c r="D45" s="602"/>
      <c r="E45" s="602"/>
      <c r="F45" s="602"/>
      <c r="G45" s="602"/>
      <c r="H45" s="602"/>
      <c r="I45" s="602"/>
      <c r="J45" s="603"/>
      <c r="K45" s="399"/>
    </row>
    <row r="46" spans="1:11" ht="11.25" customHeight="1">
      <c r="A46" s="400"/>
      <c r="B46" s="401">
        <v>1</v>
      </c>
      <c r="C46" s="677" t="s">
        <v>402</v>
      </c>
      <c r="D46" s="602"/>
      <c r="E46" s="602"/>
      <c r="F46" s="602"/>
      <c r="G46" s="602"/>
      <c r="H46" s="603"/>
      <c r="I46" s="402" t="s">
        <v>403</v>
      </c>
      <c r="J46" s="401" t="s">
        <v>404</v>
      </c>
      <c r="K46" s="375"/>
    </row>
    <row r="47" spans="1:11" ht="12.75" customHeight="1">
      <c r="A47" s="365"/>
      <c r="B47" s="373" t="s">
        <v>361</v>
      </c>
      <c r="C47" s="678" t="s">
        <v>405</v>
      </c>
      <c r="D47" s="602"/>
      <c r="E47" s="602"/>
      <c r="F47" s="603"/>
      <c r="G47" s="403" t="s">
        <v>406</v>
      </c>
      <c r="H47" s="404">
        <f>'1-ABA-DE-CARREGAMENTO'!F52</f>
        <v>100</v>
      </c>
      <c r="I47" s="403"/>
      <c r="J47" s="406" t="e">
        <f>I29*I40</f>
        <v>#N/A</v>
      </c>
      <c r="K47" s="407"/>
    </row>
    <row r="48" spans="1:11" ht="11.25" customHeight="1">
      <c r="A48" s="365"/>
      <c r="B48" s="373" t="s">
        <v>363</v>
      </c>
      <c r="C48" s="678" t="s">
        <v>407</v>
      </c>
      <c r="D48" s="602"/>
      <c r="E48" s="602"/>
      <c r="F48" s="776" t="e">
        <f>'1-ABA-DE-CARREGAMENTO'!F38</f>
        <v>#N/A</v>
      </c>
      <c r="G48" s="602"/>
      <c r="H48" s="603"/>
      <c r="I48" s="543" t="e">
        <f>'1-ABA-DE-CARREGAMENTO'!F39</f>
        <v>#N/A</v>
      </c>
      <c r="J48" s="406" t="e">
        <f>J47*I48</f>
        <v>#N/A</v>
      </c>
      <c r="K48" s="407"/>
    </row>
    <row r="49" spans="1:11" ht="25.5" customHeight="1">
      <c r="A49" s="365"/>
      <c r="B49" s="373" t="s">
        <v>365</v>
      </c>
      <c r="C49" s="678" t="s">
        <v>693</v>
      </c>
      <c r="D49" s="602"/>
      <c r="E49" s="602"/>
      <c r="F49" s="602"/>
      <c r="G49" s="602"/>
      <c r="H49" s="603"/>
      <c r="I49" s="512">
        <f>'1-ABA-DE-CARREGAMENTO'!F44</f>
        <v>0</v>
      </c>
      <c r="J49" s="406" t="e">
        <f>ROUND(J47*I49,2)</f>
        <v>#N/A</v>
      </c>
      <c r="K49" s="407"/>
    </row>
    <row r="50" spans="1:11" ht="11.25" customHeight="1">
      <c r="A50" s="365"/>
      <c r="B50" s="373" t="s">
        <v>367</v>
      </c>
      <c r="C50" s="678" t="s">
        <v>694</v>
      </c>
      <c r="D50" s="602"/>
      <c r="E50" s="602"/>
      <c r="F50" s="602"/>
      <c r="G50" s="797" t="e">
        <f>'1-ABA-DE-CARREGAMENTO'!F40</f>
        <v>#N/A</v>
      </c>
      <c r="H50" s="747"/>
      <c r="I50" s="545">
        <f>'1-ABA-DE-CARREGAMENTO'!F41</f>
        <v>0</v>
      </c>
      <c r="J50" s="406">
        <f>ROUND(I50*I41,2)</f>
        <v>0</v>
      </c>
      <c r="K50" s="407"/>
    </row>
    <row r="51" spans="1:11" ht="30.75" customHeight="1">
      <c r="A51" s="365"/>
      <c r="B51" s="373" t="s">
        <v>410</v>
      </c>
      <c r="C51" s="798" t="s">
        <v>695</v>
      </c>
      <c r="D51" s="602"/>
      <c r="E51" s="602"/>
      <c r="F51" s="453" t="s">
        <v>696</v>
      </c>
      <c r="G51" s="546">
        <v>0</v>
      </c>
      <c r="H51" s="453" t="s">
        <v>697</v>
      </c>
      <c r="I51" s="547" t="e">
        <f>I36</f>
        <v>#N/A</v>
      </c>
      <c r="J51" s="548" t="e">
        <f>G51*I51</f>
        <v>#N/A</v>
      </c>
      <c r="K51" s="407"/>
    </row>
    <row r="52" spans="1:11" ht="43.5" customHeight="1">
      <c r="A52" s="365"/>
      <c r="B52" s="373" t="s">
        <v>412</v>
      </c>
      <c r="C52" s="726" t="s">
        <v>698</v>
      </c>
      <c r="D52" s="602"/>
      <c r="E52" s="602"/>
      <c r="F52" s="602"/>
      <c r="G52" s="602"/>
      <c r="H52" s="602"/>
      <c r="I52" s="603"/>
      <c r="J52" s="406" t="e">
        <f>ROUND(I38*(((12*15)+15)-((44/6)*26))*I35,2)*0+ROUND(2*4.33*I35,2)*0</f>
        <v>#N/A</v>
      </c>
      <c r="K52" s="407"/>
    </row>
    <row r="53" spans="1:11" ht="27" customHeight="1">
      <c r="A53" s="365"/>
      <c r="B53" s="373" t="s">
        <v>414</v>
      </c>
      <c r="C53" s="726" t="s">
        <v>699</v>
      </c>
      <c r="D53" s="602"/>
      <c r="E53" s="602"/>
      <c r="F53" s="602"/>
      <c r="G53" s="602"/>
      <c r="H53" s="602"/>
      <c r="I53" s="603"/>
      <c r="J53" s="406" t="e">
        <f>ROUND(I39*I40*15,2)*0</f>
        <v>#N/A</v>
      </c>
      <c r="K53" s="407"/>
    </row>
    <row r="54" spans="1:11" ht="39" customHeight="1">
      <c r="A54" s="365"/>
      <c r="B54" s="373" t="s">
        <v>416</v>
      </c>
      <c r="C54" s="726" t="s">
        <v>700</v>
      </c>
      <c r="D54" s="602"/>
      <c r="E54" s="602"/>
      <c r="F54" s="453" t="s">
        <v>701</v>
      </c>
      <c r="G54" s="546">
        <v>0</v>
      </c>
      <c r="H54" s="453" t="s">
        <v>702</v>
      </c>
      <c r="I54" s="547" t="e">
        <f t="shared" ref="I54:I55" si="0">I37</f>
        <v>#N/A</v>
      </c>
      <c r="J54" s="406" t="e">
        <f t="shared" ref="J54:J55" si="1">G54*I54</f>
        <v>#N/A</v>
      </c>
      <c r="K54" s="407"/>
    </row>
    <row r="55" spans="1:11" ht="39" customHeight="1">
      <c r="A55" s="365"/>
      <c r="B55" s="373" t="s">
        <v>419</v>
      </c>
      <c r="C55" s="726" t="s">
        <v>703</v>
      </c>
      <c r="D55" s="602"/>
      <c r="E55" s="602"/>
      <c r="F55" s="453" t="s">
        <v>704</v>
      </c>
      <c r="G55" s="546">
        <v>0</v>
      </c>
      <c r="H55" s="453" t="s">
        <v>705</v>
      </c>
      <c r="I55" s="547" t="e">
        <f t="shared" si="0"/>
        <v>#N/A</v>
      </c>
      <c r="J55" s="406" t="e">
        <f t="shared" si="1"/>
        <v>#N/A</v>
      </c>
      <c r="K55" s="407"/>
    </row>
    <row r="56" spans="1:11" ht="40.5" customHeight="1">
      <c r="A56" s="365"/>
      <c r="B56" s="373" t="s">
        <v>422</v>
      </c>
      <c r="C56" s="678" t="s">
        <v>706</v>
      </c>
      <c r="D56" s="602"/>
      <c r="E56" s="602"/>
      <c r="F56" s="602"/>
      <c r="G56" s="602"/>
      <c r="H56" s="602"/>
      <c r="I56" s="603"/>
      <c r="J56" s="406" t="e">
        <f>ROUND(((J54+J55)/25)*5,2)</f>
        <v>#N/A</v>
      </c>
      <c r="K56" s="407"/>
    </row>
    <row r="57" spans="1:11" ht="11.25" customHeight="1">
      <c r="A57" s="365"/>
      <c r="B57" s="373" t="s">
        <v>424</v>
      </c>
      <c r="C57" s="678" t="s">
        <v>425</v>
      </c>
      <c r="D57" s="602"/>
      <c r="E57" s="602"/>
      <c r="F57" s="602"/>
      <c r="G57" s="602"/>
      <c r="H57" s="602"/>
      <c r="I57" s="603"/>
      <c r="J57" s="412" t="s">
        <v>374</v>
      </c>
      <c r="K57" s="413"/>
    </row>
    <row r="58" spans="1:11" ht="11.25" customHeight="1">
      <c r="A58" s="365"/>
      <c r="B58" s="695" t="s">
        <v>426</v>
      </c>
      <c r="C58" s="602"/>
      <c r="D58" s="602"/>
      <c r="E58" s="602"/>
      <c r="F58" s="602"/>
      <c r="G58" s="602"/>
      <c r="H58" s="602"/>
      <c r="I58" s="603"/>
      <c r="J58" s="414" t="e">
        <f>SUM(J47:J57)</f>
        <v>#N/A</v>
      </c>
      <c r="K58" s="415"/>
    </row>
    <row r="59" spans="1:11" ht="11.25" customHeight="1">
      <c r="A59" s="365"/>
      <c r="B59" s="416"/>
      <c r="C59" s="778"/>
      <c r="D59" s="602"/>
      <c r="E59" s="602"/>
      <c r="F59" s="602"/>
      <c r="G59" s="602"/>
      <c r="H59" s="602"/>
      <c r="I59" s="603"/>
      <c r="J59" s="417"/>
      <c r="K59" s="415"/>
    </row>
    <row r="60" spans="1:11" ht="11.25" customHeight="1">
      <c r="A60" s="365"/>
      <c r="B60" s="373" t="s">
        <v>416</v>
      </c>
      <c r="C60" s="678" t="s">
        <v>707</v>
      </c>
      <c r="D60" s="602"/>
      <c r="E60" s="602"/>
      <c r="F60" s="602"/>
      <c r="G60" s="602"/>
      <c r="H60" s="602"/>
      <c r="I60" s="603"/>
      <c r="J60" s="406" t="e">
        <f>ROUND(I34*15*I40*0.5,2)*0</f>
        <v>#N/A</v>
      </c>
      <c r="K60" s="407"/>
    </row>
    <row r="61" spans="1:11" ht="11.25" customHeight="1">
      <c r="A61" s="365"/>
      <c r="B61" s="695" t="s">
        <v>708</v>
      </c>
      <c r="C61" s="602"/>
      <c r="D61" s="602"/>
      <c r="E61" s="602"/>
      <c r="F61" s="602"/>
      <c r="G61" s="602"/>
      <c r="H61" s="602"/>
      <c r="I61" s="603"/>
      <c r="J61" s="414" t="e">
        <f>J60</f>
        <v>#N/A</v>
      </c>
      <c r="K61" s="415"/>
    </row>
    <row r="62" spans="1:11" ht="11.25" customHeight="1">
      <c r="A62" s="365"/>
      <c r="B62" s="723"/>
      <c r="C62" s="602"/>
      <c r="D62" s="602"/>
      <c r="E62" s="602"/>
      <c r="F62" s="602"/>
      <c r="G62" s="602"/>
      <c r="H62" s="602"/>
      <c r="I62" s="602"/>
      <c r="J62" s="603"/>
      <c r="K62" s="376"/>
    </row>
    <row r="63" spans="1:11" ht="11.25" customHeight="1">
      <c r="A63" s="365"/>
      <c r="B63" s="779" t="s">
        <v>709</v>
      </c>
      <c r="C63" s="602"/>
      <c r="D63" s="602"/>
      <c r="E63" s="602"/>
      <c r="F63" s="602"/>
      <c r="G63" s="602"/>
      <c r="H63" s="602"/>
      <c r="I63" s="603"/>
      <c r="J63" s="418" t="e">
        <f>J58+J61</f>
        <v>#N/A</v>
      </c>
      <c r="K63" s="419"/>
    </row>
    <row r="64" spans="1:11" ht="11.25" customHeight="1">
      <c r="A64" s="365"/>
      <c r="B64" s="778"/>
      <c r="C64" s="602"/>
      <c r="D64" s="602"/>
      <c r="E64" s="602"/>
      <c r="F64" s="602"/>
      <c r="G64" s="602"/>
      <c r="H64" s="602"/>
      <c r="I64" s="602"/>
      <c r="J64" s="603"/>
      <c r="K64" s="420"/>
    </row>
    <row r="65" spans="1:11" ht="11.25" customHeight="1">
      <c r="A65" s="365"/>
      <c r="B65" s="780" t="s">
        <v>430</v>
      </c>
      <c r="C65" s="602"/>
      <c r="D65" s="602"/>
      <c r="E65" s="602"/>
      <c r="F65" s="602"/>
      <c r="G65" s="602"/>
      <c r="H65" s="602"/>
      <c r="I65" s="602"/>
      <c r="J65" s="603"/>
      <c r="K65" s="421"/>
    </row>
    <row r="66" spans="1:11" ht="11.25" customHeight="1">
      <c r="A66" s="365"/>
      <c r="B66" s="778"/>
      <c r="C66" s="602"/>
      <c r="D66" s="602"/>
      <c r="E66" s="602"/>
      <c r="F66" s="602"/>
      <c r="G66" s="602"/>
      <c r="H66" s="602"/>
      <c r="I66" s="602"/>
      <c r="J66" s="603"/>
      <c r="K66" s="420"/>
    </row>
    <row r="67" spans="1:11" ht="11.25" customHeight="1">
      <c r="A67" s="365"/>
      <c r="B67" s="735" t="s">
        <v>431</v>
      </c>
      <c r="C67" s="602"/>
      <c r="D67" s="602"/>
      <c r="E67" s="602"/>
      <c r="F67" s="602"/>
      <c r="G67" s="602"/>
      <c r="H67" s="602"/>
      <c r="I67" s="602"/>
      <c r="J67" s="603"/>
      <c r="K67" s="422"/>
    </row>
    <row r="68" spans="1:11" ht="11.25" customHeight="1">
      <c r="A68" s="365"/>
      <c r="B68" s="766" t="s">
        <v>710</v>
      </c>
      <c r="C68" s="602"/>
      <c r="D68" s="602"/>
      <c r="E68" s="602"/>
      <c r="F68" s="602"/>
      <c r="G68" s="602"/>
      <c r="H68" s="602"/>
      <c r="I68" s="602"/>
      <c r="J68" s="603"/>
      <c r="K68" s="423"/>
    </row>
    <row r="69" spans="1:11" ht="11.25" customHeight="1">
      <c r="A69" s="365"/>
      <c r="B69" s="424" t="s">
        <v>433</v>
      </c>
      <c r="C69" s="767" t="s">
        <v>711</v>
      </c>
      <c r="D69" s="602"/>
      <c r="E69" s="602"/>
      <c r="F69" s="602"/>
      <c r="G69" s="602"/>
      <c r="H69" s="602"/>
      <c r="I69" s="603"/>
      <c r="J69" s="425" t="s">
        <v>435</v>
      </c>
      <c r="K69" s="426"/>
    </row>
    <row r="70" spans="1:11" ht="11.25" customHeight="1">
      <c r="A70" s="365"/>
      <c r="B70" s="424" t="s">
        <v>361</v>
      </c>
      <c r="C70" s="726" t="s">
        <v>712</v>
      </c>
      <c r="D70" s="602"/>
      <c r="E70" s="602"/>
      <c r="F70" s="602"/>
      <c r="G70" s="602"/>
      <c r="H70" s="603"/>
      <c r="I70" s="427">
        <v>8.3299999999999999E-2</v>
      </c>
      <c r="J70" s="428" t="e">
        <f>ROUND(J58*I70,2)</f>
        <v>#N/A</v>
      </c>
      <c r="K70" s="429"/>
    </row>
    <row r="71" spans="1:11" ht="11.25" customHeight="1">
      <c r="A71" s="365"/>
      <c r="B71" s="424" t="s">
        <v>363</v>
      </c>
      <c r="C71" s="768" t="s">
        <v>713</v>
      </c>
      <c r="D71" s="602"/>
      <c r="E71" s="602"/>
      <c r="F71" s="602"/>
      <c r="G71" s="602"/>
      <c r="H71" s="603"/>
      <c r="I71" s="430">
        <v>3.0249999999999999E-2</v>
      </c>
      <c r="J71" s="428" t="e">
        <f>ROUND(J58*I71,2)</f>
        <v>#N/A</v>
      </c>
      <c r="K71" s="429"/>
    </row>
    <row r="72" spans="1:11" ht="11.25" customHeight="1">
      <c r="A72" s="365"/>
      <c r="B72" s="734" t="s">
        <v>438</v>
      </c>
      <c r="C72" s="602"/>
      <c r="D72" s="602"/>
      <c r="E72" s="602"/>
      <c r="F72" s="602"/>
      <c r="G72" s="602"/>
      <c r="H72" s="602"/>
      <c r="I72" s="603"/>
      <c r="J72" s="431" t="e">
        <f>SUM(J70+J71)</f>
        <v>#N/A</v>
      </c>
      <c r="K72" s="432"/>
    </row>
    <row r="73" spans="1:11" ht="11.25" customHeight="1">
      <c r="A73" s="365"/>
      <c r="B73" s="769"/>
      <c r="C73" s="602"/>
      <c r="D73" s="602"/>
      <c r="E73" s="602"/>
      <c r="F73" s="602"/>
      <c r="G73" s="602"/>
      <c r="H73" s="602"/>
      <c r="I73" s="602"/>
      <c r="J73" s="603"/>
      <c r="K73" s="433"/>
    </row>
    <row r="74" spans="1:11" ht="11.25" customHeight="1">
      <c r="A74" s="365"/>
      <c r="B74" s="722" t="s">
        <v>714</v>
      </c>
      <c r="C74" s="602"/>
      <c r="D74" s="602"/>
      <c r="E74" s="602"/>
      <c r="F74" s="602"/>
      <c r="G74" s="602"/>
      <c r="H74" s="602"/>
      <c r="I74" s="602"/>
      <c r="J74" s="603"/>
      <c r="K74" s="397"/>
    </row>
    <row r="75" spans="1:11" ht="11.25" customHeight="1">
      <c r="A75" s="365"/>
      <c r="B75" s="770"/>
      <c r="C75" s="602"/>
      <c r="D75" s="602"/>
      <c r="E75" s="602"/>
      <c r="F75" s="602"/>
      <c r="G75" s="602"/>
      <c r="H75" s="602"/>
      <c r="I75" s="602"/>
      <c r="J75" s="603"/>
      <c r="K75" s="397"/>
    </row>
    <row r="76" spans="1:11" ht="11.25" customHeight="1">
      <c r="A76" s="365"/>
      <c r="B76" s="729" t="s">
        <v>715</v>
      </c>
      <c r="C76" s="602"/>
      <c r="D76" s="602"/>
      <c r="E76" s="602"/>
      <c r="F76" s="602"/>
      <c r="G76" s="602"/>
      <c r="H76" s="602"/>
      <c r="I76" s="602"/>
      <c r="J76" s="603"/>
      <c r="K76" s="434"/>
    </row>
    <row r="77" spans="1:11" ht="11.25" customHeight="1">
      <c r="A77" s="365"/>
      <c r="B77" s="435" t="s">
        <v>441</v>
      </c>
      <c r="C77" s="725" t="s">
        <v>442</v>
      </c>
      <c r="D77" s="602"/>
      <c r="E77" s="602"/>
      <c r="F77" s="602"/>
      <c r="G77" s="602"/>
      <c r="H77" s="603"/>
      <c r="I77" s="436" t="s">
        <v>403</v>
      </c>
      <c r="J77" s="437" t="s">
        <v>443</v>
      </c>
      <c r="K77" s="426"/>
    </row>
    <row r="78" spans="1:11" ht="11.25" customHeight="1">
      <c r="A78" s="365"/>
      <c r="B78" s="438" t="s">
        <v>361</v>
      </c>
      <c r="C78" s="678" t="s">
        <v>444</v>
      </c>
      <c r="D78" s="602"/>
      <c r="E78" s="602"/>
      <c r="F78" s="602"/>
      <c r="G78" s="602"/>
      <c r="H78" s="603"/>
      <c r="I78" s="439">
        <v>0.2</v>
      </c>
      <c r="J78" s="440" t="e">
        <f>ROUND((J58+J72)*I78,2)</f>
        <v>#N/A</v>
      </c>
      <c r="K78" s="432"/>
    </row>
    <row r="79" spans="1:11" ht="11.25" customHeight="1">
      <c r="A79" s="365"/>
      <c r="B79" s="438" t="s">
        <v>363</v>
      </c>
      <c r="C79" s="678" t="s">
        <v>445</v>
      </c>
      <c r="D79" s="602"/>
      <c r="E79" s="602"/>
      <c r="F79" s="602"/>
      <c r="G79" s="602"/>
      <c r="H79" s="603"/>
      <c r="I79" s="439">
        <v>2.5000000000000001E-2</v>
      </c>
      <c r="J79" s="440" t="e">
        <f>ROUND((J58+J72)*I79,2)</f>
        <v>#N/A</v>
      </c>
      <c r="K79" s="432"/>
    </row>
    <row r="80" spans="1:11" ht="11.25" customHeight="1">
      <c r="A80" s="365"/>
      <c r="B80" s="438" t="s">
        <v>365</v>
      </c>
      <c r="C80" s="678" t="s">
        <v>716</v>
      </c>
      <c r="D80" s="603"/>
      <c r="E80" s="441" t="s">
        <v>447</v>
      </c>
      <c r="F80" s="442">
        <f>'1-ABA-DE-CARREGAMENTO'!F57</f>
        <v>0.03</v>
      </c>
      <c r="G80" s="441" t="s">
        <v>448</v>
      </c>
      <c r="H80" s="443">
        <f>'1-ABA-DE-CARREGAMENTO'!F58</f>
        <v>1</v>
      </c>
      <c r="I80" s="444">
        <f>ROUND((F80*H80),6)</f>
        <v>0.03</v>
      </c>
      <c r="J80" s="440" t="e">
        <f>ROUND((J58+J72)*I80,2)</f>
        <v>#N/A</v>
      </c>
      <c r="K80" s="432"/>
    </row>
    <row r="81" spans="1:11" ht="11.25" customHeight="1">
      <c r="A81" s="365"/>
      <c r="B81" s="438" t="s">
        <v>367</v>
      </c>
      <c r="C81" s="678" t="s">
        <v>449</v>
      </c>
      <c r="D81" s="602"/>
      <c r="E81" s="602"/>
      <c r="F81" s="602"/>
      <c r="G81" s="602"/>
      <c r="H81" s="603"/>
      <c r="I81" s="439">
        <v>1.4999999999999999E-2</v>
      </c>
      <c r="J81" s="440" t="e">
        <f>ROUND((J58+J72)*I81,2)</f>
        <v>#N/A</v>
      </c>
      <c r="K81" s="432"/>
    </row>
    <row r="82" spans="1:11" ht="11.25" customHeight="1">
      <c r="A82" s="365"/>
      <c r="B82" s="438" t="s">
        <v>410</v>
      </c>
      <c r="C82" s="678" t="s">
        <v>450</v>
      </c>
      <c r="D82" s="602"/>
      <c r="E82" s="602"/>
      <c r="F82" s="602"/>
      <c r="G82" s="602"/>
      <c r="H82" s="603"/>
      <c r="I82" s="439">
        <v>0.01</v>
      </c>
      <c r="J82" s="440" t="e">
        <f>ROUND((J58+J72)*I82,2)</f>
        <v>#N/A</v>
      </c>
      <c r="K82" s="432"/>
    </row>
    <row r="83" spans="1:11" ht="11.25" customHeight="1">
      <c r="A83" s="365"/>
      <c r="B83" s="438" t="s">
        <v>412</v>
      </c>
      <c r="C83" s="678" t="s">
        <v>451</v>
      </c>
      <c r="D83" s="602"/>
      <c r="E83" s="602"/>
      <c r="F83" s="602"/>
      <c r="G83" s="602"/>
      <c r="H83" s="603"/>
      <c r="I83" s="439">
        <v>6.0000000000000001E-3</v>
      </c>
      <c r="J83" s="440" t="e">
        <f>ROUND((J58+J72)*I83,2)</f>
        <v>#N/A</v>
      </c>
      <c r="K83" s="432"/>
    </row>
    <row r="84" spans="1:11" ht="11.25" customHeight="1">
      <c r="A84" s="365"/>
      <c r="B84" s="438" t="s">
        <v>414</v>
      </c>
      <c r="C84" s="678" t="s">
        <v>452</v>
      </c>
      <c r="D84" s="602"/>
      <c r="E84" s="602"/>
      <c r="F84" s="602"/>
      <c r="G84" s="602"/>
      <c r="H84" s="603"/>
      <c r="I84" s="439">
        <v>2E-3</v>
      </c>
      <c r="J84" s="440" t="e">
        <f>ROUND((J58+J72)*I84,2)</f>
        <v>#N/A</v>
      </c>
      <c r="K84" s="432"/>
    </row>
    <row r="85" spans="1:11" ht="11.25" customHeight="1">
      <c r="A85" s="365"/>
      <c r="B85" s="438" t="s">
        <v>416</v>
      </c>
      <c r="C85" s="678" t="s">
        <v>453</v>
      </c>
      <c r="D85" s="602"/>
      <c r="E85" s="602"/>
      <c r="F85" s="602"/>
      <c r="G85" s="602"/>
      <c r="H85" s="603"/>
      <c r="I85" s="439">
        <v>0.08</v>
      </c>
      <c r="J85" s="440" t="e">
        <f>ROUND((J58+J72)*I85,2)</f>
        <v>#N/A</v>
      </c>
      <c r="K85" s="432"/>
    </row>
    <row r="86" spans="1:11" ht="11.25" customHeight="1">
      <c r="A86" s="365"/>
      <c r="B86" s="679" t="s">
        <v>438</v>
      </c>
      <c r="C86" s="602"/>
      <c r="D86" s="602"/>
      <c r="E86" s="602"/>
      <c r="F86" s="602"/>
      <c r="G86" s="602"/>
      <c r="H86" s="603"/>
      <c r="I86" s="445">
        <f t="shared" ref="I86:J86" si="2">SUM(I78:I85)</f>
        <v>0.36800000000000005</v>
      </c>
      <c r="J86" s="431" t="e">
        <f t="shared" si="2"/>
        <v>#N/A</v>
      </c>
      <c r="K86" s="432"/>
    </row>
    <row r="87" spans="1:11" ht="11.25" customHeight="1">
      <c r="A87" s="365"/>
      <c r="B87" s="446"/>
      <c r="C87" s="447"/>
      <c r="D87" s="447"/>
      <c r="E87" s="447"/>
      <c r="F87" s="447"/>
      <c r="G87" s="447"/>
      <c r="H87" s="447"/>
      <c r="I87" s="448"/>
      <c r="J87" s="449"/>
      <c r="K87" s="432"/>
    </row>
    <row r="88" spans="1:11" ht="11.25" customHeight="1">
      <c r="A88" s="365"/>
      <c r="B88" s="722" t="s">
        <v>454</v>
      </c>
      <c r="C88" s="602"/>
      <c r="D88" s="602"/>
      <c r="E88" s="602"/>
      <c r="F88" s="602"/>
      <c r="G88" s="602"/>
      <c r="H88" s="602"/>
      <c r="I88" s="602"/>
      <c r="J88" s="603"/>
      <c r="K88" s="397"/>
    </row>
    <row r="89" spans="1:11" ht="11.25" customHeight="1">
      <c r="A89" s="365"/>
      <c r="B89" s="721"/>
      <c r="C89" s="602"/>
      <c r="D89" s="602"/>
      <c r="E89" s="602"/>
      <c r="F89" s="602"/>
      <c r="G89" s="602"/>
      <c r="H89" s="602"/>
      <c r="I89" s="602"/>
      <c r="J89" s="603"/>
      <c r="K89" s="215"/>
    </row>
    <row r="90" spans="1:11" ht="11.25" customHeight="1">
      <c r="A90" s="365"/>
      <c r="B90" s="733" t="s">
        <v>455</v>
      </c>
      <c r="C90" s="602"/>
      <c r="D90" s="602"/>
      <c r="E90" s="602"/>
      <c r="F90" s="602"/>
      <c r="G90" s="602"/>
      <c r="H90" s="602"/>
      <c r="I90" s="602"/>
      <c r="J90" s="603"/>
      <c r="K90" s="423"/>
    </row>
    <row r="91" spans="1:11" ht="11.25" customHeight="1">
      <c r="A91" s="365"/>
      <c r="B91" s="450" t="s">
        <v>456</v>
      </c>
      <c r="C91" s="677" t="s">
        <v>457</v>
      </c>
      <c r="D91" s="602"/>
      <c r="E91" s="602"/>
      <c r="F91" s="602"/>
      <c r="G91" s="602"/>
      <c r="H91" s="602"/>
      <c r="I91" s="603"/>
      <c r="J91" s="451" t="s">
        <v>435</v>
      </c>
      <c r="K91" s="375"/>
    </row>
    <row r="92" spans="1:11" ht="12.75" customHeight="1">
      <c r="A92" s="365"/>
      <c r="B92" s="452" t="s">
        <v>361</v>
      </c>
      <c r="C92" s="678" t="s">
        <v>717</v>
      </c>
      <c r="D92" s="602"/>
      <c r="E92" s="602"/>
      <c r="F92" s="602"/>
      <c r="G92" s="602"/>
      <c r="H92" s="603"/>
      <c r="I92" s="453" t="e">
        <f>J47</f>
        <v>#N/A</v>
      </c>
      <c r="J92" s="454" t="e">
        <f>IF(ROUND((I93*I95*I94)-(J47*I96),2)&lt;0,0,ROUND((I93*I95*I94)-(J47*I96),2))</f>
        <v>#N/A</v>
      </c>
      <c r="K92" s="432"/>
    </row>
    <row r="93" spans="1:11" ht="27" customHeight="1">
      <c r="A93" s="365"/>
      <c r="B93" s="452" t="s">
        <v>363</v>
      </c>
      <c r="C93" s="678" t="s">
        <v>718</v>
      </c>
      <c r="D93" s="602"/>
      <c r="E93" s="602"/>
      <c r="F93" s="602"/>
      <c r="G93" s="602"/>
      <c r="H93" s="602"/>
      <c r="I93" s="455" t="e">
        <f>'1-ABA-DE-CARREGAMENTO'!F72</f>
        <v>#N/A</v>
      </c>
      <c r="J93" s="461" t="s">
        <v>374</v>
      </c>
      <c r="K93" s="413"/>
    </row>
    <row r="94" spans="1:11" ht="18" customHeight="1">
      <c r="A94" s="365"/>
      <c r="B94" s="452" t="s">
        <v>365</v>
      </c>
      <c r="C94" s="678" t="s">
        <v>719</v>
      </c>
      <c r="D94" s="602"/>
      <c r="E94" s="602"/>
      <c r="F94" s="602"/>
      <c r="G94" s="602"/>
      <c r="H94" s="603"/>
      <c r="I94" s="457">
        <f>'1-ABA-DE-CARREGAMENTO'!F73</f>
        <v>2</v>
      </c>
      <c r="J94" s="461" t="s">
        <v>374</v>
      </c>
      <c r="K94" s="413"/>
    </row>
    <row r="95" spans="1:11" ht="18" customHeight="1">
      <c r="A95" s="365"/>
      <c r="B95" s="452" t="s">
        <v>367</v>
      </c>
      <c r="C95" s="754" t="s">
        <v>461</v>
      </c>
      <c r="D95" s="602"/>
      <c r="E95" s="602"/>
      <c r="F95" s="602"/>
      <c r="G95" s="602"/>
      <c r="H95" s="603"/>
      <c r="I95" s="457" t="e">
        <f>'1-ABA-DE-CARREGAMENTO'!F74</f>
        <v>#N/A</v>
      </c>
      <c r="J95" s="461" t="s">
        <v>374</v>
      </c>
      <c r="K95" s="413"/>
    </row>
    <row r="96" spans="1:11" ht="24" customHeight="1">
      <c r="A96" s="365"/>
      <c r="B96" s="452" t="s">
        <v>410</v>
      </c>
      <c r="C96" s="754" t="s">
        <v>720</v>
      </c>
      <c r="D96" s="602"/>
      <c r="E96" s="602"/>
      <c r="F96" s="602"/>
      <c r="G96" s="602"/>
      <c r="H96" s="603"/>
      <c r="I96" s="458" t="e">
        <f>'1-ABA-DE-CARREGAMENTO'!F75</f>
        <v>#N/A</v>
      </c>
      <c r="J96" s="463" t="s">
        <v>374</v>
      </c>
      <c r="K96" s="413"/>
    </row>
    <row r="97" spans="1:11" ht="11.25" customHeight="1">
      <c r="A97" s="365"/>
      <c r="B97" s="452" t="s">
        <v>412</v>
      </c>
      <c r="C97" s="678" t="s">
        <v>721</v>
      </c>
      <c r="D97" s="602"/>
      <c r="E97" s="602"/>
      <c r="F97" s="602"/>
      <c r="G97" s="602"/>
      <c r="H97" s="602"/>
      <c r="I97" s="602"/>
      <c r="J97" s="454" t="e">
        <f>ROUND(I98*I99,2)-ROUND((I98*I99)*I100,2)</f>
        <v>#N/A</v>
      </c>
      <c r="K97" s="432"/>
    </row>
    <row r="98" spans="1:11" ht="18" customHeight="1">
      <c r="A98" s="365"/>
      <c r="B98" s="452" t="s">
        <v>414</v>
      </c>
      <c r="C98" s="678" t="s">
        <v>722</v>
      </c>
      <c r="D98" s="602"/>
      <c r="E98" s="602"/>
      <c r="F98" s="602"/>
      <c r="G98" s="602"/>
      <c r="H98" s="602"/>
      <c r="I98" s="455" t="e">
        <f>IF('1-ABA-DE-CARREGAMENTO'!F60&gt;0,'1-ABA-DE-CARREGAMENTO'!F60,'1-ABA-DE-CARREGAMENTO'!F63)</f>
        <v>#N/A</v>
      </c>
      <c r="J98" s="461"/>
      <c r="K98" s="413"/>
    </row>
    <row r="99" spans="1:11" ht="19.5" customHeight="1">
      <c r="A99" s="365"/>
      <c r="B99" s="452" t="s">
        <v>416</v>
      </c>
      <c r="C99" s="678" t="s">
        <v>723</v>
      </c>
      <c r="D99" s="602"/>
      <c r="E99" s="602"/>
      <c r="F99" s="602"/>
      <c r="G99" s="602"/>
      <c r="H99" s="602"/>
      <c r="I99" s="457" t="e">
        <f>'1-ABA-DE-CARREGAMENTO'!F62</f>
        <v>#N/A</v>
      </c>
      <c r="J99" s="461"/>
      <c r="K99" s="413"/>
    </row>
    <row r="100" spans="1:11" ht="34.5" customHeight="1">
      <c r="A100" s="365"/>
      <c r="B100" s="452" t="s">
        <v>419</v>
      </c>
      <c r="C100" s="781" t="s">
        <v>724</v>
      </c>
      <c r="D100" s="602"/>
      <c r="E100" s="602"/>
      <c r="F100" s="602"/>
      <c r="G100" s="602"/>
      <c r="H100" s="603"/>
      <c r="I100" s="458" t="e">
        <f>'1-ABA-DE-CARREGAMENTO'!F61</f>
        <v>#N/A</v>
      </c>
      <c r="J100" s="463"/>
      <c r="K100" s="413"/>
    </row>
    <row r="101" spans="1:11" ht="11.25" customHeight="1">
      <c r="A101" s="365"/>
      <c r="B101" s="452" t="s">
        <v>422</v>
      </c>
      <c r="C101" s="678" t="s">
        <v>467</v>
      </c>
      <c r="D101" s="602"/>
      <c r="E101" s="602"/>
      <c r="F101" s="602"/>
      <c r="G101" s="602"/>
      <c r="H101" s="602"/>
      <c r="I101" s="602"/>
      <c r="J101" s="440">
        <v>0</v>
      </c>
      <c r="K101" s="432"/>
    </row>
    <row r="102" spans="1:11" ht="24" customHeight="1">
      <c r="A102" s="365"/>
      <c r="B102" s="452" t="s">
        <v>424</v>
      </c>
      <c r="C102" s="678" t="s">
        <v>725</v>
      </c>
      <c r="D102" s="602"/>
      <c r="E102" s="602"/>
      <c r="F102" s="602"/>
      <c r="G102" s="602"/>
      <c r="H102" s="602"/>
      <c r="I102" s="602"/>
      <c r="J102" s="440" t="e">
        <f>'1-ABA-DE-CARREGAMENTO'!F77</f>
        <v>#N/A</v>
      </c>
      <c r="K102" s="432"/>
    </row>
    <row r="103" spans="1:11" ht="22.5" customHeight="1">
      <c r="A103" s="365"/>
      <c r="B103" s="452" t="s">
        <v>469</v>
      </c>
      <c r="C103" s="678" t="s">
        <v>726</v>
      </c>
      <c r="D103" s="602"/>
      <c r="E103" s="602"/>
      <c r="F103" s="602"/>
      <c r="G103" s="602"/>
      <c r="H103" s="602"/>
      <c r="I103" s="603"/>
      <c r="J103" s="440" t="e">
        <f>'1-ABA-DE-CARREGAMENTO'!F78</f>
        <v>#N/A</v>
      </c>
      <c r="K103" s="432"/>
    </row>
    <row r="104" spans="1:11" ht="11.25" customHeight="1">
      <c r="A104" s="365"/>
      <c r="B104" s="452" t="s">
        <v>471</v>
      </c>
      <c r="C104" s="678" t="s">
        <v>661</v>
      </c>
      <c r="D104" s="602"/>
      <c r="E104" s="602"/>
      <c r="F104" s="602"/>
      <c r="G104" s="602"/>
      <c r="H104" s="602"/>
      <c r="I104" s="603"/>
      <c r="J104" s="440" t="e">
        <f>'1-ABA-DE-CARREGAMENTO'!F76</f>
        <v>#N/A</v>
      </c>
      <c r="K104" s="432"/>
    </row>
    <row r="105" spans="1:11" ht="11.25" customHeight="1">
      <c r="A105" s="365"/>
      <c r="B105" s="452" t="s">
        <v>166</v>
      </c>
      <c r="C105" s="720" t="s">
        <v>473</v>
      </c>
      <c r="D105" s="602"/>
      <c r="E105" s="602"/>
      <c r="F105" s="602"/>
      <c r="G105" s="602"/>
      <c r="H105" s="602"/>
      <c r="I105" s="602"/>
      <c r="J105" s="465">
        <v>0</v>
      </c>
      <c r="K105" s="466"/>
    </row>
    <row r="106" spans="1:11" ht="11.25" customHeight="1">
      <c r="A106" s="365"/>
      <c r="B106" s="467"/>
      <c r="C106" s="679" t="s">
        <v>438</v>
      </c>
      <c r="D106" s="602"/>
      <c r="E106" s="602"/>
      <c r="F106" s="602"/>
      <c r="G106" s="602"/>
      <c r="H106" s="602"/>
      <c r="I106" s="602"/>
      <c r="J106" s="431" t="e">
        <f>SUM(J92:J105)</f>
        <v>#N/A</v>
      </c>
      <c r="K106" s="432"/>
    </row>
    <row r="107" spans="1:11" ht="11.25" customHeight="1">
      <c r="A107" s="365"/>
      <c r="B107" s="721"/>
      <c r="C107" s="602"/>
      <c r="D107" s="602"/>
      <c r="E107" s="602"/>
      <c r="F107" s="602"/>
      <c r="G107" s="602"/>
      <c r="H107" s="602"/>
      <c r="I107" s="602"/>
      <c r="J107" s="603"/>
      <c r="K107" s="215"/>
    </row>
    <row r="108" spans="1:11" ht="11.25" customHeight="1">
      <c r="A108" s="365"/>
      <c r="B108" s="722" t="s">
        <v>474</v>
      </c>
      <c r="C108" s="602"/>
      <c r="D108" s="602"/>
      <c r="E108" s="602"/>
      <c r="F108" s="602"/>
      <c r="G108" s="602"/>
      <c r="H108" s="602"/>
      <c r="I108" s="602"/>
      <c r="J108" s="603"/>
      <c r="K108" s="397"/>
    </row>
    <row r="109" spans="1:11" ht="11.25" customHeight="1">
      <c r="A109" s="365"/>
      <c r="B109" s="723"/>
      <c r="C109" s="602"/>
      <c r="D109" s="602"/>
      <c r="E109" s="602"/>
      <c r="F109" s="602"/>
      <c r="G109" s="602"/>
      <c r="H109" s="602"/>
      <c r="I109" s="602"/>
      <c r="J109" s="603"/>
      <c r="K109" s="376"/>
    </row>
    <row r="110" spans="1:11" ht="11.25" customHeight="1">
      <c r="A110" s="365"/>
      <c r="B110" s="724" t="s">
        <v>475</v>
      </c>
      <c r="C110" s="602"/>
      <c r="D110" s="602"/>
      <c r="E110" s="602"/>
      <c r="F110" s="602"/>
      <c r="G110" s="602"/>
      <c r="H110" s="602"/>
      <c r="I110" s="602"/>
      <c r="J110" s="603"/>
      <c r="K110" s="468"/>
    </row>
    <row r="111" spans="1:11" ht="11.25" customHeight="1">
      <c r="A111" s="365"/>
      <c r="B111" s="437">
        <v>2</v>
      </c>
      <c r="C111" s="725" t="s">
        <v>476</v>
      </c>
      <c r="D111" s="602"/>
      <c r="E111" s="602"/>
      <c r="F111" s="602"/>
      <c r="G111" s="602"/>
      <c r="H111" s="602"/>
      <c r="I111" s="603"/>
      <c r="J111" s="437" t="s">
        <v>435</v>
      </c>
      <c r="K111" s="426"/>
    </row>
    <row r="112" spans="1:11" ht="11.25" customHeight="1">
      <c r="A112" s="365"/>
      <c r="B112" s="383" t="s">
        <v>433</v>
      </c>
      <c r="C112" s="726" t="s">
        <v>727</v>
      </c>
      <c r="D112" s="602"/>
      <c r="E112" s="602"/>
      <c r="F112" s="602"/>
      <c r="G112" s="602"/>
      <c r="H112" s="602"/>
      <c r="I112" s="603"/>
      <c r="J112" s="469" t="e">
        <f>J72</f>
        <v>#N/A</v>
      </c>
      <c r="K112" s="470"/>
    </row>
    <row r="113" spans="1:11" ht="11.25" customHeight="1">
      <c r="A113" s="365"/>
      <c r="B113" s="383" t="s">
        <v>441</v>
      </c>
      <c r="C113" s="726" t="s">
        <v>442</v>
      </c>
      <c r="D113" s="602"/>
      <c r="E113" s="602"/>
      <c r="F113" s="602"/>
      <c r="G113" s="602"/>
      <c r="H113" s="602"/>
      <c r="I113" s="603"/>
      <c r="J113" s="469" t="e">
        <f>J86</f>
        <v>#N/A</v>
      </c>
      <c r="K113" s="470"/>
    </row>
    <row r="114" spans="1:11" ht="11.25" customHeight="1">
      <c r="A114" s="365"/>
      <c r="B114" s="383" t="s">
        <v>456</v>
      </c>
      <c r="C114" s="726" t="s">
        <v>457</v>
      </c>
      <c r="D114" s="602"/>
      <c r="E114" s="602"/>
      <c r="F114" s="602"/>
      <c r="G114" s="602"/>
      <c r="H114" s="602"/>
      <c r="I114" s="603"/>
      <c r="J114" s="469" t="e">
        <f>J106</f>
        <v>#N/A</v>
      </c>
      <c r="K114" s="470"/>
    </row>
    <row r="115" spans="1:11" ht="11.25" customHeight="1">
      <c r="A115" s="365"/>
      <c r="B115" s="674" t="s">
        <v>438</v>
      </c>
      <c r="C115" s="602"/>
      <c r="D115" s="602"/>
      <c r="E115" s="602"/>
      <c r="F115" s="602"/>
      <c r="G115" s="602"/>
      <c r="H115" s="602"/>
      <c r="I115" s="603"/>
      <c r="J115" s="471" t="e">
        <f>SUM(J112+J113+J114)</f>
        <v>#N/A</v>
      </c>
      <c r="K115" s="470"/>
    </row>
    <row r="116" spans="1:11" ht="11.25" customHeight="1">
      <c r="A116" s="365"/>
      <c r="B116" s="727"/>
      <c r="C116" s="602"/>
      <c r="D116" s="602"/>
      <c r="E116" s="602"/>
      <c r="F116" s="602"/>
      <c r="G116" s="602"/>
      <c r="H116" s="602"/>
      <c r="I116" s="602"/>
      <c r="J116" s="603"/>
      <c r="K116" s="472"/>
    </row>
    <row r="117" spans="1:11" ht="11.25" customHeight="1">
      <c r="A117" s="365"/>
      <c r="B117" s="682" t="s">
        <v>478</v>
      </c>
      <c r="C117" s="602"/>
      <c r="D117" s="602"/>
      <c r="E117" s="602"/>
      <c r="F117" s="602"/>
      <c r="G117" s="602"/>
      <c r="H117" s="602"/>
      <c r="I117" s="602"/>
      <c r="J117" s="603"/>
      <c r="K117" s="473"/>
    </row>
    <row r="118" spans="1:11" ht="11.25" customHeight="1">
      <c r="A118" s="365"/>
      <c r="B118" s="450">
        <v>3</v>
      </c>
      <c r="C118" s="728" t="s">
        <v>479</v>
      </c>
      <c r="D118" s="602"/>
      <c r="E118" s="602"/>
      <c r="F118" s="602"/>
      <c r="G118" s="602"/>
      <c r="H118" s="602"/>
      <c r="I118" s="603"/>
      <c r="J118" s="450" t="s">
        <v>435</v>
      </c>
      <c r="K118" s="474"/>
    </row>
    <row r="119" spans="1:11" ht="11.25" customHeight="1">
      <c r="A119" s="365"/>
      <c r="B119" s="452" t="s">
        <v>361</v>
      </c>
      <c r="C119" s="678" t="s">
        <v>728</v>
      </c>
      <c r="D119" s="602"/>
      <c r="E119" s="602"/>
      <c r="F119" s="602"/>
      <c r="G119" s="602"/>
      <c r="H119" s="602"/>
      <c r="I119" s="603"/>
      <c r="J119" s="440" t="e">
        <f>ROUND((($J$58/12)+($J$70/12)+(J58/12/12)+($J$71/12))*(30/30)*0.05,2)</f>
        <v>#N/A</v>
      </c>
      <c r="K119" s="432"/>
    </row>
    <row r="120" spans="1:11" ht="11.25" customHeight="1">
      <c r="A120" s="365"/>
      <c r="B120" s="452" t="s">
        <v>363</v>
      </c>
      <c r="C120" s="720" t="s">
        <v>481</v>
      </c>
      <c r="D120" s="602"/>
      <c r="E120" s="602"/>
      <c r="F120" s="602"/>
      <c r="G120" s="602"/>
      <c r="H120" s="602"/>
      <c r="I120" s="603"/>
      <c r="J120" s="440" t="e">
        <f>ROUND($I$85*J119,2)</f>
        <v>#N/A</v>
      </c>
      <c r="K120" s="432"/>
    </row>
    <row r="121" spans="1:11" ht="11.25" customHeight="1">
      <c r="A121" s="365"/>
      <c r="B121" s="452" t="s">
        <v>365</v>
      </c>
      <c r="C121" s="678" t="s">
        <v>729</v>
      </c>
      <c r="D121" s="602"/>
      <c r="E121" s="602"/>
      <c r="F121" s="602"/>
      <c r="G121" s="602"/>
      <c r="H121" s="602"/>
      <c r="I121" s="603"/>
      <c r="J121" s="440" t="e">
        <f>ROUND(((7/30)/$I$11)*$J$58*1,2)</f>
        <v>#N/A</v>
      </c>
      <c r="K121" s="432"/>
    </row>
    <row r="122" spans="1:11" ht="11.25" customHeight="1">
      <c r="A122" s="365"/>
      <c r="B122" s="452" t="s">
        <v>367</v>
      </c>
      <c r="C122" s="720" t="s">
        <v>483</v>
      </c>
      <c r="D122" s="602"/>
      <c r="E122" s="602"/>
      <c r="F122" s="602"/>
      <c r="G122" s="602"/>
      <c r="H122" s="602"/>
      <c r="I122" s="603"/>
      <c r="J122" s="440" t="e">
        <f>ROUND($I$86*J121,2)</f>
        <v>#N/A</v>
      </c>
      <c r="K122" s="432"/>
    </row>
    <row r="123" spans="1:11" ht="30" customHeight="1">
      <c r="A123" s="365"/>
      <c r="B123" s="452" t="s">
        <v>410</v>
      </c>
      <c r="C123" s="678" t="s">
        <v>730</v>
      </c>
      <c r="D123" s="602"/>
      <c r="E123" s="602"/>
      <c r="F123" s="602"/>
      <c r="G123" s="602"/>
      <c r="H123" s="603"/>
      <c r="I123" s="475">
        <v>0.04</v>
      </c>
      <c r="J123" s="440" t="e">
        <f>ROUND(J58*I123,2)</f>
        <v>#N/A</v>
      </c>
      <c r="K123" s="432"/>
    </row>
    <row r="124" spans="1:11" ht="11.25" customHeight="1">
      <c r="A124" s="365"/>
      <c r="B124" s="679" t="s">
        <v>485</v>
      </c>
      <c r="C124" s="602"/>
      <c r="D124" s="602"/>
      <c r="E124" s="602"/>
      <c r="F124" s="602"/>
      <c r="G124" s="602"/>
      <c r="H124" s="602"/>
      <c r="I124" s="603"/>
      <c r="J124" s="431" t="e">
        <f>SUM(J119:J123)</f>
        <v>#N/A</v>
      </c>
      <c r="K124" s="432"/>
    </row>
    <row r="125" spans="1:11" ht="11.25" customHeight="1">
      <c r="A125" s="365"/>
      <c r="B125" s="683"/>
      <c r="C125" s="602"/>
      <c r="D125" s="602"/>
      <c r="E125" s="602"/>
      <c r="F125" s="602"/>
      <c r="G125" s="602"/>
      <c r="H125" s="602"/>
      <c r="I125" s="602"/>
      <c r="J125" s="603"/>
      <c r="K125" s="275"/>
    </row>
    <row r="126" spans="1:11" ht="11.25" customHeight="1">
      <c r="A126" s="365"/>
      <c r="B126" s="676" t="s">
        <v>486</v>
      </c>
      <c r="C126" s="602"/>
      <c r="D126" s="602"/>
      <c r="E126" s="602"/>
      <c r="F126" s="602"/>
      <c r="G126" s="602"/>
      <c r="H126" s="602"/>
      <c r="I126" s="602"/>
      <c r="J126" s="603"/>
      <c r="K126" s="476"/>
    </row>
    <row r="127" spans="1:11" ht="11.25" customHeight="1">
      <c r="A127" s="365"/>
      <c r="B127" s="722" t="s">
        <v>487</v>
      </c>
      <c r="C127" s="602"/>
      <c r="D127" s="602"/>
      <c r="E127" s="602"/>
      <c r="F127" s="602"/>
      <c r="G127" s="602"/>
      <c r="H127" s="602"/>
      <c r="I127" s="602"/>
      <c r="J127" s="603"/>
      <c r="K127" s="397"/>
    </row>
    <row r="128" spans="1:11" ht="11.25" customHeight="1">
      <c r="A128" s="365"/>
      <c r="B128" s="729" t="s">
        <v>731</v>
      </c>
      <c r="C128" s="602"/>
      <c r="D128" s="602"/>
      <c r="E128" s="602"/>
      <c r="F128" s="602"/>
      <c r="G128" s="602"/>
      <c r="H128" s="602"/>
      <c r="I128" s="602"/>
      <c r="J128" s="603"/>
      <c r="K128" s="434"/>
    </row>
    <row r="129" spans="1:11" ht="11.25" customHeight="1">
      <c r="A129" s="365"/>
      <c r="B129" s="477" t="s">
        <v>489</v>
      </c>
      <c r="C129" s="478" t="e">
        <f>J58</f>
        <v>#N/A</v>
      </c>
      <c r="D129" s="479" t="s">
        <v>490</v>
      </c>
      <c r="E129" s="477" t="s">
        <v>732</v>
      </c>
      <c r="F129" s="478" t="e">
        <f>J115-J92-J97</f>
        <v>#N/A</v>
      </c>
      <c r="G129" s="479" t="s">
        <v>490</v>
      </c>
      <c r="H129" s="477" t="s">
        <v>492</v>
      </c>
      <c r="I129" s="478" t="e">
        <f>J124</f>
        <v>#N/A</v>
      </c>
      <c r="J129" s="480" t="e">
        <f>C129+F129+I129</f>
        <v>#N/A</v>
      </c>
      <c r="K129" s="481"/>
    </row>
    <row r="130" spans="1:11" ht="11.25" customHeight="1">
      <c r="A130" s="365"/>
      <c r="B130" s="730"/>
      <c r="C130" s="602"/>
      <c r="D130" s="602"/>
      <c r="E130" s="602"/>
      <c r="F130" s="602"/>
      <c r="G130" s="602"/>
      <c r="H130" s="602"/>
      <c r="I130" s="602"/>
      <c r="J130" s="603"/>
      <c r="K130" s="482"/>
    </row>
    <row r="131" spans="1:11" ht="11.25" customHeight="1">
      <c r="A131" s="365"/>
      <c r="B131" s="731" t="s">
        <v>493</v>
      </c>
      <c r="C131" s="602"/>
      <c r="D131" s="602"/>
      <c r="E131" s="602"/>
      <c r="F131" s="602"/>
      <c r="G131" s="602"/>
      <c r="H131" s="602"/>
      <c r="I131" s="602"/>
      <c r="J131" s="603"/>
      <c r="K131" s="483"/>
    </row>
    <row r="132" spans="1:11" ht="11.25" customHeight="1">
      <c r="A132" s="365"/>
      <c r="B132" s="484" t="s">
        <v>494</v>
      </c>
      <c r="C132" s="728" t="s">
        <v>495</v>
      </c>
      <c r="D132" s="602"/>
      <c r="E132" s="602"/>
      <c r="F132" s="602"/>
      <c r="G132" s="602"/>
      <c r="H132" s="602"/>
      <c r="I132" s="603"/>
      <c r="J132" s="484" t="s">
        <v>435</v>
      </c>
      <c r="K132" s="485"/>
    </row>
    <row r="133" spans="1:11" ht="50.25" customHeight="1">
      <c r="A133" s="365"/>
      <c r="B133" s="452" t="s">
        <v>361</v>
      </c>
      <c r="C133" s="726" t="s">
        <v>733</v>
      </c>
      <c r="D133" s="602"/>
      <c r="E133" s="602"/>
      <c r="F133" s="602"/>
      <c r="G133" s="602"/>
      <c r="H133" s="486">
        <v>9.0749999999999997E-2</v>
      </c>
      <c r="I133" s="487">
        <f>I86</f>
        <v>0.36800000000000005</v>
      </c>
      <c r="J133" s="440" t="e">
        <f>ROUND(H133*J58,2)*(1+I133)</f>
        <v>#N/A</v>
      </c>
      <c r="K133" s="432"/>
    </row>
    <row r="134" spans="1:11" ht="11.25" customHeight="1">
      <c r="A134" s="365"/>
      <c r="B134" s="452" t="s">
        <v>363</v>
      </c>
      <c r="C134" s="678" t="s">
        <v>734</v>
      </c>
      <c r="D134" s="602"/>
      <c r="E134" s="602"/>
      <c r="F134" s="602"/>
      <c r="G134" s="602"/>
      <c r="H134" s="602"/>
      <c r="I134" s="603"/>
      <c r="J134" s="440" t="e">
        <f>ROUND((1/30)/12*(J129),2)</f>
        <v>#N/A</v>
      </c>
      <c r="K134" s="432"/>
    </row>
    <row r="135" spans="1:11" ht="11.25" customHeight="1">
      <c r="A135" s="365"/>
      <c r="B135" s="452" t="s">
        <v>365</v>
      </c>
      <c r="C135" s="678" t="s">
        <v>735</v>
      </c>
      <c r="D135" s="602"/>
      <c r="E135" s="602"/>
      <c r="F135" s="602"/>
      <c r="G135" s="602"/>
      <c r="H135" s="602"/>
      <c r="I135" s="603"/>
      <c r="J135" s="440" t="e">
        <f>ROUND((5/30)/12*0.015*(J129),2)</f>
        <v>#N/A</v>
      </c>
      <c r="K135" s="432"/>
    </row>
    <row r="136" spans="1:11" ht="11.25" customHeight="1">
      <c r="A136" s="365"/>
      <c r="B136" s="452" t="s">
        <v>367</v>
      </c>
      <c r="C136" s="678" t="s">
        <v>736</v>
      </c>
      <c r="D136" s="602"/>
      <c r="E136" s="602"/>
      <c r="F136" s="602"/>
      <c r="G136" s="602"/>
      <c r="H136" s="602"/>
      <c r="I136" s="603"/>
      <c r="J136" s="440" t="e">
        <f>ROUND(((15/30)/12)*0.0078*(J129),2)</f>
        <v>#N/A</v>
      </c>
      <c r="K136" s="432"/>
    </row>
    <row r="137" spans="1:11" ht="11.25" customHeight="1">
      <c r="A137" s="365"/>
      <c r="B137" s="488" t="s">
        <v>410</v>
      </c>
      <c r="C137" s="732" t="s">
        <v>737</v>
      </c>
      <c r="D137" s="602"/>
      <c r="E137" s="602"/>
      <c r="F137" s="602"/>
      <c r="G137" s="602"/>
      <c r="H137" s="602"/>
      <c r="I137" s="603"/>
      <c r="J137" s="489" t="e">
        <f>ROUND(((((C129+C129/3)+(I86)*(C129+C129/3))*(4/12))/12)*0.02,2) + ((J106 -J92-J97+ J124)*4/12)*0.02</f>
        <v>#N/A</v>
      </c>
      <c r="K137" s="490"/>
    </row>
    <row r="138" spans="1:11" ht="11.25" customHeight="1">
      <c r="A138" s="365"/>
      <c r="B138" s="452" t="s">
        <v>412</v>
      </c>
      <c r="C138" s="678" t="s">
        <v>738</v>
      </c>
      <c r="D138" s="602"/>
      <c r="E138" s="602"/>
      <c r="F138" s="602"/>
      <c r="G138" s="602"/>
      <c r="H138" s="602"/>
      <c r="I138" s="603"/>
      <c r="J138" s="440" t="e">
        <f>ROUND(((3/30)/12)*(J129),2)</f>
        <v>#N/A</v>
      </c>
      <c r="K138" s="432"/>
    </row>
    <row r="139" spans="1:11" ht="11.25" customHeight="1">
      <c r="A139" s="365"/>
      <c r="B139" s="679" t="s">
        <v>438</v>
      </c>
      <c r="C139" s="602"/>
      <c r="D139" s="602"/>
      <c r="E139" s="602"/>
      <c r="F139" s="602"/>
      <c r="G139" s="602"/>
      <c r="H139" s="602"/>
      <c r="I139" s="603"/>
      <c r="J139" s="431" t="e">
        <f>SUM(J133:J138)</f>
        <v>#N/A</v>
      </c>
      <c r="K139" s="432"/>
    </row>
    <row r="140" spans="1:11" ht="11.25" customHeight="1">
      <c r="A140" s="365"/>
      <c r="B140" s="683"/>
      <c r="C140" s="602"/>
      <c r="D140" s="602"/>
      <c r="E140" s="602"/>
      <c r="F140" s="602"/>
      <c r="G140" s="602"/>
      <c r="H140" s="602"/>
      <c r="I140" s="602"/>
      <c r="J140" s="603"/>
      <c r="K140" s="275"/>
    </row>
    <row r="141" spans="1:11" ht="11.25" customHeight="1">
      <c r="A141" s="365"/>
      <c r="B141" s="733" t="s">
        <v>502</v>
      </c>
      <c r="C141" s="602"/>
      <c r="D141" s="602"/>
      <c r="E141" s="602"/>
      <c r="F141" s="602"/>
      <c r="G141" s="602"/>
      <c r="H141" s="602"/>
      <c r="I141" s="602"/>
      <c r="J141" s="603"/>
      <c r="K141" s="423"/>
    </row>
    <row r="142" spans="1:11" ht="11.25" customHeight="1">
      <c r="A142" s="365"/>
      <c r="B142" s="491" t="s">
        <v>503</v>
      </c>
      <c r="C142" s="672" t="s">
        <v>504</v>
      </c>
      <c r="D142" s="602"/>
      <c r="E142" s="602"/>
      <c r="F142" s="602"/>
      <c r="G142" s="602"/>
      <c r="H142" s="602"/>
      <c r="I142" s="603"/>
      <c r="J142" s="492" t="s">
        <v>435</v>
      </c>
      <c r="K142" s="493"/>
    </row>
    <row r="143" spans="1:11" ht="11.25" customHeight="1">
      <c r="A143" s="365"/>
      <c r="B143" s="494" t="s">
        <v>361</v>
      </c>
      <c r="C143" s="673" t="s">
        <v>505</v>
      </c>
      <c r="D143" s="602"/>
      <c r="E143" s="602"/>
      <c r="F143" s="602"/>
      <c r="G143" s="602"/>
      <c r="H143" s="602"/>
      <c r="I143" s="603"/>
      <c r="J143" s="495">
        <v>0</v>
      </c>
      <c r="K143" s="496"/>
    </row>
    <row r="144" spans="1:11" ht="11.25" customHeight="1">
      <c r="A144" s="365"/>
      <c r="B144" s="734" t="s">
        <v>438</v>
      </c>
      <c r="C144" s="602"/>
      <c r="D144" s="602"/>
      <c r="E144" s="602"/>
      <c r="F144" s="602"/>
      <c r="G144" s="602"/>
      <c r="H144" s="602"/>
      <c r="I144" s="603"/>
      <c r="J144" s="497">
        <v>0</v>
      </c>
      <c r="K144" s="496"/>
    </row>
    <row r="145" spans="1:11" ht="11.25" customHeight="1">
      <c r="A145" s="365"/>
      <c r="B145" s="675"/>
      <c r="C145" s="602"/>
      <c r="D145" s="602"/>
      <c r="E145" s="602"/>
      <c r="F145" s="602"/>
      <c r="G145" s="602"/>
      <c r="H145" s="602"/>
      <c r="I145" s="602"/>
      <c r="J145" s="603"/>
      <c r="K145" s="498"/>
    </row>
    <row r="146" spans="1:11" ht="11.25" customHeight="1">
      <c r="A146" s="365"/>
      <c r="B146" s="735" t="s">
        <v>506</v>
      </c>
      <c r="C146" s="602"/>
      <c r="D146" s="602"/>
      <c r="E146" s="602"/>
      <c r="F146" s="602"/>
      <c r="G146" s="602"/>
      <c r="H146" s="602"/>
      <c r="I146" s="602"/>
      <c r="J146" s="603"/>
      <c r="K146" s="422"/>
    </row>
    <row r="147" spans="1:11" ht="11.25" customHeight="1">
      <c r="A147" s="365"/>
      <c r="B147" s="437">
        <v>4</v>
      </c>
      <c r="C147" s="672" t="s">
        <v>507</v>
      </c>
      <c r="D147" s="602"/>
      <c r="E147" s="602"/>
      <c r="F147" s="602"/>
      <c r="G147" s="602"/>
      <c r="H147" s="602"/>
      <c r="I147" s="603"/>
      <c r="J147" s="492" t="s">
        <v>435</v>
      </c>
      <c r="K147" s="493"/>
    </row>
    <row r="148" spans="1:11" ht="11.25" customHeight="1">
      <c r="A148" s="365"/>
      <c r="B148" s="383" t="s">
        <v>494</v>
      </c>
      <c r="C148" s="673" t="s">
        <v>495</v>
      </c>
      <c r="D148" s="602"/>
      <c r="E148" s="602"/>
      <c r="F148" s="602"/>
      <c r="G148" s="602"/>
      <c r="H148" s="602"/>
      <c r="I148" s="603"/>
      <c r="J148" s="495" t="e">
        <f>J139</f>
        <v>#N/A</v>
      </c>
      <c r="K148" s="496"/>
    </row>
    <row r="149" spans="1:11" ht="11.25" customHeight="1">
      <c r="A149" s="365"/>
      <c r="B149" s="383" t="s">
        <v>508</v>
      </c>
      <c r="C149" s="673" t="s">
        <v>504</v>
      </c>
      <c r="D149" s="602"/>
      <c r="E149" s="602"/>
      <c r="F149" s="602"/>
      <c r="G149" s="602"/>
      <c r="H149" s="602"/>
      <c r="I149" s="603"/>
      <c r="J149" s="495">
        <f>J144</f>
        <v>0</v>
      </c>
      <c r="K149" s="496"/>
    </row>
    <row r="150" spans="1:11" ht="11.25" customHeight="1">
      <c r="A150" s="365"/>
      <c r="B150" s="674" t="s">
        <v>438</v>
      </c>
      <c r="C150" s="602"/>
      <c r="D150" s="602"/>
      <c r="E150" s="602"/>
      <c r="F150" s="602"/>
      <c r="G150" s="602"/>
      <c r="H150" s="602"/>
      <c r="I150" s="603"/>
      <c r="J150" s="497" t="e">
        <f>SUM(J148+J149)</f>
        <v>#N/A</v>
      </c>
      <c r="K150" s="496"/>
    </row>
    <row r="151" spans="1:11" ht="11.25" customHeight="1">
      <c r="A151" s="365"/>
      <c r="B151" s="675"/>
      <c r="C151" s="602"/>
      <c r="D151" s="602"/>
      <c r="E151" s="602"/>
      <c r="F151" s="602"/>
      <c r="G151" s="602"/>
      <c r="H151" s="602"/>
      <c r="I151" s="602"/>
      <c r="J151" s="603"/>
      <c r="K151" s="498"/>
    </row>
    <row r="152" spans="1:11" ht="11.25" customHeight="1">
      <c r="A152" s="365"/>
      <c r="B152" s="676" t="s">
        <v>509</v>
      </c>
      <c r="C152" s="602"/>
      <c r="D152" s="602"/>
      <c r="E152" s="602"/>
      <c r="F152" s="602"/>
      <c r="G152" s="602"/>
      <c r="H152" s="602"/>
      <c r="I152" s="602"/>
      <c r="J152" s="603"/>
      <c r="K152" s="476"/>
    </row>
    <row r="153" spans="1:11" ht="11.25" customHeight="1">
      <c r="A153" s="365"/>
      <c r="B153" s="450">
        <v>3</v>
      </c>
      <c r="C153" s="677" t="s">
        <v>510</v>
      </c>
      <c r="D153" s="602"/>
      <c r="E153" s="602"/>
      <c r="F153" s="602"/>
      <c r="G153" s="602"/>
      <c r="H153" s="602"/>
      <c r="I153" s="603"/>
      <c r="J153" s="450" t="s">
        <v>435</v>
      </c>
      <c r="K153" s="474"/>
    </row>
    <row r="154" spans="1:11" ht="12.75" customHeight="1">
      <c r="A154" s="365"/>
      <c r="B154" s="452" t="s">
        <v>361</v>
      </c>
      <c r="C154" s="678" t="s">
        <v>613</v>
      </c>
      <c r="D154" s="602"/>
      <c r="E154" s="602"/>
      <c r="F154" s="602"/>
      <c r="G154" s="602"/>
      <c r="H154" s="602"/>
      <c r="I154" s="603"/>
      <c r="J154" s="440" t="e">
        <f>#REF!</f>
        <v>#REF!</v>
      </c>
      <c r="K154" s="432"/>
    </row>
    <row r="155" spans="1:11" ht="12.75" customHeight="1">
      <c r="A155" s="365"/>
      <c r="B155" s="452" t="s">
        <v>363</v>
      </c>
      <c r="C155" s="678" t="s">
        <v>739</v>
      </c>
      <c r="D155" s="602"/>
      <c r="E155" s="602"/>
      <c r="F155" s="602"/>
      <c r="G155" s="602"/>
      <c r="H155" s="602"/>
      <c r="I155" s="603"/>
      <c r="J155" s="465">
        <v>0</v>
      </c>
      <c r="K155" s="466"/>
    </row>
    <row r="156" spans="1:11" ht="12.75" customHeight="1">
      <c r="A156" s="365"/>
      <c r="B156" s="452" t="s">
        <v>365</v>
      </c>
      <c r="C156" s="678" t="s">
        <v>473</v>
      </c>
      <c r="D156" s="602"/>
      <c r="E156" s="602"/>
      <c r="F156" s="602"/>
      <c r="G156" s="602"/>
      <c r="H156" s="602"/>
      <c r="I156" s="603"/>
      <c r="J156" s="465" t="s">
        <v>513</v>
      </c>
      <c r="K156" s="466"/>
    </row>
    <row r="157" spans="1:11" ht="11.25" customHeight="1">
      <c r="A157" s="365"/>
      <c r="B157" s="679" t="s">
        <v>514</v>
      </c>
      <c r="C157" s="602"/>
      <c r="D157" s="602"/>
      <c r="E157" s="602"/>
      <c r="F157" s="602"/>
      <c r="G157" s="602"/>
      <c r="H157" s="602"/>
      <c r="I157" s="603"/>
      <c r="J157" s="499" t="e">
        <f>ROUND(SUM(J154:J156),2)</f>
        <v>#REF!</v>
      </c>
      <c r="K157" s="466"/>
    </row>
    <row r="158" spans="1:11" ht="11.25" customHeight="1">
      <c r="A158" s="365"/>
      <c r="B158" s="680"/>
      <c r="C158" s="602"/>
      <c r="D158" s="602"/>
      <c r="E158" s="602"/>
      <c r="F158" s="602"/>
      <c r="G158" s="602"/>
      <c r="H158" s="602"/>
      <c r="I158" s="602"/>
      <c r="J158" s="603"/>
      <c r="K158" s="500"/>
    </row>
    <row r="159" spans="1:11" ht="11.25" customHeight="1">
      <c r="A159" s="365"/>
      <c r="B159" s="681" t="s">
        <v>515</v>
      </c>
      <c r="C159" s="602"/>
      <c r="D159" s="602"/>
      <c r="E159" s="602"/>
      <c r="F159" s="602"/>
      <c r="G159" s="602"/>
      <c r="H159" s="602"/>
      <c r="I159" s="602"/>
      <c r="J159" s="603"/>
      <c r="K159" s="501"/>
    </row>
    <row r="160" spans="1:11" ht="11.25" customHeight="1">
      <c r="A160" s="365"/>
      <c r="B160" s="502"/>
      <c r="C160" s="503"/>
      <c r="D160" s="503"/>
      <c r="E160" s="503"/>
      <c r="F160" s="503"/>
      <c r="G160" s="503"/>
      <c r="H160" s="503"/>
      <c r="I160" s="503"/>
      <c r="J160" s="504"/>
      <c r="K160" s="174"/>
    </row>
    <row r="161" spans="1:11" ht="11.25" customHeight="1">
      <c r="A161" s="365"/>
      <c r="B161" s="682" t="s">
        <v>516</v>
      </c>
      <c r="C161" s="602"/>
      <c r="D161" s="602"/>
      <c r="E161" s="602"/>
      <c r="F161" s="602"/>
      <c r="G161" s="602"/>
      <c r="H161" s="602"/>
      <c r="I161" s="602"/>
      <c r="J161" s="603"/>
      <c r="K161" s="473"/>
    </row>
    <row r="162" spans="1:11" ht="11.25" customHeight="1">
      <c r="A162" s="365"/>
      <c r="B162" s="450">
        <v>6</v>
      </c>
      <c r="C162" s="728" t="s">
        <v>517</v>
      </c>
      <c r="D162" s="602"/>
      <c r="E162" s="602"/>
      <c r="F162" s="602"/>
      <c r="G162" s="602"/>
      <c r="H162" s="603"/>
      <c r="I162" s="505" t="s">
        <v>403</v>
      </c>
      <c r="J162" s="506" t="s">
        <v>443</v>
      </c>
      <c r="K162" s="507"/>
    </row>
    <row r="163" spans="1:11" ht="11.25" customHeight="1">
      <c r="A163" s="365"/>
      <c r="B163" s="754" t="s">
        <v>518</v>
      </c>
      <c r="C163" s="602"/>
      <c r="D163" s="602"/>
      <c r="E163" s="602"/>
      <c r="F163" s="602"/>
      <c r="G163" s="602"/>
      <c r="H163" s="603"/>
      <c r="I163" s="195" t="s">
        <v>374</v>
      </c>
      <c r="J163" s="508" t="e">
        <f>SUM(J63+J115+J124+J150+J157)</f>
        <v>#N/A</v>
      </c>
      <c r="K163" s="509"/>
    </row>
    <row r="164" spans="1:11" ht="11.25" customHeight="1">
      <c r="A164" s="365"/>
      <c r="B164" s="452" t="s">
        <v>361</v>
      </c>
      <c r="C164" s="782" t="s">
        <v>519</v>
      </c>
      <c r="D164" s="602"/>
      <c r="E164" s="602"/>
      <c r="F164" s="602"/>
      <c r="G164" s="602"/>
      <c r="H164" s="603"/>
      <c r="I164" s="439">
        <f>'1-ABA-DE-CARREGAMENTO'!F85</f>
        <v>0.06</v>
      </c>
      <c r="J164" s="440" t="e">
        <f>ROUND(I164*J163,2)</f>
        <v>#N/A</v>
      </c>
      <c r="K164" s="432"/>
    </row>
    <row r="165" spans="1:11" ht="11.25" customHeight="1">
      <c r="A165" s="365"/>
      <c r="B165" s="754" t="s">
        <v>520</v>
      </c>
      <c r="C165" s="602"/>
      <c r="D165" s="602"/>
      <c r="E165" s="602"/>
      <c r="F165" s="602"/>
      <c r="G165" s="602"/>
      <c r="H165" s="603"/>
      <c r="I165" s="510" t="s">
        <v>374</v>
      </c>
      <c r="J165" s="508" t="e">
        <f>SUM(J63+J115+J124+J150+J157+J164)</f>
        <v>#N/A</v>
      </c>
      <c r="K165" s="509"/>
    </row>
    <row r="166" spans="1:11" ht="11.25" customHeight="1">
      <c r="A166" s="365"/>
      <c r="B166" s="452" t="s">
        <v>363</v>
      </c>
      <c r="C166" s="782" t="s">
        <v>270</v>
      </c>
      <c r="D166" s="602"/>
      <c r="E166" s="602"/>
      <c r="F166" s="602"/>
      <c r="G166" s="602"/>
      <c r="H166" s="603"/>
      <c r="I166" s="439">
        <f>'1-ABA-DE-CARREGAMENTO'!F86</f>
        <v>0.06</v>
      </c>
      <c r="J166" s="440" t="e">
        <f>ROUND(I166*J165,2)</f>
        <v>#N/A</v>
      </c>
      <c r="K166" s="432"/>
    </row>
    <row r="167" spans="1:11" ht="11.25" customHeight="1">
      <c r="A167" s="365"/>
      <c r="B167" s="754" t="s">
        <v>521</v>
      </c>
      <c r="C167" s="602"/>
      <c r="D167" s="602"/>
      <c r="E167" s="602"/>
      <c r="F167" s="602"/>
      <c r="G167" s="602"/>
      <c r="H167" s="603"/>
      <c r="I167" s="510" t="s">
        <v>374</v>
      </c>
      <c r="J167" s="508" t="e">
        <f>SUM(J163+J164+J166)</f>
        <v>#N/A</v>
      </c>
      <c r="K167" s="509"/>
    </row>
    <row r="168" spans="1:11" ht="11.25" customHeight="1">
      <c r="A168" s="365"/>
      <c r="B168" s="511" t="s">
        <v>365</v>
      </c>
      <c r="C168" s="682" t="s">
        <v>522</v>
      </c>
      <c r="D168" s="602"/>
      <c r="E168" s="602"/>
      <c r="F168" s="602"/>
      <c r="G168" s="602"/>
      <c r="H168" s="603"/>
      <c r="I168" s="512" t="s">
        <v>374</v>
      </c>
      <c r="J168" s="412" t="s">
        <v>374</v>
      </c>
      <c r="K168" s="413"/>
    </row>
    <row r="169" spans="1:11" ht="11.25" customHeight="1">
      <c r="A169" s="365"/>
      <c r="B169" s="452"/>
      <c r="C169" s="720" t="s">
        <v>523</v>
      </c>
      <c r="D169" s="602"/>
      <c r="E169" s="602"/>
      <c r="F169" s="602"/>
      <c r="G169" s="602"/>
      <c r="H169" s="603"/>
      <c r="I169" s="512" t="s">
        <v>374</v>
      </c>
      <c r="J169" s="412" t="s">
        <v>374</v>
      </c>
      <c r="K169" s="413"/>
    </row>
    <row r="170" spans="1:11" ht="15" customHeight="1">
      <c r="A170" s="365"/>
      <c r="B170" s="452"/>
      <c r="C170" s="783" t="s">
        <v>740</v>
      </c>
      <c r="D170" s="602"/>
      <c r="E170" s="602"/>
      <c r="F170" s="602"/>
      <c r="G170" s="602"/>
      <c r="H170" s="603"/>
      <c r="I170" s="408">
        <f>'1-ABA-DE-CARREGAMENTO'!E28</f>
        <v>1.6500000000000001E-2</v>
      </c>
      <c r="J170" s="513" t="e">
        <f t="shared" ref="J170:J171" si="3">ROUND(($J$167/(1-$I$179))*I170,2)</f>
        <v>#N/A</v>
      </c>
      <c r="K170" s="514"/>
    </row>
    <row r="171" spans="1:11" ht="15" customHeight="1">
      <c r="A171" s="365"/>
      <c r="B171" s="452"/>
      <c r="C171" s="783" t="s">
        <v>741</v>
      </c>
      <c r="D171" s="602"/>
      <c r="E171" s="602"/>
      <c r="F171" s="602"/>
      <c r="G171" s="602"/>
      <c r="H171" s="603"/>
      <c r="I171" s="408">
        <f>'1-ABA-DE-CARREGAMENTO'!F28</f>
        <v>7.5999999999999998E-2</v>
      </c>
      <c r="J171" s="513" t="e">
        <f t="shared" si="3"/>
        <v>#N/A</v>
      </c>
      <c r="K171" s="514"/>
    </row>
    <row r="172" spans="1:11" ht="11.25" customHeight="1">
      <c r="A172" s="365"/>
      <c r="B172" s="452"/>
      <c r="C172" s="678" t="s">
        <v>742</v>
      </c>
      <c r="D172" s="602"/>
      <c r="E172" s="602"/>
      <c r="F172" s="602"/>
      <c r="G172" s="602"/>
      <c r="H172" s="603"/>
      <c r="I172" s="515" t="s">
        <v>374</v>
      </c>
      <c r="J172" s="412" t="s">
        <v>374</v>
      </c>
      <c r="K172" s="413"/>
    </row>
    <row r="173" spans="1:11" ht="11.25" customHeight="1">
      <c r="A173" s="365"/>
      <c r="B173" s="452"/>
      <c r="C173" s="678" t="s">
        <v>743</v>
      </c>
      <c r="D173" s="602"/>
      <c r="E173" s="602"/>
      <c r="F173" s="602"/>
      <c r="G173" s="602"/>
      <c r="H173" s="603"/>
      <c r="I173" s="515" t="s">
        <v>374</v>
      </c>
      <c r="J173" s="412" t="s">
        <v>374</v>
      </c>
      <c r="K173" s="413"/>
    </row>
    <row r="174" spans="1:11" ht="11.25" customHeight="1">
      <c r="A174" s="365"/>
      <c r="B174" s="452"/>
      <c r="C174" s="678" t="s">
        <v>528</v>
      </c>
      <c r="D174" s="602"/>
      <c r="E174" s="602"/>
      <c r="F174" s="602"/>
      <c r="G174" s="602"/>
      <c r="H174" s="602"/>
      <c r="I174" s="516" t="s">
        <v>374</v>
      </c>
      <c r="J174" s="517" t="s">
        <v>374</v>
      </c>
      <c r="K174" s="518"/>
    </row>
    <row r="175" spans="1:11" ht="11.25" customHeight="1">
      <c r="A175" s="365"/>
      <c r="B175" s="452"/>
      <c r="C175" s="678" t="s">
        <v>529</v>
      </c>
      <c r="D175" s="602"/>
      <c r="E175" s="602"/>
      <c r="F175" s="602"/>
      <c r="G175" s="602"/>
      <c r="H175" s="602"/>
      <c r="I175" s="516" t="s">
        <v>374</v>
      </c>
      <c r="J175" s="517" t="s">
        <v>374</v>
      </c>
      <c r="K175" s="518"/>
    </row>
    <row r="176" spans="1:11" ht="11.25" customHeight="1">
      <c r="A176" s="365"/>
      <c r="B176" s="452"/>
      <c r="C176" s="678" t="s">
        <v>744</v>
      </c>
      <c r="D176" s="602"/>
      <c r="E176" s="602"/>
      <c r="F176" s="602"/>
      <c r="G176" s="602"/>
      <c r="H176" s="603"/>
      <c r="I176" s="519" t="e">
        <f>'1-ABA-DE-CARREGAMENTO'!D87</f>
        <v>#N/A</v>
      </c>
      <c r="J176" s="513" t="e">
        <f>ROUND(($J$167/(1-$I$179))*I176,2)</f>
        <v>#N/A</v>
      </c>
      <c r="K176" s="514"/>
    </row>
    <row r="177" spans="1:11" ht="11.25" customHeight="1">
      <c r="A177" s="365"/>
      <c r="B177" s="679" t="s">
        <v>485</v>
      </c>
      <c r="C177" s="602"/>
      <c r="D177" s="602"/>
      <c r="E177" s="602"/>
      <c r="F177" s="602"/>
      <c r="G177" s="602"/>
      <c r="H177" s="602"/>
      <c r="I177" s="603"/>
      <c r="J177" s="431" t="e">
        <f>SUM(J164+J166+J170+J171+J176)</f>
        <v>#N/A</v>
      </c>
      <c r="K177" s="432"/>
    </row>
    <row r="178" spans="1:11" ht="11.25" customHeight="1">
      <c r="A178" s="365"/>
      <c r="B178" s="683"/>
      <c r="C178" s="602"/>
      <c r="D178" s="602"/>
      <c r="E178" s="602"/>
      <c r="F178" s="602"/>
      <c r="G178" s="602"/>
      <c r="H178" s="602"/>
      <c r="I178" s="602"/>
      <c r="J178" s="603"/>
      <c r="K178" s="275"/>
    </row>
    <row r="179" spans="1:11" ht="11.25" customHeight="1">
      <c r="A179" s="365"/>
      <c r="B179" s="684" t="s">
        <v>531</v>
      </c>
      <c r="C179" s="602"/>
      <c r="D179" s="602"/>
      <c r="E179" s="602"/>
      <c r="F179" s="602"/>
      <c r="G179" s="602"/>
      <c r="H179" s="603"/>
      <c r="I179" s="520" t="e">
        <f t="shared" ref="I179:J179" si="4">SUM(I170:I176)</f>
        <v>#N/A</v>
      </c>
      <c r="J179" s="508" t="e">
        <f t="shared" si="4"/>
        <v>#N/A</v>
      </c>
      <c r="K179" s="509"/>
    </row>
    <row r="180" spans="1:11" ht="11.25" customHeight="1">
      <c r="A180" s="365"/>
      <c r="B180" s="685" t="s">
        <v>532</v>
      </c>
      <c r="C180" s="600"/>
      <c r="D180" s="689" t="s">
        <v>533</v>
      </c>
      <c r="E180" s="600"/>
      <c r="F180" s="600"/>
      <c r="G180" s="600"/>
      <c r="H180" s="600"/>
      <c r="I180" s="600"/>
      <c r="J180" s="657"/>
      <c r="K180" s="521"/>
    </row>
    <row r="181" spans="1:11" ht="11.25" customHeight="1">
      <c r="A181" s="365"/>
      <c r="B181" s="686"/>
      <c r="C181" s="600"/>
      <c r="D181" s="690" t="s">
        <v>534</v>
      </c>
      <c r="E181" s="600"/>
      <c r="F181" s="600"/>
      <c r="G181" s="600"/>
      <c r="H181" s="600"/>
      <c r="I181" s="600"/>
      <c r="J181" s="657"/>
      <c r="K181" s="522"/>
    </row>
    <row r="182" spans="1:11" ht="11.25" customHeight="1">
      <c r="A182" s="365"/>
      <c r="B182" s="687"/>
      <c r="C182" s="688"/>
      <c r="D182" s="691" t="s">
        <v>535</v>
      </c>
      <c r="E182" s="688"/>
      <c r="F182" s="688"/>
      <c r="G182" s="688"/>
      <c r="H182" s="688"/>
      <c r="I182" s="688"/>
      <c r="J182" s="692"/>
      <c r="K182" s="521"/>
    </row>
    <row r="183" spans="1:11" ht="8.25" customHeight="1">
      <c r="A183" s="365"/>
      <c r="B183" s="693"/>
      <c r="C183" s="602"/>
      <c r="D183" s="602"/>
      <c r="E183" s="602"/>
      <c r="F183" s="602"/>
      <c r="G183" s="602"/>
      <c r="H183" s="602"/>
      <c r="I183" s="602"/>
      <c r="J183" s="603"/>
      <c r="K183" s="523"/>
    </row>
    <row r="184" spans="1:11" ht="11.25" customHeight="1">
      <c r="A184" s="365"/>
      <c r="B184" s="694" t="s">
        <v>536</v>
      </c>
      <c r="C184" s="602"/>
      <c r="D184" s="602"/>
      <c r="E184" s="602"/>
      <c r="F184" s="602"/>
      <c r="G184" s="602"/>
      <c r="H184" s="602"/>
      <c r="I184" s="602"/>
      <c r="J184" s="603"/>
      <c r="K184" s="379"/>
    </row>
    <row r="185" spans="1:11" ht="9" customHeight="1">
      <c r="A185" s="365"/>
      <c r="B185" s="683"/>
      <c r="C185" s="602"/>
      <c r="D185" s="602"/>
      <c r="E185" s="602"/>
      <c r="F185" s="602"/>
      <c r="G185" s="602"/>
      <c r="H185" s="602"/>
      <c r="I185" s="602"/>
      <c r="J185" s="603"/>
      <c r="K185" s="275"/>
    </row>
    <row r="186" spans="1:11" ht="11.25" customHeight="1">
      <c r="A186" s="365"/>
      <c r="B186" s="676" t="s">
        <v>745</v>
      </c>
      <c r="C186" s="602"/>
      <c r="D186" s="602"/>
      <c r="E186" s="602"/>
      <c r="F186" s="602"/>
      <c r="G186" s="602"/>
      <c r="H186" s="602"/>
      <c r="I186" s="602"/>
      <c r="J186" s="603"/>
      <c r="K186" s="476"/>
    </row>
    <row r="187" spans="1:11" ht="11.25" customHeight="1">
      <c r="A187" s="365"/>
      <c r="B187" s="695" t="s">
        <v>538</v>
      </c>
      <c r="C187" s="602"/>
      <c r="D187" s="602"/>
      <c r="E187" s="602"/>
      <c r="F187" s="602"/>
      <c r="G187" s="602"/>
      <c r="H187" s="602"/>
      <c r="I187" s="603"/>
      <c r="J187" s="505" t="s">
        <v>435</v>
      </c>
      <c r="K187" s="376"/>
    </row>
    <row r="188" spans="1:11" ht="11.25" customHeight="1">
      <c r="A188" s="365"/>
      <c r="B188" s="524" t="s">
        <v>361</v>
      </c>
      <c r="C188" s="696" t="s">
        <v>539</v>
      </c>
      <c r="D188" s="602"/>
      <c r="E188" s="602"/>
      <c r="F188" s="602"/>
      <c r="G188" s="602"/>
      <c r="H188" s="602"/>
      <c r="I188" s="602"/>
      <c r="J188" s="465" t="e">
        <f>J63</f>
        <v>#N/A</v>
      </c>
      <c r="K188" s="466"/>
    </row>
    <row r="189" spans="1:11" ht="11.25" customHeight="1">
      <c r="A189" s="365"/>
      <c r="B189" s="524" t="s">
        <v>363</v>
      </c>
      <c r="C189" s="696" t="s">
        <v>540</v>
      </c>
      <c r="D189" s="602"/>
      <c r="E189" s="602"/>
      <c r="F189" s="602"/>
      <c r="G189" s="602"/>
      <c r="H189" s="602"/>
      <c r="I189" s="602"/>
      <c r="J189" s="465" t="e">
        <f>J115</f>
        <v>#N/A</v>
      </c>
      <c r="K189" s="466"/>
    </row>
    <row r="190" spans="1:11" ht="11.25" customHeight="1">
      <c r="A190" s="365"/>
      <c r="B190" s="524" t="s">
        <v>365</v>
      </c>
      <c r="C190" s="696" t="s">
        <v>541</v>
      </c>
      <c r="D190" s="602"/>
      <c r="E190" s="602"/>
      <c r="F190" s="602"/>
      <c r="G190" s="602"/>
      <c r="H190" s="602"/>
      <c r="I190" s="602"/>
      <c r="J190" s="465" t="e">
        <f>J124</f>
        <v>#N/A</v>
      </c>
      <c r="K190" s="466"/>
    </row>
    <row r="191" spans="1:11" ht="11.25" customHeight="1">
      <c r="A191" s="365"/>
      <c r="B191" s="524" t="s">
        <v>367</v>
      </c>
      <c r="C191" s="696" t="s">
        <v>542</v>
      </c>
      <c r="D191" s="602"/>
      <c r="E191" s="602"/>
      <c r="F191" s="602"/>
      <c r="G191" s="602"/>
      <c r="H191" s="602"/>
      <c r="I191" s="602"/>
      <c r="J191" s="465" t="e">
        <f>J150</f>
        <v>#N/A</v>
      </c>
      <c r="K191" s="466"/>
    </row>
    <row r="192" spans="1:11" ht="11.25" customHeight="1">
      <c r="A192" s="365"/>
      <c r="B192" s="524" t="s">
        <v>410</v>
      </c>
      <c r="C192" s="696" t="s">
        <v>543</v>
      </c>
      <c r="D192" s="602"/>
      <c r="E192" s="602"/>
      <c r="F192" s="602"/>
      <c r="G192" s="602"/>
      <c r="H192" s="602"/>
      <c r="I192" s="602"/>
      <c r="J192" s="465" t="e">
        <f>J157</f>
        <v>#REF!</v>
      </c>
      <c r="K192" s="466"/>
    </row>
    <row r="193" spans="1:11" ht="11.25" customHeight="1">
      <c r="A193" s="365"/>
      <c r="B193" s="736" t="s">
        <v>544</v>
      </c>
      <c r="C193" s="602"/>
      <c r="D193" s="602"/>
      <c r="E193" s="602"/>
      <c r="F193" s="602"/>
      <c r="G193" s="602"/>
      <c r="H193" s="602"/>
      <c r="I193" s="602"/>
      <c r="J193" s="499" t="e">
        <f>ROUND(SUM(J188:J192),2)</f>
        <v>#N/A</v>
      </c>
      <c r="K193" s="466"/>
    </row>
    <row r="194" spans="1:11" ht="11.25" customHeight="1">
      <c r="A194" s="365"/>
      <c r="B194" s="525" t="s">
        <v>412</v>
      </c>
      <c r="C194" s="696" t="s">
        <v>516</v>
      </c>
      <c r="D194" s="602"/>
      <c r="E194" s="602"/>
      <c r="F194" s="602"/>
      <c r="G194" s="602"/>
      <c r="H194" s="602"/>
      <c r="I194" s="602"/>
      <c r="J194" s="465" t="e">
        <f>J177</f>
        <v>#N/A</v>
      </c>
      <c r="K194" s="466"/>
    </row>
    <row r="195" spans="1:11" ht="11.25" customHeight="1">
      <c r="A195" s="365"/>
      <c r="B195" s="736" t="s">
        <v>545</v>
      </c>
      <c r="C195" s="602"/>
      <c r="D195" s="602"/>
      <c r="E195" s="602"/>
      <c r="F195" s="602"/>
      <c r="G195" s="602"/>
      <c r="H195" s="602"/>
      <c r="I195" s="602"/>
      <c r="J195" s="499" t="e">
        <f>J193+J194</f>
        <v>#N/A</v>
      </c>
      <c r="K195" s="466"/>
    </row>
    <row r="196" spans="1:11" ht="33" customHeight="1">
      <c r="A196" s="365"/>
      <c r="B196" s="700" t="s">
        <v>546</v>
      </c>
      <c r="C196" s="602"/>
      <c r="D196" s="602"/>
      <c r="E196" s="602"/>
      <c r="F196" s="602"/>
      <c r="G196" s="602"/>
      <c r="H196" s="602"/>
      <c r="I196" s="602"/>
      <c r="J196" s="603"/>
      <c r="K196" s="526"/>
    </row>
    <row r="197" spans="1:11" ht="6.75" customHeight="1">
      <c r="A197" s="365"/>
      <c r="B197" s="789"/>
      <c r="C197" s="602"/>
      <c r="D197" s="602"/>
      <c r="E197" s="602"/>
      <c r="F197" s="602"/>
      <c r="G197" s="602"/>
      <c r="H197" s="602"/>
      <c r="I197" s="602"/>
      <c r="J197" s="603"/>
      <c r="K197" s="527"/>
    </row>
    <row r="198" spans="1:11" ht="11.25" customHeight="1">
      <c r="A198" s="365"/>
      <c r="B198" s="528"/>
      <c r="C198" s="371"/>
      <c r="D198" s="371"/>
      <c r="E198" s="371"/>
      <c r="F198" s="371"/>
      <c r="G198" s="371"/>
      <c r="H198" s="371"/>
      <c r="I198" s="529"/>
      <c r="J198" s="530"/>
      <c r="K198" s="529"/>
    </row>
    <row r="199" spans="1:11" ht="11.25" customHeight="1">
      <c r="A199" s="365"/>
      <c r="B199" s="702" t="s">
        <v>547</v>
      </c>
      <c r="C199" s="600"/>
      <c r="D199" s="600"/>
      <c r="E199" s="600"/>
      <c r="F199" s="600"/>
      <c r="G199" s="600"/>
      <c r="H199" s="600"/>
      <c r="I199" s="600"/>
      <c r="J199" s="657"/>
      <c r="K199" s="372"/>
    </row>
    <row r="200" spans="1:11" ht="11.25" customHeight="1">
      <c r="A200" s="365"/>
      <c r="B200" s="697" t="s">
        <v>548</v>
      </c>
      <c r="C200" s="602"/>
      <c r="D200" s="602"/>
      <c r="E200" s="603"/>
      <c r="F200" s="697" t="s">
        <v>549</v>
      </c>
      <c r="G200" s="603"/>
      <c r="H200" s="505" t="s">
        <v>550</v>
      </c>
      <c r="I200" s="697" t="s">
        <v>551</v>
      </c>
      <c r="J200" s="603"/>
      <c r="K200" s="376"/>
    </row>
    <row r="201" spans="1:11" ht="24.75" hidden="1" customHeight="1" outlineLevel="1">
      <c r="A201" s="365"/>
      <c r="B201" s="678" t="s">
        <v>552</v>
      </c>
      <c r="C201" s="602"/>
      <c r="D201" s="602"/>
      <c r="E201" s="603"/>
      <c r="F201" s="698">
        <v>0</v>
      </c>
      <c r="G201" s="603"/>
      <c r="H201" s="531">
        <f t="shared" ref="H201:H202" si="5">E201*F201</f>
        <v>0</v>
      </c>
      <c r="I201" s="698">
        <f t="shared" ref="I201:I203" si="6">F201*H201</f>
        <v>0</v>
      </c>
      <c r="J201" s="603"/>
      <c r="K201" s="532"/>
    </row>
    <row r="202" spans="1:11" ht="24.75" hidden="1" customHeight="1" outlineLevel="1">
      <c r="A202" s="365"/>
      <c r="B202" s="678" t="s">
        <v>553</v>
      </c>
      <c r="C202" s="602"/>
      <c r="D202" s="602"/>
      <c r="E202" s="603"/>
      <c r="F202" s="698">
        <v>0</v>
      </c>
      <c r="G202" s="603"/>
      <c r="H202" s="531">
        <f t="shared" si="5"/>
        <v>0</v>
      </c>
      <c r="I202" s="698">
        <f t="shared" si="6"/>
        <v>0</v>
      </c>
      <c r="J202" s="603"/>
      <c r="K202" s="532"/>
    </row>
    <row r="203" spans="1:11" ht="24.75" customHeight="1" collapsed="1">
      <c r="A203" s="365"/>
      <c r="B203" s="703" t="str">
        <f>B3</f>
        <v>A NÃO TEM MAIS POSTOS-11</v>
      </c>
      <c r="C203" s="602"/>
      <c r="D203" s="602"/>
      <c r="E203" s="603"/>
      <c r="F203" s="704" t="e">
        <f>J195</f>
        <v>#N/A</v>
      </c>
      <c r="G203" s="603"/>
      <c r="H203" s="531" t="e">
        <f>I17</f>
        <v>#N/A</v>
      </c>
      <c r="I203" s="698" t="e">
        <f t="shared" si="6"/>
        <v>#N/A</v>
      </c>
      <c r="J203" s="603"/>
      <c r="K203" s="532"/>
    </row>
    <row r="204" spans="1:11" ht="24.75" hidden="1" customHeight="1" outlineLevel="1">
      <c r="A204" s="365"/>
      <c r="B204" s="678" t="s">
        <v>554</v>
      </c>
      <c r="C204" s="602"/>
      <c r="D204" s="602"/>
      <c r="E204" s="603"/>
      <c r="F204" s="704">
        <v>0</v>
      </c>
      <c r="G204" s="603"/>
      <c r="H204" s="531">
        <f t="shared" ref="H204:I204" si="7">E204*G204</f>
        <v>0</v>
      </c>
      <c r="I204" s="698">
        <f t="shared" si="7"/>
        <v>0</v>
      </c>
      <c r="J204" s="603"/>
      <c r="K204" s="532"/>
    </row>
    <row r="205" spans="1:11" ht="24.75" hidden="1" customHeight="1" outlineLevel="1">
      <c r="A205" s="365"/>
      <c r="B205" s="678" t="s">
        <v>555</v>
      </c>
      <c r="C205" s="602"/>
      <c r="D205" s="602"/>
      <c r="E205" s="603"/>
      <c r="F205" s="704">
        <v>0</v>
      </c>
      <c r="G205" s="603"/>
      <c r="H205" s="531">
        <f t="shared" ref="H205:I205" si="8">E205*G205</f>
        <v>0</v>
      </c>
      <c r="I205" s="698">
        <f t="shared" si="8"/>
        <v>0</v>
      </c>
      <c r="J205" s="603"/>
      <c r="K205" s="532"/>
    </row>
    <row r="206" spans="1:11" ht="11.25" hidden="1" customHeight="1" outlineLevel="1">
      <c r="A206" s="365"/>
      <c r="B206" s="705" t="s">
        <v>746</v>
      </c>
      <c r="C206" s="602"/>
      <c r="D206" s="602"/>
      <c r="E206" s="603"/>
      <c r="F206" s="698">
        <v>0</v>
      </c>
      <c r="G206" s="603"/>
      <c r="H206" s="531">
        <f t="shared" ref="H206:I206" si="9">E206*G206</f>
        <v>0</v>
      </c>
      <c r="I206" s="698">
        <f t="shared" si="9"/>
        <v>0</v>
      </c>
      <c r="J206" s="603"/>
      <c r="K206" s="532"/>
    </row>
    <row r="207" spans="1:11" ht="11.25" customHeight="1" collapsed="1">
      <c r="A207" s="365"/>
      <c r="B207" s="706" t="s">
        <v>557</v>
      </c>
      <c r="C207" s="602"/>
      <c r="D207" s="602"/>
      <c r="E207" s="602"/>
      <c r="F207" s="602"/>
      <c r="G207" s="603"/>
      <c r="H207" s="533" t="e">
        <f>SUM(H201:H206)</f>
        <v>#N/A</v>
      </c>
      <c r="I207" s="699" t="e">
        <f>SUM(I201:J206)</f>
        <v>#N/A</v>
      </c>
      <c r="J207" s="603"/>
      <c r="K207" s="534"/>
    </row>
    <row r="208" spans="1:11" ht="9" customHeight="1">
      <c r="A208" s="365"/>
      <c r="B208" s="707"/>
      <c r="C208" s="708"/>
      <c r="D208" s="708"/>
      <c r="E208" s="708"/>
      <c r="F208" s="708"/>
      <c r="G208" s="708"/>
      <c r="H208" s="708"/>
      <c r="I208" s="708"/>
      <c r="J208" s="709"/>
      <c r="K208" s="275"/>
    </row>
    <row r="209" spans="1:11" ht="15" customHeight="1">
      <c r="A209" s="365"/>
      <c r="B209" s="710" t="s">
        <v>558</v>
      </c>
      <c r="C209" s="688"/>
      <c r="D209" s="688"/>
      <c r="E209" s="688"/>
      <c r="F209" s="688"/>
      <c r="G209" s="688"/>
      <c r="H209" s="688"/>
      <c r="I209" s="688"/>
      <c r="J209" s="692"/>
      <c r="K209" s="379"/>
    </row>
    <row r="210" spans="1:11" ht="6" customHeight="1">
      <c r="A210" s="365"/>
      <c r="B210" s="711"/>
      <c r="C210" s="602"/>
      <c r="D210" s="602"/>
      <c r="E210" s="602"/>
      <c r="F210" s="602"/>
      <c r="G210" s="602"/>
      <c r="H210" s="602"/>
      <c r="I210" s="602"/>
      <c r="J210" s="603"/>
      <c r="K210" s="535"/>
    </row>
    <row r="211" spans="1:11" ht="11.25" customHeight="1">
      <c r="A211" s="365"/>
      <c r="B211" s="712" t="s">
        <v>559</v>
      </c>
      <c r="C211" s="602"/>
      <c r="D211" s="602"/>
      <c r="E211" s="602"/>
      <c r="F211" s="602"/>
      <c r="G211" s="603"/>
      <c r="H211" s="714" t="e">
        <f>$I$207</f>
        <v>#N/A</v>
      </c>
      <c r="I211" s="602"/>
      <c r="J211" s="603"/>
      <c r="K211" s="536"/>
    </row>
    <row r="212" spans="1:11" ht="10.5" customHeight="1">
      <c r="A212" s="365"/>
      <c r="B212" s="715"/>
      <c r="C212" s="606"/>
      <c r="D212" s="606"/>
      <c r="E212" s="606"/>
      <c r="F212" s="606"/>
      <c r="G212" s="606"/>
      <c r="H212" s="606"/>
      <c r="I212" s="606"/>
      <c r="J212" s="716"/>
      <c r="K212" s="537"/>
    </row>
    <row r="213" spans="1:11" ht="11.25" customHeight="1">
      <c r="A213" s="365"/>
      <c r="B213" s="712" t="s">
        <v>560</v>
      </c>
      <c r="C213" s="602"/>
      <c r="D213" s="602"/>
      <c r="E213" s="602"/>
      <c r="F213" s="602"/>
      <c r="G213" s="603"/>
      <c r="H213" s="717">
        <f>$I$11</f>
        <v>20</v>
      </c>
      <c r="I213" s="602"/>
      <c r="J213" s="603"/>
      <c r="K213" s="538"/>
    </row>
    <row r="214" spans="1:11" ht="10.5" customHeight="1">
      <c r="A214" s="365"/>
      <c r="B214" s="718"/>
      <c r="C214" s="602"/>
      <c r="D214" s="602"/>
      <c r="E214" s="602"/>
      <c r="F214" s="602"/>
      <c r="G214" s="602"/>
      <c r="H214" s="602"/>
      <c r="I214" s="602"/>
      <c r="J214" s="603"/>
      <c r="K214" s="539"/>
    </row>
    <row r="215" spans="1:11" ht="11.25" customHeight="1">
      <c r="A215" s="365"/>
      <c r="B215" s="712" t="s">
        <v>747</v>
      </c>
      <c r="C215" s="602"/>
      <c r="D215" s="602"/>
      <c r="E215" s="602"/>
      <c r="F215" s="602"/>
      <c r="G215" s="603"/>
      <c r="H215" s="719" t="e">
        <f>ROUND(H211*H213,2)</f>
        <v>#N/A</v>
      </c>
      <c r="I215" s="602"/>
      <c r="J215" s="603"/>
      <c r="K215" s="540"/>
    </row>
    <row r="216" spans="1:11" ht="9" customHeight="1">
      <c r="A216" s="365"/>
      <c r="B216" s="713"/>
      <c r="C216" s="602"/>
      <c r="D216" s="602"/>
      <c r="E216" s="602"/>
      <c r="F216" s="602"/>
      <c r="G216" s="602"/>
      <c r="H216" s="602"/>
      <c r="I216" s="602"/>
      <c r="J216" s="603"/>
      <c r="K216" s="371"/>
    </row>
    <row r="217" spans="1:11" ht="11.25" customHeight="1">
      <c r="A217" s="365"/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</row>
    <row r="218" spans="1:11" ht="15.75" customHeight="1"/>
    <row r="219" spans="1:11" ht="15.75" customHeight="1"/>
    <row r="220" spans="1:11" ht="15.75" customHeight="1"/>
    <row r="221" spans="1:11" ht="15.75" customHeight="1"/>
    <row r="222" spans="1:11" ht="15.75" customHeight="1"/>
    <row r="223" spans="1:11" ht="15.75" customHeight="1"/>
    <row r="224" spans="1:1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1">
    <mergeCell ref="I203:J203"/>
    <mergeCell ref="I204:J204"/>
    <mergeCell ref="I205:J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B207:G207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B144:I144"/>
    <mergeCell ref="B145:J145"/>
    <mergeCell ref="B146:J146"/>
    <mergeCell ref="C147:I147"/>
    <mergeCell ref="C148:I148"/>
    <mergeCell ref="B205:E205"/>
    <mergeCell ref="F205:G205"/>
    <mergeCell ref="B206:E206"/>
    <mergeCell ref="F206:G206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B115:I115"/>
    <mergeCell ref="B116:J116"/>
    <mergeCell ref="B117:J117"/>
    <mergeCell ref="C118:I118"/>
    <mergeCell ref="C119:I119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C97:I97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58:J158"/>
    <mergeCell ref="B159:J159"/>
    <mergeCell ref="B161:J161"/>
    <mergeCell ref="C162:H162"/>
    <mergeCell ref="B163:H163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</mergeCells>
  <conditionalFormatting sqref="I49:I50">
    <cfRule type="cellIs" dxfId="87" priority="1" operator="equal">
      <formula>0</formula>
    </cfRule>
  </conditionalFormatting>
  <conditionalFormatting sqref="I48">
    <cfRule type="cellIs" dxfId="8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DADOS-CADASTRAIS</vt:lpstr>
      <vt:lpstr>CAMPUS.CONTRATANTE</vt:lpstr>
      <vt:lpstr>1-ABA-DE-CARREGAMENTO</vt:lpstr>
      <vt:lpstr>PROPOSTA DO SERVIÇO</vt:lpstr>
      <vt:lpstr>Uniformes - EPIs_TODOS</vt:lpstr>
      <vt:lpstr>5173-30_VIGILANTE_12×36_diurn</vt:lpstr>
      <vt:lpstr>5173-30_VIGILANTE_12×36_notur</vt:lpstr>
      <vt:lpstr>AUX.S.BUC_CBO.3224-15_40hs</vt:lpstr>
      <vt:lpstr>INT.LIBRA_CBO.2614-25_20.hs</vt:lpstr>
      <vt:lpstr>INT.LIBRA_CBO.2614-25_40.hs</vt:lpstr>
      <vt:lpstr>MONITOR_CBO.3341-10_20hs</vt:lpstr>
      <vt:lpstr>MONITOR_CBO.3341-10_40hs</vt:lpstr>
      <vt:lpstr>PSICOPED_CBO.2394-25_20hs</vt:lpstr>
      <vt:lpstr>PSICOPED_CBO.2394-25_40hs</vt:lpstr>
      <vt:lpstr>AUX.S.BUC_CBO.3224-15_20hs</vt:lpstr>
      <vt:lpstr>A NÃO TEM MAIS POSTOS-88</vt:lpstr>
      <vt:lpstr>A NÃO TEM MAIS POSTOS-99</vt:lpstr>
      <vt:lpstr>TOTALIZADORES_IFFar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gmartin</cp:lastModifiedBy>
  <dcterms:modified xsi:type="dcterms:W3CDTF">2022-09-26T16:40:31Z</dcterms:modified>
</cp:coreProperties>
</file>