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 firstSheet="9" activeTab="9"/>
  </bookViews>
  <sheets>
    <sheet name="Instruções" sheetId="1" state="hidden" r:id="rId1"/>
    <sheet name="PA 2022" sheetId="2" state="hidden" r:id="rId2"/>
    <sheet name="Jan2022" sheetId="3" state="hidden" r:id="rId3"/>
    <sheet name="Fev2022" sheetId="4" state="hidden" r:id="rId4"/>
    <sheet name="Mar2022" sheetId="5" state="hidden" r:id="rId5"/>
    <sheet name="Abr2022" sheetId="6" state="hidden" r:id="rId6"/>
    <sheet name="Maio2022" sheetId="7" state="hidden" r:id="rId7"/>
    <sheet name="Junho2022" sheetId="8" state="hidden" r:id="rId8"/>
    <sheet name="Julho2022" sheetId="9" state="hidden" r:id="rId9"/>
    <sheet name="Agosto2022" sheetId="10" r:id="rId10"/>
    <sheet name="Cópia de Julho2022" sheetId="11" state="hidden" r:id="rId11"/>
    <sheet name="Cópia de Abr2022-ANALISE" sheetId="12" state="hidden" r:id="rId12"/>
    <sheet name="Gráficos " sheetId="13" state="hidden" r:id="rId13"/>
    <sheet name="Gráficos 2022" sheetId="14" state="hidden" r:id="rId14"/>
  </sheets>
  <externalReferences>
    <externalReference r:id="rId15"/>
  </externalReferences>
  <calcPr calcId="145621"/>
  <extLst>
    <ext uri="GoogleSheetsCustomDataVersion1">
      <go:sheetsCustomData xmlns:go="http://customooxmlschemas.google.com/" r:id="rId18" roundtripDataSignature="AMtx7miW2kQUpqdT3sMmHBcpT8HQbNxheA=="/>
    </ext>
  </extLst>
</workbook>
</file>

<file path=xl/calcChain.xml><?xml version="1.0" encoding="utf-8"?>
<calcChain xmlns="http://schemas.openxmlformats.org/spreadsheetml/2006/main">
  <c r="D7" i="14" l="1"/>
  <c r="E7" i="14" s="1"/>
  <c r="F6" i="14"/>
  <c r="C5" i="14"/>
  <c r="E4" i="14"/>
  <c r="D150" i="13"/>
  <c r="D152" i="13" s="1"/>
  <c r="D155" i="13" s="1"/>
  <c r="D149" i="13"/>
  <c r="N141" i="13"/>
  <c r="D140" i="13"/>
  <c r="C139" i="13"/>
  <c r="C138" i="13"/>
  <c r="C137" i="13"/>
  <c r="C136" i="13"/>
  <c r="C135" i="13"/>
  <c r="C134" i="13"/>
  <c r="C132" i="13"/>
  <c r="D131" i="13"/>
  <c r="C130" i="13"/>
  <c r="C129" i="13"/>
  <c r="C141" i="13" s="1"/>
  <c r="N128" i="13"/>
  <c r="N120" i="13"/>
  <c r="N111" i="13"/>
  <c r="N99" i="13"/>
  <c r="C99" i="13"/>
  <c r="K96" i="13"/>
  <c r="K94" i="13"/>
  <c r="V77" i="13"/>
  <c r="U77" i="13"/>
  <c r="T77" i="13"/>
  <c r="S77" i="13"/>
  <c r="T76" i="13"/>
  <c r="S76" i="13"/>
  <c r="S75" i="13"/>
  <c r="S74" i="13"/>
  <c r="T73" i="13"/>
  <c r="S73" i="13"/>
  <c r="V72" i="13"/>
  <c r="U72" i="13"/>
  <c r="T72" i="13"/>
  <c r="S72" i="13"/>
  <c r="B72" i="13"/>
  <c r="U71" i="13"/>
  <c r="V71" i="13" s="1"/>
  <c r="T71" i="13"/>
  <c r="S71" i="13"/>
  <c r="U70" i="13"/>
  <c r="V70" i="13" s="1"/>
  <c r="T70" i="13"/>
  <c r="S70" i="13"/>
  <c r="C70" i="13"/>
  <c r="B70" i="13"/>
  <c r="V69" i="13"/>
  <c r="U69" i="13"/>
  <c r="T69" i="13"/>
  <c r="S69" i="13"/>
  <c r="B69" i="13"/>
  <c r="U68" i="13"/>
  <c r="T68" i="13"/>
  <c r="V68" i="13" s="1"/>
  <c r="S68" i="13"/>
  <c r="B68" i="13"/>
  <c r="V67" i="13"/>
  <c r="U67" i="13"/>
  <c r="T67" i="13"/>
  <c r="S67" i="13"/>
  <c r="G67" i="13"/>
  <c r="U66" i="13"/>
  <c r="V66" i="13" s="1"/>
  <c r="T66" i="13"/>
  <c r="S66" i="13"/>
  <c r="G66" i="13"/>
  <c r="G65" i="13"/>
  <c r="G64" i="13"/>
  <c r="V62" i="13"/>
  <c r="U62" i="13"/>
  <c r="T62" i="13"/>
  <c r="S62" i="13"/>
  <c r="V61" i="13"/>
  <c r="U61" i="13"/>
  <c r="T61" i="13"/>
  <c r="S61" i="13"/>
  <c r="V60" i="13"/>
  <c r="U60" i="13"/>
  <c r="T60" i="13"/>
  <c r="S60" i="13"/>
  <c r="V59" i="13"/>
  <c r="U59" i="13"/>
  <c r="T59" i="13"/>
  <c r="S59" i="13"/>
  <c r="V58" i="13"/>
  <c r="U58" i="13"/>
  <c r="T58" i="13"/>
  <c r="S58" i="13"/>
  <c r="U57" i="13"/>
  <c r="S57" i="13"/>
  <c r="U56" i="13"/>
  <c r="V56" i="13" s="1"/>
  <c r="T56" i="13"/>
  <c r="S56" i="13"/>
  <c r="V55" i="13"/>
  <c r="U55" i="13"/>
  <c r="T55" i="13"/>
  <c r="S55" i="13"/>
  <c r="U54" i="13"/>
  <c r="V54" i="13" s="1"/>
  <c r="T54" i="13"/>
  <c r="S54" i="13"/>
  <c r="V53" i="13"/>
  <c r="U53" i="13"/>
  <c r="T53" i="13"/>
  <c r="S53" i="13"/>
  <c r="U52" i="13"/>
  <c r="V52" i="13" s="1"/>
  <c r="T52" i="13"/>
  <c r="S52" i="13"/>
  <c r="V51" i="13"/>
  <c r="U51" i="13"/>
  <c r="T51" i="13"/>
  <c r="S51" i="13"/>
  <c r="U50" i="13"/>
  <c r="V50" i="13" s="1"/>
  <c r="T50" i="13"/>
  <c r="S50" i="13"/>
  <c r="U49" i="13"/>
  <c r="V49" i="13" s="1"/>
  <c r="T49" i="13"/>
  <c r="S49" i="13"/>
  <c r="U48" i="13"/>
  <c r="V48" i="13" s="1"/>
  <c r="T48" i="13"/>
  <c r="S48" i="13"/>
  <c r="U47" i="13"/>
  <c r="V47" i="13" s="1"/>
  <c r="T47" i="13"/>
  <c r="S47" i="13"/>
  <c r="U46" i="13"/>
  <c r="V46" i="13" s="1"/>
  <c r="T46" i="13"/>
  <c r="S46" i="13"/>
  <c r="O46" i="13"/>
  <c r="U45" i="13"/>
  <c r="V45" i="13" s="1"/>
  <c r="T45" i="13"/>
  <c r="S45" i="13"/>
  <c r="O45" i="13"/>
  <c r="U44" i="13"/>
  <c r="V44" i="13" s="1"/>
  <c r="T44" i="13"/>
  <c r="S44" i="13"/>
  <c r="O44" i="13"/>
  <c r="U43" i="13"/>
  <c r="V43" i="13" s="1"/>
  <c r="T43" i="13"/>
  <c r="S43" i="13"/>
  <c r="O43" i="13"/>
  <c r="U42" i="13"/>
  <c r="T42" i="13"/>
  <c r="V42" i="13" s="1"/>
  <c r="S42" i="13"/>
  <c r="O42" i="13"/>
  <c r="B42" i="13"/>
  <c r="U41" i="13"/>
  <c r="T41" i="13"/>
  <c r="V41" i="13" s="1"/>
  <c r="S41" i="13"/>
  <c r="O41" i="13"/>
  <c r="B41" i="13"/>
  <c r="U40" i="13"/>
  <c r="T40" i="13"/>
  <c r="V40" i="13" s="1"/>
  <c r="S40" i="13"/>
  <c r="O40" i="13"/>
  <c r="B40" i="13"/>
  <c r="V39" i="13"/>
  <c r="U39" i="13"/>
  <c r="T39" i="13"/>
  <c r="S39" i="13"/>
  <c r="O39" i="13"/>
  <c r="J39" i="13"/>
  <c r="G39" i="13"/>
  <c r="B39" i="13"/>
  <c r="V38" i="13"/>
  <c r="U38" i="13"/>
  <c r="T38" i="13"/>
  <c r="S38" i="13"/>
  <c r="O38" i="13"/>
  <c r="J38" i="13"/>
  <c r="G38" i="13"/>
  <c r="B38" i="13"/>
  <c r="V37" i="13"/>
  <c r="U37" i="13"/>
  <c r="T37" i="13"/>
  <c r="S37" i="13"/>
  <c r="O37" i="13"/>
  <c r="J37" i="13"/>
  <c r="G37" i="13"/>
  <c r="X36" i="13"/>
  <c r="U36" i="13"/>
  <c r="T36" i="13"/>
  <c r="V36" i="13" s="1"/>
  <c r="S36" i="13"/>
  <c r="O36" i="13"/>
  <c r="J36" i="13"/>
  <c r="G36" i="13"/>
  <c r="X35" i="13"/>
  <c r="V35" i="13"/>
  <c r="U35" i="13"/>
  <c r="T35" i="13"/>
  <c r="S35" i="13"/>
  <c r="O35" i="13"/>
  <c r="J35" i="13"/>
  <c r="G35" i="13"/>
  <c r="AD30" i="13"/>
  <c r="AC30" i="13"/>
  <c r="AD29" i="13"/>
  <c r="AC29" i="13"/>
  <c r="AD28" i="13"/>
  <c r="AC28" i="13"/>
  <c r="AD27" i="13"/>
  <c r="AC27" i="13"/>
  <c r="AC26" i="13"/>
  <c r="AD25" i="13"/>
  <c r="AC25" i="13"/>
  <c r="AD24" i="13"/>
  <c r="AC24" i="13"/>
  <c r="AD23" i="13"/>
  <c r="AC23" i="13"/>
  <c r="AD22" i="13"/>
  <c r="AC22" i="13"/>
  <c r="AD21" i="13"/>
  <c r="AC21" i="13"/>
  <c r="AD20" i="13"/>
  <c r="AC20" i="13"/>
  <c r="AD19" i="13"/>
  <c r="AC19" i="13"/>
  <c r="AD18" i="13"/>
  <c r="AC18" i="13"/>
  <c r="AD17" i="13"/>
  <c r="AC17" i="13"/>
  <c r="AD16" i="13"/>
  <c r="AC16" i="13"/>
  <c r="AD15" i="13"/>
  <c r="AC15" i="13"/>
  <c r="AD14" i="13"/>
  <c r="AC14" i="13"/>
  <c r="H14" i="13"/>
  <c r="G14" i="13"/>
  <c r="AD13" i="13"/>
  <c r="AC13" i="13"/>
  <c r="Z13" i="13"/>
  <c r="X13" i="13"/>
  <c r="U13" i="13"/>
  <c r="T13" i="13"/>
  <c r="S13" i="13"/>
  <c r="G13" i="13"/>
  <c r="AD12" i="13"/>
  <c r="AC12" i="13"/>
  <c r="X12" i="13"/>
  <c r="U12" i="13"/>
  <c r="V12" i="13" s="1"/>
  <c r="T12" i="13"/>
  <c r="S12" i="13"/>
  <c r="G12" i="13"/>
  <c r="E12" i="13"/>
  <c r="D12" i="13"/>
  <c r="C12" i="13"/>
  <c r="B12" i="13"/>
  <c r="AD11" i="13"/>
  <c r="AC11" i="13"/>
  <c r="X11" i="13"/>
  <c r="U11" i="13"/>
  <c r="T11" i="13"/>
  <c r="S11" i="13"/>
  <c r="G11" i="13"/>
  <c r="C11" i="13"/>
  <c r="D11" i="13" s="1"/>
  <c r="E11" i="13" s="1"/>
  <c r="B11" i="13"/>
  <c r="AD10" i="13"/>
  <c r="AC10" i="13"/>
  <c r="X10" i="13"/>
  <c r="U10" i="13"/>
  <c r="T10" i="13"/>
  <c r="V10" i="13" s="1"/>
  <c r="S10" i="13"/>
  <c r="Q10" i="13"/>
  <c r="N10" i="13"/>
  <c r="G10" i="13"/>
  <c r="C10" i="13"/>
  <c r="B10" i="13"/>
  <c r="AD9" i="13"/>
  <c r="AC9" i="13"/>
  <c r="Y9" i="13"/>
  <c r="X9" i="13"/>
  <c r="V9" i="13"/>
  <c r="U9" i="13"/>
  <c r="T9" i="13"/>
  <c r="S9" i="13"/>
  <c r="H9" i="13"/>
  <c r="G9" i="13"/>
  <c r="D9" i="13"/>
  <c r="C9" i="13"/>
  <c r="E9" i="13" s="1"/>
  <c r="B9" i="13"/>
  <c r="D8" i="13"/>
  <c r="C8" i="13"/>
  <c r="E8" i="13" s="1"/>
  <c r="B8" i="13"/>
  <c r="AD7" i="13"/>
  <c r="AC7" i="13"/>
  <c r="Z7" i="13"/>
  <c r="AA7" i="13" s="1"/>
  <c r="Y7" i="13"/>
  <c r="X7" i="13"/>
  <c r="U7" i="13"/>
  <c r="V7" i="13" s="1"/>
  <c r="T7" i="13"/>
  <c r="S7" i="13"/>
  <c r="J7" i="13"/>
  <c r="G7" i="13"/>
  <c r="B7" i="13"/>
  <c r="AD6" i="13"/>
  <c r="AC6" i="13"/>
  <c r="Y6" i="13"/>
  <c r="X6" i="13"/>
  <c r="U6" i="13"/>
  <c r="V6" i="13" s="1"/>
  <c r="T6" i="13"/>
  <c r="S6" i="13"/>
  <c r="H6" i="13"/>
  <c r="G6" i="13"/>
  <c r="C6" i="13"/>
  <c r="D6" i="13" s="1"/>
  <c r="E6" i="13" s="1"/>
  <c r="B6" i="13"/>
  <c r="AD5" i="13"/>
  <c r="AC5" i="13"/>
  <c r="Y5" i="13"/>
  <c r="X5" i="13"/>
  <c r="V5" i="13"/>
  <c r="U5" i="13"/>
  <c r="T5" i="13"/>
  <c r="S5" i="13"/>
  <c r="H5" i="13"/>
  <c r="G5" i="13"/>
  <c r="B5" i="13"/>
  <c r="N4" i="13"/>
  <c r="J4" i="13"/>
  <c r="AM192" i="12"/>
  <c r="AG192" i="12"/>
  <c r="AA192" i="12"/>
  <c r="H192" i="12"/>
  <c r="E192" i="12"/>
  <c r="W188" i="12"/>
  <c r="U188" i="12"/>
  <c r="T188" i="12"/>
  <c r="X188" i="12" s="1"/>
  <c r="Y188" i="12" s="1"/>
  <c r="R188" i="12"/>
  <c r="Q188" i="12"/>
  <c r="P188" i="12"/>
  <c r="O188" i="12"/>
  <c r="N188" i="12"/>
  <c r="M188" i="12"/>
  <c r="S188" i="12" s="1"/>
  <c r="W187" i="12"/>
  <c r="R187" i="12"/>
  <c r="Q187" i="12"/>
  <c r="P187" i="12"/>
  <c r="O187" i="12"/>
  <c r="U187" i="12" s="1"/>
  <c r="N187" i="12"/>
  <c r="T187" i="12" s="1"/>
  <c r="V187" i="12" s="1"/>
  <c r="M187" i="12"/>
  <c r="S187" i="12" s="1"/>
  <c r="W186" i="12"/>
  <c r="S186" i="12"/>
  <c r="R186" i="12"/>
  <c r="Q186" i="12"/>
  <c r="P186" i="12"/>
  <c r="O186" i="12"/>
  <c r="U186" i="12" s="1"/>
  <c r="N186" i="12"/>
  <c r="T186" i="12" s="1"/>
  <c r="V186" i="12" s="1"/>
  <c r="M186" i="12"/>
  <c r="W185" i="12"/>
  <c r="X185" i="12" s="1"/>
  <c r="Y185" i="12" s="1"/>
  <c r="T185" i="12"/>
  <c r="S185" i="12"/>
  <c r="S184" i="12" s="1"/>
  <c r="R185" i="12"/>
  <c r="Q185" i="12"/>
  <c r="P185" i="12"/>
  <c r="O185" i="12"/>
  <c r="U185" i="12" s="1"/>
  <c r="N185" i="12"/>
  <c r="M185" i="12"/>
  <c r="BL184" i="12"/>
  <c r="R184" i="12" s="1"/>
  <c r="BK184" i="12"/>
  <c r="BJ184" i="12"/>
  <c r="BI184" i="12"/>
  <c r="BH184" i="12"/>
  <c r="BG184" i="12"/>
  <c r="BF184" i="12"/>
  <c r="BE184" i="12"/>
  <c r="BD184" i="12"/>
  <c r="BC184" i="12"/>
  <c r="BB184" i="12"/>
  <c r="BA184" i="12"/>
  <c r="AZ184" i="12"/>
  <c r="AY184" i="12"/>
  <c r="AX184" i="12"/>
  <c r="AW184" i="12"/>
  <c r="AV184" i="12"/>
  <c r="AU184" i="12"/>
  <c r="AT184" i="12"/>
  <c r="AS184" i="12"/>
  <c r="AR184" i="12"/>
  <c r="AQ184" i="12"/>
  <c r="AP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AC184" i="12"/>
  <c r="P184" i="12" s="1"/>
  <c r="AB184" i="12"/>
  <c r="AA184" i="12"/>
  <c r="Z184" i="12"/>
  <c r="Q184" i="12"/>
  <c r="N184" i="12"/>
  <c r="M184" i="12"/>
  <c r="L184" i="12"/>
  <c r="K184" i="12"/>
  <c r="J184" i="12"/>
  <c r="I184" i="12"/>
  <c r="H184" i="12"/>
  <c r="E184" i="12"/>
  <c r="Y184" i="12" s="1"/>
  <c r="W183" i="12"/>
  <c r="U183" i="12"/>
  <c r="T183" i="12"/>
  <c r="X183" i="12" s="1"/>
  <c r="Y183" i="12" s="1"/>
  <c r="R183" i="12"/>
  <c r="Q183" i="12"/>
  <c r="P183" i="12"/>
  <c r="O183" i="12"/>
  <c r="N183" i="12"/>
  <c r="M183" i="12"/>
  <c r="S183" i="12" s="1"/>
  <c r="W182" i="12"/>
  <c r="U182" i="12"/>
  <c r="R182" i="12"/>
  <c r="Q182" i="12"/>
  <c r="P182" i="12"/>
  <c r="O182" i="12"/>
  <c r="N182" i="12"/>
  <c r="T182" i="12" s="1"/>
  <c r="V182" i="12" s="1"/>
  <c r="M182" i="12"/>
  <c r="S182" i="12" s="1"/>
  <c r="W181" i="12"/>
  <c r="S181" i="12"/>
  <c r="R181" i="12"/>
  <c r="Q181" i="12"/>
  <c r="P181" i="12"/>
  <c r="O181" i="12"/>
  <c r="U181" i="12" s="1"/>
  <c r="N181" i="12"/>
  <c r="T181" i="12" s="1"/>
  <c r="V181" i="12" s="1"/>
  <c r="M181" i="12"/>
  <c r="W180" i="12"/>
  <c r="X180" i="12" s="1"/>
  <c r="Y180" i="12" s="1"/>
  <c r="T180" i="12"/>
  <c r="V180" i="12" s="1"/>
  <c r="S180" i="12"/>
  <c r="R180" i="12"/>
  <c r="Q180" i="12"/>
  <c r="P180" i="12"/>
  <c r="O180" i="12"/>
  <c r="U180" i="12" s="1"/>
  <c r="U177" i="12" s="1"/>
  <c r="N180" i="12"/>
  <c r="M180" i="12"/>
  <c r="W179" i="12"/>
  <c r="U179" i="12"/>
  <c r="T179" i="12"/>
  <c r="X179" i="12" s="1"/>
  <c r="Y179" i="12" s="1"/>
  <c r="R179" i="12"/>
  <c r="Q179" i="12"/>
  <c r="P179" i="12"/>
  <c r="O179" i="12"/>
  <c r="N179" i="12"/>
  <c r="M179" i="12"/>
  <c r="S179" i="12" s="1"/>
  <c r="W178" i="12"/>
  <c r="X178" i="12" s="1"/>
  <c r="Y178" i="12" s="1"/>
  <c r="U178" i="12"/>
  <c r="R178" i="12"/>
  <c r="Q178" i="12"/>
  <c r="P178" i="12"/>
  <c r="O178" i="12"/>
  <c r="N178" i="12"/>
  <c r="T178" i="12" s="1"/>
  <c r="M178" i="12"/>
  <c r="S178" i="12" s="1"/>
  <c r="S177" i="12" s="1"/>
  <c r="BL177" i="12"/>
  <c r="BK177" i="12"/>
  <c r="BJ177" i="12"/>
  <c r="P177" i="12" s="1"/>
  <c r="BI177" i="12"/>
  <c r="BH177" i="12"/>
  <c r="BG177" i="12"/>
  <c r="BF177" i="12"/>
  <c r="BE177" i="12"/>
  <c r="BD177" i="12"/>
  <c r="BC177" i="12"/>
  <c r="BB177" i="12"/>
  <c r="BA177" i="12"/>
  <c r="AZ177" i="12"/>
  <c r="AY177" i="12"/>
  <c r="AX177" i="12"/>
  <c r="AW177" i="12"/>
  <c r="AV177" i="12"/>
  <c r="AU177" i="12"/>
  <c r="AT177" i="12"/>
  <c r="AS177" i="12"/>
  <c r="AR177" i="12"/>
  <c r="AQ177" i="12"/>
  <c r="AP177" i="12"/>
  <c r="AO177" i="12"/>
  <c r="AN177" i="12"/>
  <c r="AM177" i="12"/>
  <c r="AL177" i="12"/>
  <c r="AK177" i="12"/>
  <c r="AJ177" i="12"/>
  <c r="AI177" i="12"/>
  <c r="AH177" i="12"/>
  <c r="AG177" i="12"/>
  <c r="AF177" i="12"/>
  <c r="AE177" i="12"/>
  <c r="AD177" i="12"/>
  <c r="Q177" i="12" s="1"/>
  <c r="AC177" i="12"/>
  <c r="AB177" i="12"/>
  <c r="AA177" i="12"/>
  <c r="Z177" i="12"/>
  <c r="W177" i="12"/>
  <c r="R177" i="12"/>
  <c r="N177" i="12"/>
  <c r="M177" i="12"/>
  <c r="L177" i="12"/>
  <c r="K177" i="12"/>
  <c r="J177" i="12"/>
  <c r="I177" i="12"/>
  <c r="H177" i="12"/>
  <c r="E177" i="12"/>
  <c r="W176" i="12"/>
  <c r="U176" i="12"/>
  <c r="T176" i="12"/>
  <c r="X176" i="12" s="1"/>
  <c r="Y176" i="12" s="1"/>
  <c r="R176" i="12"/>
  <c r="Q176" i="12"/>
  <c r="P176" i="12"/>
  <c r="O176" i="12"/>
  <c r="N176" i="12"/>
  <c r="M176" i="12"/>
  <c r="S176" i="12" s="1"/>
  <c r="F176" i="12"/>
  <c r="W175" i="12"/>
  <c r="S175" i="12"/>
  <c r="R175" i="12"/>
  <c r="Q175" i="12"/>
  <c r="P175" i="12"/>
  <c r="O175" i="12"/>
  <c r="U175" i="12" s="1"/>
  <c r="N175" i="12"/>
  <c r="T175" i="12" s="1"/>
  <c r="V175" i="12" s="1"/>
  <c r="M175" i="12"/>
  <c r="W174" i="12"/>
  <c r="X174" i="12" s="1"/>
  <c r="Y174" i="12" s="1"/>
  <c r="T174" i="12"/>
  <c r="V174" i="12" s="1"/>
  <c r="S174" i="12"/>
  <c r="R174" i="12"/>
  <c r="Q174" i="12"/>
  <c r="P174" i="12"/>
  <c r="O174" i="12"/>
  <c r="U174" i="12" s="1"/>
  <c r="N174" i="12"/>
  <c r="M174" i="12"/>
  <c r="F174" i="12"/>
  <c r="W173" i="12"/>
  <c r="U173" i="12"/>
  <c r="R173" i="12"/>
  <c r="Q173" i="12"/>
  <c r="P173" i="12"/>
  <c r="O173" i="12"/>
  <c r="N173" i="12"/>
  <c r="T173" i="12" s="1"/>
  <c r="M173" i="12"/>
  <c r="M170" i="12" s="1"/>
  <c r="M169" i="12" s="1"/>
  <c r="F173" i="12"/>
  <c r="X172" i="12"/>
  <c r="Y172" i="12" s="1"/>
  <c r="W172" i="12"/>
  <c r="V172" i="12"/>
  <c r="N172" i="12"/>
  <c r="F172" i="12"/>
  <c r="Y171" i="12"/>
  <c r="X171" i="12"/>
  <c r="W171" i="12"/>
  <c r="V171" i="12"/>
  <c r="N171" i="12"/>
  <c r="F171" i="12"/>
  <c r="BL170" i="12"/>
  <c r="BK170" i="12"/>
  <c r="Q170" i="12" s="1"/>
  <c r="BJ170" i="12"/>
  <c r="P170" i="12" s="1"/>
  <c r="BI170" i="12"/>
  <c r="BH170" i="12"/>
  <c r="BG170" i="12"/>
  <c r="BG169" i="12" s="1"/>
  <c r="BG160" i="12" s="1"/>
  <c r="BF170" i="12"/>
  <c r="BE170" i="12"/>
  <c r="BD170" i="12"/>
  <c r="BC170" i="12"/>
  <c r="BC169" i="12" s="1"/>
  <c r="BC160" i="12" s="1"/>
  <c r="BB170" i="12"/>
  <c r="BA170" i="12"/>
  <c r="AZ170" i="12"/>
  <c r="AY170" i="12"/>
  <c r="AY169" i="12" s="1"/>
  <c r="AY160" i="12" s="1"/>
  <c r="AX170" i="12"/>
  <c r="AW170" i="12"/>
  <c r="AV170" i="12"/>
  <c r="AU170" i="12"/>
  <c r="AU169" i="12" s="1"/>
  <c r="AU160" i="12" s="1"/>
  <c r="AT170" i="12"/>
  <c r="AS170" i="12"/>
  <c r="AR170" i="12"/>
  <c r="AQ170" i="12"/>
  <c r="AQ169" i="12" s="1"/>
  <c r="AQ160" i="12" s="1"/>
  <c r="AP170" i="12"/>
  <c r="AO170" i="12"/>
  <c r="AN170" i="12"/>
  <c r="AM170" i="12"/>
  <c r="AM169" i="12" s="1"/>
  <c r="AM160" i="12" s="1"/>
  <c r="AL170" i="12"/>
  <c r="AK170" i="12"/>
  <c r="AJ170" i="12"/>
  <c r="AI170" i="12"/>
  <c r="AI169" i="12" s="1"/>
  <c r="AI160" i="12" s="1"/>
  <c r="AH170" i="12"/>
  <c r="AG170" i="12"/>
  <c r="AF170" i="12"/>
  <c r="AE170" i="12"/>
  <c r="AE169" i="12" s="1"/>
  <c r="AD170" i="12"/>
  <c r="AC170" i="12"/>
  <c r="AB170" i="12"/>
  <c r="AA170" i="12"/>
  <c r="AA169" i="12" s="1"/>
  <c r="AA160" i="12" s="1"/>
  <c r="Z170" i="12"/>
  <c r="W170" i="12"/>
  <c r="R170" i="12"/>
  <c r="O170" i="12"/>
  <c r="N170" i="12"/>
  <c r="L170" i="12"/>
  <c r="K170" i="12"/>
  <c r="K169" i="12" s="1"/>
  <c r="J170" i="12"/>
  <c r="I170" i="12"/>
  <c r="H170" i="12"/>
  <c r="F170" i="12"/>
  <c r="F169" i="12" s="1"/>
  <c r="E170" i="12"/>
  <c r="BL169" i="12"/>
  <c r="BJ169" i="12"/>
  <c r="P169" i="12" s="1"/>
  <c r="BI169" i="12"/>
  <c r="BH169" i="12"/>
  <c r="BF169" i="12"/>
  <c r="BE169" i="12"/>
  <c r="BD169" i="12"/>
  <c r="BB169" i="12"/>
  <c r="BA169" i="12"/>
  <c r="AZ169" i="12"/>
  <c r="AX169" i="12"/>
  <c r="AW169" i="12"/>
  <c r="AV169" i="12"/>
  <c r="AT169" i="12"/>
  <c r="AS169" i="12"/>
  <c r="AR169" i="12"/>
  <c r="AP169" i="12"/>
  <c r="AO169" i="12"/>
  <c r="AN169" i="12"/>
  <c r="AL169" i="12"/>
  <c r="AK169" i="12"/>
  <c r="AJ169" i="12"/>
  <c r="W169" i="12" s="1"/>
  <c r="AH169" i="12"/>
  <c r="AG169" i="12"/>
  <c r="AF169" i="12"/>
  <c r="AD169" i="12"/>
  <c r="AC169" i="12"/>
  <c r="AB169" i="12"/>
  <c r="Z169" i="12"/>
  <c r="N169" i="12"/>
  <c r="L169" i="12"/>
  <c r="J169" i="12"/>
  <c r="I169" i="12"/>
  <c r="H169" i="12"/>
  <c r="E169" i="12"/>
  <c r="W168" i="12"/>
  <c r="U168" i="12"/>
  <c r="S168" i="12"/>
  <c r="R168" i="12"/>
  <c r="Q168" i="12"/>
  <c r="P168" i="12"/>
  <c r="O168" i="12"/>
  <c r="N168" i="12"/>
  <c r="T168" i="12" s="1"/>
  <c r="W167" i="12"/>
  <c r="U167" i="12"/>
  <c r="R167" i="12"/>
  <c r="Q167" i="12"/>
  <c r="P167" i="12"/>
  <c r="O167" i="12"/>
  <c r="N167" i="12"/>
  <c r="T167" i="12" s="1"/>
  <c r="M167" i="12"/>
  <c r="S167" i="12" s="1"/>
  <c r="S166" i="12" s="1"/>
  <c r="BL166" i="12"/>
  <c r="BK166" i="12"/>
  <c r="BJ166" i="12"/>
  <c r="P166" i="12" s="1"/>
  <c r="BI166" i="12"/>
  <c r="BH166" i="12"/>
  <c r="BG166" i="12"/>
  <c r="BF166" i="12"/>
  <c r="BE166" i="12"/>
  <c r="BD166" i="12"/>
  <c r="BC166" i="12"/>
  <c r="BB166" i="12"/>
  <c r="BA166" i="12"/>
  <c r="AZ166" i="12"/>
  <c r="AY166" i="12"/>
  <c r="AX166" i="12"/>
  <c r="AW166" i="12"/>
  <c r="AV166" i="12"/>
  <c r="AU166" i="12"/>
  <c r="AT166" i="12"/>
  <c r="AS166" i="12"/>
  <c r="AR166" i="12"/>
  <c r="AQ166" i="12"/>
  <c r="AP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AC166" i="12"/>
  <c r="AB166" i="12"/>
  <c r="AA166" i="12"/>
  <c r="Z166" i="12"/>
  <c r="W166" i="12"/>
  <c r="U166" i="12"/>
  <c r="R166" i="12"/>
  <c r="Q166" i="12"/>
  <c r="O166" i="12"/>
  <c r="N166" i="12"/>
  <c r="M166" i="12"/>
  <c r="L166" i="12"/>
  <c r="K166" i="12"/>
  <c r="J166" i="12"/>
  <c r="I166" i="12"/>
  <c r="H166" i="12"/>
  <c r="E166" i="12"/>
  <c r="W165" i="12"/>
  <c r="U165" i="12"/>
  <c r="T165" i="12"/>
  <c r="X165" i="12" s="1"/>
  <c r="Y165" i="12" s="1"/>
  <c r="R165" i="12"/>
  <c r="Q165" i="12"/>
  <c r="P165" i="12"/>
  <c r="O165" i="12"/>
  <c r="N165" i="12"/>
  <c r="M165" i="12"/>
  <c r="S165" i="12" s="1"/>
  <c r="F165" i="12"/>
  <c r="W164" i="12"/>
  <c r="S164" i="12"/>
  <c r="R164" i="12"/>
  <c r="Q164" i="12"/>
  <c r="P164" i="12"/>
  <c r="O164" i="12"/>
  <c r="U164" i="12" s="1"/>
  <c r="U162" i="12" s="1"/>
  <c r="U161" i="12" s="1"/>
  <c r="N164" i="12"/>
  <c r="T164" i="12" s="1"/>
  <c r="V164" i="12" s="1"/>
  <c r="M164" i="12"/>
  <c r="F164" i="12"/>
  <c r="X163" i="12"/>
  <c r="Y163" i="12" s="1"/>
  <c r="W163" i="12"/>
  <c r="U163" i="12"/>
  <c r="T163" i="12"/>
  <c r="R163" i="12"/>
  <c r="Q163" i="12"/>
  <c r="P163" i="12"/>
  <c r="O163" i="12"/>
  <c r="N163" i="12"/>
  <c r="M163" i="12"/>
  <c r="S163" i="12" s="1"/>
  <c r="S162" i="12" s="1"/>
  <c r="S161" i="12" s="1"/>
  <c r="F163" i="12"/>
  <c r="F162" i="12" s="1"/>
  <c r="F161" i="12" s="1"/>
  <c r="BL162" i="12"/>
  <c r="BK162" i="12"/>
  <c r="BJ162" i="12"/>
  <c r="BJ161" i="12" s="1"/>
  <c r="BI162" i="12"/>
  <c r="BH162" i="12"/>
  <c r="BG162" i="12"/>
  <c r="BF162" i="12"/>
  <c r="BF161" i="12" s="1"/>
  <c r="BF160" i="12" s="1"/>
  <c r="BE162" i="12"/>
  <c r="BD162" i="12"/>
  <c r="BC162" i="12"/>
  <c r="BB162" i="12"/>
  <c r="BB161" i="12" s="1"/>
  <c r="BB160" i="12" s="1"/>
  <c r="BA162" i="12"/>
  <c r="AZ162" i="12"/>
  <c r="AY162" i="12"/>
  <c r="AX162" i="12"/>
  <c r="AX161" i="12" s="1"/>
  <c r="AX160" i="12" s="1"/>
  <c r="AW162" i="12"/>
  <c r="AV162" i="12"/>
  <c r="AU162" i="12"/>
  <c r="AT162" i="12"/>
  <c r="AT161" i="12" s="1"/>
  <c r="AT160" i="12" s="1"/>
  <c r="AS162" i="12"/>
  <c r="AR162" i="12"/>
  <c r="AQ162" i="12"/>
  <c r="AP162" i="12"/>
  <c r="AP161" i="12" s="1"/>
  <c r="AP160" i="12" s="1"/>
  <c r="AO162" i="12"/>
  <c r="AN162" i="12"/>
  <c r="AM162" i="12"/>
  <c r="AL162" i="12"/>
  <c r="AL161" i="12" s="1"/>
  <c r="AL160" i="12" s="1"/>
  <c r="AK162" i="12"/>
  <c r="AJ162" i="12"/>
  <c r="W162" i="12" s="1"/>
  <c r="AI162" i="12"/>
  <c r="AH162" i="12"/>
  <c r="AH161" i="12" s="1"/>
  <c r="AH160" i="12" s="1"/>
  <c r="AG162" i="12"/>
  <c r="AF162" i="12"/>
  <c r="AE162" i="12"/>
  <c r="AD162" i="12"/>
  <c r="AD161" i="12" s="1"/>
  <c r="AC162" i="12"/>
  <c r="AB162" i="12"/>
  <c r="AA162" i="12"/>
  <c r="Z162" i="12"/>
  <c r="Z161" i="12" s="1"/>
  <c r="Z160" i="12" s="1"/>
  <c r="R162" i="12"/>
  <c r="N162" i="12"/>
  <c r="N161" i="12" s="1"/>
  <c r="N160" i="12" s="1"/>
  <c r="M162" i="12"/>
  <c r="L162" i="12"/>
  <c r="K162" i="12"/>
  <c r="J162" i="12"/>
  <c r="J161" i="12" s="1"/>
  <c r="J160" i="12" s="1"/>
  <c r="I162" i="12"/>
  <c r="H162" i="12"/>
  <c r="E162" i="12"/>
  <c r="E161" i="12" s="1"/>
  <c r="BL161" i="12"/>
  <c r="BK161" i="12"/>
  <c r="BI161" i="12"/>
  <c r="BI160" i="12" s="1"/>
  <c r="BH161" i="12"/>
  <c r="BG161" i="12"/>
  <c r="BE161" i="12"/>
  <c r="BE160" i="12" s="1"/>
  <c r="BD161" i="12"/>
  <c r="BC161" i="12"/>
  <c r="BA161" i="12"/>
  <c r="BA160" i="12" s="1"/>
  <c r="AZ161" i="12"/>
  <c r="AY161" i="12"/>
  <c r="AW161" i="12"/>
  <c r="AW160" i="12" s="1"/>
  <c r="AV161" i="12"/>
  <c r="AU161" i="12"/>
  <c r="AS161" i="12"/>
  <c r="AS160" i="12" s="1"/>
  <c r="AR161" i="12"/>
  <c r="AQ161" i="12"/>
  <c r="AO161" i="12"/>
  <c r="AO160" i="12" s="1"/>
  <c r="AN161" i="12"/>
  <c r="AM161" i="12"/>
  <c r="AK161" i="12"/>
  <c r="AK160" i="12" s="1"/>
  <c r="AJ161" i="12"/>
  <c r="W161" i="12" s="1"/>
  <c r="AI161" i="12"/>
  <c r="AG161" i="12"/>
  <c r="AG160" i="12" s="1"/>
  <c r="AF161" i="12"/>
  <c r="AE161" i="12"/>
  <c r="AC161" i="12"/>
  <c r="AC160" i="12" s="1"/>
  <c r="AB161" i="12"/>
  <c r="AA161" i="12"/>
  <c r="M161" i="12"/>
  <c r="M160" i="12" s="1"/>
  <c r="L161" i="12"/>
  <c r="L160" i="12" s="1"/>
  <c r="K161" i="12"/>
  <c r="K160" i="12" s="1"/>
  <c r="I161" i="12"/>
  <c r="H161" i="12"/>
  <c r="H160" i="12" s="1"/>
  <c r="BL160" i="12"/>
  <c r="BH160" i="12"/>
  <c r="BD160" i="12"/>
  <c r="AZ160" i="12"/>
  <c r="AV160" i="12"/>
  <c r="AR160" i="12"/>
  <c r="AN160" i="12"/>
  <c r="AJ160" i="12"/>
  <c r="AF160" i="12"/>
  <c r="AB160" i="12"/>
  <c r="I160" i="12"/>
  <c r="W159" i="12"/>
  <c r="U159" i="12"/>
  <c r="S159" i="12"/>
  <c r="Q159" i="12"/>
  <c r="P159" i="12"/>
  <c r="N159" i="12"/>
  <c r="T159" i="12" s="1"/>
  <c r="M159" i="12"/>
  <c r="Y158" i="12"/>
  <c r="X158" i="12"/>
  <c r="W158" i="12"/>
  <c r="U158" i="12"/>
  <c r="T158" i="12"/>
  <c r="V158" i="12" s="1"/>
  <c r="R158" i="12"/>
  <c r="Q158" i="12"/>
  <c r="P158" i="12"/>
  <c r="O158" i="12"/>
  <c r="N158" i="12"/>
  <c r="M158" i="12"/>
  <c r="S158" i="12" s="1"/>
  <c r="W157" i="12"/>
  <c r="U157" i="12"/>
  <c r="R157" i="12"/>
  <c r="Q157" i="12"/>
  <c r="P157" i="12"/>
  <c r="O157" i="12"/>
  <c r="N157" i="12"/>
  <c r="T157" i="12" s="1"/>
  <c r="M157" i="12"/>
  <c r="S157" i="12" s="1"/>
  <c r="W156" i="12"/>
  <c r="X156" i="12" s="1"/>
  <c r="Y156" i="12" s="1"/>
  <c r="S156" i="12"/>
  <c r="R156" i="12"/>
  <c r="Q156" i="12"/>
  <c r="P156" i="12"/>
  <c r="O156" i="12"/>
  <c r="U156" i="12" s="1"/>
  <c r="U155" i="12" s="1"/>
  <c r="N156" i="12"/>
  <c r="T156" i="12" s="1"/>
  <c r="M156" i="12"/>
  <c r="BL155" i="12"/>
  <c r="BK155" i="12"/>
  <c r="Q155" i="12" s="1"/>
  <c r="BJ155" i="12"/>
  <c r="P155" i="12" s="1"/>
  <c r="BI155" i="12"/>
  <c r="BH155" i="12"/>
  <c r="BG155" i="12"/>
  <c r="BF155" i="12"/>
  <c r="BE155" i="12"/>
  <c r="BD155" i="12"/>
  <c r="BC155" i="12"/>
  <c r="BB155" i="12"/>
  <c r="BA155" i="12"/>
  <c r="AZ155" i="12"/>
  <c r="AY155" i="12"/>
  <c r="AX155" i="12"/>
  <c r="AW155" i="12"/>
  <c r="AV155" i="12"/>
  <c r="AU155" i="12"/>
  <c r="AT155" i="12"/>
  <c r="AS155" i="12"/>
  <c r="AR155" i="12"/>
  <c r="AQ155" i="12"/>
  <c r="AP155" i="12"/>
  <c r="AO155" i="12"/>
  <c r="AN155" i="12"/>
  <c r="AM155" i="12"/>
  <c r="AL155" i="12"/>
  <c r="AK155" i="12"/>
  <c r="AJ155" i="12"/>
  <c r="W155" i="12" s="1"/>
  <c r="AI155" i="12"/>
  <c r="AH155" i="12"/>
  <c r="AG155" i="12"/>
  <c r="AF155" i="12"/>
  <c r="AE155" i="12"/>
  <c r="AD155" i="12"/>
  <c r="AC155" i="12"/>
  <c r="AB155" i="12"/>
  <c r="AA155" i="12"/>
  <c r="Z155" i="12"/>
  <c r="Y155" i="12"/>
  <c r="R155" i="12"/>
  <c r="N155" i="12"/>
  <c r="M155" i="12"/>
  <c r="L155" i="12"/>
  <c r="K155" i="12"/>
  <c r="J155" i="12"/>
  <c r="I155" i="12"/>
  <c r="H155" i="12"/>
  <c r="E155" i="12"/>
  <c r="X154" i="12"/>
  <c r="Y154" i="12" s="1"/>
  <c r="W154" i="12"/>
  <c r="U154" i="12"/>
  <c r="T154" i="12"/>
  <c r="V154" i="12" s="1"/>
  <c r="R154" i="12"/>
  <c r="Q154" i="12"/>
  <c r="P154" i="12"/>
  <c r="O154" i="12"/>
  <c r="N154" i="12"/>
  <c r="M154" i="12"/>
  <c r="S154" i="12" s="1"/>
  <c r="W153" i="12"/>
  <c r="U153" i="12"/>
  <c r="R153" i="12"/>
  <c r="Q153" i="12"/>
  <c r="P153" i="12"/>
  <c r="O153" i="12"/>
  <c r="N153" i="12"/>
  <c r="T153" i="12" s="1"/>
  <c r="M153" i="12"/>
  <c r="S153" i="12" s="1"/>
  <c r="W152" i="12"/>
  <c r="X152" i="12" s="1"/>
  <c r="Y152" i="12" s="1"/>
  <c r="S152" i="12"/>
  <c r="R152" i="12"/>
  <c r="Q152" i="12"/>
  <c r="P152" i="12"/>
  <c r="O152" i="12"/>
  <c r="U152" i="12" s="1"/>
  <c r="U151" i="12" s="1"/>
  <c r="N152" i="12"/>
  <c r="T152" i="12" s="1"/>
  <c r="M152" i="12"/>
  <c r="BL151" i="12"/>
  <c r="BK151" i="12"/>
  <c r="Q151" i="12" s="1"/>
  <c r="BJ151" i="12"/>
  <c r="P151" i="12" s="1"/>
  <c r="BI151" i="12"/>
  <c r="BH151" i="12"/>
  <c r="BG151" i="12"/>
  <c r="BF151" i="12"/>
  <c r="BE151" i="12"/>
  <c r="BD151" i="12"/>
  <c r="BC151" i="12"/>
  <c r="BB151" i="12"/>
  <c r="BA151" i="12"/>
  <c r="AZ151" i="12"/>
  <c r="AY151" i="12"/>
  <c r="AX151" i="12"/>
  <c r="AW151" i="12"/>
  <c r="AV151" i="12"/>
  <c r="AU151" i="12"/>
  <c r="AT151" i="12"/>
  <c r="AS151" i="12"/>
  <c r="AR151" i="12"/>
  <c r="AQ151" i="12"/>
  <c r="AP151" i="12"/>
  <c r="AO151" i="12"/>
  <c r="AN151" i="12"/>
  <c r="AM151" i="12"/>
  <c r="AL151" i="12"/>
  <c r="AK151" i="12"/>
  <c r="AJ151" i="12"/>
  <c r="W151" i="12" s="1"/>
  <c r="AI151" i="12"/>
  <c r="AH151" i="12"/>
  <c r="AG151" i="12"/>
  <c r="AF151" i="12"/>
  <c r="AE151" i="12"/>
  <c r="AD151" i="12"/>
  <c r="AC151" i="12"/>
  <c r="AB151" i="12"/>
  <c r="AA151" i="12"/>
  <c r="Z151" i="12"/>
  <c r="Y151" i="12"/>
  <c r="R151" i="12"/>
  <c r="N151" i="12"/>
  <c r="M151" i="12"/>
  <c r="L151" i="12"/>
  <c r="K151" i="12"/>
  <c r="J151" i="12"/>
  <c r="I151" i="12"/>
  <c r="H151" i="12"/>
  <c r="E151" i="12"/>
  <c r="X150" i="12"/>
  <c r="Y150" i="12" s="1"/>
  <c r="W150" i="12"/>
  <c r="U150" i="12"/>
  <c r="T150" i="12"/>
  <c r="V150" i="12" s="1"/>
  <c r="R150" i="12"/>
  <c r="Q150" i="12"/>
  <c r="P150" i="12"/>
  <c r="O150" i="12"/>
  <c r="N150" i="12"/>
  <c r="M150" i="12"/>
  <c r="M146" i="12" s="1"/>
  <c r="Y149" i="12"/>
  <c r="X149" i="12"/>
  <c r="W149" i="12"/>
  <c r="V149" i="12"/>
  <c r="R149" i="12"/>
  <c r="Q149" i="12"/>
  <c r="P149" i="12"/>
  <c r="O149" i="12"/>
  <c r="N149" i="12"/>
  <c r="W148" i="12"/>
  <c r="S148" i="12"/>
  <c r="R148" i="12"/>
  <c r="Q148" i="12"/>
  <c r="P148" i="12"/>
  <c r="O148" i="12"/>
  <c r="U148" i="12" s="1"/>
  <c r="N148" i="12"/>
  <c r="N146" i="12" s="1"/>
  <c r="M148" i="12"/>
  <c r="X147" i="12"/>
  <c r="Y147" i="12" s="1"/>
  <c r="W147" i="12"/>
  <c r="T147" i="12"/>
  <c r="V147" i="12" s="1"/>
  <c r="S147" i="12"/>
  <c r="R147" i="12"/>
  <c r="Q147" i="12"/>
  <c r="P147" i="12"/>
  <c r="O147" i="12"/>
  <c r="U147" i="12" s="1"/>
  <c r="N147" i="12"/>
  <c r="M147" i="12"/>
  <c r="BL146" i="12"/>
  <c r="R146" i="12" s="1"/>
  <c r="BK146" i="12"/>
  <c r="Q146" i="12" s="1"/>
  <c r="BJ146" i="12"/>
  <c r="BI146" i="12"/>
  <c r="BH146" i="12"/>
  <c r="BG146" i="12"/>
  <c r="BF146" i="12"/>
  <c r="BE146" i="12"/>
  <c r="BD146" i="12"/>
  <c r="BC146" i="12"/>
  <c r="BB146" i="12"/>
  <c r="BA146" i="12"/>
  <c r="AZ146" i="12"/>
  <c r="AY146" i="12"/>
  <c r="AX146" i="12"/>
  <c r="AW146" i="12"/>
  <c r="AV146" i="12"/>
  <c r="AU146" i="12"/>
  <c r="AT146" i="12"/>
  <c r="AS146" i="12"/>
  <c r="AR146" i="12"/>
  <c r="P146" i="12" s="1"/>
  <c r="AQ146" i="12"/>
  <c r="AP146" i="12"/>
  <c r="AO146" i="12"/>
  <c r="AN146" i="12"/>
  <c r="AM146" i="12"/>
  <c r="AL146" i="12"/>
  <c r="AK146" i="12"/>
  <c r="AJ146" i="12"/>
  <c r="W146" i="12" s="1"/>
  <c r="AI146" i="12"/>
  <c r="AH146" i="12"/>
  <c r="AG146" i="12"/>
  <c r="AF146" i="12"/>
  <c r="AE146" i="12"/>
  <c r="AD146" i="12"/>
  <c r="AC146" i="12"/>
  <c r="AB146" i="12"/>
  <c r="AA146" i="12"/>
  <c r="Z146" i="12"/>
  <c r="O146" i="12"/>
  <c r="L146" i="12"/>
  <c r="K146" i="12"/>
  <c r="J146" i="12"/>
  <c r="I146" i="12"/>
  <c r="H146" i="12"/>
  <c r="E146" i="12"/>
  <c r="AG145" i="12"/>
  <c r="Q145" i="12" s="1"/>
  <c r="X145" i="12"/>
  <c r="Y145" i="12" s="1"/>
  <c r="W145" i="12"/>
  <c r="V145" i="12"/>
  <c r="P145" i="12"/>
  <c r="O145" i="12"/>
  <c r="N145" i="12"/>
  <c r="X144" i="12"/>
  <c r="Y144" i="12" s="1"/>
  <c r="W144" i="12"/>
  <c r="T144" i="12"/>
  <c r="V144" i="12" s="1"/>
  <c r="S144" i="12"/>
  <c r="R144" i="12"/>
  <c r="Q144" i="12"/>
  <c r="P144" i="12"/>
  <c r="O144" i="12"/>
  <c r="O141" i="12" s="1"/>
  <c r="N144" i="12"/>
  <c r="M144" i="12"/>
  <c r="X143" i="12"/>
  <c r="Y143" i="12" s="1"/>
  <c r="W143" i="12"/>
  <c r="U143" i="12"/>
  <c r="T143" i="12"/>
  <c r="V143" i="12" s="1"/>
  <c r="R143" i="12"/>
  <c r="Q143" i="12"/>
  <c r="P143" i="12"/>
  <c r="O143" i="12"/>
  <c r="N143" i="12"/>
  <c r="M143" i="12"/>
  <c r="S143" i="12" s="1"/>
  <c r="W142" i="12"/>
  <c r="U142" i="12"/>
  <c r="R142" i="12"/>
  <c r="Q142" i="12"/>
  <c r="P142" i="12"/>
  <c r="O142" i="12"/>
  <c r="N142" i="12"/>
  <c r="M142" i="12"/>
  <c r="BL141" i="12"/>
  <c r="BK141" i="12"/>
  <c r="BJ141" i="12"/>
  <c r="BI141" i="12"/>
  <c r="BH141" i="12"/>
  <c r="BG141" i="12"/>
  <c r="BF141" i="12"/>
  <c r="BF120" i="12" s="1"/>
  <c r="BF97" i="12" s="1"/>
  <c r="BE141" i="12"/>
  <c r="BD141" i="12"/>
  <c r="BC141" i="12"/>
  <c r="BB141" i="12"/>
  <c r="BA141" i="12"/>
  <c r="AZ141" i="12"/>
  <c r="AY141" i="12"/>
  <c r="AX141" i="12"/>
  <c r="AX120" i="12" s="1"/>
  <c r="AX97" i="12" s="1"/>
  <c r="AW141" i="12"/>
  <c r="AV141" i="12"/>
  <c r="AU141" i="12"/>
  <c r="AT141" i="12"/>
  <c r="AS141" i="12"/>
  <c r="AR141" i="12"/>
  <c r="AQ141" i="12"/>
  <c r="AP141" i="12"/>
  <c r="AP120" i="12" s="1"/>
  <c r="AP97" i="12" s="1"/>
  <c r="AO141" i="12"/>
  <c r="AN141" i="12"/>
  <c r="AM141" i="12"/>
  <c r="AL141" i="12"/>
  <c r="AK141" i="12"/>
  <c r="AJ141" i="12"/>
  <c r="W141" i="12" s="1"/>
  <c r="AI141" i="12"/>
  <c r="AH141" i="12"/>
  <c r="AG141" i="12"/>
  <c r="AF141" i="12"/>
  <c r="AE141" i="12"/>
  <c r="AD141" i="12"/>
  <c r="AC141" i="12"/>
  <c r="AB141" i="12"/>
  <c r="AA141" i="12"/>
  <c r="Z141" i="12"/>
  <c r="Z120" i="12" s="1"/>
  <c r="Z97" i="12" s="1"/>
  <c r="L141" i="12"/>
  <c r="K141" i="12"/>
  <c r="J141" i="12"/>
  <c r="J120" i="12" s="1"/>
  <c r="I141" i="12"/>
  <c r="H141" i="12"/>
  <c r="E141" i="12"/>
  <c r="W140" i="12"/>
  <c r="U140" i="12"/>
  <c r="T140" i="12"/>
  <c r="R140" i="12"/>
  <c r="Q140" i="12"/>
  <c r="P140" i="12"/>
  <c r="O140" i="12"/>
  <c r="N140" i="12"/>
  <c r="M140" i="12"/>
  <c r="S140" i="12" s="1"/>
  <c r="W139" i="12"/>
  <c r="V139" i="12"/>
  <c r="U139" i="12"/>
  <c r="R139" i="12"/>
  <c r="Q139" i="12"/>
  <c r="P139" i="12"/>
  <c r="O139" i="12"/>
  <c r="N139" i="12"/>
  <c r="T139" i="12" s="1"/>
  <c r="M139" i="12"/>
  <c r="S139" i="12" s="1"/>
  <c r="AJ138" i="12"/>
  <c r="AJ137" i="12" s="1"/>
  <c r="AG138" i="12"/>
  <c r="AG137" i="12" s="1"/>
  <c r="S138" i="12"/>
  <c r="R138" i="12"/>
  <c r="P138" i="12"/>
  <c r="O138" i="12"/>
  <c r="U138" i="12" s="1"/>
  <c r="U137" i="12" s="1"/>
  <c r="M138" i="12"/>
  <c r="BL137" i="12"/>
  <c r="BK137" i="12"/>
  <c r="BJ137" i="12"/>
  <c r="BI137" i="12"/>
  <c r="BH137" i="12"/>
  <c r="BG137" i="12"/>
  <c r="BG120" i="12" s="1"/>
  <c r="BF137" i="12"/>
  <c r="BE137" i="12"/>
  <c r="BD137" i="12"/>
  <c r="BC137" i="12"/>
  <c r="BB137" i="12"/>
  <c r="BA137" i="12"/>
  <c r="AZ137" i="12"/>
  <c r="AY137" i="12"/>
  <c r="AY120" i="12" s="1"/>
  <c r="AX137" i="12"/>
  <c r="AW137" i="12"/>
  <c r="AV137" i="12"/>
  <c r="AU137" i="12"/>
  <c r="AT137" i="12"/>
  <c r="AS137" i="12"/>
  <c r="AR137" i="12"/>
  <c r="AQ137" i="12"/>
  <c r="AQ120" i="12" s="1"/>
  <c r="AP137" i="12"/>
  <c r="AO137" i="12"/>
  <c r="AN137" i="12"/>
  <c r="AM137" i="12"/>
  <c r="AL137" i="12"/>
  <c r="AK137" i="12"/>
  <c r="AI137" i="12"/>
  <c r="AI120" i="12" s="1"/>
  <c r="AH137" i="12"/>
  <c r="R137" i="12" s="1"/>
  <c r="AF137" i="12"/>
  <c r="AE137" i="12"/>
  <c r="AD137" i="12"/>
  <c r="AC137" i="12"/>
  <c r="P137" i="12" s="1"/>
  <c r="AB137" i="12"/>
  <c r="AA137" i="12"/>
  <c r="AA120" i="12" s="1"/>
  <c r="Z137" i="12"/>
  <c r="S137" i="12"/>
  <c r="L137" i="12"/>
  <c r="K137" i="12"/>
  <c r="J137" i="12"/>
  <c r="I137" i="12"/>
  <c r="I120" i="12" s="1"/>
  <c r="I97" i="12" s="1"/>
  <c r="H137" i="12"/>
  <c r="E137" i="12"/>
  <c r="Y137" i="12" s="1"/>
  <c r="W136" i="12"/>
  <c r="T136" i="12"/>
  <c r="V136" i="12" s="1"/>
  <c r="S136" i="12"/>
  <c r="R136" i="12"/>
  <c r="Q136" i="12"/>
  <c r="P136" i="12"/>
  <c r="O136" i="12"/>
  <c r="U136" i="12" s="1"/>
  <c r="N136" i="12"/>
  <c r="M136" i="12"/>
  <c r="W135" i="12"/>
  <c r="T135" i="12"/>
  <c r="X135" i="12" s="1"/>
  <c r="Y135" i="12" s="1"/>
  <c r="S135" i="12"/>
  <c r="R135" i="12"/>
  <c r="Q135" i="12"/>
  <c r="P135" i="12"/>
  <c r="O135" i="12"/>
  <c r="U135" i="12" s="1"/>
  <c r="N135" i="12"/>
  <c r="M135" i="12"/>
  <c r="W134" i="12"/>
  <c r="U134" i="12"/>
  <c r="R134" i="12"/>
  <c r="Q134" i="12"/>
  <c r="P134" i="12"/>
  <c r="O134" i="12"/>
  <c r="N134" i="12"/>
  <c r="M134" i="12"/>
  <c r="S134" i="12" s="1"/>
  <c r="W133" i="12"/>
  <c r="U133" i="12"/>
  <c r="S133" i="12"/>
  <c r="R133" i="12"/>
  <c r="Q133" i="12"/>
  <c r="P133" i="12"/>
  <c r="O133" i="12"/>
  <c r="N133" i="12"/>
  <c r="T133" i="12" s="1"/>
  <c r="M133" i="12"/>
  <c r="M131" i="12" s="1"/>
  <c r="X132" i="12"/>
  <c r="Y132" i="12" s="1"/>
  <c r="W132" i="12"/>
  <c r="T132" i="12"/>
  <c r="V132" i="12" s="1"/>
  <c r="S132" i="12"/>
  <c r="R132" i="12"/>
  <c r="Q132" i="12"/>
  <c r="P132" i="12"/>
  <c r="O132" i="12"/>
  <c r="U132" i="12" s="1"/>
  <c r="U131" i="12" s="1"/>
  <c r="N132" i="12"/>
  <c r="M132" i="12"/>
  <c r="BL131" i="12"/>
  <c r="BK131" i="12"/>
  <c r="BJ131" i="12"/>
  <c r="BI131" i="12"/>
  <c r="BH131" i="12"/>
  <c r="BG131" i="12"/>
  <c r="BF131" i="12"/>
  <c r="BE131" i="12"/>
  <c r="BD131" i="12"/>
  <c r="BC131" i="12"/>
  <c r="BB131" i="12"/>
  <c r="BA131" i="12"/>
  <c r="AZ131" i="12"/>
  <c r="AY131" i="12"/>
  <c r="AX131" i="12"/>
  <c r="AW131" i="12"/>
  <c r="AV131" i="12"/>
  <c r="AU131" i="12"/>
  <c r="AT131" i="12"/>
  <c r="AS131" i="12"/>
  <c r="AR131" i="12"/>
  <c r="AR120" i="12" s="1"/>
  <c r="AQ131" i="12"/>
  <c r="AP131" i="12"/>
  <c r="AO131" i="12"/>
  <c r="AN131" i="12"/>
  <c r="AM131" i="12"/>
  <c r="AL131" i="12"/>
  <c r="AK131" i="12"/>
  <c r="AJ131" i="12"/>
  <c r="W131" i="12" s="1"/>
  <c r="AI131" i="12"/>
  <c r="AH131" i="12"/>
  <c r="AG131" i="12"/>
  <c r="AF131" i="12"/>
  <c r="AE131" i="12"/>
  <c r="AD131" i="12"/>
  <c r="AC131" i="12"/>
  <c r="AB131" i="12"/>
  <c r="R131" i="12" s="1"/>
  <c r="AA131" i="12"/>
  <c r="Z131" i="12"/>
  <c r="O131" i="12"/>
  <c r="L131" i="12"/>
  <c r="L120" i="12" s="1"/>
  <c r="K131" i="12"/>
  <c r="J131" i="12"/>
  <c r="I131" i="12"/>
  <c r="H131" i="12"/>
  <c r="E131" i="12"/>
  <c r="W130" i="12"/>
  <c r="R130" i="12"/>
  <c r="Q130" i="12"/>
  <c r="P130" i="12"/>
  <c r="O130" i="12"/>
  <c r="U130" i="12" s="1"/>
  <c r="N130" i="12"/>
  <c r="T130" i="12" s="1"/>
  <c r="V130" i="12" s="1"/>
  <c r="M130" i="12"/>
  <c r="S130" i="12" s="1"/>
  <c r="F130" i="12"/>
  <c r="AJ129" i="12"/>
  <c r="AD129" i="12"/>
  <c r="Q129" i="12" s="1"/>
  <c r="Y129" i="12"/>
  <c r="U129" i="12"/>
  <c r="R129" i="12"/>
  <c r="P129" i="12"/>
  <c r="O129" i="12"/>
  <c r="M129" i="12"/>
  <c r="S129" i="12" s="1"/>
  <c r="F129" i="12"/>
  <c r="W128" i="12"/>
  <c r="U128" i="12"/>
  <c r="S128" i="12"/>
  <c r="R128" i="12"/>
  <c r="Q128" i="12"/>
  <c r="P128" i="12"/>
  <c r="O128" i="12"/>
  <c r="N128" i="12"/>
  <c r="T128" i="12" s="1"/>
  <c r="M128" i="12"/>
  <c r="F128" i="12"/>
  <c r="Y127" i="12"/>
  <c r="X127" i="12"/>
  <c r="W127" i="12"/>
  <c r="T127" i="12"/>
  <c r="V127" i="12" s="1"/>
  <c r="S127" i="12"/>
  <c r="R127" i="12"/>
  <c r="Q127" i="12"/>
  <c r="P127" i="12"/>
  <c r="O127" i="12"/>
  <c r="U127" i="12" s="1"/>
  <c r="N127" i="12"/>
  <c r="M127" i="12"/>
  <c r="F127" i="12"/>
  <c r="Y126" i="12"/>
  <c r="W126" i="12"/>
  <c r="U126" i="12"/>
  <c r="R126" i="12"/>
  <c r="Q126" i="12"/>
  <c r="P126" i="12"/>
  <c r="O126" i="12"/>
  <c r="N126" i="12"/>
  <c r="M126" i="12"/>
  <c r="S126" i="12" s="1"/>
  <c r="J126" i="12"/>
  <c r="F126" i="12"/>
  <c r="W125" i="12"/>
  <c r="X125" i="12" s="1"/>
  <c r="Y125" i="12" s="1"/>
  <c r="U125" i="12"/>
  <c r="T125" i="12"/>
  <c r="V125" i="12" s="1"/>
  <c r="R125" i="12"/>
  <c r="Q125" i="12"/>
  <c r="P125" i="12"/>
  <c r="O125" i="12"/>
  <c r="N125" i="12"/>
  <c r="M125" i="12"/>
  <c r="S125" i="12" s="1"/>
  <c r="F125" i="12"/>
  <c r="W124" i="12"/>
  <c r="U124" i="12"/>
  <c r="S124" i="12"/>
  <c r="S121" i="12" s="1"/>
  <c r="R124" i="12"/>
  <c r="Q124" i="12"/>
  <c r="P124" i="12"/>
  <c r="O124" i="12"/>
  <c r="N124" i="12"/>
  <c r="T124" i="12" s="1"/>
  <c r="M124" i="12"/>
  <c r="F124" i="12"/>
  <c r="Y123" i="12"/>
  <c r="X123" i="12"/>
  <c r="W123" i="12"/>
  <c r="U123" i="12"/>
  <c r="T123" i="12"/>
  <c r="V123" i="12" s="1"/>
  <c r="S123" i="12"/>
  <c r="R123" i="12"/>
  <c r="Q123" i="12"/>
  <c r="P123" i="12"/>
  <c r="O123" i="12"/>
  <c r="N123" i="12"/>
  <c r="M123" i="12"/>
  <c r="F123" i="12"/>
  <c r="W122" i="12"/>
  <c r="S122" i="12"/>
  <c r="R122" i="12"/>
  <c r="Q122" i="12"/>
  <c r="P122" i="12"/>
  <c r="O122" i="12"/>
  <c r="N122" i="12"/>
  <c r="T122" i="12" s="1"/>
  <c r="M122" i="12"/>
  <c r="F122" i="12"/>
  <c r="F121" i="12" s="1"/>
  <c r="F120" i="12" s="1"/>
  <c r="BL121" i="12"/>
  <c r="BK121" i="12"/>
  <c r="BJ121" i="12"/>
  <c r="P121" i="12" s="1"/>
  <c r="BI121" i="12"/>
  <c r="BH121" i="12"/>
  <c r="BG121" i="12"/>
  <c r="BF121" i="12"/>
  <c r="BE121" i="12"/>
  <c r="BD121" i="12"/>
  <c r="BC121" i="12"/>
  <c r="BB121" i="12"/>
  <c r="BA121" i="12"/>
  <c r="AZ121" i="12"/>
  <c r="AY121" i="12"/>
  <c r="AX121" i="12"/>
  <c r="AW121" i="12"/>
  <c r="AV121" i="12"/>
  <c r="AU121" i="12"/>
  <c r="AT121" i="12"/>
  <c r="AS121" i="12"/>
  <c r="AR121" i="12"/>
  <c r="AQ121" i="12"/>
  <c r="AP121" i="12"/>
  <c r="AO121" i="12"/>
  <c r="AN121" i="12"/>
  <c r="AM121" i="12"/>
  <c r="AL121" i="12"/>
  <c r="AK121" i="12"/>
  <c r="AJ121" i="12"/>
  <c r="Q121" i="12" s="1"/>
  <c r="AI121" i="12"/>
  <c r="AH121" i="12"/>
  <c r="AG121" i="12"/>
  <c r="AF121" i="12"/>
  <c r="AE121" i="12"/>
  <c r="AD121" i="12"/>
  <c r="AC121" i="12"/>
  <c r="AB121" i="12"/>
  <c r="R121" i="12" s="1"/>
  <c r="AA121" i="12"/>
  <c r="Z121" i="12"/>
  <c r="L121" i="12"/>
  <c r="K121" i="12"/>
  <c r="J121" i="12"/>
  <c r="I121" i="12"/>
  <c r="H121" i="12"/>
  <c r="E121" i="12"/>
  <c r="BL120" i="12"/>
  <c r="BK120" i="12"/>
  <c r="BJ120" i="12"/>
  <c r="BI120" i="12"/>
  <c r="BH120" i="12"/>
  <c r="BE120" i="12"/>
  <c r="BD120" i="12"/>
  <c r="BC120" i="12"/>
  <c r="BB120" i="12"/>
  <c r="BA120" i="12"/>
  <c r="AZ120" i="12"/>
  <c r="AW120" i="12"/>
  <c r="AV120" i="12"/>
  <c r="AU120" i="12"/>
  <c r="AT120" i="12"/>
  <c r="AS120" i="12"/>
  <c r="AO120" i="12"/>
  <c r="AN120" i="12"/>
  <c r="AM120" i="12"/>
  <c r="AL120" i="12"/>
  <c r="AK120" i="12"/>
  <c r="AF120" i="12"/>
  <c r="AE120" i="12"/>
  <c r="AD120" i="12"/>
  <c r="AC120" i="12"/>
  <c r="K120" i="12"/>
  <c r="H120" i="12"/>
  <c r="E120" i="12"/>
  <c r="W119" i="12"/>
  <c r="X119" i="12" s="1"/>
  <c r="Y119" i="12" s="1"/>
  <c r="U119" i="12"/>
  <c r="T119" i="12"/>
  <c r="V119" i="12" s="1"/>
  <c r="R119" i="12"/>
  <c r="Q119" i="12"/>
  <c r="P119" i="12"/>
  <c r="O119" i="12"/>
  <c r="N119" i="12"/>
  <c r="M119" i="12"/>
  <c r="S119" i="12" s="1"/>
  <c r="F119" i="12"/>
  <c r="W118" i="12"/>
  <c r="U118" i="12"/>
  <c r="S118" i="12"/>
  <c r="R118" i="12"/>
  <c r="Q118" i="12"/>
  <c r="P118" i="12"/>
  <c r="O118" i="12"/>
  <c r="N118" i="12"/>
  <c r="T118" i="12" s="1"/>
  <c r="M118" i="12"/>
  <c r="M115" i="12" s="1"/>
  <c r="F118" i="12"/>
  <c r="Y117" i="12"/>
  <c r="X117" i="12"/>
  <c r="W117" i="12"/>
  <c r="U117" i="12"/>
  <c r="T117" i="12"/>
  <c r="V117" i="12" s="1"/>
  <c r="S117" i="12"/>
  <c r="S115" i="12" s="1"/>
  <c r="R117" i="12"/>
  <c r="Q117" i="12"/>
  <c r="P117" i="12"/>
  <c r="O117" i="12"/>
  <c r="N117" i="12"/>
  <c r="M117" i="12"/>
  <c r="F117" i="12"/>
  <c r="F115" i="12" s="1"/>
  <c r="W116" i="12"/>
  <c r="X116" i="12" s="1"/>
  <c r="Y116" i="12" s="1"/>
  <c r="S116" i="12"/>
  <c r="R116" i="12"/>
  <c r="Q116" i="12"/>
  <c r="P116" i="12"/>
  <c r="O116" i="12"/>
  <c r="N116" i="12"/>
  <c r="T116" i="12" s="1"/>
  <c r="V116" i="12" s="1"/>
  <c r="M116" i="12"/>
  <c r="F116" i="12"/>
  <c r="BL115" i="12"/>
  <c r="BK115" i="12"/>
  <c r="Q115" i="12" s="1"/>
  <c r="BJ115" i="12"/>
  <c r="BI115" i="12"/>
  <c r="BH115" i="12"/>
  <c r="BG115" i="12"/>
  <c r="BF115" i="12"/>
  <c r="BE115" i="12"/>
  <c r="BD115" i="12"/>
  <c r="BC115" i="12"/>
  <c r="BB115" i="12"/>
  <c r="BA115" i="12"/>
  <c r="AZ115" i="12"/>
  <c r="AY115" i="12"/>
  <c r="AX115" i="12"/>
  <c r="AW115" i="12"/>
  <c r="AV115" i="12"/>
  <c r="AU115" i="12"/>
  <c r="AT115" i="12"/>
  <c r="AS115" i="12"/>
  <c r="AR115" i="12"/>
  <c r="AQ115" i="12"/>
  <c r="AP115" i="12"/>
  <c r="AO115" i="12"/>
  <c r="AN115" i="12"/>
  <c r="AM115" i="12"/>
  <c r="AL115" i="12"/>
  <c r="AK115" i="12"/>
  <c r="AJ115" i="12"/>
  <c r="W115" i="12" s="1"/>
  <c r="AI115" i="12"/>
  <c r="AH115" i="12"/>
  <c r="AG115" i="12"/>
  <c r="AF115" i="12"/>
  <c r="AE115" i="12"/>
  <c r="AD115" i="12"/>
  <c r="AC115" i="12"/>
  <c r="AB115" i="12"/>
  <c r="R115" i="12" s="1"/>
  <c r="AA115" i="12"/>
  <c r="Z115" i="12"/>
  <c r="T115" i="12"/>
  <c r="V115" i="12" s="1"/>
  <c r="N115" i="12"/>
  <c r="L115" i="12"/>
  <c r="J115" i="12"/>
  <c r="I115" i="12"/>
  <c r="H115" i="12"/>
  <c r="E115" i="12"/>
  <c r="W114" i="12"/>
  <c r="R114" i="12"/>
  <c r="Q114" i="12"/>
  <c r="P114" i="12"/>
  <c r="O114" i="12"/>
  <c r="U114" i="12" s="1"/>
  <c r="N114" i="12"/>
  <c r="T114" i="12" s="1"/>
  <c r="V114" i="12" s="1"/>
  <c r="M114" i="12"/>
  <c r="S114" i="12" s="1"/>
  <c r="F114" i="12"/>
  <c r="W113" i="12"/>
  <c r="X113" i="12" s="1"/>
  <c r="Y113" i="12" s="1"/>
  <c r="U113" i="12"/>
  <c r="T113" i="12"/>
  <c r="V113" i="12" s="1"/>
  <c r="R113" i="12"/>
  <c r="Q113" i="12"/>
  <c r="P113" i="12"/>
  <c r="O113" i="12"/>
  <c r="N113" i="12"/>
  <c r="M113" i="12"/>
  <c r="S113" i="12" s="1"/>
  <c r="F113" i="12"/>
  <c r="W112" i="12"/>
  <c r="U112" i="12"/>
  <c r="S112" i="12"/>
  <c r="R112" i="12"/>
  <c r="Q112" i="12"/>
  <c r="P112" i="12"/>
  <c r="O112" i="12"/>
  <c r="N112" i="12"/>
  <c r="T112" i="12" s="1"/>
  <c r="M112" i="12"/>
  <c r="F112" i="12"/>
  <c r="Y111" i="12"/>
  <c r="X111" i="12"/>
  <c r="W111" i="12"/>
  <c r="T111" i="12"/>
  <c r="V111" i="12" s="1"/>
  <c r="S111" i="12"/>
  <c r="R111" i="12"/>
  <c r="Q111" i="12"/>
  <c r="P111" i="12"/>
  <c r="O111" i="12"/>
  <c r="U111" i="12" s="1"/>
  <c r="N111" i="12"/>
  <c r="M111" i="12"/>
  <c r="F111" i="12"/>
  <c r="W110" i="12"/>
  <c r="X110" i="12" s="1"/>
  <c r="Y110" i="12" s="1"/>
  <c r="R110" i="12"/>
  <c r="Q110" i="12"/>
  <c r="P110" i="12"/>
  <c r="O110" i="12"/>
  <c r="U110" i="12" s="1"/>
  <c r="N110" i="12"/>
  <c r="T110" i="12" s="1"/>
  <c r="V110" i="12" s="1"/>
  <c r="M110" i="12"/>
  <c r="S110" i="12" s="1"/>
  <c r="F110" i="12"/>
  <c r="W109" i="12"/>
  <c r="X109" i="12" s="1"/>
  <c r="Y109" i="12" s="1"/>
  <c r="U109" i="12"/>
  <c r="T109" i="12"/>
  <c r="V109" i="12" s="1"/>
  <c r="R109" i="12"/>
  <c r="Q109" i="12"/>
  <c r="P109" i="12"/>
  <c r="O109" i="12"/>
  <c r="N109" i="12"/>
  <c r="M109" i="12"/>
  <c r="S109" i="12" s="1"/>
  <c r="F109" i="12"/>
  <c r="W108" i="12"/>
  <c r="U108" i="12"/>
  <c r="S108" i="12"/>
  <c r="R108" i="12"/>
  <c r="Q108" i="12"/>
  <c r="P108" i="12"/>
  <c r="O108" i="12"/>
  <c r="N108" i="12"/>
  <c r="T108" i="12" s="1"/>
  <c r="V108" i="12" s="1"/>
  <c r="M108" i="12"/>
  <c r="F108" i="12"/>
  <c r="Y107" i="12"/>
  <c r="X107" i="12"/>
  <c r="W107" i="12"/>
  <c r="T107" i="12"/>
  <c r="V107" i="12" s="1"/>
  <c r="S107" i="12"/>
  <c r="R107" i="12"/>
  <c r="Q107" i="12"/>
  <c r="P107" i="12"/>
  <c r="O107" i="12"/>
  <c r="U107" i="12" s="1"/>
  <c r="N107" i="12"/>
  <c r="M107" i="12"/>
  <c r="F107" i="12"/>
  <c r="W106" i="12"/>
  <c r="X106" i="12" s="1"/>
  <c r="Y106" i="12" s="1"/>
  <c r="R106" i="12"/>
  <c r="Q106" i="12"/>
  <c r="P106" i="12"/>
  <c r="O106" i="12"/>
  <c r="U106" i="12" s="1"/>
  <c r="N106" i="12"/>
  <c r="T106" i="12" s="1"/>
  <c r="V106" i="12" s="1"/>
  <c r="M106" i="12"/>
  <c r="S106" i="12" s="1"/>
  <c r="W105" i="12"/>
  <c r="T105" i="12"/>
  <c r="V105" i="12" s="1"/>
  <c r="S105" i="12"/>
  <c r="R105" i="12"/>
  <c r="Q105" i="12"/>
  <c r="P105" i="12"/>
  <c r="O105" i="12"/>
  <c r="U105" i="12" s="1"/>
  <c r="N105" i="12"/>
  <c r="M105" i="12"/>
  <c r="Y104" i="12"/>
  <c r="X104" i="12"/>
  <c r="W104" i="12"/>
  <c r="T104" i="12"/>
  <c r="V104" i="12" s="1"/>
  <c r="S104" i="12"/>
  <c r="R104" i="12"/>
  <c r="Q104" i="12"/>
  <c r="P104" i="12"/>
  <c r="O104" i="12"/>
  <c r="U104" i="12" s="1"/>
  <c r="N104" i="12"/>
  <c r="M104" i="12"/>
  <c r="F104" i="12"/>
  <c r="W103" i="12"/>
  <c r="R103" i="12"/>
  <c r="Q103" i="12"/>
  <c r="P103" i="12"/>
  <c r="O103" i="12"/>
  <c r="U103" i="12" s="1"/>
  <c r="N103" i="12"/>
  <c r="T103" i="12" s="1"/>
  <c r="V103" i="12" s="1"/>
  <c r="M103" i="12"/>
  <c r="S103" i="12" s="1"/>
  <c r="F103" i="12"/>
  <c r="W102" i="12"/>
  <c r="X102" i="12" s="1"/>
  <c r="Y102" i="12" s="1"/>
  <c r="U102" i="12"/>
  <c r="T102" i="12"/>
  <c r="V102" i="12" s="1"/>
  <c r="R102" i="12"/>
  <c r="Q102" i="12"/>
  <c r="P102" i="12"/>
  <c r="O102" i="12"/>
  <c r="N102" i="12"/>
  <c r="M102" i="12"/>
  <c r="S102" i="12" s="1"/>
  <c r="F102" i="12"/>
  <c r="W101" i="12"/>
  <c r="X101" i="12" s="1"/>
  <c r="Y101" i="12" s="1"/>
  <c r="U101" i="12"/>
  <c r="S101" i="12"/>
  <c r="R101" i="12"/>
  <c r="Q101" i="12"/>
  <c r="P101" i="12"/>
  <c r="O101" i="12"/>
  <c r="N101" i="12"/>
  <c r="T101" i="12" s="1"/>
  <c r="V101" i="12" s="1"/>
  <c r="M101" i="12"/>
  <c r="M98" i="12" s="1"/>
  <c r="F101" i="12"/>
  <c r="Y100" i="12"/>
  <c r="X100" i="12"/>
  <c r="W100" i="12"/>
  <c r="T100" i="12"/>
  <c r="V100" i="12" s="1"/>
  <c r="S100" i="12"/>
  <c r="R100" i="12"/>
  <c r="Q100" i="12"/>
  <c r="P100" i="12"/>
  <c r="O100" i="12"/>
  <c r="U100" i="12" s="1"/>
  <c r="N100" i="12"/>
  <c r="M100" i="12"/>
  <c r="F100" i="12"/>
  <c r="F98" i="12" s="1"/>
  <c r="F97" i="12" s="1"/>
  <c r="W99" i="12"/>
  <c r="R99" i="12"/>
  <c r="Q99" i="12"/>
  <c r="P99" i="12"/>
  <c r="O99" i="12"/>
  <c r="N99" i="12"/>
  <c r="T99" i="12" s="1"/>
  <c r="V99" i="12" s="1"/>
  <c r="M99" i="12"/>
  <c r="S99" i="12" s="1"/>
  <c r="S98" i="12" s="1"/>
  <c r="F99" i="12"/>
  <c r="BL98" i="12"/>
  <c r="BK98" i="12"/>
  <c r="BJ98" i="12"/>
  <c r="BI98" i="12"/>
  <c r="BH98" i="12"/>
  <c r="BG98" i="12"/>
  <c r="BG97" i="12" s="1"/>
  <c r="BF98" i="12"/>
  <c r="BE98" i="12"/>
  <c r="BD98" i="12"/>
  <c r="BC98" i="12"/>
  <c r="BB98" i="12"/>
  <c r="BB97" i="12" s="1"/>
  <c r="BA98" i="12"/>
  <c r="AZ98" i="12"/>
  <c r="AZ97" i="12" s="1"/>
  <c r="AY98" i="12"/>
  <c r="AY97" i="12" s="1"/>
  <c r="AX98" i="12"/>
  <c r="AW98" i="12"/>
  <c r="AV98" i="12"/>
  <c r="AU98" i="12"/>
  <c r="AT98" i="12"/>
  <c r="AT97" i="12" s="1"/>
  <c r="AS98" i="12"/>
  <c r="AR98" i="12"/>
  <c r="AQ98" i="12"/>
  <c r="AQ97" i="12" s="1"/>
  <c r="AP98" i="12"/>
  <c r="AO98" i="12"/>
  <c r="AN98" i="12"/>
  <c r="AM98" i="12"/>
  <c r="AL98" i="12"/>
  <c r="AL97" i="12" s="1"/>
  <c r="AK98" i="12"/>
  <c r="AJ98" i="12"/>
  <c r="AI98" i="12"/>
  <c r="AI97" i="12" s="1"/>
  <c r="AH98" i="12"/>
  <c r="AG98" i="12"/>
  <c r="AF98" i="12"/>
  <c r="AE98" i="12"/>
  <c r="AD98" i="12"/>
  <c r="AC98" i="12"/>
  <c r="AB98" i="12"/>
  <c r="AA98" i="12"/>
  <c r="AA97" i="12" s="1"/>
  <c r="Z98" i="12"/>
  <c r="L98" i="12"/>
  <c r="L97" i="12" s="1"/>
  <c r="K98" i="12"/>
  <c r="J98" i="12"/>
  <c r="I98" i="12"/>
  <c r="H98" i="12"/>
  <c r="E98" i="12"/>
  <c r="BL97" i="12"/>
  <c r="BK97" i="12"/>
  <c r="BI97" i="12"/>
  <c r="BE97" i="12"/>
  <c r="BD97" i="12"/>
  <c r="BC97" i="12"/>
  <c r="BA97" i="12"/>
  <c r="AW97" i="12"/>
  <c r="AV97" i="12"/>
  <c r="AU97" i="12"/>
  <c r="AS97" i="12"/>
  <c r="AO97" i="12"/>
  <c r="AN97" i="12"/>
  <c r="AM97" i="12"/>
  <c r="AK97" i="12"/>
  <c r="AF97" i="12"/>
  <c r="AE97" i="12"/>
  <c r="AC97" i="12"/>
  <c r="K97" i="12"/>
  <c r="J97" i="12"/>
  <c r="H97" i="12"/>
  <c r="E97" i="12"/>
  <c r="W96" i="12"/>
  <c r="U96" i="12"/>
  <c r="R96" i="12"/>
  <c r="Q96" i="12"/>
  <c r="P96" i="12"/>
  <c r="O96" i="12"/>
  <c r="N96" i="12"/>
  <c r="M96" i="12"/>
  <c r="S96" i="12" s="1"/>
  <c r="W95" i="12"/>
  <c r="U95" i="12"/>
  <c r="S95" i="12"/>
  <c r="R95" i="12"/>
  <c r="Q95" i="12"/>
  <c r="P95" i="12"/>
  <c r="O95" i="12"/>
  <c r="N95" i="12"/>
  <c r="T95" i="12" s="1"/>
  <c r="V95" i="12" s="1"/>
  <c r="M95" i="12"/>
  <c r="X94" i="12"/>
  <c r="Y94" i="12" s="1"/>
  <c r="W94" i="12"/>
  <c r="V94" i="12"/>
  <c r="Q94" i="12"/>
  <c r="P94" i="12"/>
  <c r="I94" i="12"/>
  <c r="Y93" i="12"/>
  <c r="W93" i="12"/>
  <c r="X93" i="12" s="1"/>
  <c r="V93" i="12"/>
  <c r="Q93" i="12"/>
  <c r="P93" i="12"/>
  <c r="W92" i="12"/>
  <c r="X92" i="12" s="1"/>
  <c r="Y92" i="12" s="1"/>
  <c r="T92" i="12"/>
  <c r="R92" i="12"/>
  <c r="Q92" i="12"/>
  <c r="P92" i="12"/>
  <c r="O92" i="12"/>
  <c r="U92" i="12" s="1"/>
  <c r="U90" i="12" s="1"/>
  <c r="N92" i="12"/>
  <c r="M92" i="12"/>
  <c r="M90" i="12" s="1"/>
  <c r="M68" i="12" s="1"/>
  <c r="I92" i="12"/>
  <c r="F92" i="12"/>
  <c r="W91" i="12"/>
  <c r="X91" i="12" s="1"/>
  <c r="Y91" i="12" s="1"/>
  <c r="V91" i="12"/>
  <c r="F91" i="12"/>
  <c r="BL90" i="12"/>
  <c r="BK90" i="12"/>
  <c r="BJ90" i="12"/>
  <c r="P90" i="12" s="1"/>
  <c r="BI90" i="12"/>
  <c r="BH90" i="12"/>
  <c r="BG90" i="12"/>
  <c r="BF90" i="12"/>
  <c r="BE90" i="12"/>
  <c r="BD90" i="12"/>
  <c r="BC90" i="12"/>
  <c r="BB90" i="12"/>
  <c r="BA90" i="12"/>
  <c r="AZ90" i="12"/>
  <c r="AY90" i="12"/>
  <c r="AX90" i="12"/>
  <c r="AW90" i="12"/>
  <c r="AV90" i="12"/>
  <c r="AU90" i="12"/>
  <c r="AT90" i="12"/>
  <c r="AS90" i="12"/>
  <c r="AR90" i="12"/>
  <c r="AQ90" i="12"/>
  <c r="AP90" i="12"/>
  <c r="AO90" i="12"/>
  <c r="AN90" i="12"/>
  <c r="AN68" i="12" s="1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W90" i="12"/>
  <c r="Q90" i="12"/>
  <c r="L90" i="12"/>
  <c r="K90" i="12"/>
  <c r="J90" i="12"/>
  <c r="I90" i="12"/>
  <c r="H90" i="12"/>
  <c r="F90" i="12"/>
  <c r="E90" i="12"/>
  <c r="AJ89" i="12"/>
  <c r="Q89" i="12" s="1"/>
  <c r="W89" i="12"/>
  <c r="X89" i="12" s="1"/>
  <c r="Y89" i="12" s="1"/>
  <c r="S89" i="12"/>
  <c r="R89" i="12"/>
  <c r="P89" i="12"/>
  <c r="O89" i="12"/>
  <c r="U89" i="12" s="1"/>
  <c r="N89" i="12"/>
  <c r="T89" i="12" s="1"/>
  <c r="V89" i="12" s="1"/>
  <c r="M89" i="12"/>
  <c r="AG88" i="12"/>
  <c r="AG85" i="12" s="1"/>
  <c r="AD88" i="12"/>
  <c r="AD85" i="12" s="1"/>
  <c r="AA88" i="12"/>
  <c r="Q88" i="12" s="1"/>
  <c r="W88" i="12"/>
  <c r="T88" i="12"/>
  <c r="V88" i="12" s="1"/>
  <c r="S88" i="12"/>
  <c r="R88" i="12"/>
  <c r="P88" i="12"/>
  <c r="O88" i="12"/>
  <c r="U88" i="12" s="1"/>
  <c r="N88" i="12"/>
  <c r="N85" i="12" s="1"/>
  <c r="M88" i="12"/>
  <c r="F88" i="12"/>
  <c r="W87" i="12"/>
  <c r="U87" i="12"/>
  <c r="T87" i="12"/>
  <c r="R87" i="12"/>
  <c r="Q87" i="12"/>
  <c r="P87" i="12"/>
  <c r="O87" i="12"/>
  <c r="N87" i="12"/>
  <c r="M87" i="12"/>
  <c r="S87" i="12" s="1"/>
  <c r="F87" i="12"/>
  <c r="X86" i="12"/>
  <c r="Y86" i="12" s="1"/>
  <c r="W86" i="12"/>
  <c r="T86" i="12"/>
  <c r="V86" i="12" s="1"/>
  <c r="S86" i="12"/>
  <c r="R86" i="12"/>
  <c r="Q86" i="12"/>
  <c r="P86" i="12"/>
  <c r="O86" i="12"/>
  <c r="U86" i="12" s="1"/>
  <c r="U85" i="12" s="1"/>
  <c r="N86" i="12"/>
  <c r="M86" i="12"/>
  <c r="F86" i="12"/>
  <c r="BL85" i="12"/>
  <c r="BK85" i="12"/>
  <c r="BJ85" i="12"/>
  <c r="BI85" i="12"/>
  <c r="BI68" i="12" s="1"/>
  <c r="BH85" i="12"/>
  <c r="BG85" i="12"/>
  <c r="BF85" i="12"/>
  <c r="BE85" i="12"/>
  <c r="BD85" i="12"/>
  <c r="BC85" i="12"/>
  <c r="BB85" i="12"/>
  <c r="BA85" i="12"/>
  <c r="BA68" i="12" s="1"/>
  <c r="AZ85" i="12"/>
  <c r="AY85" i="12"/>
  <c r="AX85" i="12"/>
  <c r="AW85" i="12"/>
  <c r="AV85" i="12"/>
  <c r="AU85" i="12"/>
  <c r="AT85" i="12"/>
  <c r="AS85" i="12"/>
  <c r="AR85" i="12"/>
  <c r="AQ85" i="12"/>
  <c r="AP85" i="12"/>
  <c r="AO85" i="12"/>
  <c r="AN85" i="12"/>
  <c r="AM85" i="12"/>
  <c r="AL85" i="12"/>
  <c r="AK85" i="12"/>
  <c r="AJ85" i="12"/>
  <c r="AI85" i="12"/>
  <c r="AH85" i="12"/>
  <c r="AF85" i="12"/>
  <c r="AE85" i="12"/>
  <c r="R85" i="12" s="1"/>
  <c r="AC85" i="12"/>
  <c r="AB85" i="12"/>
  <c r="AA85" i="12"/>
  <c r="Z85" i="12"/>
  <c r="T85" i="12"/>
  <c r="V85" i="12" s="1"/>
  <c r="M85" i="12"/>
  <c r="L85" i="12"/>
  <c r="K85" i="12"/>
  <c r="J85" i="12"/>
  <c r="I85" i="12"/>
  <c r="H85" i="12"/>
  <c r="E85" i="12"/>
  <c r="W84" i="12"/>
  <c r="V84" i="12"/>
  <c r="U84" i="12"/>
  <c r="R84" i="12"/>
  <c r="Q84" i="12"/>
  <c r="P84" i="12"/>
  <c r="O84" i="12"/>
  <c r="N84" i="12"/>
  <c r="T84" i="12" s="1"/>
  <c r="X84" i="12" s="1"/>
  <c r="Y84" i="12" s="1"/>
  <c r="M84" i="12"/>
  <c r="S84" i="12" s="1"/>
  <c r="F84" i="12"/>
  <c r="W83" i="12"/>
  <c r="T83" i="12"/>
  <c r="V83" i="12" s="1"/>
  <c r="S83" i="12"/>
  <c r="R83" i="12"/>
  <c r="Q83" i="12"/>
  <c r="P83" i="12"/>
  <c r="O83" i="12"/>
  <c r="U83" i="12" s="1"/>
  <c r="N83" i="12"/>
  <c r="M83" i="12"/>
  <c r="F83" i="12"/>
  <c r="W82" i="12"/>
  <c r="U82" i="12"/>
  <c r="U81" i="12" s="1"/>
  <c r="T82" i="12"/>
  <c r="R82" i="12"/>
  <c r="Q82" i="12"/>
  <c r="P82" i="12"/>
  <c r="O82" i="12"/>
  <c r="N82" i="12"/>
  <c r="M82" i="12"/>
  <c r="M81" i="12" s="1"/>
  <c r="F82" i="12"/>
  <c r="F81" i="12" s="1"/>
  <c r="BL81" i="12"/>
  <c r="BK81" i="12"/>
  <c r="BJ81" i="12"/>
  <c r="BI81" i="12"/>
  <c r="BH81" i="12"/>
  <c r="BG81" i="12"/>
  <c r="BF81" i="12"/>
  <c r="BE81" i="12"/>
  <c r="BE68" i="12" s="1"/>
  <c r="BD81" i="12"/>
  <c r="BC81" i="12"/>
  <c r="BB81" i="12"/>
  <c r="BA81" i="12"/>
  <c r="AZ81" i="12"/>
  <c r="AY81" i="12"/>
  <c r="AX81" i="12"/>
  <c r="AW81" i="12"/>
  <c r="AW68" i="12" s="1"/>
  <c r="AV81" i="12"/>
  <c r="AU81" i="12"/>
  <c r="AT81" i="12"/>
  <c r="AS81" i="12"/>
  <c r="AR81" i="12"/>
  <c r="AQ81" i="12"/>
  <c r="AP81" i="12"/>
  <c r="AO81" i="12"/>
  <c r="AN81" i="12"/>
  <c r="AM81" i="12"/>
  <c r="AL81" i="12"/>
  <c r="AK81" i="12"/>
  <c r="AJ81" i="12"/>
  <c r="W81" i="12" s="1"/>
  <c r="AI81" i="12"/>
  <c r="AH81" i="12"/>
  <c r="AG81" i="12"/>
  <c r="AF81" i="12"/>
  <c r="AE81" i="12"/>
  <c r="AD81" i="12"/>
  <c r="AC81" i="12"/>
  <c r="AB81" i="12"/>
  <c r="AA81" i="12"/>
  <c r="Z81" i="12"/>
  <c r="N81" i="12"/>
  <c r="L81" i="12"/>
  <c r="K81" i="12"/>
  <c r="J81" i="12"/>
  <c r="I81" i="12"/>
  <c r="H81" i="12"/>
  <c r="H68" i="12" s="1"/>
  <c r="E81" i="12"/>
  <c r="W80" i="12"/>
  <c r="U80" i="12"/>
  <c r="T80" i="12"/>
  <c r="R80" i="12"/>
  <c r="Q80" i="12"/>
  <c r="P80" i="12"/>
  <c r="O80" i="12"/>
  <c r="N80" i="12"/>
  <c r="M80" i="12"/>
  <c r="S80" i="12" s="1"/>
  <c r="S78" i="12" s="1"/>
  <c r="W79" i="12"/>
  <c r="S79" i="12"/>
  <c r="R79" i="12"/>
  <c r="Q79" i="12"/>
  <c r="P79" i="12"/>
  <c r="O79" i="12"/>
  <c r="N79" i="12"/>
  <c r="T79" i="12" s="1"/>
  <c r="M79" i="12"/>
  <c r="BL78" i="12"/>
  <c r="BK78" i="12"/>
  <c r="BJ78" i="12"/>
  <c r="P78" i="12" s="1"/>
  <c r="BI78" i="12"/>
  <c r="BH78" i="12"/>
  <c r="BG78" i="12"/>
  <c r="BF78" i="12"/>
  <c r="BE78" i="12"/>
  <c r="BD78" i="12"/>
  <c r="BC78" i="12"/>
  <c r="BB78" i="12"/>
  <c r="BA78" i="12"/>
  <c r="AZ78" i="12"/>
  <c r="AY78" i="12"/>
  <c r="AX78" i="12"/>
  <c r="AW78" i="12"/>
  <c r="AV78" i="12"/>
  <c r="AU78" i="12"/>
  <c r="AT78" i="12"/>
  <c r="AS78" i="12"/>
  <c r="AR78" i="12"/>
  <c r="AQ78" i="12"/>
  <c r="AP78" i="12"/>
  <c r="AO78" i="12"/>
  <c r="AN78" i="12"/>
  <c r="AM78" i="12"/>
  <c r="AL78" i="12"/>
  <c r="AK78" i="12"/>
  <c r="R78" i="12" s="1"/>
  <c r="AJ78" i="12"/>
  <c r="AI78" i="12"/>
  <c r="AH78" i="12"/>
  <c r="AG78" i="12"/>
  <c r="AF78" i="12"/>
  <c r="AE78" i="12"/>
  <c r="AD78" i="12"/>
  <c r="AC78" i="12"/>
  <c r="AB78" i="12"/>
  <c r="AA78" i="12"/>
  <c r="Z78" i="12"/>
  <c r="W78" i="12"/>
  <c r="N78" i="12"/>
  <c r="M78" i="12"/>
  <c r="L78" i="12"/>
  <c r="K78" i="12"/>
  <c r="J78" i="12"/>
  <c r="I78" i="12"/>
  <c r="F78" i="12"/>
  <c r="W77" i="12"/>
  <c r="X77" i="12" s="1"/>
  <c r="Y77" i="12" s="1"/>
  <c r="U77" i="12"/>
  <c r="T77" i="12"/>
  <c r="V77" i="12" s="1"/>
  <c r="R77" i="12"/>
  <c r="Q77" i="12"/>
  <c r="P77" i="12"/>
  <c r="O77" i="12"/>
  <c r="N77" i="12"/>
  <c r="M77" i="12"/>
  <c r="S77" i="12" s="1"/>
  <c r="F77" i="12"/>
  <c r="W76" i="12"/>
  <c r="U76" i="12"/>
  <c r="R76" i="12"/>
  <c r="Q76" i="12"/>
  <c r="P76" i="12"/>
  <c r="O76" i="12"/>
  <c r="N76" i="12"/>
  <c r="T76" i="12" s="1"/>
  <c r="V76" i="12" s="1"/>
  <c r="M76" i="12"/>
  <c r="S76" i="12" s="1"/>
  <c r="F76" i="12"/>
  <c r="AG75" i="12"/>
  <c r="AD75" i="12"/>
  <c r="Q75" i="12" s="1"/>
  <c r="W75" i="12"/>
  <c r="X75" i="12" s="1"/>
  <c r="Y75" i="12" s="1"/>
  <c r="U75" i="12"/>
  <c r="S75" i="12"/>
  <c r="R75" i="12"/>
  <c r="P75" i="12"/>
  <c r="O75" i="12"/>
  <c r="N75" i="12"/>
  <c r="T75" i="12" s="1"/>
  <c r="V75" i="12" s="1"/>
  <c r="M75" i="12"/>
  <c r="F75" i="12"/>
  <c r="W74" i="12"/>
  <c r="U74" i="12"/>
  <c r="T74" i="12"/>
  <c r="S74" i="12"/>
  <c r="R74" i="12"/>
  <c r="Q74" i="12"/>
  <c r="P74" i="12"/>
  <c r="O74" i="12"/>
  <c r="N74" i="12"/>
  <c r="M74" i="12"/>
  <c r="AD73" i="12"/>
  <c r="W73" i="12"/>
  <c r="S73" i="12"/>
  <c r="R73" i="12"/>
  <c r="P73" i="12"/>
  <c r="O73" i="12"/>
  <c r="U73" i="12" s="1"/>
  <c r="M73" i="12"/>
  <c r="F73" i="12"/>
  <c r="X72" i="12"/>
  <c r="Y72" i="12" s="1"/>
  <c r="W72" i="12"/>
  <c r="T72" i="12"/>
  <c r="V72" i="12" s="1"/>
  <c r="R72" i="12"/>
  <c r="Q72" i="12"/>
  <c r="P72" i="12"/>
  <c r="O72" i="12"/>
  <c r="U72" i="12" s="1"/>
  <c r="N72" i="12"/>
  <c r="M72" i="12"/>
  <c r="S72" i="12" s="1"/>
  <c r="F72" i="12"/>
  <c r="AJ71" i="12"/>
  <c r="Q71" i="12" s="1"/>
  <c r="W71" i="12"/>
  <c r="X71" i="12" s="1"/>
  <c r="Y71" i="12" s="1"/>
  <c r="T71" i="12"/>
  <c r="V71" i="12" s="1"/>
  <c r="S71" i="12"/>
  <c r="R71" i="12"/>
  <c r="P71" i="12"/>
  <c r="O71" i="12"/>
  <c r="U71" i="12" s="1"/>
  <c r="U69" i="12" s="1"/>
  <c r="N71" i="12"/>
  <c r="M71" i="12"/>
  <c r="F71" i="12"/>
  <c r="W70" i="12"/>
  <c r="U70" i="12"/>
  <c r="T70" i="12"/>
  <c r="R70" i="12"/>
  <c r="Q70" i="12"/>
  <c r="P70" i="12"/>
  <c r="O70" i="12"/>
  <c r="N70" i="12"/>
  <c r="M70" i="12"/>
  <c r="S70" i="12" s="1"/>
  <c r="S69" i="12" s="1"/>
  <c r="F70" i="12"/>
  <c r="BL69" i="12"/>
  <c r="BK69" i="12"/>
  <c r="BK68" i="12" s="1"/>
  <c r="BJ69" i="12"/>
  <c r="BI69" i="12"/>
  <c r="BH69" i="12"/>
  <c r="BG69" i="12"/>
  <c r="BG68" i="12" s="1"/>
  <c r="BF69" i="12"/>
  <c r="BE69" i="12"/>
  <c r="BD69" i="12"/>
  <c r="BC69" i="12"/>
  <c r="BC68" i="12" s="1"/>
  <c r="BB69" i="12"/>
  <c r="BB68" i="12" s="1"/>
  <c r="BA69" i="12"/>
  <c r="AZ69" i="12"/>
  <c r="AY69" i="12"/>
  <c r="AY68" i="12" s="1"/>
  <c r="AX69" i="12"/>
  <c r="AW69" i="12"/>
  <c r="AV69" i="12"/>
  <c r="AU69" i="12"/>
  <c r="AU68" i="12" s="1"/>
  <c r="AT69" i="12"/>
  <c r="AS69" i="12"/>
  <c r="AR69" i="12"/>
  <c r="AQ69" i="12"/>
  <c r="AQ68" i="12" s="1"/>
  <c r="AP69" i="12"/>
  <c r="AO69" i="12"/>
  <c r="AN69" i="12"/>
  <c r="AM69" i="12"/>
  <c r="AM68" i="12" s="1"/>
  <c r="AL69" i="12"/>
  <c r="AL68" i="12" s="1"/>
  <c r="AK69" i="12"/>
  <c r="AI69" i="12"/>
  <c r="AI68" i="12" s="1"/>
  <c r="AH69" i="12"/>
  <c r="AG69" i="12"/>
  <c r="AF69" i="12"/>
  <c r="AE69" i="12"/>
  <c r="AE68" i="12" s="1"/>
  <c r="AC69" i="12"/>
  <c r="AC68" i="12" s="1"/>
  <c r="AB69" i="12"/>
  <c r="AA69" i="12"/>
  <c r="Z69" i="12"/>
  <c r="Z68" i="12" s="1"/>
  <c r="O69" i="12"/>
  <c r="M69" i="12"/>
  <c r="L69" i="12"/>
  <c r="K69" i="12"/>
  <c r="K68" i="12" s="1"/>
  <c r="J69" i="12"/>
  <c r="J68" i="12" s="1"/>
  <c r="I69" i="12"/>
  <c r="I68" i="12" s="1"/>
  <c r="H69" i="12"/>
  <c r="F69" i="12"/>
  <c r="E69" i="12"/>
  <c r="BL68" i="12"/>
  <c r="BH68" i="12"/>
  <c r="BF68" i="12"/>
  <c r="BD68" i="12"/>
  <c r="AZ68" i="12"/>
  <c r="AX68" i="12"/>
  <c r="AV68" i="12"/>
  <c r="AS68" i="12"/>
  <c r="AR68" i="12"/>
  <c r="AP68" i="12"/>
  <c r="AK68" i="12"/>
  <c r="AH68" i="12"/>
  <c r="AF68" i="12"/>
  <c r="AB68" i="12"/>
  <c r="AA68" i="12"/>
  <c r="L68" i="12"/>
  <c r="E68" i="12"/>
  <c r="W67" i="12"/>
  <c r="T67" i="12"/>
  <c r="V67" i="12" s="1"/>
  <c r="R67" i="12"/>
  <c r="Q67" i="12"/>
  <c r="P67" i="12"/>
  <c r="O67" i="12"/>
  <c r="U67" i="12" s="1"/>
  <c r="N67" i="12"/>
  <c r="M67" i="12"/>
  <c r="S67" i="12" s="1"/>
  <c r="F67" i="12"/>
  <c r="W66" i="12"/>
  <c r="X66" i="12" s="1"/>
  <c r="Y66" i="12" s="1"/>
  <c r="U66" i="12"/>
  <c r="R66" i="12"/>
  <c r="Q66" i="12"/>
  <c r="P66" i="12"/>
  <c r="O66" i="12"/>
  <c r="N66" i="12"/>
  <c r="T66" i="12" s="1"/>
  <c r="V66" i="12" s="1"/>
  <c r="M66" i="12"/>
  <c r="S66" i="12" s="1"/>
  <c r="F66" i="12"/>
  <c r="X65" i="12"/>
  <c r="Y65" i="12" s="1"/>
  <c r="W65" i="12"/>
  <c r="U65" i="12"/>
  <c r="T65" i="12"/>
  <c r="V65" i="12" s="1"/>
  <c r="S65" i="12"/>
  <c r="R65" i="12"/>
  <c r="Q65" i="12"/>
  <c r="P65" i="12"/>
  <c r="O65" i="12"/>
  <c r="N65" i="12"/>
  <c r="M65" i="12"/>
  <c r="F65" i="12"/>
  <c r="W64" i="12"/>
  <c r="S64" i="12"/>
  <c r="R64" i="12"/>
  <c r="Q64" i="12"/>
  <c r="P64" i="12"/>
  <c r="O64" i="12"/>
  <c r="U64" i="12" s="1"/>
  <c r="N64" i="12"/>
  <c r="T64" i="12" s="1"/>
  <c r="V64" i="12" s="1"/>
  <c r="M64" i="12"/>
  <c r="F64" i="12"/>
  <c r="W63" i="12"/>
  <c r="X63" i="12" s="1"/>
  <c r="Y63" i="12" s="1"/>
  <c r="T63" i="12"/>
  <c r="V63" i="12" s="1"/>
  <c r="R63" i="12"/>
  <c r="Q63" i="12"/>
  <c r="P63" i="12"/>
  <c r="O63" i="12"/>
  <c r="U63" i="12" s="1"/>
  <c r="N63" i="12"/>
  <c r="M63" i="12"/>
  <c r="S63" i="12" s="1"/>
  <c r="F63" i="12"/>
  <c r="W62" i="12"/>
  <c r="X62" i="12" s="1"/>
  <c r="Y62" i="12" s="1"/>
  <c r="U62" i="12"/>
  <c r="R62" i="12"/>
  <c r="Q62" i="12"/>
  <c r="P62" i="12"/>
  <c r="O62" i="12"/>
  <c r="N62" i="12"/>
  <c r="T62" i="12" s="1"/>
  <c r="V62" i="12" s="1"/>
  <c r="M62" i="12"/>
  <c r="S62" i="12" s="1"/>
  <c r="F62" i="12"/>
  <c r="X61" i="12"/>
  <c r="Y61" i="12" s="1"/>
  <c r="W61" i="12"/>
  <c r="U61" i="12"/>
  <c r="T61" i="12"/>
  <c r="V61" i="12" s="1"/>
  <c r="S61" i="12"/>
  <c r="R61" i="12"/>
  <c r="Q61" i="12"/>
  <c r="P61" i="12"/>
  <c r="O61" i="12"/>
  <c r="N61" i="12"/>
  <c r="M61" i="12"/>
  <c r="F61" i="12"/>
  <c r="W60" i="12"/>
  <c r="S60" i="12"/>
  <c r="R60" i="12"/>
  <c r="Q60" i="12"/>
  <c r="P60" i="12"/>
  <c r="O60" i="12"/>
  <c r="U60" i="12" s="1"/>
  <c r="N60" i="12"/>
  <c r="T60" i="12" s="1"/>
  <c r="V60" i="12" s="1"/>
  <c r="M60" i="12"/>
  <c r="F60" i="12"/>
  <c r="W59" i="12"/>
  <c r="X59" i="12" s="1"/>
  <c r="Y59" i="12" s="1"/>
  <c r="T59" i="12"/>
  <c r="V59" i="12" s="1"/>
  <c r="R59" i="12"/>
  <c r="Q59" i="12"/>
  <c r="P59" i="12"/>
  <c r="O59" i="12"/>
  <c r="U59" i="12" s="1"/>
  <c r="N59" i="12"/>
  <c r="M59" i="12"/>
  <c r="S59" i="12" s="1"/>
  <c r="F59" i="12"/>
  <c r="W58" i="12"/>
  <c r="X58" i="12" s="1"/>
  <c r="Y58" i="12" s="1"/>
  <c r="U58" i="12"/>
  <c r="R58" i="12"/>
  <c r="Q58" i="12"/>
  <c r="P58" i="12"/>
  <c r="O58" i="12"/>
  <c r="N58" i="12"/>
  <c r="T58" i="12" s="1"/>
  <c r="V58" i="12" s="1"/>
  <c r="M58" i="12"/>
  <c r="S58" i="12" s="1"/>
  <c r="F58" i="12"/>
  <c r="AD57" i="12"/>
  <c r="W57" i="12"/>
  <c r="U57" i="12"/>
  <c r="T57" i="12"/>
  <c r="R57" i="12"/>
  <c r="Q57" i="12"/>
  <c r="P57" i="12"/>
  <c r="O57" i="12"/>
  <c r="N57" i="12"/>
  <c r="M57" i="12"/>
  <c r="S57" i="12" s="1"/>
  <c r="F57" i="12"/>
  <c r="W56" i="12"/>
  <c r="X56" i="12" s="1"/>
  <c r="Y56" i="12" s="1"/>
  <c r="T56" i="12"/>
  <c r="V56" i="12" s="1"/>
  <c r="S56" i="12"/>
  <c r="R56" i="12"/>
  <c r="Q56" i="12"/>
  <c r="P56" i="12"/>
  <c r="O56" i="12"/>
  <c r="U56" i="12" s="1"/>
  <c r="N56" i="12"/>
  <c r="M56" i="12"/>
  <c r="F56" i="12"/>
  <c r="X55" i="12"/>
  <c r="Y55" i="12" s="1"/>
  <c r="W55" i="12"/>
  <c r="U55" i="12"/>
  <c r="R55" i="12"/>
  <c r="Q55" i="12"/>
  <c r="P55" i="12"/>
  <c r="O55" i="12"/>
  <c r="N55" i="12"/>
  <c r="T55" i="12" s="1"/>
  <c r="V55" i="12" s="1"/>
  <c r="M55" i="12"/>
  <c r="S55" i="12" s="1"/>
  <c r="F55" i="12"/>
  <c r="W54" i="12"/>
  <c r="V54" i="12"/>
  <c r="S54" i="12"/>
  <c r="R54" i="12"/>
  <c r="Q54" i="12"/>
  <c r="P54" i="12"/>
  <c r="O54" i="12"/>
  <c r="U54" i="12" s="1"/>
  <c r="N54" i="12"/>
  <c r="T54" i="12" s="1"/>
  <c r="X54" i="12" s="1"/>
  <c r="Y54" i="12" s="1"/>
  <c r="M54" i="12"/>
  <c r="F54" i="12"/>
  <c r="AD53" i="12"/>
  <c r="Q53" i="12" s="1"/>
  <c r="AA53" i="12"/>
  <c r="U53" i="12"/>
  <c r="R53" i="12"/>
  <c r="P53" i="12"/>
  <c r="O53" i="12"/>
  <c r="M53" i="12"/>
  <c r="S53" i="12" s="1"/>
  <c r="J53" i="12"/>
  <c r="F53" i="12"/>
  <c r="AD52" i="12"/>
  <c r="Q52" i="12" s="1"/>
  <c r="W52" i="12"/>
  <c r="U52" i="12"/>
  <c r="R52" i="12"/>
  <c r="P52" i="12"/>
  <c r="O52" i="12"/>
  <c r="M52" i="12"/>
  <c r="S52" i="12" s="1"/>
  <c r="J52" i="12"/>
  <c r="F52" i="12"/>
  <c r="AG51" i="12"/>
  <c r="U51" i="12"/>
  <c r="T51" i="12"/>
  <c r="R51" i="12"/>
  <c r="Q51" i="12"/>
  <c r="P51" i="12"/>
  <c r="O51" i="12"/>
  <c r="N51" i="12"/>
  <c r="M51" i="12"/>
  <c r="J51" i="12"/>
  <c r="I51" i="12"/>
  <c r="S51" i="12" s="1"/>
  <c r="F51" i="12"/>
  <c r="AG50" i="12"/>
  <c r="AD50" i="12"/>
  <c r="Q50" i="12" s="1"/>
  <c r="W50" i="12"/>
  <c r="S50" i="12"/>
  <c r="R50" i="12"/>
  <c r="P50" i="12"/>
  <c r="O50" i="12"/>
  <c r="U50" i="12" s="1"/>
  <c r="N50" i="12"/>
  <c r="M50" i="12"/>
  <c r="J50" i="12"/>
  <c r="F50" i="12"/>
  <c r="AG49" i="12"/>
  <c r="Q49" i="12" s="1"/>
  <c r="W49" i="12"/>
  <c r="S49" i="12"/>
  <c r="R49" i="12"/>
  <c r="P49" i="12"/>
  <c r="O49" i="12"/>
  <c r="U49" i="12" s="1"/>
  <c r="N49" i="12"/>
  <c r="T49" i="12" s="1"/>
  <c r="M49" i="12"/>
  <c r="F49" i="12"/>
  <c r="AG48" i="12"/>
  <c r="Q48" i="12" s="1"/>
  <c r="W48" i="12"/>
  <c r="U48" i="12"/>
  <c r="R48" i="12"/>
  <c r="P48" i="12"/>
  <c r="O48" i="12"/>
  <c r="M48" i="12"/>
  <c r="S48" i="12" s="1"/>
  <c r="J48" i="12"/>
  <c r="F48" i="12"/>
  <c r="W47" i="12"/>
  <c r="U47" i="12"/>
  <c r="T47" i="12"/>
  <c r="R47" i="12"/>
  <c r="Q47" i="12"/>
  <c r="P47" i="12"/>
  <c r="O47" i="12"/>
  <c r="N47" i="12"/>
  <c r="M47" i="12"/>
  <c r="S47" i="12" s="1"/>
  <c r="F47" i="12"/>
  <c r="W46" i="12"/>
  <c r="X46" i="12" s="1"/>
  <c r="Y46" i="12" s="1"/>
  <c r="T46" i="12"/>
  <c r="V46" i="12" s="1"/>
  <c r="R46" i="12"/>
  <c r="Q46" i="12"/>
  <c r="P46" i="12"/>
  <c r="O46" i="12"/>
  <c r="U46" i="12" s="1"/>
  <c r="N46" i="12"/>
  <c r="M46" i="12"/>
  <c r="I46" i="12"/>
  <c r="S46" i="12" s="1"/>
  <c r="F46" i="12"/>
  <c r="AI45" i="12"/>
  <c r="W45" i="12"/>
  <c r="R45" i="12"/>
  <c r="Q45" i="12"/>
  <c r="O45" i="12"/>
  <c r="U45" i="12" s="1"/>
  <c r="N45" i="12"/>
  <c r="J45" i="12"/>
  <c r="T45" i="12" s="1"/>
  <c r="V45" i="12" s="1"/>
  <c r="I45" i="12"/>
  <c r="F45" i="12"/>
  <c r="AG44" i="12"/>
  <c r="AD44" i="12"/>
  <c r="W44" i="12"/>
  <c r="U44" i="12"/>
  <c r="R44" i="12"/>
  <c r="Q44" i="12"/>
  <c r="P44" i="12"/>
  <c r="O44" i="12"/>
  <c r="N44" i="12"/>
  <c r="M44" i="12"/>
  <c r="S44" i="12" s="1"/>
  <c r="J44" i="12"/>
  <c r="T44" i="12" s="1"/>
  <c r="F44" i="12"/>
  <c r="X43" i="12"/>
  <c r="Y43" i="12" s="1"/>
  <c r="W43" i="12"/>
  <c r="U43" i="12"/>
  <c r="T43" i="12"/>
  <c r="V43" i="12" s="1"/>
  <c r="S43" i="12"/>
  <c r="R43" i="12"/>
  <c r="Q43" i="12"/>
  <c r="P43" i="12"/>
  <c r="O43" i="12"/>
  <c r="N43" i="12"/>
  <c r="M43" i="12"/>
  <c r="I43" i="12"/>
  <c r="F43" i="12"/>
  <c r="W42" i="12"/>
  <c r="T42" i="12"/>
  <c r="V42" i="12" s="1"/>
  <c r="S42" i="12"/>
  <c r="R42" i="12"/>
  <c r="Q42" i="12"/>
  <c r="P42" i="12"/>
  <c r="O42" i="12"/>
  <c r="U42" i="12" s="1"/>
  <c r="N42" i="12"/>
  <c r="M42" i="12"/>
  <c r="F42" i="12"/>
  <c r="E42" i="12"/>
  <c r="Y41" i="12"/>
  <c r="W41" i="12"/>
  <c r="X41" i="12" s="1"/>
  <c r="S41" i="12"/>
  <c r="R41" i="12"/>
  <c r="Q41" i="12"/>
  <c r="P41" i="12"/>
  <c r="O41" i="12"/>
  <c r="U41" i="12" s="1"/>
  <c r="N41" i="12"/>
  <c r="T41" i="12" s="1"/>
  <c r="V41" i="12" s="1"/>
  <c r="M41" i="12"/>
  <c r="F41" i="12"/>
  <c r="W40" i="12"/>
  <c r="X40" i="12" s="1"/>
  <c r="Y40" i="12" s="1"/>
  <c r="T40" i="12"/>
  <c r="V40" i="12" s="1"/>
  <c r="R40" i="12"/>
  <c r="Q40" i="12"/>
  <c r="P40" i="12"/>
  <c r="O40" i="12"/>
  <c r="U40" i="12" s="1"/>
  <c r="N40" i="12"/>
  <c r="M40" i="12"/>
  <c r="S40" i="12" s="1"/>
  <c r="F40" i="12"/>
  <c r="W39" i="12"/>
  <c r="X39" i="12" s="1"/>
  <c r="Y39" i="12" s="1"/>
  <c r="R39" i="12"/>
  <c r="Q39" i="12"/>
  <c r="P39" i="12"/>
  <c r="O39" i="12"/>
  <c r="U39" i="12" s="1"/>
  <c r="N39" i="12"/>
  <c r="T39" i="12" s="1"/>
  <c r="V39" i="12" s="1"/>
  <c r="M39" i="12"/>
  <c r="S39" i="12" s="1"/>
  <c r="F39" i="12"/>
  <c r="W38" i="12"/>
  <c r="U38" i="12"/>
  <c r="T38" i="12"/>
  <c r="S38" i="12"/>
  <c r="R38" i="12"/>
  <c r="Q38" i="12"/>
  <c r="P38" i="12"/>
  <c r="O38" i="12"/>
  <c r="N38" i="12"/>
  <c r="M38" i="12"/>
  <c r="F38" i="12"/>
  <c r="Y37" i="12"/>
  <c r="W37" i="12"/>
  <c r="X37" i="12" s="1"/>
  <c r="S37" i="12"/>
  <c r="R37" i="12"/>
  <c r="Q37" i="12"/>
  <c r="P37" i="12"/>
  <c r="O37" i="12"/>
  <c r="U37" i="12" s="1"/>
  <c r="N37" i="12"/>
  <c r="T37" i="12" s="1"/>
  <c r="V37" i="12" s="1"/>
  <c r="M37" i="12"/>
  <c r="F37" i="12"/>
  <c r="AD36" i="12"/>
  <c r="N36" i="12" s="1"/>
  <c r="X36" i="12"/>
  <c r="Y36" i="12" s="1"/>
  <c r="R36" i="12"/>
  <c r="Q36" i="12"/>
  <c r="P36" i="12"/>
  <c r="O36" i="12"/>
  <c r="U36" i="12" s="1"/>
  <c r="M36" i="12"/>
  <c r="S36" i="12" s="1"/>
  <c r="J36" i="12"/>
  <c r="T36" i="12" s="1"/>
  <c r="V36" i="12" s="1"/>
  <c r="F36" i="12"/>
  <c r="X35" i="12"/>
  <c r="Y35" i="12" s="1"/>
  <c r="U35" i="12"/>
  <c r="R35" i="12"/>
  <c r="Q35" i="12"/>
  <c r="P35" i="12"/>
  <c r="O35" i="12"/>
  <c r="N35" i="12"/>
  <c r="T35" i="12" s="1"/>
  <c r="V35" i="12" s="1"/>
  <c r="M35" i="12"/>
  <c r="S35" i="12" s="1"/>
  <c r="F35" i="12"/>
  <c r="W34" i="12"/>
  <c r="U34" i="12"/>
  <c r="T34" i="12"/>
  <c r="S34" i="12"/>
  <c r="R34" i="12"/>
  <c r="Q34" i="12"/>
  <c r="P34" i="12"/>
  <c r="O34" i="12"/>
  <c r="N34" i="12"/>
  <c r="M34" i="12"/>
  <c r="F34" i="12"/>
  <c r="W33" i="12"/>
  <c r="S33" i="12"/>
  <c r="R33" i="12"/>
  <c r="Q33" i="12"/>
  <c r="P33" i="12"/>
  <c r="O33" i="12"/>
  <c r="U33" i="12" s="1"/>
  <c r="N33" i="12"/>
  <c r="T33" i="12" s="1"/>
  <c r="V33" i="12" s="1"/>
  <c r="M33" i="12"/>
  <c r="F33" i="12"/>
  <c r="S32" i="12"/>
  <c r="R32" i="12"/>
  <c r="Q32" i="12"/>
  <c r="P32" i="12"/>
  <c r="O32" i="12"/>
  <c r="U32" i="12" s="1"/>
  <c r="N32" i="12"/>
  <c r="M32" i="12"/>
  <c r="J32" i="12"/>
  <c r="F32" i="12"/>
  <c r="W31" i="12"/>
  <c r="U31" i="12"/>
  <c r="R31" i="12"/>
  <c r="Q31" i="12"/>
  <c r="P31" i="12"/>
  <c r="O31" i="12"/>
  <c r="N31" i="12"/>
  <c r="M31" i="12"/>
  <c r="S31" i="12" s="1"/>
  <c r="J31" i="12"/>
  <c r="T31" i="12" s="1"/>
  <c r="V31" i="12" s="1"/>
  <c r="F31" i="12"/>
  <c r="W30" i="12"/>
  <c r="U30" i="12"/>
  <c r="T30" i="12"/>
  <c r="X30" i="12" s="1"/>
  <c r="Y30" i="12" s="1"/>
  <c r="R30" i="12"/>
  <c r="Q30" i="12"/>
  <c r="P30" i="12"/>
  <c r="O30" i="12"/>
  <c r="N30" i="12"/>
  <c r="M30" i="12"/>
  <c r="S30" i="12" s="1"/>
  <c r="F30" i="12"/>
  <c r="W29" i="12"/>
  <c r="T29" i="12"/>
  <c r="V29" i="12" s="1"/>
  <c r="S29" i="12"/>
  <c r="R29" i="12"/>
  <c r="Q29" i="12"/>
  <c r="P29" i="12"/>
  <c r="O29" i="12"/>
  <c r="U29" i="12" s="1"/>
  <c r="N29" i="12"/>
  <c r="M29" i="12"/>
  <c r="F29" i="12"/>
  <c r="AA28" i="12"/>
  <c r="N28" i="12" s="1"/>
  <c r="T28" i="12" s="1"/>
  <c r="V28" i="12" s="1"/>
  <c r="Y28" i="12"/>
  <c r="W28" i="12"/>
  <c r="X28" i="12" s="1"/>
  <c r="S28" i="12"/>
  <c r="R28" i="12"/>
  <c r="Q28" i="12"/>
  <c r="P28" i="12"/>
  <c r="O28" i="12"/>
  <c r="U28" i="12" s="1"/>
  <c r="M28" i="12"/>
  <c r="F28" i="12"/>
  <c r="W27" i="12"/>
  <c r="X27" i="12" s="1"/>
  <c r="Y27" i="12" s="1"/>
  <c r="T27" i="12"/>
  <c r="V27" i="12" s="1"/>
  <c r="R27" i="12"/>
  <c r="Q27" i="12"/>
  <c r="P27" i="12"/>
  <c r="O27" i="12"/>
  <c r="N27" i="12"/>
  <c r="M27" i="12"/>
  <c r="S27" i="12" s="1"/>
  <c r="F27" i="12"/>
  <c r="W26" i="12"/>
  <c r="X26" i="12" s="1"/>
  <c r="Y26" i="12" s="1"/>
  <c r="U26" i="12"/>
  <c r="R26" i="12"/>
  <c r="Q26" i="12"/>
  <c r="P26" i="12"/>
  <c r="O26" i="12"/>
  <c r="N26" i="12"/>
  <c r="T26" i="12" s="1"/>
  <c r="V26" i="12" s="1"/>
  <c r="M26" i="12"/>
  <c r="S26" i="12" s="1"/>
  <c r="F26" i="12"/>
  <c r="W25" i="12"/>
  <c r="U25" i="12"/>
  <c r="T25" i="12"/>
  <c r="R25" i="12"/>
  <c r="Q25" i="12"/>
  <c r="P25" i="12"/>
  <c r="O25" i="12"/>
  <c r="N25" i="12"/>
  <c r="M25" i="12"/>
  <c r="S25" i="12" s="1"/>
  <c r="F25" i="12"/>
  <c r="AJ24" i="12"/>
  <c r="W24" i="12" s="1"/>
  <c r="AG24" i="12"/>
  <c r="AD24" i="12"/>
  <c r="U24" i="12"/>
  <c r="T24" i="12"/>
  <c r="V24" i="12" s="1"/>
  <c r="R24" i="12"/>
  <c r="Q24" i="12"/>
  <c r="P24" i="12"/>
  <c r="O24" i="12"/>
  <c r="N24" i="12"/>
  <c r="M24" i="12"/>
  <c r="S24" i="12" s="1"/>
  <c r="F24" i="12"/>
  <c r="AG23" i="12"/>
  <c r="AA23" i="12"/>
  <c r="Y23" i="12"/>
  <c r="W23" i="12"/>
  <c r="U23" i="12"/>
  <c r="T23" i="12"/>
  <c r="X23" i="12" s="1"/>
  <c r="R23" i="12"/>
  <c r="Q23" i="12"/>
  <c r="P23" i="12"/>
  <c r="O23" i="12"/>
  <c r="N23" i="12"/>
  <c r="M23" i="12"/>
  <c r="I23" i="12"/>
  <c r="S23" i="12" s="1"/>
  <c r="F23" i="12"/>
  <c r="W22" i="12"/>
  <c r="U22" i="12"/>
  <c r="T22" i="12"/>
  <c r="R22" i="12"/>
  <c r="Q22" i="12"/>
  <c r="P22" i="12"/>
  <c r="O22" i="12"/>
  <c r="N22" i="12"/>
  <c r="M22" i="12"/>
  <c r="S22" i="12" s="1"/>
  <c r="F22" i="12"/>
  <c r="AG21" i="12"/>
  <c r="AD21" i="12"/>
  <c r="W21" i="12"/>
  <c r="U21" i="12"/>
  <c r="R21" i="12"/>
  <c r="P21" i="12"/>
  <c r="O21" i="12"/>
  <c r="M21" i="12"/>
  <c r="S21" i="12" s="1"/>
  <c r="F21" i="12"/>
  <c r="AJ20" i="12"/>
  <c r="AG20" i="12"/>
  <c r="U20" i="12"/>
  <c r="R20" i="12"/>
  <c r="P20" i="12"/>
  <c r="O20" i="12"/>
  <c r="M20" i="12"/>
  <c r="S20" i="12" s="1"/>
  <c r="F20" i="12"/>
  <c r="AD19" i="12"/>
  <c r="W19" i="12"/>
  <c r="S19" i="12"/>
  <c r="R19" i="12"/>
  <c r="P19" i="12"/>
  <c r="O19" i="12"/>
  <c r="U19" i="12" s="1"/>
  <c r="M19" i="12"/>
  <c r="F19" i="12"/>
  <c r="W18" i="12"/>
  <c r="U18" i="12"/>
  <c r="T18" i="12"/>
  <c r="X18" i="12" s="1"/>
  <c r="Y18" i="12" s="1"/>
  <c r="R18" i="12"/>
  <c r="Q18" i="12"/>
  <c r="P18" i="12"/>
  <c r="O18" i="12"/>
  <c r="N18" i="12"/>
  <c r="M18" i="12"/>
  <c r="S18" i="12" s="1"/>
  <c r="J18" i="12"/>
  <c r="F18" i="12"/>
  <c r="W17" i="12"/>
  <c r="S17" i="12"/>
  <c r="R17" i="12"/>
  <c r="Q17" i="12"/>
  <c r="P17" i="12"/>
  <c r="O17" i="12"/>
  <c r="U17" i="12" s="1"/>
  <c r="N17" i="12"/>
  <c r="M17" i="12"/>
  <c r="J17" i="12"/>
  <c r="F17" i="12"/>
  <c r="W16" i="12"/>
  <c r="U16" i="12"/>
  <c r="S16" i="12"/>
  <c r="R16" i="12"/>
  <c r="Q16" i="12"/>
  <c r="P16" i="12"/>
  <c r="O16" i="12"/>
  <c r="N16" i="12"/>
  <c r="T16" i="12" s="1"/>
  <c r="V16" i="12" s="1"/>
  <c r="M16" i="12"/>
  <c r="I16" i="12"/>
  <c r="F16" i="12"/>
  <c r="X15" i="12"/>
  <c r="W15" i="12"/>
  <c r="S15" i="12"/>
  <c r="R15" i="12"/>
  <c r="Q15" i="12"/>
  <c r="P15" i="12"/>
  <c r="O15" i="12"/>
  <c r="N15" i="12"/>
  <c r="T15" i="12" s="1"/>
  <c r="M15" i="12"/>
  <c r="F15" i="12"/>
  <c r="W14" i="12"/>
  <c r="S14" i="12"/>
  <c r="R14" i="12"/>
  <c r="Q14" i="12"/>
  <c r="P14" i="12"/>
  <c r="O14" i="12"/>
  <c r="U14" i="12" s="1"/>
  <c r="N14" i="12"/>
  <c r="T14" i="12" s="1"/>
  <c r="M14" i="12"/>
  <c r="F14" i="12"/>
  <c r="BL13" i="12"/>
  <c r="BK13" i="12"/>
  <c r="BJ13" i="12"/>
  <c r="BI13" i="12"/>
  <c r="BH13" i="12"/>
  <c r="BG13" i="12"/>
  <c r="BF13" i="12"/>
  <c r="BE13" i="12"/>
  <c r="BD13" i="12"/>
  <c r="BC13" i="12"/>
  <c r="BB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O13" i="12"/>
  <c r="AN13" i="12"/>
  <c r="AM13" i="12"/>
  <c r="AL13" i="12"/>
  <c r="AK13" i="12"/>
  <c r="AJ13" i="12"/>
  <c r="AH13" i="12"/>
  <c r="AG13" i="12"/>
  <c r="AF13" i="12"/>
  <c r="AE13" i="12"/>
  <c r="AC13" i="12"/>
  <c r="AB13" i="12"/>
  <c r="AA13" i="12"/>
  <c r="Z13" i="12"/>
  <c r="L13" i="12"/>
  <c r="K13" i="12"/>
  <c r="K3" i="12" s="1"/>
  <c r="I13" i="12"/>
  <c r="H13" i="12"/>
  <c r="E13" i="12"/>
  <c r="W12" i="12"/>
  <c r="S12" i="12"/>
  <c r="R12" i="12"/>
  <c r="Q12" i="12"/>
  <c r="P12" i="12"/>
  <c r="O12" i="12"/>
  <c r="U12" i="12" s="1"/>
  <c r="N12" i="12"/>
  <c r="T12" i="12" s="1"/>
  <c r="X12" i="12" s="1"/>
  <c r="M12" i="12"/>
  <c r="W11" i="12"/>
  <c r="X11" i="12" s="1"/>
  <c r="U11" i="12"/>
  <c r="T11" i="12"/>
  <c r="R11" i="12"/>
  <c r="Q11" i="12"/>
  <c r="P11" i="12"/>
  <c r="O11" i="12"/>
  <c r="N11" i="12"/>
  <c r="M11" i="12"/>
  <c r="I11" i="12"/>
  <c r="S11" i="12" s="1"/>
  <c r="F11" i="12"/>
  <c r="T10" i="12"/>
  <c r="S10" i="12"/>
  <c r="R10" i="12"/>
  <c r="Q10" i="12"/>
  <c r="P10" i="12"/>
  <c r="O10" i="12"/>
  <c r="U10" i="12" s="1"/>
  <c r="N10" i="12"/>
  <c r="M10" i="12"/>
  <c r="F10" i="12"/>
  <c r="W9" i="12"/>
  <c r="S9" i="12"/>
  <c r="R9" i="12"/>
  <c r="Q9" i="12"/>
  <c r="P9" i="12"/>
  <c r="O9" i="12"/>
  <c r="U9" i="12" s="1"/>
  <c r="N9" i="12"/>
  <c r="T9" i="12" s="1"/>
  <c r="M9" i="12"/>
  <c r="F9" i="12"/>
  <c r="W8" i="12"/>
  <c r="X8" i="12" s="1"/>
  <c r="S8" i="12"/>
  <c r="R8" i="12"/>
  <c r="Q8" i="12"/>
  <c r="P8" i="12"/>
  <c r="O8" i="12"/>
  <c r="U8" i="12" s="1"/>
  <c r="N8" i="12"/>
  <c r="T8" i="12" s="1"/>
  <c r="M8" i="12"/>
  <c r="W7" i="12"/>
  <c r="U7" i="12"/>
  <c r="U5" i="12" s="1"/>
  <c r="S7" i="12"/>
  <c r="R7" i="12"/>
  <c r="Q7" i="12"/>
  <c r="P7" i="12"/>
  <c r="O7" i="12"/>
  <c r="N7" i="12"/>
  <c r="T7" i="12" s="1"/>
  <c r="X7" i="12" s="1"/>
  <c r="M7" i="12"/>
  <c r="X6" i="12"/>
  <c r="W6" i="12"/>
  <c r="S6" i="12"/>
  <c r="S5" i="12" s="1"/>
  <c r="R6" i="12"/>
  <c r="Q6" i="12"/>
  <c r="P6" i="12"/>
  <c r="O6" i="12"/>
  <c r="N6" i="12"/>
  <c r="M6" i="12"/>
  <c r="M5" i="12" s="1"/>
  <c r="F6" i="12"/>
  <c r="BL5" i="12"/>
  <c r="BK5" i="12"/>
  <c r="BJ5" i="12"/>
  <c r="BI5" i="12"/>
  <c r="BI3" i="12" s="1"/>
  <c r="BH5" i="12"/>
  <c r="BG5" i="12"/>
  <c r="BF5" i="12"/>
  <c r="BF3" i="12" s="1"/>
  <c r="BE5" i="12"/>
  <c r="BD5" i="12"/>
  <c r="BD3" i="12" s="1"/>
  <c r="BC5" i="12"/>
  <c r="BB5" i="12"/>
  <c r="BB3" i="12" s="1"/>
  <c r="BA5" i="12"/>
  <c r="AZ5" i="12"/>
  <c r="AZ3" i="12" s="1"/>
  <c r="AY5" i="12"/>
  <c r="AX5" i="12"/>
  <c r="AX3" i="12" s="1"/>
  <c r="AW5" i="12"/>
  <c r="AV5" i="12"/>
  <c r="AV3" i="12" s="1"/>
  <c r="AU5" i="12"/>
  <c r="AT5" i="12"/>
  <c r="AS5" i="12"/>
  <c r="AS3" i="12" s="1"/>
  <c r="AR5" i="12"/>
  <c r="AQ5" i="12"/>
  <c r="AP5" i="12"/>
  <c r="AP3" i="12" s="1"/>
  <c r="AO5" i="12"/>
  <c r="AN5" i="12"/>
  <c r="AN3" i="12" s="1"/>
  <c r="AM5" i="12"/>
  <c r="AL5" i="12"/>
  <c r="AK5" i="12"/>
  <c r="AJ5" i="12"/>
  <c r="AI5" i="12"/>
  <c r="AH5" i="12"/>
  <c r="AG5" i="12"/>
  <c r="AF5" i="12"/>
  <c r="AF3" i="12" s="1"/>
  <c r="AE5" i="12"/>
  <c r="AD5" i="12"/>
  <c r="AC5" i="12"/>
  <c r="AB5" i="12"/>
  <c r="AA5" i="12"/>
  <c r="Z5" i="12"/>
  <c r="Z3" i="12" s="1"/>
  <c r="T5" i="12"/>
  <c r="L5" i="12"/>
  <c r="L193" i="12" s="1"/>
  <c r="J5" i="12"/>
  <c r="I5" i="12"/>
  <c r="H5" i="12"/>
  <c r="F5" i="12"/>
  <c r="E5" i="12"/>
  <c r="BG3" i="12"/>
  <c r="BE3" i="12"/>
  <c r="BC3" i="12"/>
  <c r="BA3" i="12"/>
  <c r="AY3" i="12"/>
  <c r="AW3" i="12"/>
  <c r="AU3" i="12"/>
  <c r="AQ3" i="12"/>
  <c r="AM3" i="12"/>
  <c r="AL3" i="12"/>
  <c r="AK3" i="12"/>
  <c r="AA3" i="12"/>
  <c r="H3" i="12"/>
  <c r="AM192" i="11"/>
  <c r="AG192" i="11"/>
  <c r="G192" i="11" s="1"/>
  <c r="AA192" i="11"/>
  <c r="E192" i="11"/>
  <c r="Y188" i="11"/>
  <c r="W188" i="11"/>
  <c r="U188" i="11"/>
  <c r="T188" i="11"/>
  <c r="S188" i="11"/>
  <c r="R188" i="11"/>
  <c r="Q188" i="11"/>
  <c r="P188" i="11"/>
  <c r="V188" i="11" s="1"/>
  <c r="O188" i="11"/>
  <c r="X188" i="11" s="1"/>
  <c r="N188" i="11"/>
  <c r="I188" i="11"/>
  <c r="H188" i="11"/>
  <c r="Y187" i="11"/>
  <c r="W187" i="11"/>
  <c r="V187" i="11"/>
  <c r="U187" i="11"/>
  <c r="S187" i="11"/>
  <c r="R187" i="11"/>
  <c r="Q187" i="11"/>
  <c r="P187" i="11"/>
  <c r="O187" i="11"/>
  <c r="X187" i="11" s="1"/>
  <c r="N187" i="11"/>
  <c r="T187" i="11" s="1"/>
  <c r="T184" i="11" s="1"/>
  <c r="I187" i="11"/>
  <c r="H187" i="11"/>
  <c r="Y186" i="11"/>
  <c r="W186" i="11"/>
  <c r="T186" i="11"/>
  <c r="S186" i="11"/>
  <c r="R186" i="11"/>
  <c r="Q186" i="11"/>
  <c r="P186" i="11"/>
  <c r="V186" i="11" s="1"/>
  <c r="O186" i="11"/>
  <c r="X186" i="11" s="1"/>
  <c r="N186" i="11"/>
  <c r="Y185" i="11"/>
  <c r="W185" i="11"/>
  <c r="T185" i="11"/>
  <c r="S185" i="11"/>
  <c r="R185" i="11"/>
  <c r="Q185" i="11"/>
  <c r="P185" i="11"/>
  <c r="V185" i="11" s="1"/>
  <c r="O185" i="11"/>
  <c r="U185" i="11" s="1"/>
  <c r="N185" i="11"/>
  <c r="I185" i="11"/>
  <c r="H185" i="11"/>
  <c r="BL184" i="11"/>
  <c r="S184" i="11" s="1"/>
  <c r="BK184" i="11"/>
  <c r="BJ184" i="11"/>
  <c r="BI184" i="11"/>
  <c r="BH184" i="11"/>
  <c r="BG184" i="11"/>
  <c r="BF184" i="11"/>
  <c r="BE184" i="11"/>
  <c r="BD184" i="11"/>
  <c r="BC184" i="11"/>
  <c r="BB184" i="11"/>
  <c r="BA184" i="11"/>
  <c r="AZ184" i="11"/>
  <c r="AY184" i="11"/>
  <c r="AX184" i="11"/>
  <c r="AW184" i="11"/>
  <c r="AV184" i="11"/>
  <c r="AU184" i="11"/>
  <c r="AT184" i="11"/>
  <c r="AS184" i="11"/>
  <c r="AR184" i="11"/>
  <c r="AQ184" i="11"/>
  <c r="AP184" i="11"/>
  <c r="AO184" i="11"/>
  <c r="AN184" i="11"/>
  <c r="AM184" i="11"/>
  <c r="AL184" i="11"/>
  <c r="AK184" i="11"/>
  <c r="AJ184" i="11"/>
  <c r="AI184" i="11"/>
  <c r="AH184" i="11"/>
  <c r="AG184" i="11"/>
  <c r="AF184" i="11"/>
  <c r="AE184" i="11"/>
  <c r="AD184" i="11"/>
  <c r="AC184" i="11"/>
  <c r="AB184" i="11"/>
  <c r="AA184" i="11"/>
  <c r="Z184" i="11"/>
  <c r="R184" i="11"/>
  <c r="P184" i="11"/>
  <c r="Y184" i="11" s="1"/>
  <c r="N184" i="11"/>
  <c r="I184" i="11" s="1"/>
  <c r="M184" i="11"/>
  <c r="L184" i="11"/>
  <c r="K184" i="11"/>
  <c r="J184" i="11"/>
  <c r="H184" i="11" s="1"/>
  <c r="G184" i="11"/>
  <c r="E184" i="11"/>
  <c r="X183" i="11"/>
  <c r="U183" i="11"/>
  <c r="S183" i="11"/>
  <c r="R183" i="11"/>
  <c r="Q183" i="11"/>
  <c r="P183" i="11"/>
  <c r="Y183" i="11" s="1"/>
  <c r="O183" i="11"/>
  <c r="N183" i="11"/>
  <c r="H183" i="11"/>
  <c r="X182" i="11"/>
  <c r="V182" i="11"/>
  <c r="T182" i="11"/>
  <c r="S182" i="11"/>
  <c r="R182" i="11"/>
  <c r="Q182" i="11"/>
  <c r="P182" i="11"/>
  <c r="Y182" i="11" s="1"/>
  <c r="O182" i="11"/>
  <c r="U182" i="11" s="1"/>
  <c r="N182" i="11"/>
  <c r="W182" i="11" s="1"/>
  <c r="X181" i="11"/>
  <c r="S181" i="11"/>
  <c r="R181" i="11"/>
  <c r="Q181" i="11"/>
  <c r="P181" i="11"/>
  <c r="O181" i="11"/>
  <c r="U181" i="11" s="1"/>
  <c r="N181" i="11"/>
  <c r="W181" i="11" s="1"/>
  <c r="X180" i="11"/>
  <c r="V180" i="11"/>
  <c r="T180" i="11"/>
  <c r="S180" i="11"/>
  <c r="R180" i="11"/>
  <c r="Q180" i="11"/>
  <c r="P180" i="11"/>
  <c r="Y180" i="11" s="1"/>
  <c r="O180" i="11"/>
  <c r="U180" i="11" s="1"/>
  <c r="N180" i="11"/>
  <c r="W180" i="11" s="1"/>
  <c r="X179" i="11"/>
  <c r="V179" i="11"/>
  <c r="T179" i="11"/>
  <c r="R179" i="11"/>
  <c r="Q179" i="11"/>
  <c r="P179" i="11"/>
  <c r="Y179" i="11" s="1"/>
  <c r="O179" i="11"/>
  <c r="U179" i="11" s="1"/>
  <c r="N179" i="11"/>
  <c r="W179" i="11" s="1"/>
  <c r="I179" i="11"/>
  <c r="H179" i="11"/>
  <c r="Y178" i="11"/>
  <c r="W178" i="11"/>
  <c r="U178" i="11"/>
  <c r="U177" i="11" s="1"/>
  <c r="T178" i="11"/>
  <c r="S178" i="11"/>
  <c r="R178" i="11"/>
  <c r="Q178" i="11"/>
  <c r="P178" i="11"/>
  <c r="V178" i="11" s="1"/>
  <c r="O178" i="11"/>
  <c r="N178" i="11"/>
  <c r="I178" i="11"/>
  <c r="H178" i="11"/>
  <c r="BL177" i="11"/>
  <c r="BK177" i="11"/>
  <c r="BJ177" i="11"/>
  <c r="BI177" i="11"/>
  <c r="BH177" i="11"/>
  <c r="BH169" i="11" s="1"/>
  <c r="BG177" i="11"/>
  <c r="BF177" i="11"/>
  <c r="BF169" i="11" s="1"/>
  <c r="BE177" i="11"/>
  <c r="BD177" i="11"/>
  <c r="BD169" i="11" s="1"/>
  <c r="BC177" i="11"/>
  <c r="BB177" i="11"/>
  <c r="BB169" i="11" s="1"/>
  <c r="BA177" i="11"/>
  <c r="AZ177" i="11"/>
  <c r="AZ169" i="11" s="1"/>
  <c r="AY177" i="11"/>
  <c r="AX177" i="11"/>
  <c r="AX169" i="11" s="1"/>
  <c r="AW177" i="11"/>
  <c r="AV177" i="11"/>
  <c r="AV169" i="11" s="1"/>
  <c r="AU177" i="11"/>
  <c r="AT177" i="11"/>
  <c r="AT169" i="11" s="1"/>
  <c r="AS177" i="11"/>
  <c r="AR177" i="11"/>
  <c r="AR169" i="11" s="1"/>
  <c r="AQ177" i="11"/>
  <c r="AP177" i="11"/>
  <c r="AP169" i="11" s="1"/>
  <c r="AO177" i="11"/>
  <c r="AN177" i="11"/>
  <c r="AN169" i="11" s="1"/>
  <c r="AM177" i="11"/>
  <c r="AL177" i="11"/>
  <c r="AL169" i="11" s="1"/>
  <c r="AK177" i="11"/>
  <c r="AJ177" i="11"/>
  <c r="AJ169" i="11" s="1"/>
  <c r="AI177" i="11"/>
  <c r="AH177" i="11"/>
  <c r="AH169" i="11" s="1"/>
  <c r="AG177" i="11"/>
  <c r="AF177" i="11"/>
  <c r="AF169" i="11" s="1"/>
  <c r="AE177" i="11"/>
  <c r="AD177" i="11"/>
  <c r="AD169" i="11" s="1"/>
  <c r="AC177" i="11"/>
  <c r="AB177" i="11"/>
  <c r="AB169" i="11" s="1"/>
  <c r="AA177" i="11"/>
  <c r="Z177" i="11"/>
  <c r="Z169" i="11" s="1"/>
  <c r="N177" i="11"/>
  <c r="M177" i="11"/>
  <c r="L177" i="11"/>
  <c r="L169" i="11" s="1"/>
  <c r="K177" i="11"/>
  <c r="J177" i="11"/>
  <c r="J169" i="11" s="1"/>
  <c r="G177" i="11"/>
  <c r="E177" i="11"/>
  <c r="H177" i="11" s="1"/>
  <c r="X176" i="11"/>
  <c r="U176" i="11"/>
  <c r="T176" i="11"/>
  <c r="S176" i="11"/>
  <c r="R176" i="11"/>
  <c r="Q176" i="11"/>
  <c r="P176" i="11"/>
  <c r="Y176" i="11" s="1"/>
  <c r="O176" i="11"/>
  <c r="N176" i="11"/>
  <c r="H176" i="11"/>
  <c r="X175" i="11"/>
  <c r="S175" i="11"/>
  <c r="R175" i="11"/>
  <c r="Q175" i="11"/>
  <c r="P175" i="11"/>
  <c r="Y175" i="11" s="1"/>
  <c r="O175" i="11"/>
  <c r="U175" i="11" s="1"/>
  <c r="N175" i="11"/>
  <c r="H175" i="11"/>
  <c r="X174" i="11"/>
  <c r="V174" i="11"/>
  <c r="U174" i="11"/>
  <c r="T174" i="11"/>
  <c r="S174" i="11"/>
  <c r="R174" i="11"/>
  <c r="Q174" i="11"/>
  <c r="P174" i="11"/>
  <c r="Y174" i="11" s="1"/>
  <c r="O174" i="11"/>
  <c r="N174" i="11"/>
  <c r="H174" i="11"/>
  <c r="X173" i="11"/>
  <c r="V173" i="11"/>
  <c r="S173" i="11"/>
  <c r="R173" i="11"/>
  <c r="Q173" i="11"/>
  <c r="P173" i="11"/>
  <c r="O173" i="11"/>
  <c r="U173" i="11" s="1"/>
  <c r="N173" i="11"/>
  <c r="H173" i="11"/>
  <c r="O172" i="11"/>
  <c r="I172" i="11"/>
  <c r="H172" i="11"/>
  <c r="F172" i="11"/>
  <c r="O171" i="11"/>
  <c r="I171" i="11"/>
  <c r="H171" i="11"/>
  <c r="F171" i="11"/>
  <c r="F170" i="11" s="1"/>
  <c r="F169" i="11" s="1"/>
  <c r="BL170" i="11"/>
  <c r="BK170" i="11"/>
  <c r="BJ170" i="11"/>
  <c r="BI170" i="11"/>
  <c r="BH170" i="11"/>
  <c r="BG170" i="11"/>
  <c r="BF170" i="11"/>
  <c r="BE170" i="11"/>
  <c r="BE169" i="11" s="1"/>
  <c r="BE160" i="11" s="1"/>
  <c r="BD170" i="11"/>
  <c r="BC170" i="11"/>
  <c r="BC169" i="11" s="1"/>
  <c r="BB170" i="11"/>
  <c r="BA170" i="11"/>
  <c r="AZ170" i="11"/>
  <c r="AY170" i="11"/>
  <c r="AY169" i="11" s="1"/>
  <c r="AY160" i="11" s="1"/>
  <c r="AX170" i="11"/>
  <c r="AW170" i="11"/>
  <c r="AW169" i="11" s="1"/>
  <c r="AV170" i="11"/>
  <c r="AU170" i="11"/>
  <c r="AU169" i="11" s="1"/>
  <c r="AT170" i="11"/>
  <c r="AS170" i="11"/>
  <c r="AR170" i="11"/>
  <c r="AQ170" i="11"/>
  <c r="AP170" i="11"/>
  <c r="AO170" i="11"/>
  <c r="AN170" i="11"/>
  <c r="AM170" i="11"/>
  <c r="AM169" i="11" s="1"/>
  <c r="AL170" i="11"/>
  <c r="AK170" i="11"/>
  <c r="AJ170" i="11"/>
  <c r="AI170" i="11"/>
  <c r="AI169" i="11" s="1"/>
  <c r="AH170" i="11"/>
  <c r="AG170" i="11"/>
  <c r="AG169" i="11" s="1"/>
  <c r="AF170" i="11"/>
  <c r="AE170" i="11"/>
  <c r="AD170" i="11"/>
  <c r="AC170" i="11"/>
  <c r="AB170" i="11"/>
  <c r="AA170" i="11"/>
  <c r="Z170" i="11"/>
  <c r="U170" i="11"/>
  <c r="U169" i="11" s="1"/>
  <c r="O170" i="11"/>
  <c r="M170" i="11"/>
  <c r="L170" i="11"/>
  <c r="K170" i="11"/>
  <c r="K169" i="11" s="1"/>
  <c r="J170" i="11"/>
  <c r="G170" i="11"/>
  <c r="E170" i="11"/>
  <c r="H170" i="11" s="1"/>
  <c r="BI169" i="11"/>
  <c r="BG169" i="11"/>
  <c r="BA169" i="11"/>
  <c r="AS169" i="11"/>
  <c r="AQ169" i="11"/>
  <c r="AO169" i="11"/>
  <c r="AK169" i="11"/>
  <c r="AC169" i="11"/>
  <c r="AA169" i="11"/>
  <c r="M169" i="11"/>
  <c r="G169" i="11"/>
  <c r="E169" i="11"/>
  <c r="X168" i="11"/>
  <c r="W168" i="11"/>
  <c r="V168" i="11"/>
  <c r="U168" i="11"/>
  <c r="T168" i="11"/>
  <c r="S168" i="11"/>
  <c r="R168" i="11"/>
  <c r="Q168" i="11"/>
  <c r="P168" i="11"/>
  <c r="Y168" i="11" s="1"/>
  <c r="O168" i="11"/>
  <c r="I168" i="11"/>
  <c r="H168" i="11"/>
  <c r="Y167" i="11"/>
  <c r="W167" i="11"/>
  <c r="V167" i="11"/>
  <c r="S167" i="11"/>
  <c r="R167" i="11"/>
  <c r="Q167" i="11"/>
  <c r="P167" i="11"/>
  <c r="O167" i="11"/>
  <c r="U167" i="11" s="1"/>
  <c r="U166" i="11" s="1"/>
  <c r="N167" i="11"/>
  <c r="T167" i="11" s="1"/>
  <c r="T166" i="11" s="1"/>
  <c r="I167" i="11"/>
  <c r="H167" i="11"/>
  <c r="BL166" i="11"/>
  <c r="BK166" i="11"/>
  <c r="BJ166" i="11"/>
  <c r="BI166" i="11"/>
  <c r="BH166" i="11"/>
  <c r="BH161" i="11" s="1"/>
  <c r="BH160" i="11" s="1"/>
  <c r="BG166" i="11"/>
  <c r="BF166" i="11"/>
  <c r="BF161" i="11" s="1"/>
  <c r="BE166" i="11"/>
  <c r="BD166" i="11"/>
  <c r="BD161" i="11" s="1"/>
  <c r="BD160" i="11" s="1"/>
  <c r="BC166" i="11"/>
  <c r="BB166" i="11"/>
  <c r="BB161" i="11" s="1"/>
  <c r="BA166" i="11"/>
  <c r="AZ166" i="11"/>
  <c r="AZ161" i="11" s="1"/>
  <c r="AZ160" i="11" s="1"/>
  <c r="AY166" i="11"/>
  <c r="AX166" i="11"/>
  <c r="AX161" i="11" s="1"/>
  <c r="AW166" i="11"/>
  <c r="AV166" i="11"/>
  <c r="AV161" i="11" s="1"/>
  <c r="AV160" i="11" s="1"/>
  <c r="AU166" i="11"/>
  <c r="AT166" i="11"/>
  <c r="AT161" i="11" s="1"/>
  <c r="AS166" i="11"/>
  <c r="AR166" i="11"/>
  <c r="AR161" i="11" s="1"/>
  <c r="AR160" i="11" s="1"/>
  <c r="AQ166" i="11"/>
  <c r="AP166" i="11"/>
  <c r="AP161" i="11" s="1"/>
  <c r="AO166" i="11"/>
  <c r="AN166" i="11"/>
  <c r="AN161" i="11" s="1"/>
  <c r="AN160" i="11" s="1"/>
  <c r="AM166" i="11"/>
  <c r="AL166" i="11"/>
  <c r="AL161" i="11" s="1"/>
  <c r="AK166" i="11"/>
  <c r="AJ166" i="11"/>
  <c r="AI166" i="11"/>
  <c r="AH166" i="11"/>
  <c r="AH161" i="11" s="1"/>
  <c r="AG166" i="11"/>
  <c r="AF166" i="11"/>
  <c r="AF161" i="11" s="1"/>
  <c r="AF160" i="11" s="1"/>
  <c r="AE166" i="11"/>
  <c r="AD166" i="11"/>
  <c r="AD161" i="11" s="1"/>
  <c r="AC166" i="11"/>
  <c r="AB166" i="11"/>
  <c r="AB161" i="11" s="1"/>
  <c r="AB160" i="11" s="1"/>
  <c r="AA166" i="11"/>
  <c r="Z166" i="11"/>
  <c r="Z161" i="11" s="1"/>
  <c r="V166" i="11"/>
  <c r="P166" i="11"/>
  <c r="Y166" i="11" s="1"/>
  <c r="N166" i="11"/>
  <c r="M166" i="11"/>
  <c r="L166" i="11"/>
  <c r="L161" i="11" s="1"/>
  <c r="K166" i="11"/>
  <c r="J166" i="11"/>
  <c r="J161" i="11" s="1"/>
  <c r="G166" i="11"/>
  <c r="E166" i="11"/>
  <c r="H166" i="11" s="1"/>
  <c r="X165" i="11"/>
  <c r="V165" i="11"/>
  <c r="S165" i="11"/>
  <c r="R165" i="11"/>
  <c r="Q165" i="11"/>
  <c r="P165" i="11"/>
  <c r="Y165" i="11" s="1"/>
  <c r="O165" i="11"/>
  <c r="U165" i="11" s="1"/>
  <c r="N165" i="11"/>
  <c r="H165" i="11"/>
  <c r="X164" i="11"/>
  <c r="V164" i="11"/>
  <c r="U164" i="11"/>
  <c r="S164" i="11"/>
  <c r="R164" i="11"/>
  <c r="Q164" i="11"/>
  <c r="P164" i="11"/>
  <c r="Y164" i="11" s="1"/>
  <c r="O164" i="11"/>
  <c r="N164" i="11"/>
  <c r="H164" i="11"/>
  <c r="F164" i="11"/>
  <c r="Y163" i="11"/>
  <c r="W163" i="11"/>
  <c r="U163" i="11"/>
  <c r="U162" i="11" s="1"/>
  <c r="T163" i="11"/>
  <c r="S163" i="11"/>
  <c r="R163" i="11"/>
  <c r="Q163" i="11"/>
  <c r="P163" i="11"/>
  <c r="O163" i="11"/>
  <c r="X163" i="11" s="1"/>
  <c r="N163" i="11"/>
  <c r="I163" i="11"/>
  <c r="H163" i="11"/>
  <c r="F163" i="11"/>
  <c r="BL162" i="11"/>
  <c r="BK162" i="11"/>
  <c r="BJ162" i="11"/>
  <c r="BI162" i="11"/>
  <c r="BH162" i="11"/>
  <c r="BG162" i="11"/>
  <c r="BF162" i="11"/>
  <c r="BE162" i="11"/>
  <c r="BD162" i="11"/>
  <c r="BC162" i="11"/>
  <c r="BB162" i="11"/>
  <c r="BA162" i="11"/>
  <c r="BA161" i="11" s="1"/>
  <c r="BA160" i="11" s="1"/>
  <c r="AZ162" i="11"/>
  <c r="AY162" i="11"/>
  <c r="AY161" i="11" s="1"/>
  <c r="AX162" i="11"/>
  <c r="AW162" i="11"/>
  <c r="AW161" i="11" s="1"/>
  <c r="AV162" i="11"/>
  <c r="AU162" i="11"/>
  <c r="AT162" i="11"/>
  <c r="AS162" i="11"/>
  <c r="AR162" i="11"/>
  <c r="AQ162" i="11"/>
  <c r="AP162" i="11"/>
  <c r="AO162" i="11"/>
  <c r="AN162" i="11"/>
  <c r="AM162" i="11"/>
  <c r="AL162" i="11"/>
  <c r="AK162" i="11"/>
  <c r="AK161" i="11" s="1"/>
  <c r="AK160" i="11" s="1"/>
  <c r="AJ162" i="11"/>
  <c r="AI162" i="11"/>
  <c r="AH162" i="11"/>
  <c r="AG162" i="11"/>
  <c r="AG161" i="11" s="1"/>
  <c r="AF162" i="11"/>
  <c r="AE162" i="11"/>
  <c r="AD162" i="11"/>
  <c r="AC162" i="11"/>
  <c r="AB162" i="11"/>
  <c r="AA162" i="11"/>
  <c r="Z162" i="11"/>
  <c r="O162" i="11"/>
  <c r="X162" i="11" s="1"/>
  <c r="M162" i="11"/>
  <c r="M161" i="11" s="1"/>
  <c r="M160" i="11" s="1"/>
  <c r="L162" i="11"/>
  <c r="K162" i="11"/>
  <c r="J162" i="11"/>
  <c r="H162" i="11" s="1"/>
  <c r="G162" i="11"/>
  <c r="E162" i="11"/>
  <c r="F162" i="11" s="1"/>
  <c r="BK161" i="11"/>
  <c r="BI161" i="11"/>
  <c r="BI160" i="11" s="1"/>
  <c r="BG161" i="11"/>
  <c r="BG160" i="11" s="1"/>
  <c r="BE161" i="11"/>
  <c r="BC161" i="11"/>
  <c r="AU161" i="11"/>
  <c r="AU160" i="11" s="1"/>
  <c r="AS161" i="11"/>
  <c r="AS160" i="11" s="1"/>
  <c r="AQ161" i="11"/>
  <c r="AQ160" i="11" s="1"/>
  <c r="AO161" i="11"/>
  <c r="AM161" i="11"/>
  <c r="AE161" i="11"/>
  <c r="AC161" i="11"/>
  <c r="AC160" i="11" s="1"/>
  <c r="AA161" i="11"/>
  <c r="K161" i="11"/>
  <c r="G161" i="11"/>
  <c r="BC160" i="11"/>
  <c r="AO160" i="11"/>
  <c r="AM160" i="11"/>
  <c r="G160" i="11"/>
  <c r="Y159" i="11"/>
  <c r="X159" i="11"/>
  <c r="V159" i="11"/>
  <c r="R159" i="11"/>
  <c r="Q159" i="11"/>
  <c r="O159" i="11"/>
  <c r="U159" i="11" s="1"/>
  <c r="N159" i="11"/>
  <c r="W159" i="11" s="1"/>
  <c r="J159" i="11"/>
  <c r="H159" i="11" s="1"/>
  <c r="U158" i="11"/>
  <c r="T158" i="11"/>
  <c r="S158" i="11"/>
  <c r="R158" i="11"/>
  <c r="Q158" i="11"/>
  <c r="P158" i="11"/>
  <c r="V158" i="11" s="1"/>
  <c r="O158" i="11"/>
  <c r="N158" i="11"/>
  <c r="X157" i="11"/>
  <c r="V157" i="11"/>
  <c r="T157" i="11"/>
  <c r="S157" i="11"/>
  <c r="R157" i="11"/>
  <c r="Q157" i="11"/>
  <c r="P157" i="11"/>
  <c r="Y157" i="11" s="1"/>
  <c r="O157" i="11"/>
  <c r="N157" i="11"/>
  <c r="W157" i="11" s="1"/>
  <c r="L157" i="11"/>
  <c r="U157" i="11" s="1"/>
  <c r="I157" i="11"/>
  <c r="H157" i="11"/>
  <c r="Y156" i="11"/>
  <c r="W156" i="11"/>
  <c r="T156" i="11"/>
  <c r="S156" i="11"/>
  <c r="R156" i="11"/>
  <c r="Q156" i="11"/>
  <c r="P156" i="11"/>
  <c r="V156" i="11" s="1"/>
  <c r="V155" i="11" s="1"/>
  <c r="O156" i="11"/>
  <c r="N156" i="11"/>
  <c r="I156" i="11"/>
  <c r="H156" i="11"/>
  <c r="BL155" i="11"/>
  <c r="BK155" i="11"/>
  <c r="BJ155" i="11"/>
  <c r="BI155" i="11"/>
  <c r="BH155" i="11"/>
  <c r="BG155" i="11"/>
  <c r="BF155" i="11"/>
  <c r="BE155" i="11"/>
  <c r="BD155" i="11"/>
  <c r="BC155" i="11"/>
  <c r="BB155" i="11"/>
  <c r="BA155" i="11"/>
  <c r="AZ155" i="11"/>
  <c r="AY155" i="11"/>
  <c r="AX155" i="11"/>
  <c r="AW155" i="11"/>
  <c r="AV155" i="11"/>
  <c r="AU155" i="11"/>
  <c r="AT155" i="11"/>
  <c r="AS155" i="11"/>
  <c r="AR155" i="11"/>
  <c r="AQ155" i="11"/>
  <c r="AP155" i="11"/>
  <c r="AO155" i="11"/>
  <c r="AN155" i="11"/>
  <c r="AM155" i="11"/>
  <c r="AL155" i="11"/>
  <c r="AK155" i="11"/>
  <c r="AJ155" i="11"/>
  <c r="AI155" i="11"/>
  <c r="AH155" i="11"/>
  <c r="AG155" i="11"/>
  <c r="AF155" i="11"/>
  <c r="AE155" i="11"/>
  <c r="AD155" i="11"/>
  <c r="AC155" i="11"/>
  <c r="AB155" i="11"/>
  <c r="AA155" i="11"/>
  <c r="Z155" i="11"/>
  <c r="R155" i="11"/>
  <c r="P155" i="11"/>
  <c r="Y155" i="11" s="1"/>
  <c r="N155" i="11"/>
  <c r="M155" i="11"/>
  <c r="L155" i="11"/>
  <c r="K155" i="11"/>
  <c r="J155" i="11"/>
  <c r="G155" i="11"/>
  <c r="E155" i="11"/>
  <c r="H155" i="11" s="1"/>
  <c r="X154" i="11"/>
  <c r="V154" i="11"/>
  <c r="U154" i="11"/>
  <c r="S154" i="11"/>
  <c r="R154" i="11"/>
  <c r="Q154" i="11"/>
  <c r="P154" i="11"/>
  <c r="Y154" i="11" s="1"/>
  <c r="O154" i="11"/>
  <c r="N154" i="11"/>
  <c r="H154" i="11"/>
  <c r="X153" i="11"/>
  <c r="T153" i="11"/>
  <c r="S153" i="11"/>
  <c r="R153" i="11"/>
  <c r="Q153" i="11"/>
  <c r="P153" i="11"/>
  <c r="O153" i="11"/>
  <c r="U153" i="11" s="1"/>
  <c r="N153" i="11"/>
  <c r="W153" i="11" s="1"/>
  <c r="X152" i="11"/>
  <c r="V152" i="11"/>
  <c r="T152" i="11"/>
  <c r="S152" i="11"/>
  <c r="R152" i="11"/>
  <c r="Q152" i="11"/>
  <c r="P152" i="11"/>
  <c r="O152" i="11"/>
  <c r="U152" i="11" s="1"/>
  <c r="N152" i="11"/>
  <c r="H152" i="11"/>
  <c r="BL151" i="11"/>
  <c r="BK151" i="11"/>
  <c r="BJ151" i="11"/>
  <c r="BI151" i="11"/>
  <c r="BH151" i="11"/>
  <c r="BG151" i="11"/>
  <c r="BF151" i="11"/>
  <c r="BE151" i="11"/>
  <c r="BD151" i="11"/>
  <c r="BC151" i="11"/>
  <c r="BB151" i="11"/>
  <c r="BA151" i="11"/>
  <c r="AZ151" i="11"/>
  <c r="AY151" i="11"/>
  <c r="AX151" i="11"/>
  <c r="AW151" i="11"/>
  <c r="AV151" i="11"/>
  <c r="AU151" i="11"/>
  <c r="AT151" i="11"/>
  <c r="AS151" i="11"/>
  <c r="AR151" i="11"/>
  <c r="AQ151" i="11"/>
  <c r="AP151" i="11"/>
  <c r="AO151" i="11"/>
  <c r="AN151" i="11"/>
  <c r="AM151" i="11"/>
  <c r="AL151" i="11"/>
  <c r="AK151" i="11"/>
  <c r="AJ151" i="11"/>
  <c r="AI151" i="11"/>
  <c r="AH151" i="11"/>
  <c r="AG151" i="11"/>
  <c r="AF151" i="11"/>
  <c r="AE151" i="11"/>
  <c r="AD151" i="11"/>
  <c r="AC151" i="11"/>
  <c r="Q151" i="11" s="1"/>
  <c r="AB151" i="11"/>
  <c r="AA151" i="11"/>
  <c r="Z151" i="11"/>
  <c r="U151" i="11"/>
  <c r="O151" i="11"/>
  <c r="M151" i="11"/>
  <c r="L151" i="11"/>
  <c r="K151" i="11"/>
  <c r="J151" i="11"/>
  <c r="H151" i="11"/>
  <c r="G151" i="11"/>
  <c r="E151" i="11"/>
  <c r="Y150" i="11"/>
  <c r="W150" i="11"/>
  <c r="U150" i="11"/>
  <c r="U146" i="11" s="1"/>
  <c r="T150" i="11"/>
  <c r="S150" i="11"/>
  <c r="R150" i="11"/>
  <c r="Q150" i="11"/>
  <c r="P150" i="11"/>
  <c r="V150" i="11" s="1"/>
  <c r="O150" i="11"/>
  <c r="X150" i="11" s="1"/>
  <c r="N150" i="11"/>
  <c r="I150" i="11"/>
  <c r="H150" i="11"/>
  <c r="S149" i="11"/>
  <c r="R149" i="11"/>
  <c r="Q149" i="11"/>
  <c r="P149" i="11"/>
  <c r="O149" i="11"/>
  <c r="X148" i="11"/>
  <c r="V148" i="11"/>
  <c r="T148" i="11"/>
  <c r="S148" i="11"/>
  <c r="R148" i="11"/>
  <c r="Q148" i="11"/>
  <c r="P148" i="11"/>
  <c r="Y148" i="11" s="1"/>
  <c r="O148" i="11"/>
  <c r="U148" i="11" s="1"/>
  <c r="N148" i="11"/>
  <c r="H148" i="11"/>
  <c r="X147" i="11"/>
  <c r="V147" i="11"/>
  <c r="V146" i="11" s="1"/>
  <c r="U147" i="11"/>
  <c r="S147" i="11"/>
  <c r="R147" i="11"/>
  <c r="Q147" i="11"/>
  <c r="P147" i="11"/>
  <c r="O147" i="11"/>
  <c r="N147" i="11"/>
  <c r="H147" i="11"/>
  <c r="BL146" i="11"/>
  <c r="BK146" i="11"/>
  <c r="BJ146" i="11"/>
  <c r="BI146" i="11"/>
  <c r="BH146" i="11"/>
  <c r="BG146" i="11"/>
  <c r="BF146" i="11"/>
  <c r="BE146" i="11"/>
  <c r="BD146" i="11"/>
  <c r="BC146" i="11"/>
  <c r="BB146" i="11"/>
  <c r="BA146" i="11"/>
  <c r="AZ146" i="11"/>
  <c r="AY146" i="11"/>
  <c r="AX146" i="11"/>
  <c r="AW146" i="11"/>
  <c r="AV146" i="11"/>
  <c r="AU146" i="11"/>
  <c r="AT146" i="11"/>
  <c r="AS146" i="11"/>
  <c r="AR146" i="11"/>
  <c r="AQ146" i="11"/>
  <c r="AP146" i="11"/>
  <c r="AO146" i="11"/>
  <c r="AN146" i="11"/>
  <c r="AM146" i="11"/>
  <c r="AL146" i="11"/>
  <c r="AK146" i="11"/>
  <c r="AJ146" i="11"/>
  <c r="AI146" i="11"/>
  <c r="Q146" i="11" s="1"/>
  <c r="AH146" i="11"/>
  <c r="AG146" i="11"/>
  <c r="AF146" i="11"/>
  <c r="AE146" i="11"/>
  <c r="AD146" i="11"/>
  <c r="AC146" i="11"/>
  <c r="AB146" i="11"/>
  <c r="AA146" i="11"/>
  <c r="Z146" i="11"/>
  <c r="O146" i="11"/>
  <c r="X146" i="11" s="1"/>
  <c r="M146" i="11"/>
  <c r="L146" i="11"/>
  <c r="K146" i="11"/>
  <c r="J146" i="11"/>
  <c r="H146" i="11" s="1"/>
  <c r="G146" i="11"/>
  <c r="E146" i="11"/>
  <c r="AG145" i="11"/>
  <c r="R145" i="11" s="1"/>
  <c r="Q145" i="11"/>
  <c r="P145" i="11"/>
  <c r="X144" i="11"/>
  <c r="S144" i="11"/>
  <c r="R144" i="11"/>
  <c r="Q144" i="11"/>
  <c r="P144" i="11"/>
  <c r="O144" i="11"/>
  <c r="U144" i="11" s="1"/>
  <c r="N144" i="11"/>
  <c r="H144" i="11"/>
  <c r="X143" i="11"/>
  <c r="V143" i="11"/>
  <c r="U143" i="11"/>
  <c r="T143" i="11"/>
  <c r="S143" i="11"/>
  <c r="R143" i="11"/>
  <c r="Q143" i="11"/>
  <c r="P143" i="11"/>
  <c r="Y143" i="11" s="1"/>
  <c r="O143" i="11"/>
  <c r="N143" i="11"/>
  <c r="W143" i="11" s="1"/>
  <c r="I143" i="11"/>
  <c r="H143" i="11"/>
  <c r="S142" i="11"/>
  <c r="R142" i="11"/>
  <c r="Q142" i="11"/>
  <c r="P142" i="11"/>
  <c r="O142" i="11"/>
  <c r="U142" i="11" s="1"/>
  <c r="N142" i="11"/>
  <c r="W142" i="11" s="1"/>
  <c r="W141" i="11" s="1"/>
  <c r="H142" i="11"/>
  <c r="BL141" i="11"/>
  <c r="BK141" i="11"/>
  <c r="BJ141" i="11"/>
  <c r="BI141" i="11"/>
  <c r="BH141" i="11"/>
  <c r="BH120" i="11" s="1"/>
  <c r="BG141" i="11"/>
  <c r="BF141" i="11"/>
  <c r="BE141" i="11"/>
  <c r="BD141" i="11"/>
  <c r="BC141" i="11"/>
  <c r="BB141" i="11"/>
  <c r="BA141" i="11"/>
  <c r="AZ141" i="11"/>
  <c r="AY141" i="11"/>
  <c r="AX141" i="11"/>
  <c r="AW141" i="11"/>
  <c r="AV141" i="11"/>
  <c r="AU141" i="11"/>
  <c r="AT141" i="11"/>
  <c r="AS141" i="11"/>
  <c r="AR141" i="11"/>
  <c r="AQ141" i="11"/>
  <c r="AP141" i="11"/>
  <c r="AO141" i="11"/>
  <c r="AN141" i="11"/>
  <c r="AM141" i="11"/>
  <c r="AL141" i="11"/>
  <c r="AK141" i="11"/>
  <c r="AJ141" i="11"/>
  <c r="AI141" i="11"/>
  <c r="AH141" i="11"/>
  <c r="AF141" i="11"/>
  <c r="AE141" i="11"/>
  <c r="AD141" i="11"/>
  <c r="AC141" i="11"/>
  <c r="AB141" i="11"/>
  <c r="AA141" i="11"/>
  <c r="Z141" i="11"/>
  <c r="U141" i="11"/>
  <c r="N141" i="11"/>
  <c r="I141" i="11" s="1"/>
  <c r="M141" i="11"/>
  <c r="L141" i="11"/>
  <c r="K141" i="11"/>
  <c r="J141" i="11"/>
  <c r="H141" i="11" s="1"/>
  <c r="G141" i="11"/>
  <c r="E141" i="11"/>
  <c r="AR140" i="11"/>
  <c r="AP140" i="11"/>
  <c r="R140" i="11" s="1"/>
  <c r="S140" i="11"/>
  <c r="P140" i="11"/>
  <c r="H140" i="11"/>
  <c r="X139" i="11"/>
  <c r="S139" i="11"/>
  <c r="R139" i="11"/>
  <c r="Q139" i="11"/>
  <c r="P139" i="11"/>
  <c r="V139" i="11" s="1"/>
  <c r="O139" i="11"/>
  <c r="U139" i="11" s="1"/>
  <c r="N139" i="11"/>
  <c r="H139" i="11"/>
  <c r="AJ138" i="11"/>
  <c r="AG138" i="11"/>
  <c r="R138" i="11" s="1"/>
  <c r="Y138" i="11"/>
  <c r="Y137" i="11" s="1"/>
  <c r="V138" i="11"/>
  <c r="S138" i="11"/>
  <c r="Q138" i="11"/>
  <c r="P138" i="11"/>
  <c r="N138" i="11"/>
  <c r="H138" i="11"/>
  <c r="BL137" i="11"/>
  <c r="BK137" i="11"/>
  <c r="BJ137" i="11"/>
  <c r="BI137" i="11"/>
  <c r="BH137" i="11"/>
  <c r="BG137" i="11"/>
  <c r="BF137" i="11"/>
  <c r="BE137" i="11"/>
  <c r="BD137" i="11"/>
  <c r="BC137" i="11"/>
  <c r="BB137" i="11"/>
  <c r="BA137" i="11"/>
  <c r="AZ137" i="11"/>
  <c r="AY137" i="11"/>
  <c r="AX137" i="11"/>
  <c r="AW137" i="11"/>
  <c r="AV137" i="11"/>
  <c r="AU137" i="11"/>
  <c r="AU120" i="11" s="1"/>
  <c r="AT137" i="11"/>
  <c r="AS137" i="11"/>
  <c r="AQ137" i="11"/>
  <c r="AO137" i="11"/>
  <c r="AN137" i="11"/>
  <c r="AM137" i="11"/>
  <c r="AL137" i="11"/>
  <c r="AK137" i="11"/>
  <c r="AJ137" i="11"/>
  <c r="AI137" i="11"/>
  <c r="AH137" i="11"/>
  <c r="AF137" i="11"/>
  <c r="AE137" i="11"/>
  <c r="AD137" i="11"/>
  <c r="AC137" i="11"/>
  <c r="AB137" i="11"/>
  <c r="AA137" i="11"/>
  <c r="Z137" i="11"/>
  <c r="M137" i="11"/>
  <c r="L137" i="11"/>
  <c r="K137" i="11"/>
  <c r="J137" i="11"/>
  <c r="G137" i="11"/>
  <c r="E137" i="11"/>
  <c r="Y136" i="11"/>
  <c r="W136" i="11"/>
  <c r="S136" i="11"/>
  <c r="R136" i="11"/>
  <c r="Q136" i="11"/>
  <c r="P136" i="11"/>
  <c r="V136" i="11" s="1"/>
  <c r="O136" i="11"/>
  <c r="N136" i="11"/>
  <c r="I136" i="11" s="1"/>
  <c r="H136" i="11"/>
  <c r="Y135" i="11"/>
  <c r="W135" i="11"/>
  <c r="S135" i="11"/>
  <c r="R135" i="11"/>
  <c r="Q135" i="11"/>
  <c r="P135" i="11"/>
  <c r="V135" i="11" s="1"/>
  <c r="O135" i="11"/>
  <c r="U135" i="11" s="1"/>
  <c r="N135" i="11"/>
  <c r="T135" i="11" s="1"/>
  <c r="I135" i="11"/>
  <c r="H135" i="11"/>
  <c r="V134" i="11"/>
  <c r="S134" i="11"/>
  <c r="R134" i="11"/>
  <c r="Q134" i="11"/>
  <c r="P134" i="11"/>
  <c r="Y134" i="11" s="1"/>
  <c r="O134" i="11"/>
  <c r="X134" i="11" s="1"/>
  <c r="N134" i="11"/>
  <c r="I134" i="11"/>
  <c r="H134" i="11"/>
  <c r="Y133" i="11"/>
  <c r="X133" i="11"/>
  <c r="U133" i="11"/>
  <c r="T133" i="11"/>
  <c r="S133" i="11"/>
  <c r="R133" i="11"/>
  <c r="Q133" i="11"/>
  <c r="P133" i="11"/>
  <c r="V133" i="11" s="1"/>
  <c r="O133" i="11"/>
  <c r="N133" i="11"/>
  <c r="W133" i="11" s="1"/>
  <c r="W131" i="11" s="1"/>
  <c r="I133" i="11"/>
  <c r="H133" i="11"/>
  <c r="Y132" i="11"/>
  <c r="Y131" i="11" s="1"/>
  <c r="W132" i="11"/>
  <c r="S132" i="11"/>
  <c r="R132" i="11"/>
  <c r="Q132" i="11"/>
  <c r="P132" i="11"/>
  <c r="V132" i="11" s="1"/>
  <c r="O132" i="11"/>
  <c r="N132" i="11"/>
  <c r="T132" i="11" s="1"/>
  <c r="J132" i="11"/>
  <c r="H132" i="11"/>
  <c r="BL131" i="11"/>
  <c r="BK131" i="11"/>
  <c r="BJ131" i="11"/>
  <c r="BI131" i="11"/>
  <c r="BI120" i="11" s="1"/>
  <c r="BH131" i="11"/>
  <c r="BG131" i="11"/>
  <c r="BF131" i="11"/>
  <c r="BE131" i="11"/>
  <c r="BE120" i="11" s="1"/>
  <c r="BD131" i="11"/>
  <c r="BC131" i="11"/>
  <c r="BB131" i="11"/>
  <c r="BA131" i="11"/>
  <c r="BA120" i="11" s="1"/>
  <c r="AZ131" i="11"/>
  <c r="AY131" i="11"/>
  <c r="AX131" i="11"/>
  <c r="AW131" i="11"/>
  <c r="AW120" i="11" s="1"/>
  <c r="AV131" i="11"/>
  <c r="AU131" i="11"/>
  <c r="AT131" i="11"/>
  <c r="AS131" i="11"/>
  <c r="AR131" i="11"/>
  <c r="AQ131" i="11"/>
  <c r="AP131" i="11"/>
  <c r="AO131" i="11"/>
  <c r="AO120" i="11" s="1"/>
  <c r="AN131" i="11"/>
  <c r="AN120" i="11" s="1"/>
  <c r="AM131" i="11"/>
  <c r="AL131" i="11"/>
  <c r="AK131" i="11"/>
  <c r="AK120" i="11" s="1"/>
  <c r="AJ131" i="11"/>
  <c r="AI131" i="11"/>
  <c r="AH131" i="11"/>
  <c r="AG131" i="11"/>
  <c r="AF131" i="11"/>
  <c r="AF120" i="11" s="1"/>
  <c r="AE131" i="11"/>
  <c r="AD131" i="11"/>
  <c r="AC131" i="11"/>
  <c r="AC120" i="11" s="1"/>
  <c r="AB131" i="11"/>
  <c r="AA131" i="11"/>
  <c r="Z131" i="11"/>
  <c r="Q131" i="11"/>
  <c r="M131" i="11"/>
  <c r="M120" i="11" s="1"/>
  <c r="L131" i="11"/>
  <c r="K131" i="11"/>
  <c r="J131" i="11"/>
  <c r="H131" i="11"/>
  <c r="G131" i="11"/>
  <c r="E131" i="11"/>
  <c r="Y130" i="11"/>
  <c r="X130" i="11"/>
  <c r="U130" i="11"/>
  <c r="T130" i="11"/>
  <c r="S130" i="11"/>
  <c r="R130" i="11"/>
  <c r="Q130" i="11"/>
  <c r="P130" i="11"/>
  <c r="V130" i="11" s="1"/>
  <c r="O130" i="11"/>
  <c r="N130" i="11"/>
  <c r="W130" i="11" s="1"/>
  <c r="I130" i="11"/>
  <c r="H130" i="11"/>
  <c r="AS129" i="11"/>
  <c r="AS121" i="11" s="1"/>
  <c r="AJ129" i="11"/>
  <c r="AD129" i="11"/>
  <c r="AD121" i="11" s="1"/>
  <c r="S129" i="11"/>
  <c r="R129" i="11"/>
  <c r="Q129" i="11"/>
  <c r="P129" i="11"/>
  <c r="V129" i="11" s="1"/>
  <c r="O129" i="11"/>
  <c r="U129" i="11" s="1"/>
  <c r="N129" i="11"/>
  <c r="T129" i="11" s="1"/>
  <c r="V128" i="11"/>
  <c r="U128" i="11"/>
  <c r="S128" i="11"/>
  <c r="R128" i="11"/>
  <c r="Q128" i="11"/>
  <c r="P128" i="11"/>
  <c r="Y128" i="11" s="1"/>
  <c r="O128" i="11"/>
  <c r="X128" i="11" s="1"/>
  <c r="N128" i="11"/>
  <c r="H128" i="11"/>
  <c r="Y127" i="11"/>
  <c r="X127" i="11"/>
  <c r="U127" i="11"/>
  <c r="T127" i="11"/>
  <c r="S127" i="11"/>
  <c r="R127" i="11"/>
  <c r="Q127" i="11"/>
  <c r="P127" i="11"/>
  <c r="V127" i="11" s="1"/>
  <c r="O127" i="11"/>
  <c r="N127" i="11"/>
  <c r="W127" i="11" s="1"/>
  <c r="I127" i="11"/>
  <c r="H127" i="11"/>
  <c r="F127" i="11"/>
  <c r="X126" i="11"/>
  <c r="W126" i="11"/>
  <c r="T126" i="11"/>
  <c r="S126" i="11"/>
  <c r="R126" i="11"/>
  <c r="Q126" i="11"/>
  <c r="P126" i="11"/>
  <c r="O126" i="11"/>
  <c r="N126" i="11"/>
  <c r="L126" i="11"/>
  <c r="K126" i="11"/>
  <c r="U126" i="11" s="1"/>
  <c r="I126" i="11"/>
  <c r="H126" i="11"/>
  <c r="X125" i="11"/>
  <c r="W125" i="11"/>
  <c r="T125" i="11"/>
  <c r="S125" i="11"/>
  <c r="R125" i="11"/>
  <c r="Q125" i="11"/>
  <c r="P125" i="11"/>
  <c r="O125" i="11"/>
  <c r="U125" i="11" s="1"/>
  <c r="N125" i="11"/>
  <c r="I125" i="11"/>
  <c r="H125" i="11"/>
  <c r="Y124" i="11"/>
  <c r="X124" i="11"/>
  <c r="V124" i="11"/>
  <c r="S124" i="11"/>
  <c r="R124" i="11"/>
  <c r="Q124" i="11"/>
  <c r="P124" i="11"/>
  <c r="O124" i="11"/>
  <c r="U124" i="11" s="1"/>
  <c r="N124" i="11"/>
  <c r="H124" i="11"/>
  <c r="V123" i="11"/>
  <c r="T123" i="11"/>
  <c r="S123" i="11"/>
  <c r="R123" i="11"/>
  <c r="Q123" i="11"/>
  <c r="P123" i="11"/>
  <c r="Y123" i="11" s="1"/>
  <c r="O123" i="11"/>
  <c r="N123" i="11"/>
  <c r="I123" i="11" s="1"/>
  <c r="H123" i="11"/>
  <c r="Y122" i="11"/>
  <c r="V122" i="11"/>
  <c r="U122" i="11"/>
  <c r="T122" i="11"/>
  <c r="S122" i="11"/>
  <c r="R122" i="11"/>
  <c r="Q122" i="11"/>
  <c r="P122" i="11"/>
  <c r="O122" i="11"/>
  <c r="X122" i="11" s="1"/>
  <c r="N122" i="11"/>
  <c r="I122" i="11" s="1"/>
  <c r="H122" i="11"/>
  <c r="F122" i="11"/>
  <c r="BL121" i="11"/>
  <c r="BL120" i="11" s="1"/>
  <c r="BK121" i="11"/>
  <c r="BJ121" i="11"/>
  <c r="BI121" i="11"/>
  <c r="BH121" i="11"/>
  <c r="BG121" i="11"/>
  <c r="BG120" i="11" s="1"/>
  <c r="BF121" i="11"/>
  <c r="BF120" i="11" s="1"/>
  <c r="BE121" i="11"/>
  <c r="BD121" i="11"/>
  <c r="BD120" i="11" s="1"/>
  <c r="BC121" i="11"/>
  <c r="BB121" i="11"/>
  <c r="BA121" i="11"/>
  <c r="AZ121" i="11"/>
  <c r="AY121" i="11"/>
  <c r="AY120" i="11" s="1"/>
  <c r="AX121" i="11"/>
  <c r="AX120" i="11" s="1"/>
  <c r="AW121" i="11"/>
  <c r="AV121" i="11"/>
  <c r="AV120" i="11" s="1"/>
  <c r="AU121" i="11"/>
  <c r="AT121" i="11"/>
  <c r="AR121" i="11"/>
  <c r="AQ121" i="11"/>
  <c r="AQ120" i="11" s="1"/>
  <c r="AP121" i="11"/>
  <c r="AO121" i="11"/>
  <c r="AN121" i="11"/>
  <c r="AM121" i="11"/>
  <c r="AL121" i="11"/>
  <c r="AK121" i="11"/>
  <c r="AJ121" i="11"/>
  <c r="AI121" i="11"/>
  <c r="AH121" i="11"/>
  <c r="AH120" i="11" s="1"/>
  <c r="AG121" i="11"/>
  <c r="AF121" i="11"/>
  <c r="AE121" i="11"/>
  <c r="AC121" i="11"/>
  <c r="AB121" i="11"/>
  <c r="AA121" i="11"/>
  <c r="Z121" i="11"/>
  <c r="P121" i="11"/>
  <c r="Y121" i="11" s="1"/>
  <c r="M121" i="11"/>
  <c r="L121" i="11"/>
  <c r="L120" i="11" s="1"/>
  <c r="J121" i="11"/>
  <c r="J120" i="11" s="1"/>
  <c r="H121" i="11"/>
  <c r="G121" i="11"/>
  <c r="E121" i="11"/>
  <c r="BJ120" i="11"/>
  <c r="BC120" i="11"/>
  <c r="BB120" i="11"/>
  <c r="AZ120" i="11"/>
  <c r="AT120" i="11"/>
  <c r="AM120" i="11"/>
  <c r="AM97" i="11" s="1"/>
  <c r="AL120" i="11"/>
  <c r="AJ120" i="11"/>
  <c r="AD120" i="11"/>
  <c r="AB120" i="11"/>
  <c r="G120" i="11"/>
  <c r="G97" i="11" s="1"/>
  <c r="Y119" i="11"/>
  <c r="X119" i="11"/>
  <c r="U119" i="11"/>
  <c r="T119" i="11"/>
  <c r="S119" i="11"/>
  <c r="R119" i="11"/>
  <c r="Q119" i="11"/>
  <c r="P119" i="11"/>
  <c r="V119" i="11" s="1"/>
  <c r="O119" i="11"/>
  <c r="N119" i="11"/>
  <c r="W119" i="11" s="1"/>
  <c r="I119" i="11"/>
  <c r="H119" i="11"/>
  <c r="W118" i="11"/>
  <c r="T118" i="11"/>
  <c r="S118" i="11"/>
  <c r="R118" i="11"/>
  <c r="Q118" i="11"/>
  <c r="P118" i="11"/>
  <c r="V118" i="11" s="1"/>
  <c r="O118" i="11"/>
  <c r="U118" i="11" s="1"/>
  <c r="N118" i="11"/>
  <c r="Y117" i="11"/>
  <c r="X117" i="11"/>
  <c r="U117" i="11"/>
  <c r="T117" i="11"/>
  <c r="S117" i="11"/>
  <c r="R117" i="11"/>
  <c r="Q117" i="11"/>
  <c r="P117" i="11"/>
  <c r="V117" i="11" s="1"/>
  <c r="O117" i="11"/>
  <c r="N117" i="11"/>
  <c r="W117" i="11" s="1"/>
  <c r="I117" i="11"/>
  <c r="H117" i="11"/>
  <c r="Y116" i="11"/>
  <c r="W116" i="11"/>
  <c r="V116" i="11"/>
  <c r="S116" i="11"/>
  <c r="R116" i="11"/>
  <c r="Q116" i="11"/>
  <c r="P116" i="11"/>
  <c r="O116" i="11"/>
  <c r="N116" i="11"/>
  <c r="I116" i="11" s="1"/>
  <c r="H116" i="11"/>
  <c r="BL115" i="11"/>
  <c r="BK115" i="11"/>
  <c r="BJ115" i="11"/>
  <c r="BI115" i="11"/>
  <c r="BH115" i="11"/>
  <c r="BG115" i="11"/>
  <c r="BF115" i="11"/>
  <c r="BE115" i="11"/>
  <c r="BD115" i="11"/>
  <c r="BC115" i="11"/>
  <c r="BB115" i="11"/>
  <c r="BA115" i="11"/>
  <c r="AZ115" i="11"/>
  <c r="AY115" i="11"/>
  <c r="AX115" i="11"/>
  <c r="AW115" i="11"/>
  <c r="AV115" i="11"/>
  <c r="AU115" i="11"/>
  <c r="AT115" i="11"/>
  <c r="AS115" i="11"/>
  <c r="AR115" i="11"/>
  <c r="AQ115" i="11"/>
  <c r="AP115" i="11"/>
  <c r="AO115" i="11"/>
  <c r="AN115" i="11"/>
  <c r="AM115" i="11"/>
  <c r="AL115" i="11"/>
  <c r="AK115" i="11"/>
  <c r="AJ115" i="11"/>
  <c r="AI115" i="11"/>
  <c r="AH115" i="11"/>
  <c r="AG115" i="11"/>
  <c r="AF115" i="11"/>
  <c r="AE115" i="11"/>
  <c r="AD115" i="11"/>
  <c r="AC115" i="11"/>
  <c r="AB115" i="11"/>
  <c r="AA115" i="11"/>
  <c r="Z115" i="11"/>
  <c r="V115" i="11"/>
  <c r="P115" i="11"/>
  <c r="Y115" i="11" s="1"/>
  <c r="N115" i="11"/>
  <c r="M115" i="11"/>
  <c r="K115" i="11"/>
  <c r="J115" i="11"/>
  <c r="H115" i="11" s="1"/>
  <c r="G115" i="11"/>
  <c r="F115" i="11"/>
  <c r="E115" i="11"/>
  <c r="X114" i="11"/>
  <c r="W114" i="11"/>
  <c r="T114" i="11"/>
  <c r="S114" i="11"/>
  <c r="R114" i="11"/>
  <c r="Q114" i="11"/>
  <c r="P114" i="11"/>
  <c r="O114" i="11"/>
  <c r="U114" i="11" s="1"/>
  <c r="N114" i="11"/>
  <c r="I114" i="11"/>
  <c r="H114" i="11"/>
  <c r="X113" i="11"/>
  <c r="U113" i="11"/>
  <c r="S113" i="11"/>
  <c r="R113" i="11"/>
  <c r="Q113" i="11"/>
  <c r="P113" i="11"/>
  <c r="Y113" i="11" s="1"/>
  <c r="O113" i="11"/>
  <c r="N113" i="11"/>
  <c r="H113" i="11"/>
  <c r="W112" i="11"/>
  <c r="S112" i="11"/>
  <c r="R112" i="11"/>
  <c r="Q112" i="11"/>
  <c r="P112" i="11"/>
  <c r="Y112" i="11" s="1"/>
  <c r="O112" i="11"/>
  <c r="U112" i="11" s="1"/>
  <c r="N112" i="11"/>
  <c r="I112" i="11" s="1"/>
  <c r="H112" i="11"/>
  <c r="Y111" i="11"/>
  <c r="V111" i="11"/>
  <c r="U111" i="11"/>
  <c r="T111" i="11"/>
  <c r="S111" i="11"/>
  <c r="R111" i="11"/>
  <c r="Q111" i="11"/>
  <c r="P111" i="11"/>
  <c r="O111" i="11"/>
  <c r="X111" i="11" s="1"/>
  <c r="N111" i="11"/>
  <c r="W111" i="11" s="1"/>
  <c r="H111" i="11"/>
  <c r="X110" i="11"/>
  <c r="W110" i="11"/>
  <c r="T110" i="11"/>
  <c r="S110" i="11"/>
  <c r="R110" i="11"/>
  <c r="Q110" i="11"/>
  <c r="P110" i="11"/>
  <c r="O110" i="11"/>
  <c r="U110" i="11" s="1"/>
  <c r="N110" i="11"/>
  <c r="I110" i="11" s="1"/>
  <c r="H110" i="11"/>
  <c r="AS109" i="11"/>
  <c r="AS98" i="11" s="1"/>
  <c r="Y109" i="11"/>
  <c r="W109" i="11"/>
  <c r="V109" i="11"/>
  <c r="S109" i="11"/>
  <c r="R109" i="11"/>
  <c r="Q109" i="11"/>
  <c r="P109" i="11"/>
  <c r="O109" i="11"/>
  <c r="N109" i="11"/>
  <c r="H109" i="11"/>
  <c r="F109" i="11"/>
  <c r="X108" i="11"/>
  <c r="U108" i="11"/>
  <c r="S108" i="11"/>
  <c r="R108" i="11"/>
  <c r="Q108" i="11"/>
  <c r="P108" i="11"/>
  <c r="Y108" i="11" s="1"/>
  <c r="O108" i="11"/>
  <c r="N108" i="11"/>
  <c r="H108" i="11"/>
  <c r="F108" i="11"/>
  <c r="AR107" i="11"/>
  <c r="AO107" i="11"/>
  <c r="S107" i="11"/>
  <c r="R107" i="11"/>
  <c r="P107" i="11"/>
  <c r="O107" i="11"/>
  <c r="U107" i="11" s="1"/>
  <c r="J107" i="11"/>
  <c r="H107" i="11"/>
  <c r="V106" i="11"/>
  <c r="S106" i="11"/>
  <c r="R106" i="11"/>
  <c r="Q106" i="11"/>
  <c r="P106" i="11"/>
  <c r="Y106" i="11" s="1"/>
  <c r="O106" i="11"/>
  <c r="U106" i="11" s="1"/>
  <c r="N106" i="11"/>
  <c r="T106" i="11" s="1"/>
  <c r="I106" i="11"/>
  <c r="H106" i="11"/>
  <c r="X105" i="11"/>
  <c r="U105" i="11"/>
  <c r="S105" i="11"/>
  <c r="R105" i="11"/>
  <c r="Q105" i="11"/>
  <c r="P105" i="11"/>
  <c r="O105" i="11"/>
  <c r="N105" i="11"/>
  <c r="W105" i="11" s="1"/>
  <c r="I105" i="11"/>
  <c r="H105" i="11"/>
  <c r="X104" i="11"/>
  <c r="W104" i="11"/>
  <c r="U104" i="11"/>
  <c r="T104" i="11"/>
  <c r="S104" i="11"/>
  <c r="R104" i="11"/>
  <c r="Q104" i="11"/>
  <c r="P104" i="11"/>
  <c r="V104" i="11" s="1"/>
  <c r="O104" i="11"/>
  <c r="N104" i="11"/>
  <c r="I104" i="11"/>
  <c r="H104" i="11"/>
  <c r="F104" i="11"/>
  <c r="Y103" i="11"/>
  <c r="W103" i="11"/>
  <c r="V103" i="11"/>
  <c r="T103" i="11"/>
  <c r="S103" i="11"/>
  <c r="R103" i="11"/>
  <c r="Q103" i="11"/>
  <c r="P103" i="11"/>
  <c r="O103" i="11"/>
  <c r="N103" i="11"/>
  <c r="I103" i="11" s="1"/>
  <c r="H103" i="11"/>
  <c r="W102" i="11"/>
  <c r="T102" i="11"/>
  <c r="S102" i="11"/>
  <c r="R102" i="11"/>
  <c r="Q102" i="11"/>
  <c r="P102" i="11"/>
  <c r="Y102" i="11" s="1"/>
  <c r="O102" i="11"/>
  <c r="X102" i="11" s="1"/>
  <c r="N102" i="11"/>
  <c r="I102" i="11"/>
  <c r="H102" i="11"/>
  <c r="X101" i="11"/>
  <c r="U101" i="11"/>
  <c r="S101" i="11"/>
  <c r="R101" i="11"/>
  <c r="Q101" i="11"/>
  <c r="P101" i="11"/>
  <c r="O101" i="11"/>
  <c r="N101" i="11"/>
  <c r="W101" i="11" s="1"/>
  <c r="I101" i="11"/>
  <c r="H101" i="11"/>
  <c r="Y100" i="11"/>
  <c r="X100" i="11"/>
  <c r="V100" i="11"/>
  <c r="U100" i="11"/>
  <c r="S100" i="11"/>
  <c r="R100" i="11"/>
  <c r="Q100" i="11"/>
  <c r="P100" i="11"/>
  <c r="O100" i="11"/>
  <c r="N100" i="11"/>
  <c r="H100" i="11"/>
  <c r="F100" i="11"/>
  <c r="X99" i="11"/>
  <c r="W99" i="11"/>
  <c r="U99" i="11"/>
  <c r="T99" i="11"/>
  <c r="S99" i="11"/>
  <c r="R99" i="11"/>
  <c r="Q99" i="11"/>
  <c r="P99" i="11"/>
  <c r="O99" i="11"/>
  <c r="N99" i="11"/>
  <c r="I99" i="11"/>
  <c r="H99" i="11"/>
  <c r="F99" i="11"/>
  <c r="BL98" i="11"/>
  <c r="BL97" i="11" s="1"/>
  <c r="BK98" i="11"/>
  <c r="BJ98" i="11"/>
  <c r="BI98" i="11"/>
  <c r="BI97" i="11" s="1"/>
  <c r="BH98" i="11"/>
  <c r="BG98" i="11"/>
  <c r="BG97" i="11" s="1"/>
  <c r="BF98" i="11"/>
  <c r="BE98" i="11"/>
  <c r="BD98" i="11"/>
  <c r="BD97" i="11" s="1"/>
  <c r="BC98" i="11"/>
  <c r="BB98" i="11"/>
  <c r="BB97" i="11" s="1"/>
  <c r="BA98" i="11"/>
  <c r="BA97" i="11" s="1"/>
  <c r="AZ98" i="11"/>
  <c r="AY98" i="11"/>
  <c r="AY97" i="11" s="1"/>
  <c r="AX98" i="11"/>
  <c r="AW98" i="11"/>
  <c r="AV98" i="11"/>
  <c r="AV97" i="11" s="1"/>
  <c r="AU98" i="11"/>
  <c r="AT98" i="11"/>
  <c r="AR98" i="11"/>
  <c r="AQ98" i="11"/>
  <c r="AQ97" i="11" s="1"/>
  <c r="AP98" i="11"/>
  <c r="AN98" i="11"/>
  <c r="AM98" i="11"/>
  <c r="AL98" i="11"/>
  <c r="AL97" i="11" s="1"/>
  <c r="AK98" i="11"/>
  <c r="AK97" i="11" s="1"/>
  <c r="AJ98" i="11"/>
  <c r="AI98" i="11"/>
  <c r="AH98" i="11"/>
  <c r="AG98" i="11"/>
  <c r="AF98" i="11"/>
  <c r="AE98" i="11"/>
  <c r="AD98" i="11"/>
  <c r="AD97" i="11" s="1"/>
  <c r="AC98" i="11"/>
  <c r="AC97" i="11" s="1"/>
  <c r="AB98" i="11"/>
  <c r="AA98" i="11"/>
  <c r="Z98" i="11"/>
  <c r="M98" i="11"/>
  <c r="M97" i="11" s="1"/>
  <c r="L98" i="11"/>
  <c r="K98" i="11"/>
  <c r="J98" i="11"/>
  <c r="H98" i="11"/>
  <c r="G98" i="11"/>
  <c r="F98" i="11"/>
  <c r="E98" i="11"/>
  <c r="BH97" i="11"/>
  <c r="BF97" i="11"/>
  <c r="BE97" i="11"/>
  <c r="BC97" i="11"/>
  <c r="AZ97" i="11"/>
  <c r="AX97" i="11"/>
  <c r="AW97" i="11"/>
  <c r="AU97" i="11"/>
  <c r="AJ97" i="11"/>
  <c r="AH97" i="11"/>
  <c r="AB97" i="11"/>
  <c r="L97" i="11"/>
  <c r="J97" i="11"/>
  <c r="Y96" i="11"/>
  <c r="V96" i="11"/>
  <c r="S96" i="11"/>
  <c r="R96" i="11"/>
  <c r="Q96" i="11"/>
  <c r="P96" i="11"/>
  <c r="O96" i="11"/>
  <c r="N96" i="11"/>
  <c r="I96" i="11" s="1"/>
  <c r="H96" i="11"/>
  <c r="W95" i="11"/>
  <c r="T95" i="11"/>
  <c r="S95" i="11"/>
  <c r="R95" i="11"/>
  <c r="Q95" i="11"/>
  <c r="P95" i="11"/>
  <c r="Y95" i="11" s="1"/>
  <c r="O95" i="11"/>
  <c r="X95" i="11" s="1"/>
  <c r="N95" i="11"/>
  <c r="I95" i="11"/>
  <c r="H95" i="11"/>
  <c r="AO94" i="11"/>
  <c r="R94" i="11"/>
  <c r="Q94" i="11"/>
  <c r="R93" i="11"/>
  <c r="Q93" i="11"/>
  <c r="AO92" i="11"/>
  <c r="X92" i="11"/>
  <c r="U92" i="11"/>
  <c r="S92" i="11"/>
  <c r="R92" i="11"/>
  <c r="Q92" i="11"/>
  <c r="P92" i="11"/>
  <c r="Y92" i="11" s="1"/>
  <c r="O92" i="11"/>
  <c r="N92" i="11"/>
  <c r="J92" i="11"/>
  <c r="H92" i="11"/>
  <c r="F91" i="11"/>
  <c r="BL90" i="11"/>
  <c r="BK90" i="11"/>
  <c r="R90" i="11" s="1"/>
  <c r="BJ90" i="11"/>
  <c r="BI90" i="11"/>
  <c r="BH90" i="11"/>
  <c r="BG90" i="11"/>
  <c r="BF90" i="11"/>
  <c r="BE90" i="11"/>
  <c r="BD90" i="11"/>
  <c r="BD68" i="11" s="1"/>
  <c r="BC90" i="11"/>
  <c r="BB90" i="11"/>
  <c r="BA90" i="11"/>
  <c r="AZ90" i="11"/>
  <c r="AY90" i="11"/>
  <c r="AX90" i="11"/>
  <c r="AW90" i="11"/>
  <c r="AV90" i="11"/>
  <c r="AU90" i="11"/>
  <c r="AT90" i="11"/>
  <c r="AS90" i="11"/>
  <c r="AR90" i="11"/>
  <c r="AQ90" i="11"/>
  <c r="AP90" i="11"/>
  <c r="AO90" i="11"/>
  <c r="AN90" i="11"/>
  <c r="AM90" i="11"/>
  <c r="AL90" i="11"/>
  <c r="AK90" i="11"/>
  <c r="AJ90" i="11"/>
  <c r="AI90" i="11"/>
  <c r="AH90" i="11"/>
  <c r="AG90" i="11"/>
  <c r="AF90" i="11"/>
  <c r="AE90" i="11"/>
  <c r="AD90" i="11"/>
  <c r="AC90" i="11"/>
  <c r="AB90" i="11"/>
  <c r="AA90" i="11"/>
  <c r="Z90" i="11"/>
  <c r="M90" i="11"/>
  <c r="L90" i="11"/>
  <c r="K90" i="11"/>
  <c r="J90" i="11"/>
  <c r="H90" i="11"/>
  <c r="G90" i="11"/>
  <c r="F90" i="11"/>
  <c r="E90" i="11"/>
  <c r="W89" i="11"/>
  <c r="T89" i="11"/>
  <c r="S89" i="11"/>
  <c r="R89" i="11"/>
  <c r="Q89" i="11"/>
  <c r="P89" i="11"/>
  <c r="Y89" i="11" s="1"/>
  <c r="O89" i="11"/>
  <c r="X89" i="11" s="1"/>
  <c r="N89" i="11"/>
  <c r="I89" i="11"/>
  <c r="H89" i="11"/>
  <c r="F89" i="11"/>
  <c r="AS88" i="11"/>
  <c r="AS85" i="11" s="1"/>
  <c r="AS68" i="11" s="1"/>
  <c r="AG88" i="11"/>
  <c r="AD88" i="11"/>
  <c r="AA88" i="11"/>
  <c r="AA85" i="11" s="1"/>
  <c r="W88" i="11"/>
  <c r="T88" i="11"/>
  <c r="S88" i="11"/>
  <c r="Q88" i="11"/>
  <c r="P88" i="11"/>
  <c r="N88" i="11"/>
  <c r="I88" i="11"/>
  <c r="H88" i="11"/>
  <c r="X87" i="11"/>
  <c r="U87" i="11"/>
  <c r="S87" i="11"/>
  <c r="R87" i="11"/>
  <c r="Q87" i="11"/>
  <c r="P87" i="11"/>
  <c r="Y87" i="11" s="1"/>
  <c r="O87" i="11"/>
  <c r="N87" i="11"/>
  <c r="H87" i="11"/>
  <c r="Y86" i="11"/>
  <c r="V86" i="11"/>
  <c r="S86" i="11"/>
  <c r="R86" i="11"/>
  <c r="Q86" i="11"/>
  <c r="P86" i="11"/>
  <c r="O86" i="11"/>
  <c r="X86" i="11" s="1"/>
  <c r="N86" i="11"/>
  <c r="T86" i="11" s="1"/>
  <c r="H86" i="11"/>
  <c r="F86" i="11"/>
  <c r="F85" i="11" s="1"/>
  <c r="BL85" i="11"/>
  <c r="BK85" i="11"/>
  <c r="BK68" i="11" s="1"/>
  <c r="BJ85" i="11"/>
  <c r="BI85" i="11"/>
  <c r="BH85" i="11"/>
  <c r="BG85" i="11"/>
  <c r="BF85" i="11"/>
  <c r="BE85" i="11"/>
  <c r="BD85" i="11"/>
  <c r="BC85" i="11"/>
  <c r="BC68" i="11" s="1"/>
  <c r="BC3" i="11" s="1"/>
  <c r="BB85" i="11"/>
  <c r="BA85" i="11"/>
  <c r="AZ85" i="11"/>
  <c r="AY85" i="11"/>
  <c r="AX85" i="11"/>
  <c r="AW85" i="11"/>
  <c r="AV85" i="11"/>
  <c r="AU85" i="11"/>
  <c r="AT85" i="11"/>
  <c r="AR85" i="11"/>
  <c r="AQ85" i="11"/>
  <c r="AP85" i="11"/>
  <c r="AO85" i="11"/>
  <c r="AN85" i="11"/>
  <c r="AM85" i="11"/>
  <c r="AL85" i="11"/>
  <c r="AK85" i="11"/>
  <c r="AJ85" i="11"/>
  <c r="AI85" i="11"/>
  <c r="AH85" i="11"/>
  <c r="AH68" i="11" s="1"/>
  <c r="AG85" i="11"/>
  <c r="AF85" i="11"/>
  <c r="AE85" i="11"/>
  <c r="AD85" i="11"/>
  <c r="AC85" i="11"/>
  <c r="AB85" i="11"/>
  <c r="Z85" i="11"/>
  <c r="Q85" i="11"/>
  <c r="M85" i="11"/>
  <c r="L85" i="11"/>
  <c r="K85" i="11"/>
  <c r="J85" i="11"/>
  <c r="H85" i="11" s="1"/>
  <c r="G85" i="11"/>
  <c r="E85" i="11"/>
  <c r="Y84" i="11"/>
  <c r="V84" i="11"/>
  <c r="T84" i="11"/>
  <c r="S84" i="11"/>
  <c r="R84" i="11"/>
  <c r="Q84" i="11"/>
  <c r="P84" i="11"/>
  <c r="O84" i="11"/>
  <c r="N84" i="11"/>
  <c r="I84" i="11" s="1"/>
  <c r="H84" i="11"/>
  <c r="W83" i="11"/>
  <c r="U83" i="11"/>
  <c r="T83" i="11"/>
  <c r="S83" i="11"/>
  <c r="R83" i="11"/>
  <c r="Q83" i="11"/>
  <c r="P83" i="11"/>
  <c r="Y83" i="11" s="1"/>
  <c r="O83" i="11"/>
  <c r="X83" i="11" s="1"/>
  <c r="N83" i="11"/>
  <c r="I83" i="11"/>
  <c r="H83" i="11"/>
  <c r="X82" i="11"/>
  <c r="U82" i="11"/>
  <c r="S82" i="11"/>
  <c r="R82" i="11"/>
  <c r="Q82" i="11"/>
  <c r="P82" i="11"/>
  <c r="P81" i="11" s="1"/>
  <c r="Y81" i="11" s="1"/>
  <c r="O82" i="11"/>
  <c r="N82" i="11"/>
  <c r="W82" i="11" s="1"/>
  <c r="I82" i="11"/>
  <c r="H82" i="11"/>
  <c r="F82" i="11"/>
  <c r="F81" i="11" s="1"/>
  <c r="BL81" i="11"/>
  <c r="BK81" i="11"/>
  <c r="BJ81" i="11"/>
  <c r="Q81" i="11" s="1"/>
  <c r="BI81" i="11"/>
  <c r="BH81" i="11"/>
  <c r="BG81" i="11"/>
  <c r="BF81" i="11"/>
  <c r="BE81" i="11"/>
  <c r="BD81" i="11"/>
  <c r="BC81" i="11"/>
  <c r="BB81" i="11"/>
  <c r="BA81" i="11"/>
  <c r="AZ81" i="11"/>
  <c r="AY81" i="11"/>
  <c r="AX81" i="11"/>
  <c r="AW81" i="11"/>
  <c r="S81" i="11" s="1"/>
  <c r="AV81" i="11"/>
  <c r="AU81" i="11"/>
  <c r="AT81" i="11"/>
  <c r="AS81" i="11"/>
  <c r="AR81" i="11"/>
  <c r="AQ81" i="11"/>
  <c r="AP81" i="11"/>
  <c r="AO81" i="11"/>
  <c r="AN81" i="11"/>
  <c r="AM81" i="11"/>
  <c r="AL81" i="11"/>
  <c r="AK81" i="11"/>
  <c r="AJ81" i="11"/>
  <c r="AI81" i="11"/>
  <c r="AH81" i="11"/>
  <c r="AG81" i="11"/>
  <c r="AF81" i="11"/>
  <c r="AE81" i="11"/>
  <c r="AD81" i="11"/>
  <c r="AC81" i="11"/>
  <c r="AB81" i="11"/>
  <c r="AA81" i="11"/>
  <c r="Z81" i="11"/>
  <c r="N81" i="11"/>
  <c r="W81" i="11" s="1"/>
  <c r="M81" i="11"/>
  <c r="L81" i="11"/>
  <c r="K81" i="11"/>
  <c r="J81" i="11"/>
  <c r="I81" i="11"/>
  <c r="H81" i="11"/>
  <c r="G81" i="11"/>
  <c r="E81" i="11"/>
  <c r="X80" i="11"/>
  <c r="U80" i="11"/>
  <c r="S80" i="11"/>
  <c r="R80" i="11"/>
  <c r="Q80" i="11"/>
  <c r="P80" i="11"/>
  <c r="Y80" i="11" s="1"/>
  <c r="O80" i="11"/>
  <c r="N80" i="11"/>
  <c r="H80" i="11"/>
  <c r="Y79" i="11"/>
  <c r="V79" i="11"/>
  <c r="S79" i="11"/>
  <c r="R79" i="11"/>
  <c r="Q79" i="11"/>
  <c r="P79" i="11"/>
  <c r="O79" i="11"/>
  <c r="O78" i="11" s="1"/>
  <c r="N79" i="11"/>
  <c r="T79" i="11" s="1"/>
  <c r="H79" i="11"/>
  <c r="BL78" i="11"/>
  <c r="BK78" i="11"/>
  <c r="BJ78" i="11"/>
  <c r="BI78" i="11"/>
  <c r="BH78" i="11"/>
  <c r="BG78" i="11"/>
  <c r="BF78" i="11"/>
  <c r="BE78" i="11"/>
  <c r="BD78" i="11"/>
  <c r="BC78" i="11"/>
  <c r="BB78" i="11"/>
  <c r="BA78" i="11"/>
  <c r="AZ78" i="11"/>
  <c r="AY78" i="11"/>
  <c r="AX78" i="11"/>
  <c r="AW78" i="11"/>
  <c r="AV78" i="11"/>
  <c r="AU78" i="11"/>
  <c r="AT78" i="11"/>
  <c r="AS78" i="11"/>
  <c r="AR78" i="11"/>
  <c r="AQ78" i="11"/>
  <c r="AP78" i="11"/>
  <c r="AO78" i="11"/>
  <c r="AN78" i="11"/>
  <c r="AM78" i="11"/>
  <c r="AL78" i="11"/>
  <c r="AK78" i="11"/>
  <c r="AJ78" i="11"/>
  <c r="AI78" i="11"/>
  <c r="AH78" i="11"/>
  <c r="AG78" i="11"/>
  <c r="AF78" i="11"/>
  <c r="AE78" i="11"/>
  <c r="AD78" i="11"/>
  <c r="AC78" i="11"/>
  <c r="AB78" i="11"/>
  <c r="AA78" i="11"/>
  <c r="Z78" i="11"/>
  <c r="S78" i="11"/>
  <c r="Q78" i="11"/>
  <c r="M78" i="11"/>
  <c r="L78" i="11"/>
  <c r="K78" i="11"/>
  <c r="X78" i="11" s="1"/>
  <c r="J78" i="11"/>
  <c r="H78" i="11"/>
  <c r="F78" i="11"/>
  <c r="Y77" i="11"/>
  <c r="V77" i="11"/>
  <c r="T77" i="11"/>
  <c r="S77" i="11"/>
  <c r="R77" i="11"/>
  <c r="Q77" i="11"/>
  <c r="P77" i="11"/>
  <c r="O77" i="11"/>
  <c r="X77" i="11" s="1"/>
  <c r="N77" i="11"/>
  <c r="H77" i="11"/>
  <c r="F77" i="11"/>
  <c r="X76" i="11"/>
  <c r="U76" i="11"/>
  <c r="S76" i="11"/>
  <c r="R76" i="11"/>
  <c r="Q76" i="11"/>
  <c r="P76" i="11"/>
  <c r="O76" i="11"/>
  <c r="N76" i="11"/>
  <c r="W76" i="11" s="1"/>
  <c r="I76" i="11"/>
  <c r="H76" i="11"/>
  <c r="F76" i="11"/>
  <c r="F69" i="11" s="1"/>
  <c r="F68" i="11" s="1"/>
  <c r="AO75" i="11"/>
  <c r="AG75" i="11"/>
  <c r="AD75" i="11"/>
  <c r="S75" i="11"/>
  <c r="R75" i="11"/>
  <c r="P75" i="11"/>
  <c r="Y75" i="11" s="1"/>
  <c r="O75" i="11"/>
  <c r="X75" i="11" s="1"/>
  <c r="J75" i="11"/>
  <c r="H75" i="11" s="1"/>
  <c r="F75" i="11"/>
  <c r="W74" i="11"/>
  <c r="U74" i="11"/>
  <c r="T74" i="11"/>
  <c r="S74" i="11"/>
  <c r="R74" i="11"/>
  <c r="Q74" i="11"/>
  <c r="P74" i="11"/>
  <c r="Y74" i="11" s="1"/>
  <c r="O74" i="11"/>
  <c r="X74" i="11" s="1"/>
  <c r="N74" i="11"/>
  <c r="I74" i="11"/>
  <c r="H74" i="11"/>
  <c r="F74" i="11"/>
  <c r="AR73" i="11"/>
  <c r="Q73" i="11" s="1"/>
  <c r="AD73" i="11"/>
  <c r="O73" i="11" s="1"/>
  <c r="U73" i="11" s="1"/>
  <c r="X73" i="11"/>
  <c r="S73" i="11"/>
  <c r="R73" i="11"/>
  <c r="P73" i="11"/>
  <c r="Y73" i="11" s="1"/>
  <c r="N73" i="11"/>
  <c r="J73" i="11"/>
  <c r="H73" i="11"/>
  <c r="AR72" i="11"/>
  <c r="X72" i="11"/>
  <c r="U72" i="11"/>
  <c r="S72" i="11"/>
  <c r="R72" i="11"/>
  <c r="Q72" i="11"/>
  <c r="P72" i="11"/>
  <c r="Y72" i="11" s="1"/>
  <c r="O72" i="11"/>
  <c r="N72" i="11"/>
  <c r="J72" i="11"/>
  <c r="H72" i="11"/>
  <c r="F72" i="11"/>
  <c r="AJ71" i="11"/>
  <c r="Y71" i="11"/>
  <c r="V71" i="11"/>
  <c r="S71" i="11"/>
  <c r="R71" i="11"/>
  <c r="Q71" i="11"/>
  <c r="P71" i="11"/>
  <c r="O71" i="11"/>
  <c r="N71" i="11"/>
  <c r="I71" i="11" s="1"/>
  <c r="H71" i="11"/>
  <c r="F71" i="11"/>
  <c r="X70" i="11"/>
  <c r="V70" i="11"/>
  <c r="U70" i="11"/>
  <c r="S70" i="11"/>
  <c r="R70" i="11"/>
  <c r="Q70" i="11"/>
  <c r="P70" i="11"/>
  <c r="Y70" i="11" s="1"/>
  <c r="O70" i="11"/>
  <c r="N70" i="11"/>
  <c r="I70" i="11"/>
  <c r="H70" i="11"/>
  <c r="F70" i="11"/>
  <c r="BL69" i="11"/>
  <c r="BK69" i="11"/>
  <c r="BJ69" i="11"/>
  <c r="BI69" i="11"/>
  <c r="BH69" i="11"/>
  <c r="BG69" i="11"/>
  <c r="BF69" i="11"/>
  <c r="BE69" i="11"/>
  <c r="BD69" i="11"/>
  <c r="BC69" i="11"/>
  <c r="BB69" i="11"/>
  <c r="BA69" i="11"/>
  <c r="AZ69" i="11"/>
  <c r="AZ68" i="11" s="1"/>
  <c r="AY69" i="11"/>
  <c r="AY68" i="11" s="1"/>
  <c r="AX69" i="11"/>
  <c r="AW69" i="11"/>
  <c r="AV69" i="11"/>
  <c r="AU69" i="11"/>
  <c r="AT69" i="11"/>
  <c r="AS69" i="11"/>
  <c r="AR69" i="11"/>
  <c r="AR68" i="11" s="1"/>
  <c r="AQ69" i="11"/>
  <c r="AP69" i="11"/>
  <c r="AN69" i="11"/>
  <c r="AN68" i="11" s="1"/>
  <c r="AM69" i="11"/>
  <c r="AM68" i="11" s="1"/>
  <c r="AM3" i="11" s="1"/>
  <c r="AL69" i="11"/>
  <c r="AK69" i="11"/>
  <c r="AJ69" i="11"/>
  <c r="AI69" i="11"/>
  <c r="AI68" i="11" s="1"/>
  <c r="AH69" i="11"/>
  <c r="AG69" i="11"/>
  <c r="AF69" i="11"/>
  <c r="AE69" i="11"/>
  <c r="AE68" i="11" s="1"/>
  <c r="AD69" i="11"/>
  <c r="AC69" i="11"/>
  <c r="AB69" i="11"/>
  <c r="AA69" i="11"/>
  <c r="Z69" i="11"/>
  <c r="P69" i="11"/>
  <c r="Y69" i="11" s="1"/>
  <c r="O69" i="11"/>
  <c r="X69" i="11" s="1"/>
  <c r="M69" i="11"/>
  <c r="L69" i="11"/>
  <c r="L68" i="11" s="1"/>
  <c r="K69" i="11"/>
  <c r="G69" i="11"/>
  <c r="G68" i="11" s="1"/>
  <c r="E69" i="11"/>
  <c r="BL68" i="11"/>
  <c r="BI68" i="11"/>
  <c r="BH68" i="11"/>
  <c r="BG68" i="11"/>
  <c r="BF68" i="11"/>
  <c r="BA68" i="11"/>
  <c r="AX68" i="11"/>
  <c r="AV68" i="11"/>
  <c r="AU68" i="11"/>
  <c r="AQ68" i="11"/>
  <c r="AP68" i="11"/>
  <c r="AK68" i="11"/>
  <c r="AJ68" i="11"/>
  <c r="AF68" i="11"/>
  <c r="AC68" i="11"/>
  <c r="AB68" i="11"/>
  <c r="AA68" i="11"/>
  <c r="Z68" i="11"/>
  <c r="M68" i="11"/>
  <c r="K68" i="11"/>
  <c r="E68" i="11"/>
  <c r="W67" i="11"/>
  <c r="U67" i="11"/>
  <c r="T67" i="11"/>
  <c r="S67" i="11"/>
  <c r="R67" i="11"/>
  <c r="Q67" i="11"/>
  <c r="P67" i="11"/>
  <c r="V67" i="11" s="1"/>
  <c r="O67" i="11"/>
  <c r="X67" i="11" s="1"/>
  <c r="N67" i="11"/>
  <c r="I67" i="11"/>
  <c r="H67" i="11"/>
  <c r="F67" i="11"/>
  <c r="S66" i="11"/>
  <c r="R66" i="11"/>
  <c r="Q66" i="11"/>
  <c r="P66" i="11"/>
  <c r="V66" i="11" s="1"/>
  <c r="O66" i="11"/>
  <c r="U66" i="11" s="1"/>
  <c r="N66" i="11"/>
  <c r="I66" i="11" s="1"/>
  <c r="H66" i="11"/>
  <c r="F66" i="11"/>
  <c r="S65" i="11"/>
  <c r="R65" i="11"/>
  <c r="Q65" i="11"/>
  <c r="P65" i="11"/>
  <c r="Y65" i="11" s="1"/>
  <c r="O65" i="11"/>
  <c r="X65" i="11" s="1"/>
  <c r="N65" i="11"/>
  <c r="T65" i="11" s="1"/>
  <c r="H65" i="11"/>
  <c r="F65" i="11"/>
  <c r="Y64" i="11"/>
  <c r="W64" i="11"/>
  <c r="V64" i="11"/>
  <c r="U64" i="11"/>
  <c r="T64" i="11"/>
  <c r="S64" i="11"/>
  <c r="R64" i="11"/>
  <c r="Q64" i="11"/>
  <c r="P64" i="11"/>
  <c r="O64" i="11"/>
  <c r="X64" i="11" s="1"/>
  <c r="N64" i="11"/>
  <c r="I64" i="11"/>
  <c r="H64" i="11"/>
  <c r="F64" i="11"/>
  <c r="X63" i="11"/>
  <c r="V63" i="11"/>
  <c r="U63" i="11"/>
  <c r="S63" i="11"/>
  <c r="R63" i="11"/>
  <c r="Q63" i="11"/>
  <c r="P63" i="11"/>
  <c r="Y63" i="11" s="1"/>
  <c r="O63" i="11"/>
  <c r="N63" i="11"/>
  <c r="W63" i="11" s="1"/>
  <c r="H63" i="11"/>
  <c r="F63" i="11"/>
  <c r="Y62" i="11"/>
  <c r="V62" i="11"/>
  <c r="T62" i="11"/>
  <c r="S62" i="11"/>
  <c r="R62" i="11"/>
  <c r="Q62" i="11"/>
  <c r="P62" i="11"/>
  <c r="O62" i="11"/>
  <c r="N62" i="11"/>
  <c r="W62" i="11" s="1"/>
  <c r="H62" i="11"/>
  <c r="F62" i="11"/>
  <c r="W61" i="11"/>
  <c r="T61" i="11"/>
  <c r="S61" i="11"/>
  <c r="R61" i="11"/>
  <c r="Q61" i="11"/>
  <c r="P61" i="11"/>
  <c r="V61" i="11" s="1"/>
  <c r="O61" i="11"/>
  <c r="U61" i="11" s="1"/>
  <c r="N61" i="11"/>
  <c r="I61" i="11"/>
  <c r="H61" i="11"/>
  <c r="F61" i="11"/>
  <c r="V60" i="11"/>
  <c r="S60" i="11"/>
  <c r="R60" i="11"/>
  <c r="Q60" i="11"/>
  <c r="P60" i="11"/>
  <c r="Y60" i="11" s="1"/>
  <c r="O60" i="11"/>
  <c r="U60" i="11" s="1"/>
  <c r="N60" i="11"/>
  <c r="I60" i="11" s="1"/>
  <c r="H60" i="11"/>
  <c r="F60" i="11"/>
  <c r="W59" i="11"/>
  <c r="V59" i="11"/>
  <c r="T59" i="11"/>
  <c r="S59" i="11"/>
  <c r="R59" i="11"/>
  <c r="Q59" i="11"/>
  <c r="P59" i="11"/>
  <c r="Y59" i="11" s="1"/>
  <c r="O59" i="11"/>
  <c r="X59" i="11" s="1"/>
  <c r="N59" i="11"/>
  <c r="I59" i="11" s="1"/>
  <c r="H59" i="11"/>
  <c r="F59" i="11"/>
  <c r="Y58" i="11"/>
  <c r="X58" i="11"/>
  <c r="V58" i="11"/>
  <c r="U58" i="11"/>
  <c r="S58" i="11"/>
  <c r="R58" i="11"/>
  <c r="Q58" i="11"/>
  <c r="P58" i="11"/>
  <c r="O58" i="11"/>
  <c r="N58" i="11"/>
  <c r="W58" i="11" s="1"/>
  <c r="H58" i="11"/>
  <c r="F58" i="11"/>
  <c r="AD57" i="11"/>
  <c r="O57" i="11" s="1"/>
  <c r="Y57" i="11"/>
  <c r="V57" i="11"/>
  <c r="S57" i="11"/>
  <c r="R57" i="11"/>
  <c r="Q57" i="11"/>
  <c r="P57" i="11"/>
  <c r="N57" i="11"/>
  <c r="W57" i="11" s="1"/>
  <c r="H57" i="11"/>
  <c r="F57" i="11"/>
  <c r="X56" i="11"/>
  <c r="W56" i="11"/>
  <c r="U56" i="11"/>
  <c r="T56" i="11"/>
  <c r="S56" i="11"/>
  <c r="R56" i="11"/>
  <c r="Q56" i="11"/>
  <c r="P56" i="11"/>
  <c r="V56" i="11" s="1"/>
  <c r="O56" i="11"/>
  <c r="N56" i="11"/>
  <c r="I56" i="11"/>
  <c r="H56" i="11"/>
  <c r="F56" i="11"/>
  <c r="W55" i="11"/>
  <c r="T55" i="11"/>
  <c r="S55" i="11"/>
  <c r="R55" i="11"/>
  <c r="Q55" i="11"/>
  <c r="P55" i="11"/>
  <c r="V55" i="11" s="1"/>
  <c r="O55" i="11"/>
  <c r="U55" i="11" s="1"/>
  <c r="N55" i="11"/>
  <c r="I55" i="11" s="1"/>
  <c r="H55" i="11"/>
  <c r="F55" i="11"/>
  <c r="V54" i="11"/>
  <c r="S54" i="11"/>
  <c r="R54" i="11"/>
  <c r="Q54" i="11"/>
  <c r="P54" i="11"/>
  <c r="Y54" i="11" s="1"/>
  <c r="O54" i="11"/>
  <c r="U54" i="11" s="1"/>
  <c r="N54" i="11"/>
  <c r="I54" i="11" s="1"/>
  <c r="H54" i="11"/>
  <c r="AD53" i="11"/>
  <c r="R53" i="11" s="1"/>
  <c r="AA53" i="11"/>
  <c r="V53" i="11"/>
  <c r="S53" i="11"/>
  <c r="Q53" i="11"/>
  <c r="P53" i="11"/>
  <c r="Y53" i="11" s="1"/>
  <c r="O53" i="11"/>
  <c r="X53" i="11" s="1"/>
  <c r="N53" i="11"/>
  <c r="T53" i="11" s="1"/>
  <c r="K53" i="11"/>
  <c r="U53" i="11" s="1"/>
  <c r="H53" i="11"/>
  <c r="F53" i="11"/>
  <c r="AD52" i="11"/>
  <c r="W52" i="11"/>
  <c r="T52" i="11"/>
  <c r="S52" i="11"/>
  <c r="R52" i="11"/>
  <c r="Q52" i="11"/>
  <c r="P52" i="11"/>
  <c r="V52" i="11" s="1"/>
  <c r="O52" i="11"/>
  <c r="X52" i="11" s="1"/>
  <c r="N52" i="11"/>
  <c r="K52" i="11"/>
  <c r="U52" i="11" s="1"/>
  <c r="I52" i="11"/>
  <c r="H52" i="11"/>
  <c r="F52" i="11"/>
  <c r="AG51" i="11"/>
  <c r="O51" i="11" s="1"/>
  <c r="X51" i="11" s="1"/>
  <c r="W51" i="11"/>
  <c r="S51" i="11"/>
  <c r="R51" i="11"/>
  <c r="Q51" i="11"/>
  <c r="P51" i="11"/>
  <c r="V51" i="11" s="1"/>
  <c r="N51" i="11"/>
  <c r="I51" i="11" s="1"/>
  <c r="K51" i="11"/>
  <c r="U51" i="11" s="1"/>
  <c r="J51" i="11"/>
  <c r="T51" i="11" s="1"/>
  <c r="H51" i="11"/>
  <c r="F51" i="11"/>
  <c r="AG50" i="11"/>
  <c r="R50" i="11" s="1"/>
  <c r="AD50" i="11"/>
  <c r="O50" i="11" s="1"/>
  <c r="X50" i="11" s="1"/>
  <c r="W50" i="11"/>
  <c r="T50" i="11"/>
  <c r="S50" i="11"/>
  <c r="Q50" i="11"/>
  <c r="P50" i="11"/>
  <c r="Y50" i="11" s="1"/>
  <c r="N50" i="11"/>
  <c r="K50" i="11"/>
  <c r="U50" i="11" s="1"/>
  <c r="I50" i="11"/>
  <c r="H50" i="11"/>
  <c r="F50" i="11"/>
  <c r="AG49" i="11"/>
  <c r="O49" i="11" s="1"/>
  <c r="Y49" i="11"/>
  <c r="V49" i="11"/>
  <c r="T49" i="11"/>
  <c r="S49" i="11"/>
  <c r="R49" i="11"/>
  <c r="Q49" i="11"/>
  <c r="P49" i="11"/>
  <c r="N49" i="11"/>
  <c r="W49" i="11" s="1"/>
  <c r="I49" i="11"/>
  <c r="H49" i="11"/>
  <c r="F49" i="11"/>
  <c r="AM48" i="11"/>
  <c r="AG48" i="11"/>
  <c r="O48" i="11" s="1"/>
  <c r="X48" i="11" s="1"/>
  <c r="Y48" i="11"/>
  <c r="V48" i="11"/>
  <c r="S48" i="11"/>
  <c r="R48" i="11"/>
  <c r="Q48" i="11"/>
  <c r="P48" i="11"/>
  <c r="N48" i="11"/>
  <c r="T48" i="11" s="1"/>
  <c r="K48" i="11"/>
  <c r="U48" i="11" s="1"/>
  <c r="H48" i="11"/>
  <c r="Y47" i="11"/>
  <c r="X47" i="11"/>
  <c r="V47" i="11"/>
  <c r="U47" i="11"/>
  <c r="T47" i="11"/>
  <c r="S47" i="11"/>
  <c r="R47" i="11"/>
  <c r="Q47" i="11"/>
  <c r="P47" i="11"/>
  <c r="O47" i="11"/>
  <c r="N47" i="11"/>
  <c r="W47" i="11" s="1"/>
  <c r="I47" i="11"/>
  <c r="H47" i="11"/>
  <c r="F47" i="11"/>
  <c r="X46" i="11"/>
  <c r="U46" i="11"/>
  <c r="T46" i="11"/>
  <c r="S46" i="11"/>
  <c r="R46" i="11"/>
  <c r="Q46" i="11"/>
  <c r="P46" i="11"/>
  <c r="Y46" i="11" s="1"/>
  <c r="O46" i="11"/>
  <c r="N46" i="11"/>
  <c r="J46" i="11"/>
  <c r="W46" i="11" s="1"/>
  <c r="I46" i="11"/>
  <c r="H46" i="11"/>
  <c r="AR45" i="11"/>
  <c r="AO45" i="11"/>
  <c r="AL45" i="11"/>
  <c r="AI45" i="11"/>
  <c r="Q45" i="11" s="1"/>
  <c r="V45" i="11"/>
  <c r="S45" i="11"/>
  <c r="R45" i="11"/>
  <c r="P45" i="11"/>
  <c r="Y45" i="11" s="1"/>
  <c r="O45" i="11"/>
  <c r="X45" i="11" s="1"/>
  <c r="N45" i="11"/>
  <c r="I45" i="11" s="1"/>
  <c r="L45" i="11"/>
  <c r="U45" i="11" s="1"/>
  <c r="K45" i="11"/>
  <c r="J45" i="11"/>
  <c r="T45" i="11" s="1"/>
  <c r="AS44" i="11"/>
  <c r="AR44" i="11"/>
  <c r="Q44" i="11" s="1"/>
  <c r="AG44" i="11"/>
  <c r="R44" i="11" s="1"/>
  <c r="AD44" i="11"/>
  <c r="S44" i="11"/>
  <c r="P44" i="11"/>
  <c r="Y44" i="11" s="1"/>
  <c r="K44" i="11"/>
  <c r="J44" i="11"/>
  <c r="H44" i="11" s="1"/>
  <c r="F44" i="11"/>
  <c r="AR43" i="11"/>
  <c r="Q43" i="11" s="1"/>
  <c r="Y43" i="11"/>
  <c r="V43" i="11"/>
  <c r="U43" i="11"/>
  <c r="S43" i="11"/>
  <c r="R43" i="11"/>
  <c r="P43" i="11"/>
  <c r="O43" i="11"/>
  <c r="X43" i="11" s="1"/>
  <c r="J43" i="11"/>
  <c r="AO42" i="11"/>
  <c r="Q42" i="11" s="1"/>
  <c r="Y42" i="11"/>
  <c r="V42" i="11"/>
  <c r="U42" i="11"/>
  <c r="S42" i="11"/>
  <c r="R42" i="11"/>
  <c r="P42" i="11"/>
  <c r="O42" i="11"/>
  <c r="X42" i="11" s="1"/>
  <c r="J42" i="11"/>
  <c r="E42" i="11"/>
  <c r="Y41" i="11"/>
  <c r="V41" i="11"/>
  <c r="U41" i="11"/>
  <c r="S41" i="11"/>
  <c r="R41" i="11"/>
  <c r="Q41" i="11"/>
  <c r="P41" i="11"/>
  <c r="O41" i="11"/>
  <c r="X41" i="11" s="1"/>
  <c r="N41" i="11"/>
  <c r="I41" i="11" s="1"/>
  <c r="J41" i="11"/>
  <c r="T41" i="11" s="1"/>
  <c r="AS40" i="11"/>
  <c r="O40" i="11" s="1"/>
  <c r="Y40" i="11"/>
  <c r="V40" i="11"/>
  <c r="S40" i="11"/>
  <c r="R40" i="11"/>
  <c r="Q40" i="11"/>
  <c r="P40" i="11"/>
  <c r="N40" i="11"/>
  <c r="T40" i="11" s="1"/>
  <c r="I40" i="11"/>
  <c r="H40" i="11"/>
  <c r="F40" i="11"/>
  <c r="Y39" i="11"/>
  <c r="X39" i="11"/>
  <c r="V39" i="11"/>
  <c r="U39" i="11"/>
  <c r="T39" i="11"/>
  <c r="S39" i="11"/>
  <c r="R39" i="11"/>
  <c r="Q39" i="11"/>
  <c r="P39" i="11"/>
  <c r="O39" i="11"/>
  <c r="N39" i="11"/>
  <c r="W39" i="11" s="1"/>
  <c r="I39" i="11"/>
  <c r="H39" i="11"/>
  <c r="F39" i="11"/>
  <c r="X38" i="11"/>
  <c r="W38" i="11"/>
  <c r="U38" i="11"/>
  <c r="T38" i="11"/>
  <c r="S38" i="11"/>
  <c r="R38" i="11"/>
  <c r="Q38" i="11"/>
  <c r="P38" i="11"/>
  <c r="Y38" i="11" s="1"/>
  <c r="O38" i="11"/>
  <c r="N38" i="11"/>
  <c r="I38" i="11"/>
  <c r="H38" i="11"/>
  <c r="F38" i="11"/>
  <c r="Y37" i="11"/>
  <c r="W37" i="11"/>
  <c r="V37" i="11"/>
  <c r="T37" i="11"/>
  <c r="S37" i="11"/>
  <c r="R37" i="11"/>
  <c r="Q37" i="11"/>
  <c r="P37" i="11"/>
  <c r="O37" i="11"/>
  <c r="X37" i="11" s="1"/>
  <c r="N37" i="11"/>
  <c r="I37" i="11" s="1"/>
  <c r="H37" i="11"/>
  <c r="F37" i="11"/>
  <c r="AD36" i="11"/>
  <c r="O36" i="11" s="1"/>
  <c r="X36" i="11" s="1"/>
  <c r="Y36" i="11"/>
  <c r="W36" i="11"/>
  <c r="V36" i="11"/>
  <c r="T36" i="11"/>
  <c r="S36" i="11"/>
  <c r="R36" i="11"/>
  <c r="Q36" i="11"/>
  <c r="P36" i="11"/>
  <c r="N36" i="11"/>
  <c r="K36" i="11"/>
  <c r="U36" i="11" s="1"/>
  <c r="I36" i="11"/>
  <c r="H36" i="11"/>
  <c r="AO35" i="11"/>
  <c r="Q35" i="11" s="1"/>
  <c r="Y35" i="11"/>
  <c r="V35" i="11"/>
  <c r="S35" i="11"/>
  <c r="R35" i="11"/>
  <c r="P35" i="11"/>
  <c r="O35" i="11"/>
  <c r="X35" i="11" s="1"/>
  <c r="H35" i="11"/>
  <c r="X34" i="11"/>
  <c r="W34" i="11"/>
  <c r="U34" i="11"/>
  <c r="T34" i="11"/>
  <c r="S34" i="11"/>
  <c r="R34" i="11"/>
  <c r="Q34" i="11"/>
  <c r="P34" i="11"/>
  <c r="V34" i="11" s="1"/>
  <c r="O34" i="11"/>
  <c r="N34" i="11"/>
  <c r="I34" i="11"/>
  <c r="H34" i="11"/>
  <c r="V33" i="11"/>
  <c r="S33" i="11"/>
  <c r="R33" i="11"/>
  <c r="Q33" i="11"/>
  <c r="P33" i="11"/>
  <c r="Y33" i="11" s="1"/>
  <c r="O33" i="11"/>
  <c r="U33" i="11" s="1"/>
  <c r="N33" i="11"/>
  <c r="I33" i="11" s="1"/>
  <c r="H33" i="11"/>
  <c r="AR32" i="11"/>
  <c r="Q32" i="11" s="1"/>
  <c r="Y32" i="11"/>
  <c r="V32" i="11"/>
  <c r="S32" i="11"/>
  <c r="R32" i="11"/>
  <c r="P32" i="11"/>
  <c r="O32" i="11"/>
  <c r="X32" i="11" s="1"/>
  <c r="K32" i="11"/>
  <c r="U32" i="11" s="1"/>
  <c r="J32" i="11"/>
  <c r="H32" i="11"/>
  <c r="AS31" i="11"/>
  <c r="V31" i="11"/>
  <c r="S31" i="11"/>
  <c r="R31" i="11"/>
  <c r="Q31" i="11"/>
  <c r="P31" i="11"/>
  <c r="Y31" i="11" s="1"/>
  <c r="O31" i="11"/>
  <c r="X31" i="11" s="1"/>
  <c r="N31" i="11"/>
  <c r="T31" i="11" s="1"/>
  <c r="K31" i="11"/>
  <c r="U31" i="11" s="1"/>
  <c r="H31" i="11"/>
  <c r="F31" i="11"/>
  <c r="V30" i="11"/>
  <c r="S30" i="11"/>
  <c r="R30" i="11"/>
  <c r="Q30" i="11"/>
  <c r="P30" i="11"/>
  <c r="Y30" i="11" s="1"/>
  <c r="O30" i="11"/>
  <c r="U30" i="11" s="1"/>
  <c r="N30" i="11"/>
  <c r="I30" i="11" s="1"/>
  <c r="H30" i="11"/>
  <c r="AS29" i="11"/>
  <c r="O29" i="11" s="1"/>
  <c r="Y29" i="11"/>
  <c r="V29" i="11"/>
  <c r="S29" i="11"/>
  <c r="R29" i="11"/>
  <c r="Q29" i="11"/>
  <c r="P29" i="11"/>
  <c r="N29" i="11"/>
  <c r="T29" i="11" s="1"/>
  <c r="I29" i="11"/>
  <c r="H29" i="11"/>
  <c r="F29" i="11"/>
  <c r="AA28" i="11"/>
  <c r="AA12" i="11" s="1"/>
  <c r="Y28" i="11"/>
  <c r="V28" i="11"/>
  <c r="S28" i="11"/>
  <c r="R28" i="11"/>
  <c r="Q28" i="11"/>
  <c r="P28" i="11"/>
  <c r="N28" i="11"/>
  <c r="T28" i="11" s="1"/>
  <c r="I28" i="11"/>
  <c r="H28" i="11"/>
  <c r="X27" i="11"/>
  <c r="U27" i="11"/>
  <c r="T27" i="11"/>
  <c r="S27" i="11"/>
  <c r="R27" i="11"/>
  <c r="Q27" i="11"/>
  <c r="P27" i="11"/>
  <c r="Y27" i="11" s="1"/>
  <c r="O27" i="11"/>
  <c r="N27" i="11"/>
  <c r="J27" i="11"/>
  <c r="W27" i="11" s="1"/>
  <c r="I27" i="11"/>
  <c r="H27" i="11"/>
  <c r="F27" i="11"/>
  <c r="X26" i="11"/>
  <c r="W26" i="11"/>
  <c r="U26" i="11"/>
  <c r="T26" i="11"/>
  <c r="S26" i="11"/>
  <c r="R26" i="11"/>
  <c r="Q26" i="11"/>
  <c r="P26" i="11"/>
  <c r="Y26" i="11" s="1"/>
  <c r="O26" i="11"/>
  <c r="N26" i="11"/>
  <c r="I26" i="11"/>
  <c r="H26" i="11"/>
  <c r="F26" i="11"/>
  <c r="U25" i="11"/>
  <c r="F25" i="11"/>
  <c r="Y24" i="11"/>
  <c r="X24" i="11"/>
  <c r="V24" i="11"/>
  <c r="U24" i="11"/>
  <c r="T24" i="11"/>
  <c r="S24" i="11"/>
  <c r="R24" i="11"/>
  <c r="Q24" i="11"/>
  <c r="P24" i="11"/>
  <c r="O24" i="11"/>
  <c r="N24" i="11"/>
  <c r="W24" i="11" s="1"/>
  <c r="J24" i="11"/>
  <c r="H24" i="11"/>
  <c r="AR23" i="11"/>
  <c r="Q23" i="11" s="1"/>
  <c r="AJ23" i="11"/>
  <c r="AG23" i="11"/>
  <c r="R23" i="11" s="1"/>
  <c r="AD23" i="11"/>
  <c r="V23" i="11"/>
  <c r="S23" i="11"/>
  <c r="P23" i="11"/>
  <c r="Y23" i="11" s="1"/>
  <c r="N23" i="11"/>
  <c r="I23" i="11" s="1"/>
  <c r="H23" i="11"/>
  <c r="AG22" i="11"/>
  <c r="R22" i="11" s="1"/>
  <c r="AA22" i="11"/>
  <c r="X22" i="11"/>
  <c r="V22" i="11"/>
  <c r="U22" i="11"/>
  <c r="S22" i="11"/>
  <c r="Q22" i="11"/>
  <c r="P22" i="11"/>
  <c r="Y22" i="11" s="1"/>
  <c r="N22" i="11"/>
  <c r="I22" i="11" s="1"/>
  <c r="J22" i="11"/>
  <c r="T22" i="11" s="1"/>
  <c r="Y21" i="11"/>
  <c r="X21" i="11"/>
  <c r="V21" i="11"/>
  <c r="U21" i="11"/>
  <c r="T21" i="11"/>
  <c r="S21" i="11"/>
  <c r="R21" i="11"/>
  <c r="Q21" i="11"/>
  <c r="P21" i="11"/>
  <c r="O21" i="11"/>
  <c r="N21" i="11"/>
  <c r="W21" i="11" s="1"/>
  <c r="I21" i="11"/>
  <c r="H21" i="11"/>
  <c r="AR20" i="11"/>
  <c r="AG20" i="11"/>
  <c r="AD20" i="11"/>
  <c r="O20" i="11" s="1"/>
  <c r="Y20" i="11"/>
  <c r="V20" i="11"/>
  <c r="S20" i="11"/>
  <c r="R20" i="11"/>
  <c r="Q20" i="11"/>
  <c r="P20" i="11"/>
  <c r="N20" i="11"/>
  <c r="T20" i="11" s="1"/>
  <c r="I20" i="11"/>
  <c r="H20" i="11"/>
  <c r="F20" i="11"/>
  <c r="AR19" i="11"/>
  <c r="AR12" i="11" s="1"/>
  <c r="AO19" i="11"/>
  <c r="N19" i="11" s="1"/>
  <c r="AM19" i="11"/>
  <c r="AG19" i="11"/>
  <c r="O19" i="11" s="1"/>
  <c r="S19" i="11"/>
  <c r="R19" i="11"/>
  <c r="P19" i="11"/>
  <c r="V19" i="11" s="1"/>
  <c r="J19" i="11"/>
  <c r="F19" i="11"/>
  <c r="AS18" i="11"/>
  <c r="AD18" i="11"/>
  <c r="AD12" i="11" s="1"/>
  <c r="Y18" i="11"/>
  <c r="W18" i="11"/>
  <c r="V18" i="11"/>
  <c r="T18" i="11"/>
  <c r="S18" i="11"/>
  <c r="R18" i="11"/>
  <c r="Q18" i="11"/>
  <c r="P18" i="11"/>
  <c r="N18" i="11"/>
  <c r="J18" i="11"/>
  <c r="I18" i="11"/>
  <c r="H18" i="11"/>
  <c r="Y17" i="11"/>
  <c r="V17" i="11"/>
  <c r="S17" i="11"/>
  <c r="R17" i="11"/>
  <c r="Q17" i="11"/>
  <c r="P17" i="11"/>
  <c r="O17" i="11"/>
  <c r="N17" i="11"/>
  <c r="W17" i="11" s="1"/>
  <c r="K17" i="11"/>
  <c r="X17" i="11" s="1"/>
  <c r="H17" i="11"/>
  <c r="F17" i="11"/>
  <c r="AS16" i="11"/>
  <c r="O16" i="11" s="1"/>
  <c r="X16" i="11" s="1"/>
  <c r="Y16" i="11"/>
  <c r="W16" i="11"/>
  <c r="V16" i="11"/>
  <c r="T16" i="11"/>
  <c r="S16" i="11"/>
  <c r="R16" i="11"/>
  <c r="Q16" i="11"/>
  <c r="P16" i="11"/>
  <c r="N16" i="11"/>
  <c r="K16" i="11"/>
  <c r="I16" i="11"/>
  <c r="H16" i="11"/>
  <c r="F16" i="11"/>
  <c r="AS15" i="11"/>
  <c r="R15" i="11" s="1"/>
  <c r="AM15" i="11"/>
  <c r="Y15" i="11"/>
  <c r="V15" i="11"/>
  <c r="T15" i="11"/>
  <c r="S15" i="11"/>
  <c r="Q15" i="11"/>
  <c r="P15" i="11"/>
  <c r="N15" i="11"/>
  <c r="W15" i="11" s="1"/>
  <c r="J15" i="11"/>
  <c r="H15" i="11" s="1"/>
  <c r="I15" i="11"/>
  <c r="X14" i="11"/>
  <c r="W14" i="11"/>
  <c r="U14" i="11"/>
  <c r="T14" i="11"/>
  <c r="S14" i="11"/>
  <c r="R14" i="11"/>
  <c r="Q14" i="11"/>
  <c r="P14" i="11"/>
  <c r="Y14" i="11" s="1"/>
  <c r="O14" i="11"/>
  <c r="N14" i="11"/>
  <c r="I14" i="11"/>
  <c r="H14" i="11"/>
  <c r="F14" i="11"/>
  <c r="Y13" i="11"/>
  <c r="W13" i="11"/>
  <c r="V13" i="11"/>
  <c r="T13" i="11"/>
  <c r="S13" i="11"/>
  <c r="R13" i="11"/>
  <c r="Q13" i="11"/>
  <c r="P13" i="11"/>
  <c r="O13" i="11"/>
  <c r="N13" i="11"/>
  <c r="H13" i="11"/>
  <c r="F13" i="11"/>
  <c r="F12" i="11" s="1"/>
  <c r="BL12" i="11"/>
  <c r="BK12" i="11"/>
  <c r="BJ12" i="11"/>
  <c r="BI12" i="11"/>
  <c r="BH12" i="11"/>
  <c r="BG12" i="11"/>
  <c r="BF12" i="11"/>
  <c r="BE12" i="11"/>
  <c r="BD12" i="11"/>
  <c r="BC12" i="11"/>
  <c r="BB12" i="11"/>
  <c r="BA12" i="11"/>
  <c r="AZ12" i="11"/>
  <c r="AY12" i="11"/>
  <c r="AX12" i="11"/>
  <c r="AW12" i="11"/>
  <c r="AV12" i="11"/>
  <c r="AU12" i="11"/>
  <c r="AT12" i="11"/>
  <c r="AQ12" i="11"/>
  <c r="AP12" i="11"/>
  <c r="AN12" i="11"/>
  <c r="AM12" i="11"/>
  <c r="AL12" i="11"/>
  <c r="AK12" i="11"/>
  <c r="AJ12" i="11"/>
  <c r="AI12" i="11"/>
  <c r="AH12" i="11"/>
  <c r="AG12" i="11"/>
  <c r="AF12" i="11"/>
  <c r="AE12" i="11"/>
  <c r="AC12" i="11"/>
  <c r="AB12" i="11"/>
  <c r="Z12" i="11"/>
  <c r="P12" i="11"/>
  <c r="Y12" i="11" s="1"/>
  <c r="M12" i="11"/>
  <c r="L12" i="11"/>
  <c r="G12" i="11"/>
  <c r="E12" i="11"/>
  <c r="Y11" i="11"/>
  <c r="V11" i="11"/>
  <c r="U11" i="11"/>
  <c r="S11" i="11"/>
  <c r="R11" i="11"/>
  <c r="Q11" i="11"/>
  <c r="P11" i="11"/>
  <c r="O11" i="11"/>
  <c r="X11" i="11" s="1"/>
  <c r="N11" i="11"/>
  <c r="T11" i="11" s="1"/>
  <c r="I11" i="11"/>
  <c r="H11" i="11"/>
  <c r="X10" i="11"/>
  <c r="U10" i="11"/>
  <c r="T10" i="11"/>
  <c r="S10" i="11"/>
  <c r="R10" i="11"/>
  <c r="Q10" i="11"/>
  <c r="P10" i="11"/>
  <c r="Y10" i="11" s="1"/>
  <c r="O10" i="11"/>
  <c r="N10" i="11"/>
  <c r="J10" i="11"/>
  <c r="W10" i="11" s="1"/>
  <c r="I10" i="11"/>
  <c r="H10" i="11"/>
  <c r="Y9" i="11"/>
  <c r="W9" i="11"/>
  <c r="V9" i="11"/>
  <c r="T9" i="11"/>
  <c r="S9" i="11"/>
  <c r="R9" i="11"/>
  <c r="Q9" i="11"/>
  <c r="P9" i="11"/>
  <c r="O9" i="11"/>
  <c r="X9" i="11" s="1"/>
  <c r="N9" i="11"/>
  <c r="I9" i="11" s="1"/>
  <c r="H9" i="11"/>
  <c r="F9" i="11"/>
  <c r="F4" i="11" s="1"/>
  <c r="AS8" i="11"/>
  <c r="R8" i="11" s="1"/>
  <c r="Y8" i="11"/>
  <c r="W8" i="11"/>
  <c r="V8" i="11"/>
  <c r="T8" i="11"/>
  <c r="S8" i="11"/>
  <c r="Q8" i="11"/>
  <c r="P8" i="11"/>
  <c r="N8" i="11"/>
  <c r="I8" i="11" s="1"/>
  <c r="H8" i="11"/>
  <c r="X7" i="11"/>
  <c r="W7" i="11"/>
  <c r="U7" i="11"/>
  <c r="T7" i="11"/>
  <c r="S7" i="11"/>
  <c r="R7" i="11"/>
  <c r="Q7" i="11"/>
  <c r="P7" i="11"/>
  <c r="O7" i="11"/>
  <c r="N7" i="11"/>
  <c r="I7" i="11"/>
  <c r="H7" i="11"/>
  <c r="V6" i="11"/>
  <c r="S6" i="11"/>
  <c r="R6" i="11"/>
  <c r="Q6" i="11"/>
  <c r="P6" i="11"/>
  <c r="Y6" i="11" s="1"/>
  <c r="O6" i="11"/>
  <c r="U6" i="11" s="1"/>
  <c r="N6" i="11"/>
  <c r="H6" i="11"/>
  <c r="T5" i="11"/>
  <c r="S5" i="11"/>
  <c r="R5" i="11"/>
  <c r="Q5" i="11"/>
  <c r="P5" i="11"/>
  <c r="O5" i="11"/>
  <c r="N5" i="11"/>
  <c r="N4" i="11" s="1"/>
  <c r="F5" i="11"/>
  <c r="BL4" i="11"/>
  <c r="BK4" i="11"/>
  <c r="BJ4" i="11"/>
  <c r="BI4" i="11"/>
  <c r="BI3" i="11" s="1"/>
  <c r="BH4" i="11"/>
  <c r="BH3" i="11" s="1"/>
  <c r="BG4" i="11"/>
  <c r="BG3" i="11" s="1"/>
  <c r="BF4" i="11"/>
  <c r="BE4" i="11"/>
  <c r="BD4" i="11"/>
  <c r="BC4" i="11"/>
  <c r="BB4" i="11"/>
  <c r="BA4" i="11"/>
  <c r="BA3" i="11" s="1"/>
  <c r="AZ4" i="11"/>
  <c r="AZ3" i="11" s="1"/>
  <c r="AY4" i="11"/>
  <c r="AY3" i="11" s="1"/>
  <c r="AX4" i="11"/>
  <c r="AW4" i="11"/>
  <c r="AV4" i="11"/>
  <c r="AU4" i="11"/>
  <c r="AT4" i="11"/>
  <c r="AR4" i="11"/>
  <c r="AQ4" i="11"/>
  <c r="AQ3" i="11" s="1"/>
  <c r="AP4" i="11"/>
  <c r="AO4" i="11"/>
  <c r="AN4" i="11"/>
  <c r="AM4" i="11"/>
  <c r="AL4" i="11"/>
  <c r="AK4" i="11"/>
  <c r="AK3" i="11" s="1"/>
  <c r="AJ4" i="11"/>
  <c r="AI4" i="11"/>
  <c r="AH4" i="11"/>
  <c r="AG4" i="11"/>
  <c r="AF4" i="11"/>
  <c r="AE4" i="11"/>
  <c r="AD4" i="11"/>
  <c r="AC4" i="11"/>
  <c r="AC3" i="11" s="1"/>
  <c r="AB4" i="11"/>
  <c r="AB3" i="11" s="1"/>
  <c r="AA4" i="11"/>
  <c r="Z4" i="11"/>
  <c r="Q4" i="11" s="1"/>
  <c r="S4" i="11"/>
  <c r="P4" i="11"/>
  <c r="M4" i="11"/>
  <c r="K4" i="11"/>
  <c r="J4" i="11"/>
  <c r="G4" i="11"/>
  <c r="G3" i="11" s="1"/>
  <c r="E4" i="11"/>
  <c r="AU3" i="11"/>
  <c r="F203" i="10"/>
  <c r="AX194" i="10"/>
  <c r="AW194" i="10"/>
  <c r="BB192" i="10"/>
  <c r="AZ192" i="10"/>
  <c r="AL192" i="10"/>
  <c r="AH192" i="10"/>
  <c r="AF192" i="10"/>
  <c r="AD192" i="10"/>
  <c r="AB192" i="10"/>
  <c r="Z192" i="10"/>
  <c r="E192" i="10"/>
  <c r="V188" i="10"/>
  <c r="S188" i="10"/>
  <c r="R188" i="10"/>
  <c r="Q188" i="10"/>
  <c r="P188" i="10"/>
  <c r="O188" i="10"/>
  <c r="U188" i="10" s="1"/>
  <c r="N188" i="10"/>
  <c r="M188" i="10"/>
  <c r="H188" i="10" s="1"/>
  <c r="G188" i="10"/>
  <c r="X187" i="10"/>
  <c r="U187" i="10"/>
  <c r="T187" i="10"/>
  <c r="R187" i="10"/>
  <c r="Q187" i="10"/>
  <c r="P187" i="10"/>
  <c r="O187" i="10"/>
  <c r="N187" i="10"/>
  <c r="W187" i="10" s="1"/>
  <c r="M187" i="10"/>
  <c r="S187" i="10" s="1"/>
  <c r="H187" i="10"/>
  <c r="G187" i="10"/>
  <c r="W186" i="10"/>
  <c r="V186" i="10"/>
  <c r="T186" i="10"/>
  <c r="S186" i="10"/>
  <c r="R186" i="10"/>
  <c r="Q186" i="10"/>
  <c r="P186" i="10"/>
  <c r="O186" i="10"/>
  <c r="N186" i="10"/>
  <c r="M186" i="10"/>
  <c r="V185" i="10"/>
  <c r="S185" i="10"/>
  <c r="R185" i="10"/>
  <c r="Q185" i="10"/>
  <c r="P185" i="10"/>
  <c r="O185" i="10"/>
  <c r="U185" i="10" s="1"/>
  <c r="N185" i="10"/>
  <c r="M185" i="10"/>
  <c r="H185" i="10" s="1"/>
  <c r="G185" i="10"/>
  <c r="BK184" i="10"/>
  <c r="BJ184" i="10"/>
  <c r="BI184" i="10"/>
  <c r="BH184" i="10"/>
  <c r="BG184" i="10"/>
  <c r="BF184" i="10"/>
  <c r="BE184" i="10"/>
  <c r="BD184" i="10"/>
  <c r="BC184" i="10"/>
  <c r="BB184" i="10"/>
  <c r="BA184" i="10"/>
  <c r="AZ184" i="10"/>
  <c r="AY184" i="10"/>
  <c r="AX184" i="10"/>
  <c r="AW184" i="10"/>
  <c r="AV184" i="10"/>
  <c r="AU184" i="10"/>
  <c r="AT184" i="10"/>
  <c r="AS184" i="10"/>
  <c r="AR184" i="10"/>
  <c r="AQ184" i="10"/>
  <c r="AP184" i="10"/>
  <c r="AO184" i="10"/>
  <c r="AN184" i="10"/>
  <c r="P184" i="10" s="1"/>
  <c r="AM184" i="10"/>
  <c r="AL184" i="10"/>
  <c r="AK184" i="10"/>
  <c r="AJ184" i="10"/>
  <c r="AI184" i="10"/>
  <c r="AH184" i="10"/>
  <c r="AG184" i="10"/>
  <c r="AF184" i="10"/>
  <c r="AE184" i="10"/>
  <c r="AD184" i="10"/>
  <c r="AC184" i="10"/>
  <c r="AB184" i="10"/>
  <c r="AA184" i="10"/>
  <c r="Z184" i="10"/>
  <c r="Y184" i="10"/>
  <c r="S184" i="10"/>
  <c r="L184" i="10"/>
  <c r="K184" i="10"/>
  <c r="J184" i="10"/>
  <c r="I184" i="10"/>
  <c r="F184" i="10"/>
  <c r="E184" i="10"/>
  <c r="G184" i="10" s="1"/>
  <c r="W183" i="10"/>
  <c r="V183" i="10"/>
  <c r="T183" i="10"/>
  <c r="S183" i="10"/>
  <c r="R183" i="10"/>
  <c r="Q183" i="10"/>
  <c r="P183" i="10"/>
  <c r="O183" i="10"/>
  <c r="N183" i="10"/>
  <c r="M183" i="10"/>
  <c r="H183" i="10"/>
  <c r="G183" i="10"/>
  <c r="U182" i="10"/>
  <c r="R182" i="10"/>
  <c r="Q182" i="10"/>
  <c r="P182" i="10"/>
  <c r="O182" i="10"/>
  <c r="X182" i="10" s="1"/>
  <c r="N182" i="10"/>
  <c r="T182" i="10" s="1"/>
  <c r="M182" i="10"/>
  <c r="X181" i="10"/>
  <c r="V181" i="10"/>
  <c r="U181" i="10"/>
  <c r="S181" i="10"/>
  <c r="R181" i="10"/>
  <c r="Q181" i="10"/>
  <c r="P181" i="10"/>
  <c r="O181" i="10"/>
  <c r="N181" i="10"/>
  <c r="M181" i="10"/>
  <c r="U180" i="10"/>
  <c r="R180" i="10"/>
  <c r="Q180" i="10"/>
  <c r="P180" i="10"/>
  <c r="O180" i="10"/>
  <c r="X180" i="10" s="1"/>
  <c r="N180" i="10"/>
  <c r="M180" i="10"/>
  <c r="S180" i="10" s="1"/>
  <c r="U179" i="10"/>
  <c r="Q179" i="10"/>
  <c r="P179" i="10"/>
  <c r="O179" i="10"/>
  <c r="X179" i="10" s="1"/>
  <c r="N179" i="10"/>
  <c r="W179" i="10" s="1"/>
  <c r="M179" i="10"/>
  <c r="V179" i="10" s="1"/>
  <c r="G179" i="10"/>
  <c r="V178" i="10"/>
  <c r="S178" i="10"/>
  <c r="R178" i="10"/>
  <c r="Q178" i="10"/>
  <c r="P178" i="10"/>
  <c r="O178" i="10"/>
  <c r="N178" i="10"/>
  <c r="W178" i="10" s="1"/>
  <c r="M178" i="10"/>
  <c r="H178" i="10" s="1"/>
  <c r="G178" i="10"/>
  <c r="BK177" i="10"/>
  <c r="BJ177" i="10"/>
  <c r="BI177" i="10"/>
  <c r="BH177" i="10"/>
  <c r="BH169" i="10" s="1"/>
  <c r="BG177" i="10"/>
  <c r="BG169" i="10" s="1"/>
  <c r="BF177" i="10"/>
  <c r="BE177" i="10"/>
  <c r="BD177" i="10"/>
  <c r="BC177" i="10"/>
  <c r="BB177" i="10"/>
  <c r="BA177" i="10"/>
  <c r="AZ177" i="10"/>
  <c r="AZ169" i="10" s="1"/>
  <c r="AY177" i="10"/>
  <c r="AY169" i="10" s="1"/>
  <c r="AX177" i="10"/>
  <c r="AW177" i="10"/>
  <c r="AV177" i="10"/>
  <c r="AV169" i="10" s="1"/>
  <c r="AU177" i="10"/>
  <c r="AT177" i="10"/>
  <c r="AS177" i="10"/>
  <c r="AR177" i="10"/>
  <c r="AR169" i="10" s="1"/>
  <c r="AQ177" i="10"/>
  <c r="AQ169" i="10" s="1"/>
  <c r="AP177" i="10"/>
  <c r="AO177" i="10"/>
  <c r="AN177" i="10"/>
  <c r="AM177" i="10"/>
  <c r="AL177" i="10"/>
  <c r="AK177" i="10"/>
  <c r="AJ177" i="10"/>
  <c r="AI177" i="10"/>
  <c r="AI169" i="10" s="1"/>
  <c r="AH177" i="10"/>
  <c r="AG177" i="10"/>
  <c r="AF177" i="10"/>
  <c r="AF169" i="10" s="1"/>
  <c r="AE177" i="10"/>
  <c r="AD177" i="10"/>
  <c r="AC177" i="10"/>
  <c r="AB177" i="10"/>
  <c r="P177" i="10" s="1"/>
  <c r="AA177" i="10"/>
  <c r="AA169" i="10" s="1"/>
  <c r="Z177" i="10"/>
  <c r="Y177" i="10"/>
  <c r="L177" i="10"/>
  <c r="K177" i="10"/>
  <c r="K169" i="10" s="1"/>
  <c r="J177" i="10"/>
  <c r="I177" i="10"/>
  <c r="F177" i="10"/>
  <c r="E177" i="10"/>
  <c r="G177" i="10" s="1"/>
  <c r="W176" i="10"/>
  <c r="V176" i="10"/>
  <c r="T176" i="10"/>
  <c r="S176" i="10"/>
  <c r="R176" i="10"/>
  <c r="Q176" i="10"/>
  <c r="P176" i="10"/>
  <c r="O176" i="10"/>
  <c r="U176" i="10" s="1"/>
  <c r="N176" i="10"/>
  <c r="M176" i="10"/>
  <c r="H176" i="10"/>
  <c r="G176" i="10"/>
  <c r="V175" i="10"/>
  <c r="U175" i="10"/>
  <c r="R175" i="10"/>
  <c r="Q175" i="10"/>
  <c r="P175" i="10"/>
  <c r="O175" i="10"/>
  <c r="X175" i="10" s="1"/>
  <c r="N175" i="10"/>
  <c r="M175" i="10"/>
  <c r="G175" i="10"/>
  <c r="X174" i="10"/>
  <c r="W174" i="10"/>
  <c r="U174" i="10"/>
  <c r="T174" i="10"/>
  <c r="S174" i="10"/>
  <c r="R174" i="10"/>
  <c r="Q174" i="10"/>
  <c r="P174" i="10"/>
  <c r="O174" i="10"/>
  <c r="N174" i="10"/>
  <c r="M174" i="10"/>
  <c r="V174" i="10" s="1"/>
  <c r="H174" i="10"/>
  <c r="G174" i="10"/>
  <c r="X173" i="10"/>
  <c r="V173" i="10"/>
  <c r="U173" i="10"/>
  <c r="S173" i="10"/>
  <c r="R173" i="10"/>
  <c r="Q173" i="10"/>
  <c r="P173" i="10"/>
  <c r="O173" i="10"/>
  <c r="N173" i="10"/>
  <c r="M173" i="10"/>
  <c r="H173" i="10" s="1"/>
  <c r="G173" i="10"/>
  <c r="N172" i="10"/>
  <c r="I172" i="10"/>
  <c r="H172" i="10"/>
  <c r="N171" i="10"/>
  <c r="N170" i="10" s="1"/>
  <c r="H171" i="10"/>
  <c r="G171" i="10"/>
  <c r="BK170" i="10"/>
  <c r="BK169" i="10" s="1"/>
  <c r="BJ170" i="10"/>
  <c r="BI170" i="10"/>
  <c r="BH170" i="10"/>
  <c r="BG170" i="10"/>
  <c r="BF170" i="10"/>
  <c r="BE170" i="10"/>
  <c r="BD170" i="10"/>
  <c r="BC170" i="10"/>
  <c r="BC169" i="10" s="1"/>
  <c r="BB170" i="10"/>
  <c r="BB169" i="10" s="1"/>
  <c r="BA170" i="10"/>
  <c r="BA169" i="10" s="1"/>
  <c r="AZ170" i="10"/>
  <c r="AY170" i="10"/>
  <c r="AX170" i="10"/>
  <c r="AW170" i="10"/>
  <c r="AV170" i="10"/>
  <c r="AU170" i="10"/>
  <c r="AU169" i="10" s="1"/>
  <c r="AT170" i="10"/>
  <c r="AT169" i="10" s="1"/>
  <c r="AS170" i="10"/>
  <c r="AS169" i="10" s="1"/>
  <c r="AS160" i="10" s="1"/>
  <c r="AR170" i="10"/>
  <c r="AQ170" i="10"/>
  <c r="AP170" i="10"/>
  <c r="AO170" i="10"/>
  <c r="AN170" i="10"/>
  <c r="AM170" i="10"/>
  <c r="AM169" i="10" s="1"/>
  <c r="AL170" i="10"/>
  <c r="AL169" i="10" s="1"/>
  <c r="AK170" i="10"/>
  <c r="AK169" i="10" s="1"/>
  <c r="AJ170" i="10"/>
  <c r="AI170" i="10"/>
  <c r="AH170" i="10"/>
  <c r="AG170" i="10"/>
  <c r="AF170" i="10"/>
  <c r="AE170" i="10"/>
  <c r="AE169" i="10" s="1"/>
  <c r="AD170" i="10"/>
  <c r="AD169" i="10" s="1"/>
  <c r="AC170" i="10"/>
  <c r="AC169" i="10" s="1"/>
  <c r="AC160" i="10" s="1"/>
  <c r="AB170" i="10"/>
  <c r="AA170" i="10"/>
  <c r="Z170" i="10"/>
  <c r="Y170" i="10"/>
  <c r="U170" i="10"/>
  <c r="R170" i="10"/>
  <c r="O170" i="10"/>
  <c r="M170" i="10"/>
  <c r="H170" i="10" s="1"/>
  <c r="L170" i="10"/>
  <c r="K170" i="10"/>
  <c r="J170" i="10"/>
  <c r="F170" i="10"/>
  <c r="F169" i="10" s="1"/>
  <c r="E170" i="10"/>
  <c r="E169" i="10" s="1"/>
  <c r="BF169" i="10"/>
  <c r="BE169" i="10"/>
  <c r="BE160" i="10" s="1"/>
  <c r="BD169" i="10"/>
  <c r="AX169" i="10"/>
  <c r="AW169" i="10"/>
  <c r="AP169" i="10"/>
  <c r="AO169" i="10"/>
  <c r="AO160" i="10" s="1"/>
  <c r="AN169" i="10"/>
  <c r="AJ169" i="10"/>
  <c r="AH169" i="10"/>
  <c r="AG169" i="10"/>
  <c r="AB169" i="10"/>
  <c r="Z169" i="10"/>
  <c r="Y169" i="10"/>
  <c r="L169" i="10"/>
  <c r="J169" i="10"/>
  <c r="X168" i="10"/>
  <c r="V168" i="10"/>
  <c r="U168" i="10"/>
  <c r="S168" i="10"/>
  <c r="R168" i="10"/>
  <c r="Q168" i="10"/>
  <c r="P168" i="10"/>
  <c r="O168" i="10"/>
  <c r="N168" i="10"/>
  <c r="W168" i="10" s="1"/>
  <c r="H168" i="10"/>
  <c r="G168" i="10"/>
  <c r="X167" i="10"/>
  <c r="U167" i="10"/>
  <c r="R167" i="10"/>
  <c r="Q167" i="10"/>
  <c r="P167" i="10"/>
  <c r="O167" i="10"/>
  <c r="N167" i="10"/>
  <c r="M167" i="10"/>
  <c r="G167" i="10"/>
  <c r="BK166" i="10"/>
  <c r="BJ166" i="10"/>
  <c r="BI166" i="10"/>
  <c r="BH166" i="10"/>
  <c r="BG166" i="10"/>
  <c r="BF166" i="10"/>
  <c r="BE166" i="10"/>
  <c r="BD166" i="10"/>
  <c r="BC166" i="10"/>
  <c r="BB166" i="10"/>
  <c r="BA166" i="10"/>
  <c r="AZ166" i="10"/>
  <c r="AY166" i="10"/>
  <c r="AX166" i="10"/>
  <c r="AX161" i="10" s="1"/>
  <c r="AX160" i="10" s="1"/>
  <c r="AW166" i="10"/>
  <c r="AV166" i="10"/>
  <c r="AU166" i="10"/>
  <c r="AT166" i="10"/>
  <c r="AT161" i="10" s="1"/>
  <c r="AT160" i="10" s="1"/>
  <c r="AS166" i="10"/>
  <c r="AR166" i="10"/>
  <c r="AQ166" i="10"/>
  <c r="AP166" i="10"/>
  <c r="AO166" i="10"/>
  <c r="AN166" i="10"/>
  <c r="AM166" i="10"/>
  <c r="AL166" i="10"/>
  <c r="AK166" i="10"/>
  <c r="AJ166" i="10"/>
  <c r="AI166" i="10"/>
  <c r="AH166" i="10"/>
  <c r="P166" i="10" s="1"/>
  <c r="AG166" i="10"/>
  <c r="AF166" i="10"/>
  <c r="AE166" i="10"/>
  <c r="AD166" i="10"/>
  <c r="AC166" i="10"/>
  <c r="AB166" i="10"/>
  <c r="AA166" i="10"/>
  <c r="Z166" i="10"/>
  <c r="Y166" i="10"/>
  <c r="R166" i="10"/>
  <c r="O166" i="10"/>
  <c r="X166" i="10" s="1"/>
  <c r="N166" i="10"/>
  <c r="W166" i="10" s="1"/>
  <c r="L166" i="10"/>
  <c r="K166" i="10"/>
  <c r="J166" i="10"/>
  <c r="I166" i="10"/>
  <c r="G166" i="10"/>
  <c r="F166" i="10"/>
  <c r="E166" i="10"/>
  <c r="V165" i="10"/>
  <c r="S165" i="10"/>
  <c r="R165" i="10"/>
  <c r="Q165" i="10"/>
  <c r="P165" i="10"/>
  <c r="O165" i="10"/>
  <c r="N165" i="10"/>
  <c r="T165" i="10" s="1"/>
  <c r="M165" i="10"/>
  <c r="H165" i="10"/>
  <c r="G165" i="10"/>
  <c r="X164" i="10"/>
  <c r="W164" i="10"/>
  <c r="U164" i="10"/>
  <c r="T164" i="10"/>
  <c r="R164" i="10"/>
  <c r="Q164" i="10"/>
  <c r="P164" i="10"/>
  <c r="O164" i="10"/>
  <c r="N164" i="10"/>
  <c r="M164" i="10"/>
  <c r="H164" i="10"/>
  <c r="G164" i="10"/>
  <c r="V163" i="10"/>
  <c r="S163" i="10"/>
  <c r="R163" i="10"/>
  <c r="Q163" i="10"/>
  <c r="P163" i="10"/>
  <c r="O163" i="10"/>
  <c r="U163" i="10" s="1"/>
  <c r="N163" i="10"/>
  <c r="M163" i="10"/>
  <c r="H163" i="10" s="1"/>
  <c r="G163" i="10"/>
  <c r="BK162" i="10"/>
  <c r="BJ162" i="10"/>
  <c r="BI162" i="10"/>
  <c r="BH162" i="10"/>
  <c r="BH161" i="10" s="1"/>
  <c r="BH160" i="10" s="1"/>
  <c r="BG162" i="10"/>
  <c r="BG161" i="10" s="1"/>
  <c r="BG160" i="10" s="1"/>
  <c r="BF162" i="10"/>
  <c r="BE162" i="10"/>
  <c r="BD162" i="10"/>
  <c r="BC162" i="10"/>
  <c r="BC161" i="10" s="1"/>
  <c r="BC160" i="10" s="1"/>
  <c r="BB162" i="10"/>
  <c r="BA162" i="10"/>
  <c r="AZ162" i="10"/>
  <c r="AZ161" i="10" s="1"/>
  <c r="AZ160" i="10" s="1"/>
  <c r="AY162" i="10"/>
  <c r="AY161" i="10" s="1"/>
  <c r="AY160" i="10" s="1"/>
  <c r="AX162" i="10"/>
  <c r="AW162" i="10"/>
  <c r="AV162" i="10"/>
  <c r="AU162" i="10"/>
  <c r="AU161" i="10" s="1"/>
  <c r="AU160" i="10" s="1"/>
  <c r="AT162" i="10"/>
  <c r="AS162" i="10"/>
  <c r="AR162" i="10"/>
  <c r="AR161" i="10" s="1"/>
  <c r="AR160" i="10" s="1"/>
  <c r="AQ162" i="10"/>
  <c r="AP162" i="10"/>
  <c r="AO162" i="10"/>
  <c r="AN162" i="10"/>
  <c r="AM162" i="10"/>
  <c r="AL162" i="10"/>
  <c r="AK162" i="10"/>
  <c r="AK161" i="10" s="1"/>
  <c r="AK160" i="10" s="1"/>
  <c r="AJ162" i="10"/>
  <c r="AJ161" i="10" s="1"/>
  <c r="AJ160" i="10" s="1"/>
  <c r="AI162" i="10"/>
  <c r="AI161" i="10" s="1"/>
  <c r="AI160" i="10" s="1"/>
  <c r="AH162" i="10"/>
  <c r="AG162" i="10"/>
  <c r="AF162" i="10"/>
  <c r="AF161" i="10" s="1"/>
  <c r="AE162" i="10"/>
  <c r="AD162" i="10"/>
  <c r="AC162" i="10"/>
  <c r="AB162" i="10"/>
  <c r="AB161" i="10" s="1"/>
  <c r="AB160" i="10" s="1"/>
  <c r="AA162" i="10"/>
  <c r="AA161" i="10" s="1"/>
  <c r="AA160" i="10" s="1"/>
  <c r="Z162" i="10"/>
  <c r="Y162" i="10"/>
  <c r="P162" i="10"/>
  <c r="L162" i="10"/>
  <c r="L161" i="10" s="1"/>
  <c r="L160" i="10" s="1"/>
  <c r="K162" i="10"/>
  <c r="J162" i="10"/>
  <c r="I162" i="10"/>
  <c r="G162" i="10"/>
  <c r="F162" i="10"/>
  <c r="E162" i="10"/>
  <c r="BJ161" i="10"/>
  <c r="BI161" i="10"/>
  <c r="BF161" i="10"/>
  <c r="BF160" i="10" s="1"/>
  <c r="BE161" i="10"/>
  <c r="BD161" i="10"/>
  <c r="BB161" i="10"/>
  <c r="BA161" i="10"/>
  <c r="AW161" i="10"/>
  <c r="AV161" i="10"/>
  <c r="AS161" i="10"/>
  <c r="AQ161" i="10"/>
  <c r="AP161" i="10"/>
  <c r="AO161" i="10"/>
  <c r="AN161" i="10"/>
  <c r="AM161" i="10"/>
  <c r="AM160" i="10" s="1"/>
  <c r="AL161" i="10"/>
  <c r="AH161" i="10"/>
  <c r="AH160" i="10" s="1"/>
  <c r="AG161" i="10"/>
  <c r="AE161" i="10"/>
  <c r="AE160" i="10" s="1"/>
  <c r="AD161" i="10"/>
  <c r="AD160" i="10" s="1"/>
  <c r="AC161" i="10"/>
  <c r="Z161" i="10"/>
  <c r="Y161" i="10"/>
  <c r="K161" i="10"/>
  <c r="J161" i="10"/>
  <c r="J160" i="10" s="1"/>
  <c r="I161" i="10"/>
  <c r="F161" i="10"/>
  <c r="E161" i="10"/>
  <c r="G161" i="10" s="1"/>
  <c r="BD160" i="10"/>
  <c r="BB160" i="10"/>
  <c r="AW160" i="10"/>
  <c r="AQ160" i="10"/>
  <c r="AP160" i="10"/>
  <c r="AN160" i="10"/>
  <c r="AL160" i="10"/>
  <c r="AG160" i="10"/>
  <c r="Z160" i="10"/>
  <c r="Y160" i="10"/>
  <c r="K160" i="10"/>
  <c r="F160" i="10"/>
  <c r="X159" i="10"/>
  <c r="W159" i="10"/>
  <c r="V159" i="10"/>
  <c r="U159" i="10"/>
  <c r="T159" i="10"/>
  <c r="Q159" i="10"/>
  <c r="P159" i="10"/>
  <c r="N159" i="10"/>
  <c r="M159" i="10"/>
  <c r="S159" i="10" s="1"/>
  <c r="H159" i="10"/>
  <c r="G159" i="10"/>
  <c r="U158" i="10"/>
  <c r="R158" i="10"/>
  <c r="Q158" i="10"/>
  <c r="P158" i="10"/>
  <c r="O158" i="10"/>
  <c r="N158" i="10"/>
  <c r="T158" i="10" s="1"/>
  <c r="M158" i="10"/>
  <c r="S158" i="10" s="1"/>
  <c r="W157" i="10"/>
  <c r="U157" i="10"/>
  <c r="R157" i="10"/>
  <c r="Q157" i="10"/>
  <c r="P157" i="10"/>
  <c r="O157" i="10"/>
  <c r="X157" i="10" s="1"/>
  <c r="N157" i="10"/>
  <c r="M157" i="10"/>
  <c r="M155" i="10" s="1"/>
  <c r="K157" i="10"/>
  <c r="K155" i="10" s="1"/>
  <c r="G157" i="10"/>
  <c r="W156" i="10"/>
  <c r="V156" i="10"/>
  <c r="T156" i="10"/>
  <c r="S156" i="10"/>
  <c r="R156" i="10"/>
  <c r="Q156" i="10"/>
  <c r="P156" i="10"/>
  <c r="O156" i="10"/>
  <c r="X156" i="10" s="1"/>
  <c r="N156" i="10"/>
  <c r="N155" i="10" s="1"/>
  <c r="W155" i="10" s="1"/>
  <c r="M156" i="10"/>
  <c r="H156" i="10"/>
  <c r="G156" i="10"/>
  <c r="BK155" i="10"/>
  <c r="R155" i="10" s="1"/>
  <c r="BJ155" i="10"/>
  <c r="BI155" i="10"/>
  <c r="BH155" i="10"/>
  <c r="BG155" i="10"/>
  <c r="BF155" i="10"/>
  <c r="BE155" i="10"/>
  <c r="BD155" i="10"/>
  <c r="BC155" i="10"/>
  <c r="BB155" i="10"/>
  <c r="BA155" i="10"/>
  <c r="AZ155" i="10"/>
  <c r="AY155" i="10"/>
  <c r="AX155" i="10"/>
  <c r="AW155" i="10"/>
  <c r="AV155" i="10"/>
  <c r="AU155" i="10"/>
  <c r="AT155" i="10"/>
  <c r="AS155" i="10"/>
  <c r="AR155" i="10"/>
  <c r="AQ155" i="10"/>
  <c r="AP155" i="10"/>
  <c r="AO155" i="10"/>
  <c r="AN155" i="10"/>
  <c r="AM155" i="10"/>
  <c r="AL155" i="10"/>
  <c r="AK155" i="10"/>
  <c r="AJ155" i="10"/>
  <c r="AI155" i="10"/>
  <c r="AH155" i="10"/>
  <c r="AG155" i="10"/>
  <c r="AF155" i="10"/>
  <c r="Q155" i="10" s="1"/>
  <c r="AE155" i="10"/>
  <c r="AD155" i="10"/>
  <c r="AC155" i="10"/>
  <c r="AB155" i="10"/>
  <c r="AA155" i="10"/>
  <c r="Z155" i="10"/>
  <c r="Y155" i="10"/>
  <c r="P155" i="10"/>
  <c r="L155" i="10"/>
  <c r="J155" i="10"/>
  <c r="I155" i="10"/>
  <c r="G155" i="10" s="1"/>
  <c r="F155" i="10"/>
  <c r="E155" i="10"/>
  <c r="X154" i="10"/>
  <c r="W154" i="10"/>
  <c r="U154" i="10"/>
  <c r="T154" i="10"/>
  <c r="R154" i="10"/>
  <c r="Q154" i="10"/>
  <c r="P154" i="10"/>
  <c r="O154" i="10"/>
  <c r="N154" i="10"/>
  <c r="M154" i="10"/>
  <c r="V154" i="10" s="1"/>
  <c r="H154" i="10"/>
  <c r="G154" i="10"/>
  <c r="V153" i="10"/>
  <c r="U153" i="10"/>
  <c r="S153" i="10"/>
  <c r="R153" i="10"/>
  <c r="Q153" i="10"/>
  <c r="P153" i="10"/>
  <c r="O153" i="10"/>
  <c r="X153" i="10" s="1"/>
  <c r="N153" i="10"/>
  <c r="W153" i="10" s="1"/>
  <c r="M153" i="10"/>
  <c r="V152" i="10"/>
  <c r="R152" i="10"/>
  <c r="Q152" i="10"/>
  <c r="P152" i="10"/>
  <c r="O152" i="10"/>
  <c r="X152" i="10" s="1"/>
  <c r="N152" i="10"/>
  <c r="T152" i="10" s="1"/>
  <c r="M152" i="10"/>
  <c r="H152" i="10" s="1"/>
  <c r="G152" i="10"/>
  <c r="BK151" i="10"/>
  <c r="R151" i="10" s="1"/>
  <c r="BJ151" i="10"/>
  <c r="Q151" i="10" s="1"/>
  <c r="BI151" i="10"/>
  <c r="BH151" i="10"/>
  <c r="BG151" i="10"/>
  <c r="BF151" i="10"/>
  <c r="BE151" i="10"/>
  <c r="BD151" i="10"/>
  <c r="BC151" i="10"/>
  <c r="BB151" i="10"/>
  <c r="BA151" i="10"/>
  <c r="AZ151" i="10"/>
  <c r="AY151" i="10"/>
  <c r="AX151" i="10"/>
  <c r="AW151" i="10"/>
  <c r="AV151" i="10"/>
  <c r="AU151" i="10"/>
  <c r="AT151" i="10"/>
  <c r="AS151" i="10"/>
  <c r="AR151" i="10"/>
  <c r="AQ151" i="10"/>
  <c r="AP151" i="10"/>
  <c r="AO151" i="10"/>
  <c r="AN151" i="10"/>
  <c r="AM151" i="10"/>
  <c r="AL151" i="10"/>
  <c r="AK151" i="10"/>
  <c r="AJ151" i="10"/>
  <c r="AI151" i="10"/>
  <c r="AH151" i="10"/>
  <c r="AG151" i="10"/>
  <c r="AF151" i="10"/>
  <c r="AE151" i="10"/>
  <c r="AD151" i="10"/>
  <c r="AC151" i="10"/>
  <c r="AB151" i="10"/>
  <c r="P151" i="10" s="1"/>
  <c r="AA151" i="10"/>
  <c r="Z151" i="10"/>
  <c r="Y151" i="10"/>
  <c r="O151" i="10"/>
  <c r="X151" i="10" s="1"/>
  <c r="L151" i="10"/>
  <c r="K151" i="10"/>
  <c r="J151" i="10"/>
  <c r="I151" i="10"/>
  <c r="G151" i="10"/>
  <c r="F151" i="10"/>
  <c r="E151" i="10"/>
  <c r="W150" i="10"/>
  <c r="V150" i="10"/>
  <c r="S150" i="10"/>
  <c r="R150" i="10"/>
  <c r="Q150" i="10"/>
  <c r="P150" i="10"/>
  <c r="O150" i="10"/>
  <c r="U150" i="10" s="1"/>
  <c r="N150" i="10"/>
  <c r="T150" i="10" s="1"/>
  <c r="M150" i="10"/>
  <c r="H150" i="10"/>
  <c r="G150" i="10"/>
  <c r="R149" i="10"/>
  <c r="Q149" i="10"/>
  <c r="P149" i="10"/>
  <c r="O149" i="10"/>
  <c r="N149" i="10"/>
  <c r="V148" i="10"/>
  <c r="U148" i="10"/>
  <c r="R148" i="10"/>
  <c r="Q148" i="10"/>
  <c r="P148" i="10"/>
  <c r="O148" i="10"/>
  <c r="X148" i="10" s="1"/>
  <c r="N148" i="10"/>
  <c r="W148" i="10" s="1"/>
  <c r="M148" i="10"/>
  <c r="H148" i="10" s="1"/>
  <c r="G148" i="10"/>
  <c r="X147" i="10"/>
  <c r="W147" i="10"/>
  <c r="T147" i="10"/>
  <c r="S147" i="10"/>
  <c r="R147" i="10"/>
  <c r="Q147" i="10"/>
  <c r="P147" i="10"/>
  <c r="O147" i="10"/>
  <c r="U147" i="10" s="1"/>
  <c r="N147" i="10"/>
  <c r="M147" i="10"/>
  <c r="V147" i="10" s="1"/>
  <c r="H147" i="10"/>
  <c r="G147" i="10"/>
  <c r="BK146" i="10"/>
  <c r="BJ146" i="10"/>
  <c r="BI146" i="10"/>
  <c r="P146" i="10" s="1"/>
  <c r="BH146" i="10"/>
  <c r="BG146" i="10"/>
  <c r="BF146" i="10"/>
  <c r="BE146" i="10"/>
  <c r="BD146" i="10"/>
  <c r="BC146" i="10"/>
  <c r="BB146" i="10"/>
  <c r="BA146" i="10"/>
  <c r="AZ146" i="10"/>
  <c r="AY146" i="10"/>
  <c r="AX146" i="10"/>
  <c r="AW146" i="10"/>
  <c r="AV146" i="10"/>
  <c r="AU146" i="10"/>
  <c r="AT146" i="10"/>
  <c r="AS146" i="10"/>
  <c r="AR146" i="10"/>
  <c r="AQ146" i="10"/>
  <c r="AP146" i="10"/>
  <c r="AO146" i="10"/>
  <c r="AN146" i="10"/>
  <c r="AM146" i="10"/>
  <c r="AL146" i="10"/>
  <c r="AK146" i="10"/>
  <c r="AJ146" i="10"/>
  <c r="AI146" i="10"/>
  <c r="AH146" i="10"/>
  <c r="AG146" i="10"/>
  <c r="AF146" i="10"/>
  <c r="AE146" i="10"/>
  <c r="AD146" i="10"/>
  <c r="R146" i="10" s="1"/>
  <c r="AC146" i="10"/>
  <c r="Q146" i="10" s="1"/>
  <c r="AB146" i="10"/>
  <c r="AA146" i="10"/>
  <c r="Z146" i="10"/>
  <c r="Y146" i="10"/>
  <c r="N146" i="10"/>
  <c r="W146" i="10" s="1"/>
  <c r="M146" i="10"/>
  <c r="H146" i="10" s="1"/>
  <c r="L146" i="10"/>
  <c r="K146" i="10"/>
  <c r="J146" i="10"/>
  <c r="I146" i="10"/>
  <c r="G146" i="10" s="1"/>
  <c r="F146" i="10"/>
  <c r="E146" i="10"/>
  <c r="AF145" i="10"/>
  <c r="Q145" i="10" s="1"/>
  <c r="P145" i="10"/>
  <c r="O145" i="10"/>
  <c r="N145" i="10"/>
  <c r="V144" i="10"/>
  <c r="R144" i="10"/>
  <c r="Q144" i="10"/>
  <c r="P144" i="10"/>
  <c r="O144" i="10"/>
  <c r="X144" i="10" s="1"/>
  <c r="N144" i="10"/>
  <c r="T144" i="10" s="1"/>
  <c r="M144" i="10"/>
  <c r="H144" i="10" s="1"/>
  <c r="G144" i="10"/>
  <c r="W143" i="10"/>
  <c r="T143" i="10"/>
  <c r="R143" i="10"/>
  <c r="Q143" i="10"/>
  <c r="P143" i="10"/>
  <c r="O143" i="10"/>
  <c r="X143" i="10" s="1"/>
  <c r="N143" i="10"/>
  <c r="M143" i="10"/>
  <c r="M141" i="10" s="1"/>
  <c r="H141" i="10" s="1"/>
  <c r="L143" i="10"/>
  <c r="G143" i="10" s="1"/>
  <c r="V142" i="10"/>
  <c r="V141" i="10" s="1"/>
  <c r="S142" i="10"/>
  <c r="R142" i="10"/>
  <c r="Q142" i="10"/>
  <c r="P142" i="10"/>
  <c r="O142" i="10"/>
  <c r="X142" i="10" s="1"/>
  <c r="X141" i="10" s="1"/>
  <c r="N142" i="10"/>
  <c r="N141" i="10" s="1"/>
  <c r="M142" i="10"/>
  <c r="H142" i="10"/>
  <c r="G142" i="10"/>
  <c r="BK141" i="10"/>
  <c r="R141" i="10" s="1"/>
  <c r="BJ141" i="10"/>
  <c r="BI141" i="10"/>
  <c r="BH141" i="10"/>
  <c r="BG141" i="10"/>
  <c r="BF141" i="10"/>
  <c r="BE141" i="10"/>
  <c r="BD141" i="10"/>
  <c r="BC141" i="10"/>
  <c r="BB141" i="10"/>
  <c r="BA141" i="10"/>
  <c r="AZ141" i="10"/>
  <c r="AY141" i="10"/>
  <c r="AX141" i="10"/>
  <c r="AW141" i="10"/>
  <c r="AV141" i="10"/>
  <c r="AU141" i="10"/>
  <c r="AT141" i="10"/>
  <c r="AS141" i="10"/>
  <c r="AR141" i="10"/>
  <c r="AQ141" i="10"/>
  <c r="AP141" i="10"/>
  <c r="AO141" i="10"/>
  <c r="AN141" i="10"/>
  <c r="AM141" i="10"/>
  <c r="AL141" i="10"/>
  <c r="AK141" i="10"/>
  <c r="AJ141" i="10"/>
  <c r="AI141" i="10"/>
  <c r="AH141" i="10"/>
  <c r="AG141" i="10"/>
  <c r="AF141" i="10"/>
  <c r="Q141" i="10" s="1"/>
  <c r="AE141" i="10"/>
  <c r="AD141" i="10"/>
  <c r="AC141" i="10"/>
  <c r="AB141" i="10"/>
  <c r="AA141" i="10"/>
  <c r="Z141" i="10"/>
  <c r="Y141" i="10"/>
  <c r="P141" i="10"/>
  <c r="L141" i="10"/>
  <c r="K141" i="10"/>
  <c r="J141" i="10"/>
  <c r="I141" i="10"/>
  <c r="G141" i="10" s="1"/>
  <c r="F141" i="10"/>
  <c r="E141" i="10"/>
  <c r="AQ140" i="10"/>
  <c r="P140" i="10" s="1"/>
  <c r="AO140" i="10"/>
  <c r="AO137" i="10" s="1"/>
  <c r="R140" i="10"/>
  <c r="Q140" i="10"/>
  <c r="O140" i="10"/>
  <c r="O137" i="10" s="1"/>
  <c r="N140" i="10"/>
  <c r="T140" i="10" s="1"/>
  <c r="L140" i="10"/>
  <c r="G140" i="10"/>
  <c r="X139" i="10"/>
  <c r="U139" i="10"/>
  <c r="R139" i="10"/>
  <c r="Q139" i="10"/>
  <c r="P139" i="10"/>
  <c r="O139" i="10"/>
  <c r="N139" i="10"/>
  <c r="W139" i="10" s="1"/>
  <c r="M139" i="10"/>
  <c r="S139" i="10" s="1"/>
  <c r="G139" i="10"/>
  <c r="AI138" i="10"/>
  <c r="AF138" i="10"/>
  <c r="AF137" i="10" s="1"/>
  <c r="X138" i="10"/>
  <c r="X137" i="10" s="1"/>
  <c r="U138" i="10"/>
  <c r="R138" i="10"/>
  <c r="Q138" i="10"/>
  <c r="P138" i="10"/>
  <c r="O138" i="10"/>
  <c r="M138" i="10"/>
  <c r="S138" i="10" s="1"/>
  <c r="G138" i="10"/>
  <c r="BK137" i="10"/>
  <c r="BJ137" i="10"/>
  <c r="BI137" i="10"/>
  <c r="P137" i="10" s="1"/>
  <c r="BH137" i="10"/>
  <c r="BG137" i="10"/>
  <c r="BF137" i="10"/>
  <c r="BE137" i="10"/>
  <c r="BD137" i="10"/>
  <c r="BC137" i="10"/>
  <c r="BB137" i="10"/>
  <c r="BA137" i="10"/>
  <c r="AZ137" i="10"/>
  <c r="AY137" i="10"/>
  <c r="AX137" i="10"/>
  <c r="AW137" i="10"/>
  <c r="AV137" i="10"/>
  <c r="AU137" i="10"/>
  <c r="AT137" i="10"/>
  <c r="AS137" i="10"/>
  <c r="AR137" i="10"/>
  <c r="AQ137" i="10"/>
  <c r="AP137" i="10"/>
  <c r="AN137" i="10"/>
  <c r="AM137" i="10"/>
  <c r="AL137" i="10"/>
  <c r="AK137" i="10"/>
  <c r="AJ137" i="10"/>
  <c r="AI137" i="10"/>
  <c r="AH137" i="10"/>
  <c r="AG137" i="10"/>
  <c r="AE137" i="10"/>
  <c r="AD137" i="10"/>
  <c r="AC137" i="10"/>
  <c r="AB137" i="10"/>
  <c r="AA137" i="10"/>
  <c r="Z137" i="10"/>
  <c r="Y137" i="10"/>
  <c r="R137" i="10"/>
  <c r="L137" i="10"/>
  <c r="K137" i="10"/>
  <c r="J137" i="10"/>
  <c r="I137" i="10"/>
  <c r="F137" i="10"/>
  <c r="E137" i="10"/>
  <c r="G137" i="10" s="1"/>
  <c r="V136" i="10"/>
  <c r="R136" i="10"/>
  <c r="Q136" i="10"/>
  <c r="P136" i="10"/>
  <c r="O136" i="10"/>
  <c r="X136" i="10" s="1"/>
  <c r="N136" i="10"/>
  <c r="T136" i="10" s="1"/>
  <c r="M136" i="10"/>
  <c r="H136" i="10" s="1"/>
  <c r="G136" i="10"/>
  <c r="W135" i="10"/>
  <c r="T135" i="10"/>
  <c r="R135" i="10"/>
  <c r="Q135" i="10"/>
  <c r="P135" i="10"/>
  <c r="O135" i="10"/>
  <c r="X135" i="10" s="1"/>
  <c r="N135" i="10"/>
  <c r="M135" i="10"/>
  <c r="V135" i="10" s="1"/>
  <c r="H135" i="10"/>
  <c r="G135" i="10"/>
  <c r="U134" i="10"/>
  <c r="R134" i="10"/>
  <c r="Q134" i="10"/>
  <c r="P134" i="10"/>
  <c r="O134" i="10"/>
  <c r="X134" i="10" s="1"/>
  <c r="N134" i="10"/>
  <c r="W134" i="10" s="1"/>
  <c r="M134" i="10"/>
  <c r="V134" i="10" s="1"/>
  <c r="G134" i="10"/>
  <c r="X133" i="10"/>
  <c r="W133" i="10"/>
  <c r="T133" i="10"/>
  <c r="S133" i="10"/>
  <c r="R133" i="10"/>
  <c r="Q133" i="10"/>
  <c r="P133" i="10"/>
  <c r="O133" i="10"/>
  <c r="U133" i="10" s="1"/>
  <c r="N133" i="10"/>
  <c r="M133" i="10"/>
  <c r="V133" i="10" s="1"/>
  <c r="H133" i="10"/>
  <c r="G133" i="10"/>
  <c r="AM132" i="10"/>
  <c r="W132" i="10"/>
  <c r="W131" i="10" s="1"/>
  <c r="V132" i="10"/>
  <c r="S132" i="10"/>
  <c r="R132" i="10"/>
  <c r="Q132" i="10"/>
  <c r="P132" i="10"/>
  <c r="O132" i="10"/>
  <c r="O131" i="10" s="1"/>
  <c r="N132" i="10"/>
  <c r="T132" i="10" s="1"/>
  <c r="M132" i="10"/>
  <c r="L132" i="10"/>
  <c r="U132" i="10" s="1"/>
  <c r="H132" i="10"/>
  <c r="G132" i="10"/>
  <c r="BK131" i="10"/>
  <c r="BJ131" i="10"/>
  <c r="BI131" i="10"/>
  <c r="P131" i="10" s="1"/>
  <c r="BH131" i="10"/>
  <c r="BG131" i="10"/>
  <c r="BF131" i="10"/>
  <c r="BE131" i="10"/>
  <c r="BD131" i="10"/>
  <c r="BC131" i="10"/>
  <c r="BB131" i="10"/>
  <c r="BA131" i="10"/>
  <c r="AZ131" i="10"/>
  <c r="AY131" i="10"/>
  <c r="AX131" i="10"/>
  <c r="AW131" i="10"/>
  <c r="AV131" i="10"/>
  <c r="AU131" i="10"/>
  <c r="AT131" i="10"/>
  <c r="AS131" i="10"/>
  <c r="AR131" i="10"/>
  <c r="AQ131" i="10"/>
  <c r="AP131" i="10"/>
  <c r="AO131" i="10"/>
  <c r="AN131" i="10"/>
  <c r="AM131" i="10"/>
  <c r="AL131" i="10"/>
  <c r="AK131" i="10"/>
  <c r="AJ131" i="10"/>
  <c r="AI131" i="10"/>
  <c r="AH131" i="10"/>
  <c r="AG131" i="10"/>
  <c r="AF131" i="10"/>
  <c r="AE131" i="10"/>
  <c r="AD131" i="10"/>
  <c r="R131" i="10" s="1"/>
  <c r="AC131" i="10"/>
  <c r="Q131" i="10" s="1"/>
  <c r="AB131" i="10"/>
  <c r="AA131" i="10"/>
  <c r="Z131" i="10"/>
  <c r="Y131" i="10"/>
  <c r="V131" i="10"/>
  <c r="N131" i="10"/>
  <c r="M131" i="10"/>
  <c r="H131" i="10" s="1"/>
  <c r="L131" i="10"/>
  <c r="K131" i="10"/>
  <c r="J131" i="10"/>
  <c r="I131" i="10"/>
  <c r="G131" i="10" s="1"/>
  <c r="F131" i="10"/>
  <c r="E131" i="10"/>
  <c r="X130" i="10"/>
  <c r="U130" i="10"/>
  <c r="T130" i="10"/>
  <c r="R130" i="10"/>
  <c r="Q130" i="10"/>
  <c r="P130" i="10"/>
  <c r="O130" i="10"/>
  <c r="N130" i="10"/>
  <c r="W130" i="10" s="1"/>
  <c r="M130" i="10"/>
  <c r="V130" i="10" s="1"/>
  <c r="I130" i="10"/>
  <c r="S130" i="10" s="1"/>
  <c r="AR129" i="10"/>
  <c r="AI129" i="10"/>
  <c r="N129" i="10" s="1"/>
  <c r="T129" i="10" s="1"/>
  <c r="AC129" i="10"/>
  <c r="U129" i="10"/>
  <c r="R129" i="10"/>
  <c r="Q129" i="10"/>
  <c r="P129" i="10"/>
  <c r="O129" i="10"/>
  <c r="M129" i="10"/>
  <c r="V129" i="10" s="1"/>
  <c r="G129" i="10"/>
  <c r="W128" i="10"/>
  <c r="V128" i="10"/>
  <c r="S128" i="10"/>
  <c r="R128" i="10"/>
  <c r="Q128" i="10"/>
  <c r="P128" i="10"/>
  <c r="O128" i="10"/>
  <c r="U128" i="10" s="1"/>
  <c r="N128" i="10"/>
  <c r="T128" i="10" s="1"/>
  <c r="M128" i="10"/>
  <c r="H128" i="10"/>
  <c r="G128" i="10"/>
  <c r="X127" i="10"/>
  <c r="U127" i="10"/>
  <c r="R127" i="10"/>
  <c r="Q127" i="10"/>
  <c r="P127" i="10"/>
  <c r="O127" i="10"/>
  <c r="N127" i="10"/>
  <c r="W127" i="10" s="1"/>
  <c r="M127" i="10"/>
  <c r="S127" i="10" s="1"/>
  <c r="G127" i="10"/>
  <c r="V126" i="10"/>
  <c r="S126" i="10"/>
  <c r="R126" i="10"/>
  <c r="Q126" i="10"/>
  <c r="P126" i="10"/>
  <c r="O126" i="10"/>
  <c r="X126" i="10" s="1"/>
  <c r="N126" i="10"/>
  <c r="W126" i="10" s="1"/>
  <c r="M126" i="10"/>
  <c r="K126" i="10"/>
  <c r="K121" i="10" s="1"/>
  <c r="K120" i="10" s="1"/>
  <c r="K97" i="10" s="1"/>
  <c r="J126" i="10"/>
  <c r="J121" i="10" s="1"/>
  <c r="J120" i="10" s="1"/>
  <c r="H126" i="10"/>
  <c r="G126" i="10"/>
  <c r="V125" i="10"/>
  <c r="S125" i="10"/>
  <c r="R125" i="10"/>
  <c r="Q125" i="10"/>
  <c r="P125" i="10"/>
  <c r="O125" i="10"/>
  <c r="X125" i="10" s="1"/>
  <c r="N125" i="10"/>
  <c r="W125" i="10" s="1"/>
  <c r="M125" i="10"/>
  <c r="I125" i="10"/>
  <c r="I121" i="10" s="1"/>
  <c r="H125" i="10"/>
  <c r="U124" i="10"/>
  <c r="R124" i="10"/>
  <c r="Q124" i="10"/>
  <c r="P124" i="10"/>
  <c r="O124" i="10"/>
  <c r="X124" i="10" s="1"/>
  <c r="N124" i="10"/>
  <c r="W124" i="10" s="1"/>
  <c r="M124" i="10"/>
  <c r="V124" i="10" s="1"/>
  <c r="G124" i="10"/>
  <c r="X123" i="10"/>
  <c r="W123" i="10"/>
  <c r="T123" i="10"/>
  <c r="S123" i="10"/>
  <c r="R123" i="10"/>
  <c r="Q123" i="10"/>
  <c r="P123" i="10"/>
  <c r="O123" i="10"/>
  <c r="U123" i="10" s="1"/>
  <c r="N123" i="10"/>
  <c r="M123" i="10"/>
  <c r="V123" i="10" s="1"/>
  <c r="H123" i="10"/>
  <c r="G123" i="10"/>
  <c r="V122" i="10"/>
  <c r="R122" i="10"/>
  <c r="Q122" i="10"/>
  <c r="P122" i="10"/>
  <c r="O122" i="10"/>
  <c r="X122" i="10" s="1"/>
  <c r="N122" i="10"/>
  <c r="T122" i="10" s="1"/>
  <c r="M122" i="10"/>
  <c r="S122" i="10" s="1"/>
  <c r="I122" i="10"/>
  <c r="G122" i="10"/>
  <c r="BK121" i="10"/>
  <c r="R121" i="10" s="1"/>
  <c r="BJ121" i="10"/>
  <c r="BI121" i="10"/>
  <c r="BI120" i="10" s="1"/>
  <c r="BH121" i="10"/>
  <c r="BH120" i="10" s="1"/>
  <c r="BG121" i="10"/>
  <c r="BF121" i="10"/>
  <c r="BE121" i="10"/>
  <c r="BE120" i="10" s="1"/>
  <c r="BD121" i="10"/>
  <c r="BD120" i="10" s="1"/>
  <c r="BC121" i="10"/>
  <c r="BB121" i="10"/>
  <c r="BA121" i="10"/>
  <c r="BA120" i="10" s="1"/>
  <c r="AZ121" i="10"/>
  <c r="AZ120" i="10" s="1"/>
  <c r="AY121" i="10"/>
  <c r="AX121" i="10"/>
  <c r="AW121" i="10"/>
  <c r="AW120" i="10" s="1"/>
  <c r="AV121" i="10"/>
  <c r="AV120" i="10" s="1"/>
  <c r="AU121" i="10"/>
  <c r="AT121" i="10"/>
  <c r="AS121" i="10"/>
  <c r="AS120" i="10" s="1"/>
  <c r="AR121" i="10"/>
  <c r="AR120" i="10" s="1"/>
  <c r="AQ121" i="10"/>
  <c r="AP121" i="10"/>
  <c r="AO121" i="10"/>
  <c r="AO120" i="10" s="1"/>
  <c r="AN121" i="10"/>
  <c r="AN120" i="10" s="1"/>
  <c r="AM121" i="10"/>
  <c r="AL121" i="10"/>
  <c r="AK121" i="10"/>
  <c r="AK120" i="10" s="1"/>
  <c r="AJ121" i="10"/>
  <c r="AJ120" i="10" s="1"/>
  <c r="AI121" i="10"/>
  <c r="AH121" i="10"/>
  <c r="AG121" i="10"/>
  <c r="AG120" i="10" s="1"/>
  <c r="AF121" i="10"/>
  <c r="AE121" i="10"/>
  <c r="AD121" i="10"/>
  <c r="AC121" i="10"/>
  <c r="AC120" i="10" s="1"/>
  <c r="AB121" i="10"/>
  <c r="AB120" i="10" s="1"/>
  <c r="AA121" i="10"/>
  <c r="Z121" i="10"/>
  <c r="Y121" i="10"/>
  <c r="Y120" i="10" s="1"/>
  <c r="O121" i="10"/>
  <c r="X121" i="10" s="1"/>
  <c r="L121" i="10"/>
  <c r="L120" i="10" s="1"/>
  <c r="F121" i="10"/>
  <c r="E121" i="10"/>
  <c r="E120" i="10" s="1"/>
  <c r="BK120" i="10"/>
  <c r="BJ120" i="10"/>
  <c r="BG120" i="10"/>
  <c r="BF120" i="10"/>
  <c r="BC120" i="10"/>
  <c r="BB120" i="10"/>
  <c r="AY120" i="10"/>
  <c r="AX120" i="10"/>
  <c r="AU120" i="10"/>
  <c r="AT120" i="10"/>
  <c r="AQ120" i="10"/>
  <c r="AP120" i="10"/>
  <c r="AM120" i="10"/>
  <c r="AL120" i="10"/>
  <c r="AI120" i="10"/>
  <c r="AH120" i="10"/>
  <c r="AE120" i="10"/>
  <c r="AD120" i="10"/>
  <c r="AA120" i="10"/>
  <c r="Z120" i="10"/>
  <c r="F120" i="10"/>
  <c r="V119" i="10"/>
  <c r="S119" i="10"/>
  <c r="R119" i="10"/>
  <c r="Q119" i="10"/>
  <c r="P119" i="10"/>
  <c r="O119" i="10"/>
  <c r="X119" i="10" s="1"/>
  <c r="N119" i="10"/>
  <c r="W119" i="10" s="1"/>
  <c r="M119" i="10"/>
  <c r="H119" i="10"/>
  <c r="G119" i="10"/>
  <c r="V118" i="10"/>
  <c r="S118" i="10"/>
  <c r="R118" i="10"/>
  <c r="Q118" i="10"/>
  <c r="P118" i="10"/>
  <c r="O118" i="10"/>
  <c r="U118" i="10" s="1"/>
  <c r="N118" i="10"/>
  <c r="T118" i="10" s="1"/>
  <c r="M118" i="10"/>
  <c r="V117" i="10"/>
  <c r="S117" i="10"/>
  <c r="R117" i="10"/>
  <c r="Q117" i="10"/>
  <c r="P117" i="10"/>
  <c r="O117" i="10"/>
  <c r="X117" i="10" s="1"/>
  <c r="N117" i="10"/>
  <c r="W117" i="10" s="1"/>
  <c r="M117" i="10"/>
  <c r="H117" i="10"/>
  <c r="G117" i="10"/>
  <c r="X116" i="10"/>
  <c r="U116" i="10"/>
  <c r="T116" i="10"/>
  <c r="R116" i="10"/>
  <c r="Q116" i="10"/>
  <c r="P116" i="10"/>
  <c r="O116" i="10"/>
  <c r="N116" i="10"/>
  <c r="W116" i="10" s="1"/>
  <c r="M116" i="10"/>
  <c r="V116" i="10" s="1"/>
  <c r="H116" i="10"/>
  <c r="G116" i="10"/>
  <c r="BK115" i="10"/>
  <c r="BJ115" i="10"/>
  <c r="Q115" i="10" s="1"/>
  <c r="BI115" i="10"/>
  <c r="P115" i="10" s="1"/>
  <c r="BH115" i="10"/>
  <c r="BG115" i="10"/>
  <c r="BF115" i="10"/>
  <c r="BE115" i="10"/>
  <c r="BD115" i="10"/>
  <c r="BC115" i="10"/>
  <c r="BB115" i="10"/>
  <c r="BA115" i="10"/>
  <c r="AZ115" i="10"/>
  <c r="AY115" i="10"/>
  <c r="AX115" i="10"/>
  <c r="AW115" i="10"/>
  <c r="AV115" i="10"/>
  <c r="AU115" i="10"/>
  <c r="AT115" i="10"/>
  <c r="AS115" i="10"/>
  <c r="AR115" i="10"/>
  <c r="AQ115" i="10"/>
  <c r="AP115" i="10"/>
  <c r="AO115" i="10"/>
  <c r="AN115" i="10"/>
  <c r="AM115" i="10"/>
  <c r="AL115" i="10"/>
  <c r="AK115" i="10"/>
  <c r="AJ115" i="10"/>
  <c r="AI115" i="10"/>
  <c r="AH115" i="10"/>
  <c r="AG115" i="10"/>
  <c r="AF115" i="10"/>
  <c r="AE115" i="10"/>
  <c r="AD115" i="10"/>
  <c r="R115" i="10" s="1"/>
  <c r="AC115" i="10"/>
  <c r="AB115" i="10"/>
  <c r="AA115" i="10"/>
  <c r="Z115" i="10"/>
  <c r="Y115" i="10"/>
  <c r="N115" i="10"/>
  <c r="W115" i="10" s="1"/>
  <c r="L115" i="10"/>
  <c r="J115" i="10"/>
  <c r="I115" i="10"/>
  <c r="G115" i="10" s="1"/>
  <c r="F115" i="10"/>
  <c r="E115" i="10"/>
  <c r="X114" i="10"/>
  <c r="U114" i="10"/>
  <c r="T114" i="10"/>
  <c r="R114" i="10"/>
  <c r="Q114" i="10"/>
  <c r="P114" i="10"/>
  <c r="O114" i="10"/>
  <c r="N114" i="10"/>
  <c r="W114" i="10" s="1"/>
  <c r="M114" i="10"/>
  <c r="V114" i="10" s="1"/>
  <c r="H114" i="10"/>
  <c r="G114" i="10"/>
  <c r="W113" i="10"/>
  <c r="V113" i="10"/>
  <c r="S113" i="10"/>
  <c r="R113" i="10"/>
  <c r="Q113" i="10"/>
  <c r="P113" i="10"/>
  <c r="O113" i="10"/>
  <c r="U113" i="10" s="1"/>
  <c r="N113" i="10"/>
  <c r="T113" i="10" s="1"/>
  <c r="M113" i="10"/>
  <c r="H113" i="10"/>
  <c r="G113" i="10"/>
  <c r="X112" i="10"/>
  <c r="U112" i="10"/>
  <c r="R112" i="10"/>
  <c r="Q112" i="10"/>
  <c r="P112" i="10"/>
  <c r="O112" i="10"/>
  <c r="N112" i="10"/>
  <c r="W112" i="10" s="1"/>
  <c r="M112" i="10"/>
  <c r="S112" i="10" s="1"/>
  <c r="G112" i="10"/>
  <c r="V111" i="10"/>
  <c r="S111" i="10"/>
  <c r="R111" i="10"/>
  <c r="Q111" i="10"/>
  <c r="P111" i="10"/>
  <c r="O111" i="10"/>
  <c r="X111" i="10" s="1"/>
  <c r="N111" i="10"/>
  <c r="W111" i="10" s="1"/>
  <c r="M111" i="10"/>
  <c r="H111" i="10"/>
  <c r="G111" i="10"/>
  <c r="X110" i="10"/>
  <c r="U110" i="10"/>
  <c r="T110" i="10"/>
  <c r="R110" i="10"/>
  <c r="Q110" i="10"/>
  <c r="P110" i="10"/>
  <c r="O110" i="10"/>
  <c r="N110" i="10"/>
  <c r="W110" i="10" s="1"/>
  <c r="M110" i="10"/>
  <c r="V110" i="10" s="1"/>
  <c r="H110" i="10"/>
  <c r="G110" i="10"/>
  <c r="AR109" i="10"/>
  <c r="N109" i="10" s="1"/>
  <c r="X109" i="10"/>
  <c r="S109" i="10"/>
  <c r="R109" i="10"/>
  <c r="Q109" i="10"/>
  <c r="P109" i="10"/>
  <c r="O109" i="10"/>
  <c r="U109" i="10" s="1"/>
  <c r="M109" i="10"/>
  <c r="V109" i="10" s="1"/>
  <c r="H109" i="10"/>
  <c r="G109" i="10"/>
  <c r="V108" i="10"/>
  <c r="R108" i="10"/>
  <c r="Q108" i="10"/>
  <c r="P108" i="10"/>
  <c r="O108" i="10"/>
  <c r="X108" i="10" s="1"/>
  <c r="N108" i="10"/>
  <c r="T108" i="10" s="1"/>
  <c r="M108" i="10"/>
  <c r="H108" i="10" s="1"/>
  <c r="G108" i="10"/>
  <c r="AT107" i="10"/>
  <c r="AT98" i="10" s="1"/>
  <c r="AT97" i="10" s="1"/>
  <c r="AQ107" i="10"/>
  <c r="M107" i="10" s="1"/>
  <c r="AN107" i="10"/>
  <c r="W107" i="10"/>
  <c r="R107" i="10"/>
  <c r="Q107" i="10"/>
  <c r="O107" i="10"/>
  <c r="U107" i="10" s="1"/>
  <c r="N107" i="10"/>
  <c r="T107" i="10" s="1"/>
  <c r="I107" i="10"/>
  <c r="G107" i="10"/>
  <c r="V106" i="10"/>
  <c r="R106" i="10"/>
  <c r="Q106" i="10"/>
  <c r="P106" i="10"/>
  <c r="O106" i="10"/>
  <c r="X106" i="10" s="1"/>
  <c r="N106" i="10"/>
  <c r="T106" i="10" s="1"/>
  <c r="M106" i="10"/>
  <c r="H106" i="10" s="1"/>
  <c r="G106" i="10"/>
  <c r="W105" i="10"/>
  <c r="T105" i="10"/>
  <c r="R105" i="10"/>
  <c r="Q105" i="10"/>
  <c r="P105" i="10"/>
  <c r="O105" i="10"/>
  <c r="X105" i="10" s="1"/>
  <c r="N105" i="10"/>
  <c r="M105" i="10"/>
  <c r="V105" i="10" s="1"/>
  <c r="H105" i="10"/>
  <c r="G105" i="10"/>
  <c r="U104" i="10"/>
  <c r="T104" i="10"/>
  <c r="R104" i="10"/>
  <c r="Q104" i="10"/>
  <c r="P104" i="10"/>
  <c r="O104" i="10"/>
  <c r="N104" i="10"/>
  <c r="W104" i="10" s="1"/>
  <c r="M104" i="10"/>
  <c r="V104" i="10" s="1"/>
  <c r="H104" i="10"/>
  <c r="G104" i="10"/>
  <c r="W103" i="10"/>
  <c r="V103" i="10"/>
  <c r="S103" i="10"/>
  <c r="R103" i="10"/>
  <c r="Q103" i="10"/>
  <c r="P103" i="10"/>
  <c r="O103" i="10"/>
  <c r="N103" i="10"/>
  <c r="T103" i="10" s="1"/>
  <c r="M103" i="10"/>
  <c r="H103" i="10"/>
  <c r="G103" i="10"/>
  <c r="X102" i="10"/>
  <c r="U102" i="10"/>
  <c r="R102" i="10"/>
  <c r="Q102" i="10"/>
  <c r="P102" i="10"/>
  <c r="O102" i="10"/>
  <c r="N102" i="10"/>
  <c r="W102" i="10" s="1"/>
  <c r="M102" i="10"/>
  <c r="G102" i="10"/>
  <c r="V101" i="10"/>
  <c r="S101" i="10"/>
  <c r="R101" i="10"/>
  <c r="Q101" i="10"/>
  <c r="P101" i="10"/>
  <c r="O101" i="10"/>
  <c r="X101" i="10" s="1"/>
  <c r="N101" i="10"/>
  <c r="M101" i="10"/>
  <c r="H101" i="10"/>
  <c r="G101" i="10"/>
  <c r="X100" i="10"/>
  <c r="U100" i="10"/>
  <c r="T100" i="10"/>
  <c r="R100" i="10"/>
  <c r="Q100" i="10"/>
  <c r="P100" i="10"/>
  <c r="O100" i="10"/>
  <c r="N100" i="10"/>
  <c r="W100" i="10" s="1"/>
  <c r="M100" i="10"/>
  <c r="V100" i="10" s="1"/>
  <c r="H100" i="10"/>
  <c r="G100" i="10"/>
  <c r="W99" i="10"/>
  <c r="V99" i="10"/>
  <c r="S99" i="10"/>
  <c r="R99" i="10"/>
  <c r="Q99" i="10"/>
  <c r="P99" i="10"/>
  <c r="O99" i="10"/>
  <c r="N99" i="10"/>
  <c r="T99" i="10" s="1"/>
  <c r="M99" i="10"/>
  <c r="H99" i="10"/>
  <c r="G99" i="10"/>
  <c r="BK98" i="10"/>
  <c r="BJ98" i="10"/>
  <c r="BI98" i="10"/>
  <c r="BI97" i="10" s="1"/>
  <c r="BH98" i="10"/>
  <c r="BG98" i="10"/>
  <c r="BF98" i="10"/>
  <c r="BE98" i="10"/>
  <c r="BE97" i="10" s="1"/>
  <c r="BD98" i="10"/>
  <c r="BD97" i="10" s="1"/>
  <c r="BC98" i="10"/>
  <c r="BB98" i="10"/>
  <c r="BA98" i="10"/>
  <c r="BA97" i="10" s="1"/>
  <c r="AZ98" i="10"/>
  <c r="AY98" i="10"/>
  <c r="AX98" i="10"/>
  <c r="AW98" i="10"/>
  <c r="AW97" i="10" s="1"/>
  <c r="AV98" i="10"/>
  <c r="AV97" i="10" s="1"/>
  <c r="AU98" i="10"/>
  <c r="AS98" i="10"/>
  <c r="AS97" i="10" s="1"/>
  <c r="AR98" i="10"/>
  <c r="AP98" i="10"/>
  <c r="AO98" i="10"/>
  <c r="AO97" i="10" s="1"/>
  <c r="AN98" i="10"/>
  <c r="AN97" i="10" s="1"/>
  <c r="AM98" i="10"/>
  <c r="AL98" i="10"/>
  <c r="AK98" i="10"/>
  <c r="AK97" i="10" s="1"/>
  <c r="AJ98" i="10"/>
  <c r="AJ97" i="10" s="1"/>
  <c r="AI98" i="10"/>
  <c r="AH98" i="10"/>
  <c r="AG98" i="10"/>
  <c r="AG97" i="10" s="1"/>
  <c r="AF98" i="10"/>
  <c r="AE98" i="10"/>
  <c r="AD98" i="10"/>
  <c r="AC98" i="10"/>
  <c r="AC97" i="10" s="1"/>
  <c r="AB98" i="10"/>
  <c r="AA98" i="10"/>
  <c r="Z98" i="10"/>
  <c r="Y98" i="10"/>
  <c r="Y97" i="10" s="1"/>
  <c r="O98" i="10"/>
  <c r="L98" i="10"/>
  <c r="L97" i="10" s="1"/>
  <c r="K98" i="10"/>
  <c r="J98" i="10"/>
  <c r="I98" i="10"/>
  <c r="G98" i="10"/>
  <c r="F98" i="10"/>
  <c r="E98" i="10"/>
  <c r="E97" i="10" s="1"/>
  <c r="BK97" i="10"/>
  <c r="BJ97" i="10"/>
  <c r="BG97" i="10"/>
  <c r="BF97" i="10"/>
  <c r="BC97" i="10"/>
  <c r="BB97" i="10"/>
  <c r="AY97" i="10"/>
  <c r="AX97" i="10"/>
  <c r="AX3" i="10" s="1"/>
  <c r="AU97" i="10"/>
  <c r="AP97" i="10"/>
  <c r="AM97" i="10"/>
  <c r="AL97" i="10"/>
  <c r="AI97" i="10"/>
  <c r="AH97" i="10"/>
  <c r="AE97" i="10"/>
  <c r="AD97" i="10"/>
  <c r="AA97" i="10"/>
  <c r="Z97" i="10"/>
  <c r="J97" i="10"/>
  <c r="F97" i="10"/>
  <c r="V96" i="10"/>
  <c r="T96" i="10"/>
  <c r="S96" i="10"/>
  <c r="R96" i="10"/>
  <c r="Q96" i="10"/>
  <c r="P96" i="10"/>
  <c r="O96" i="10"/>
  <c r="N96" i="10"/>
  <c r="W96" i="10" s="1"/>
  <c r="M96" i="10"/>
  <c r="H96" i="10"/>
  <c r="G96" i="10"/>
  <c r="X95" i="10"/>
  <c r="U95" i="10"/>
  <c r="T95" i="10"/>
  <c r="R95" i="10"/>
  <c r="Q95" i="10"/>
  <c r="P95" i="10"/>
  <c r="O95" i="10"/>
  <c r="N95" i="10"/>
  <c r="W95" i="10" s="1"/>
  <c r="M95" i="10"/>
  <c r="G95" i="10"/>
  <c r="AN94" i="10"/>
  <c r="P94" i="10" s="1"/>
  <c r="Q94" i="10"/>
  <c r="Q93" i="10"/>
  <c r="P93" i="10"/>
  <c r="AN92" i="10"/>
  <c r="T92" i="10"/>
  <c r="R92" i="10"/>
  <c r="Q92" i="10"/>
  <c r="O92" i="10"/>
  <c r="N92" i="10"/>
  <c r="L92" i="10"/>
  <c r="X92" i="10" s="1"/>
  <c r="I92" i="10"/>
  <c r="G92" i="10"/>
  <c r="BK90" i="10"/>
  <c r="BJ90" i="10"/>
  <c r="BI90" i="10"/>
  <c r="BH90" i="10"/>
  <c r="BG90" i="10"/>
  <c r="BF90" i="10"/>
  <c r="BE90" i="10"/>
  <c r="BD90" i="10"/>
  <c r="BC90" i="10"/>
  <c r="BB90" i="10"/>
  <c r="BA90" i="10"/>
  <c r="AZ90" i="10"/>
  <c r="AY90" i="10"/>
  <c r="AX90" i="10"/>
  <c r="AW90" i="10"/>
  <c r="AV90" i="10"/>
  <c r="AU90" i="10"/>
  <c r="AT90" i="10"/>
  <c r="AS90" i="10"/>
  <c r="AR90" i="10"/>
  <c r="AQ90" i="10"/>
  <c r="AP90" i="10"/>
  <c r="AO90" i="10"/>
  <c r="AM90" i="10"/>
  <c r="AL90" i="10"/>
  <c r="AK90" i="10"/>
  <c r="AJ90" i="10"/>
  <c r="AI90" i="10"/>
  <c r="AH90" i="10"/>
  <c r="AG90" i="10"/>
  <c r="AF90" i="10"/>
  <c r="AE90" i="10"/>
  <c r="AD90" i="10"/>
  <c r="AC90" i="10"/>
  <c r="Q90" i="10" s="1"/>
  <c r="AB90" i="10"/>
  <c r="AA90" i="10"/>
  <c r="Z90" i="10"/>
  <c r="Y90" i="10"/>
  <c r="T90" i="10"/>
  <c r="O90" i="10"/>
  <c r="K90" i="10"/>
  <c r="J90" i="10"/>
  <c r="I90" i="10"/>
  <c r="F90" i="10"/>
  <c r="E90" i="10"/>
  <c r="G90" i="10" s="1"/>
  <c r="W89" i="10"/>
  <c r="T89" i="10"/>
  <c r="S89" i="10"/>
  <c r="R89" i="10"/>
  <c r="Q89" i="10"/>
  <c r="P89" i="10"/>
  <c r="O89" i="10"/>
  <c r="U89" i="10" s="1"/>
  <c r="N89" i="10"/>
  <c r="M89" i="10"/>
  <c r="V89" i="10" s="1"/>
  <c r="H89" i="10"/>
  <c r="G89" i="10"/>
  <c r="AR88" i="10"/>
  <c r="AF88" i="10"/>
  <c r="AC88" i="10"/>
  <c r="AC85" i="10" s="1"/>
  <c r="Z88" i="10"/>
  <c r="Q88" i="10" s="1"/>
  <c r="U88" i="10"/>
  <c r="R88" i="10"/>
  <c r="P88" i="10"/>
  <c r="O88" i="10"/>
  <c r="X88" i="10" s="1"/>
  <c r="M88" i="10"/>
  <c r="H88" i="10" s="1"/>
  <c r="G88" i="10"/>
  <c r="W87" i="10"/>
  <c r="T87" i="10"/>
  <c r="S87" i="10"/>
  <c r="R87" i="10"/>
  <c r="Q87" i="10"/>
  <c r="P87" i="10"/>
  <c r="O87" i="10"/>
  <c r="U87" i="10" s="1"/>
  <c r="N87" i="10"/>
  <c r="M87" i="10"/>
  <c r="V87" i="10" s="1"/>
  <c r="H87" i="10"/>
  <c r="G87" i="10"/>
  <c r="U86" i="10"/>
  <c r="S86" i="10"/>
  <c r="R86" i="10"/>
  <c r="Q86" i="10"/>
  <c r="P86" i="10"/>
  <c r="O86" i="10"/>
  <c r="X86" i="10" s="1"/>
  <c r="N86" i="10"/>
  <c r="T86" i="10" s="1"/>
  <c r="M86" i="10"/>
  <c r="G86" i="10"/>
  <c r="BK85" i="10"/>
  <c r="R85" i="10" s="1"/>
  <c r="BJ85" i="10"/>
  <c r="BI85" i="10"/>
  <c r="BH85" i="10"/>
  <c r="BG85" i="10"/>
  <c r="BF85" i="10"/>
  <c r="BE85" i="10"/>
  <c r="BD85" i="10"/>
  <c r="BC85" i="10"/>
  <c r="BC68" i="10" s="1"/>
  <c r="BB85" i="10"/>
  <c r="BA85" i="10"/>
  <c r="AZ85" i="10"/>
  <c r="AY85" i="10"/>
  <c r="AX85" i="10"/>
  <c r="AW85" i="10"/>
  <c r="AV85" i="10"/>
  <c r="AU85" i="10"/>
  <c r="AU68" i="10" s="1"/>
  <c r="AT85" i="10"/>
  <c r="AS85" i="10"/>
  <c r="AR85" i="10"/>
  <c r="AQ85" i="10"/>
  <c r="AP85" i="10"/>
  <c r="AO85" i="10"/>
  <c r="AN85" i="10"/>
  <c r="AM85" i="10"/>
  <c r="AM68" i="10" s="1"/>
  <c r="AL85" i="10"/>
  <c r="AK85" i="10"/>
  <c r="AJ85" i="10"/>
  <c r="AI85" i="10"/>
  <c r="AH85" i="10"/>
  <c r="AG85" i="10"/>
  <c r="AF85" i="10"/>
  <c r="AE85" i="10"/>
  <c r="AE68" i="10" s="1"/>
  <c r="AD85" i="10"/>
  <c r="AB85" i="10"/>
  <c r="P85" i="10" s="1"/>
  <c r="AA85" i="10"/>
  <c r="Z85" i="10"/>
  <c r="Y85" i="10"/>
  <c r="L85" i="10"/>
  <c r="K85" i="10"/>
  <c r="J85" i="10"/>
  <c r="I85" i="10"/>
  <c r="G85" i="10"/>
  <c r="F85" i="10"/>
  <c r="E85" i="10"/>
  <c r="V84" i="10"/>
  <c r="T84" i="10"/>
  <c r="S84" i="10"/>
  <c r="R84" i="10"/>
  <c r="Q84" i="10"/>
  <c r="P84" i="10"/>
  <c r="O84" i="10"/>
  <c r="U84" i="10" s="1"/>
  <c r="N84" i="10"/>
  <c r="W84" i="10" s="1"/>
  <c r="M84" i="10"/>
  <c r="H84" i="10"/>
  <c r="G84" i="10"/>
  <c r="X83" i="10"/>
  <c r="U83" i="10"/>
  <c r="R83" i="10"/>
  <c r="Q83" i="10"/>
  <c r="P83" i="10"/>
  <c r="O83" i="10"/>
  <c r="N83" i="10"/>
  <c r="W83" i="10" s="1"/>
  <c r="M83" i="10"/>
  <c r="S83" i="10" s="1"/>
  <c r="G83" i="10"/>
  <c r="V82" i="10"/>
  <c r="T82" i="10"/>
  <c r="S82" i="10"/>
  <c r="R82" i="10"/>
  <c r="Q82" i="10"/>
  <c r="P82" i="10"/>
  <c r="O82" i="10"/>
  <c r="U82" i="10" s="1"/>
  <c r="U81" i="10" s="1"/>
  <c r="N82" i="10"/>
  <c r="M82" i="10"/>
  <c r="H82" i="10"/>
  <c r="G82" i="10"/>
  <c r="BK81" i="10"/>
  <c r="BJ81" i="10"/>
  <c r="BI81" i="10"/>
  <c r="BH81" i="10"/>
  <c r="BH68" i="10" s="1"/>
  <c r="BG81" i="10"/>
  <c r="BF81" i="10"/>
  <c r="BE81" i="10"/>
  <c r="BD81" i="10"/>
  <c r="BC81" i="10"/>
  <c r="BB81" i="10"/>
  <c r="BA81" i="10"/>
  <c r="AZ81" i="10"/>
  <c r="AZ68" i="10" s="1"/>
  <c r="AY81" i="10"/>
  <c r="AX81" i="10"/>
  <c r="AW81" i="10"/>
  <c r="AV81" i="10"/>
  <c r="AU81" i="10"/>
  <c r="AT81" i="10"/>
  <c r="AS81" i="10"/>
  <c r="AR81" i="10"/>
  <c r="AR68" i="10" s="1"/>
  <c r="AQ81" i="10"/>
  <c r="AP81" i="10"/>
  <c r="AO81" i="10"/>
  <c r="AN81" i="10"/>
  <c r="AM81" i="10"/>
  <c r="AL81" i="10"/>
  <c r="AK81" i="10"/>
  <c r="AJ81" i="10"/>
  <c r="AJ68" i="10" s="1"/>
  <c r="AI81" i="10"/>
  <c r="AH81" i="10"/>
  <c r="AG81" i="10"/>
  <c r="AF81" i="10"/>
  <c r="AE81" i="10"/>
  <c r="AD81" i="10"/>
  <c r="AC81" i="10"/>
  <c r="Q81" i="10" s="1"/>
  <c r="AB81" i="10"/>
  <c r="AB68" i="10" s="1"/>
  <c r="AA81" i="10"/>
  <c r="Z81" i="10"/>
  <c r="Y81" i="10"/>
  <c r="S81" i="10"/>
  <c r="P81" i="10"/>
  <c r="L81" i="10"/>
  <c r="K81" i="10"/>
  <c r="J81" i="10"/>
  <c r="I81" i="10"/>
  <c r="G81" i="10"/>
  <c r="F81" i="10"/>
  <c r="E81" i="10"/>
  <c r="X80" i="10"/>
  <c r="U80" i="10"/>
  <c r="S80" i="10"/>
  <c r="R80" i="10"/>
  <c r="Q80" i="10"/>
  <c r="P80" i="10"/>
  <c r="O80" i="10"/>
  <c r="N80" i="10"/>
  <c r="W80" i="10" s="1"/>
  <c r="M80" i="10"/>
  <c r="M78" i="10" s="1"/>
  <c r="H78" i="10" s="1"/>
  <c r="G80" i="10"/>
  <c r="V79" i="10"/>
  <c r="S79" i="10"/>
  <c r="R79" i="10"/>
  <c r="Q79" i="10"/>
  <c r="P79" i="10"/>
  <c r="O79" i="10"/>
  <c r="X79" i="10" s="1"/>
  <c r="N79" i="10"/>
  <c r="W79" i="10" s="1"/>
  <c r="M79" i="10"/>
  <c r="H79" i="10" s="1"/>
  <c r="G79" i="10"/>
  <c r="BK78" i="10"/>
  <c r="BJ78" i="10"/>
  <c r="BI78" i="10"/>
  <c r="BH78" i="10"/>
  <c r="BG78" i="10"/>
  <c r="BF78" i="10"/>
  <c r="BE78" i="10"/>
  <c r="BD78" i="10"/>
  <c r="BC78" i="10"/>
  <c r="BB78" i="10"/>
  <c r="BA78" i="10"/>
  <c r="AZ78" i="10"/>
  <c r="AY78" i="10"/>
  <c r="AX78" i="10"/>
  <c r="AW78" i="10"/>
  <c r="AV78" i="10"/>
  <c r="AU78" i="10"/>
  <c r="AT78" i="10"/>
  <c r="P78" i="10" s="1"/>
  <c r="AS78" i="10"/>
  <c r="AR78" i="10"/>
  <c r="AQ78" i="10"/>
  <c r="AP78" i="10"/>
  <c r="AO78" i="10"/>
  <c r="AN78" i="10"/>
  <c r="AM78" i="10"/>
  <c r="AL78" i="10"/>
  <c r="AL68" i="10" s="1"/>
  <c r="AK78" i="10"/>
  <c r="AJ78" i="10"/>
  <c r="AI78" i="10"/>
  <c r="AH78" i="10"/>
  <c r="AG78" i="10"/>
  <c r="AF78" i="10"/>
  <c r="AE78" i="10"/>
  <c r="AD78" i="10"/>
  <c r="AC78" i="10"/>
  <c r="AB78" i="10"/>
  <c r="AA78" i="10"/>
  <c r="Z78" i="10"/>
  <c r="Y78" i="10"/>
  <c r="V78" i="10"/>
  <c r="N78" i="10"/>
  <c r="W78" i="10" s="1"/>
  <c r="L78" i="10"/>
  <c r="K78" i="10"/>
  <c r="J78" i="10"/>
  <c r="I78" i="10"/>
  <c r="G78" i="10" s="1"/>
  <c r="X77" i="10"/>
  <c r="U77" i="10"/>
  <c r="R77" i="10"/>
  <c r="Q77" i="10"/>
  <c r="P77" i="10"/>
  <c r="O77" i="10"/>
  <c r="N77" i="10"/>
  <c r="W77" i="10" s="1"/>
  <c r="M77" i="10"/>
  <c r="V77" i="10" s="1"/>
  <c r="G77" i="10"/>
  <c r="X76" i="10"/>
  <c r="V76" i="10"/>
  <c r="S76" i="10"/>
  <c r="R76" i="10"/>
  <c r="Q76" i="10"/>
  <c r="P76" i="10"/>
  <c r="O76" i="10"/>
  <c r="U76" i="10" s="1"/>
  <c r="N76" i="10"/>
  <c r="M76" i="10"/>
  <c r="H76" i="10"/>
  <c r="G76" i="10"/>
  <c r="AN75" i="10"/>
  <c r="P75" i="10" s="1"/>
  <c r="AF75" i="10"/>
  <c r="AC75" i="10"/>
  <c r="N75" i="10" s="1"/>
  <c r="T75" i="10" s="1"/>
  <c r="R75" i="10"/>
  <c r="Q75" i="10"/>
  <c r="O75" i="10"/>
  <c r="M75" i="10"/>
  <c r="V75" i="10" s="1"/>
  <c r="I75" i="10"/>
  <c r="S75" i="10" s="1"/>
  <c r="X74" i="10"/>
  <c r="V74" i="10"/>
  <c r="S74" i="10"/>
  <c r="R74" i="10"/>
  <c r="Q74" i="10"/>
  <c r="P74" i="10"/>
  <c r="O74" i="10"/>
  <c r="U74" i="10" s="1"/>
  <c r="N74" i="10"/>
  <c r="M74" i="10"/>
  <c r="H74" i="10"/>
  <c r="G74" i="10"/>
  <c r="AT73" i="10"/>
  <c r="P73" i="10" s="1"/>
  <c r="AQ73" i="10"/>
  <c r="AC73" i="10"/>
  <c r="N73" i="10" s="1"/>
  <c r="R73" i="10"/>
  <c r="Q73" i="10"/>
  <c r="O73" i="10"/>
  <c r="M73" i="10"/>
  <c r="V73" i="10" s="1"/>
  <c r="I73" i="10"/>
  <c r="S73" i="10" s="1"/>
  <c r="AQ72" i="10"/>
  <c r="M72" i="10" s="1"/>
  <c r="W72" i="10"/>
  <c r="T72" i="10"/>
  <c r="R72" i="10"/>
  <c r="Q72" i="10"/>
  <c r="O72" i="10"/>
  <c r="N72" i="10"/>
  <c r="I72" i="10"/>
  <c r="I69" i="10" s="1"/>
  <c r="AT71" i="10"/>
  <c r="M71" i="10" s="1"/>
  <c r="AI71" i="10"/>
  <c r="X71" i="10"/>
  <c r="U71" i="10"/>
  <c r="R71" i="10"/>
  <c r="Q71" i="10"/>
  <c r="P71" i="10"/>
  <c r="O71" i="10"/>
  <c r="N71" i="10"/>
  <c r="W71" i="10" s="1"/>
  <c r="G71" i="10"/>
  <c r="X70" i="10"/>
  <c r="V70" i="10"/>
  <c r="S70" i="10"/>
  <c r="R70" i="10"/>
  <c r="Q70" i="10"/>
  <c r="P70" i="10"/>
  <c r="O70" i="10"/>
  <c r="U70" i="10" s="1"/>
  <c r="N70" i="10"/>
  <c r="M70" i="10"/>
  <c r="H70" i="10"/>
  <c r="G70" i="10"/>
  <c r="BK69" i="10"/>
  <c r="BJ69" i="10"/>
  <c r="BI69" i="10"/>
  <c r="BI68" i="10" s="1"/>
  <c r="BH69" i="10"/>
  <c r="BG69" i="10"/>
  <c r="BG68" i="10" s="1"/>
  <c r="BF69" i="10"/>
  <c r="BE69" i="10"/>
  <c r="BD69" i="10"/>
  <c r="BC69" i="10"/>
  <c r="BB69" i="10"/>
  <c r="BA69" i="10"/>
  <c r="BA68" i="10" s="1"/>
  <c r="AZ69" i="10"/>
  <c r="AY69" i="10"/>
  <c r="AY68" i="10" s="1"/>
  <c r="AX69" i="10"/>
  <c r="AW69" i="10"/>
  <c r="AV69" i="10"/>
  <c r="AU69" i="10"/>
  <c r="AS69" i="10"/>
  <c r="AS68" i="10" s="1"/>
  <c r="AR69" i="10"/>
  <c r="AQ69" i="10"/>
  <c r="AQ68" i="10" s="1"/>
  <c r="AP69" i="10"/>
  <c r="AO69" i="10"/>
  <c r="AN69" i="10"/>
  <c r="AM69" i="10"/>
  <c r="AL69" i="10"/>
  <c r="AK69" i="10"/>
  <c r="AK68" i="10" s="1"/>
  <c r="AJ69" i="10"/>
  <c r="AI69" i="10"/>
  <c r="AI68" i="10" s="1"/>
  <c r="AH69" i="10"/>
  <c r="AG69" i="10"/>
  <c r="AF69" i="10"/>
  <c r="AE69" i="10"/>
  <c r="AD69" i="10"/>
  <c r="AC69" i="10"/>
  <c r="AC68" i="10" s="1"/>
  <c r="AB69" i="10"/>
  <c r="AA69" i="10"/>
  <c r="Z69" i="10"/>
  <c r="Y69" i="10"/>
  <c r="L69" i="10"/>
  <c r="K69" i="10"/>
  <c r="K68" i="10" s="1"/>
  <c r="J69" i="10"/>
  <c r="F69" i="10"/>
  <c r="E69" i="10"/>
  <c r="E68" i="10" s="1"/>
  <c r="BJ68" i="10"/>
  <c r="BF68" i="10"/>
  <c r="BE68" i="10"/>
  <c r="BD68" i="10"/>
  <c r="BB68" i="10"/>
  <c r="BB3" i="10" s="1"/>
  <c r="AX68" i="10"/>
  <c r="AW68" i="10"/>
  <c r="AV68" i="10"/>
  <c r="AP68" i="10"/>
  <c r="AO68" i="10"/>
  <c r="AH68" i="10"/>
  <c r="AG68" i="10"/>
  <c r="AF68" i="10"/>
  <c r="AD68" i="10"/>
  <c r="AD3" i="10" s="1"/>
  <c r="Z68" i="10"/>
  <c r="Y68" i="10"/>
  <c r="J68" i="10"/>
  <c r="F68" i="10"/>
  <c r="F3" i="10" s="1"/>
  <c r="W67" i="10"/>
  <c r="T67" i="10"/>
  <c r="R67" i="10"/>
  <c r="Q67" i="10"/>
  <c r="P67" i="10"/>
  <c r="O67" i="10"/>
  <c r="X67" i="10" s="1"/>
  <c r="N67" i="10"/>
  <c r="M67" i="10"/>
  <c r="V67" i="10" s="1"/>
  <c r="H67" i="10"/>
  <c r="G67" i="10"/>
  <c r="X66" i="10"/>
  <c r="U66" i="10"/>
  <c r="T66" i="10"/>
  <c r="R66" i="10"/>
  <c r="Q66" i="10"/>
  <c r="P66" i="10"/>
  <c r="O66" i="10"/>
  <c r="N66" i="10"/>
  <c r="W66" i="10" s="1"/>
  <c r="M66" i="10"/>
  <c r="V66" i="10" s="1"/>
  <c r="G66" i="10"/>
  <c r="X65" i="10"/>
  <c r="V65" i="10"/>
  <c r="S65" i="10"/>
  <c r="R65" i="10"/>
  <c r="Q65" i="10"/>
  <c r="P65" i="10"/>
  <c r="O65" i="10"/>
  <c r="U65" i="10" s="1"/>
  <c r="N65" i="10"/>
  <c r="M65" i="10"/>
  <c r="H65" i="10"/>
  <c r="G65" i="10"/>
  <c r="V64" i="10"/>
  <c r="T64" i="10"/>
  <c r="R64" i="10"/>
  <c r="Q64" i="10"/>
  <c r="P64" i="10"/>
  <c r="O64" i="10"/>
  <c r="X64" i="10" s="1"/>
  <c r="N64" i="10"/>
  <c r="W64" i="10" s="1"/>
  <c r="M64" i="10"/>
  <c r="S64" i="10" s="1"/>
  <c r="H64" i="10"/>
  <c r="G64" i="10"/>
  <c r="W63" i="10"/>
  <c r="T63" i="10"/>
  <c r="R63" i="10"/>
  <c r="Q63" i="10"/>
  <c r="P63" i="10"/>
  <c r="O63" i="10"/>
  <c r="X63" i="10" s="1"/>
  <c r="N63" i="10"/>
  <c r="M63" i="10"/>
  <c r="V63" i="10" s="1"/>
  <c r="G63" i="10"/>
  <c r="W62" i="10"/>
  <c r="T62" i="10"/>
  <c r="R62" i="10"/>
  <c r="Q62" i="10"/>
  <c r="P62" i="10"/>
  <c r="O62" i="10"/>
  <c r="N62" i="10"/>
  <c r="M62" i="10"/>
  <c r="V62" i="10" s="1"/>
  <c r="G62" i="10"/>
  <c r="V61" i="10"/>
  <c r="T61" i="10"/>
  <c r="R61" i="10"/>
  <c r="Q61" i="10"/>
  <c r="P61" i="10"/>
  <c r="O61" i="10"/>
  <c r="X61" i="10" s="1"/>
  <c r="N61" i="10"/>
  <c r="W61" i="10" s="1"/>
  <c r="M61" i="10"/>
  <c r="S61" i="10" s="1"/>
  <c r="H61" i="10"/>
  <c r="G61" i="10"/>
  <c r="W60" i="10"/>
  <c r="T60" i="10"/>
  <c r="R60" i="10"/>
  <c r="Q60" i="10"/>
  <c r="P60" i="10"/>
  <c r="O60" i="10"/>
  <c r="X60" i="10" s="1"/>
  <c r="N60" i="10"/>
  <c r="M60" i="10"/>
  <c r="V60" i="10" s="1"/>
  <c r="H60" i="10"/>
  <c r="G60" i="10"/>
  <c r="X59" i="10"/>
  <c r="U59" i="10"/>
  <c r="R59" i="10"/>
  <c r="Q59" i="10"/>
  <c r="P59" i="10"/>
  <c r="O59" i="10"/>
  <c r="N59" i="10"/>
  <c r="W59" i="10" s="1"/>
  <c r="M59" i="10"/>
  <c r="V59" i="10" s="1"/>
  <c r="G59" i="10"/>
  <c r="X58" i="10"/>
  <c r="V58" i="10"/>
  <c r="S58" i="10"/>
  <c r="R58" i="10"/>
  <c r="Q58" i="10"/>
  <c r="P58" i="10"/>
  <c r="O58" i="10"/>
  <c r="U58" i="10" s="1"/>
  <c r="N58" i="10"/>
  <c r="M58" i="10"/>
  <c r="H58" i="10"/>
  <c r="G58" i="10"/>
  <c r="AC57" i="10"/>
  <c r="N57" i="10" s="1"/>
  <c r="U57" i="10"/>
  <c r="R57" i="10"/>
  <c r="Q57" i="10"/>
  <c r="P57" i="10"/>
  <c r="O57" i="10"/>
  <c r="X57" i="10" s="1"/>
  <c r="M57" i="10"/>
  <c r="G57" i="10"/>
  <c r="X56" i="10"/>
  <c r="U56" i="10"/>
  <c r="S56" i="10"/>
  <c r="R56" i="10"/>
  <c r="Q56" i="10"/>
  <c r="P56" i="10"/>
  <c r="O56" i="10"/>
  <c r="N56" i="10"/>
  <c r="W56" i="10" s="1"/>
  <c r="M56" i="10"/>
  <c r="V56" i="10" s="1"/>
  <c r="G56" i="10"/>
  <c r="V55" i="10"/>
  <c r="S55" i="10"/>
  <c r="R55" i="10"/>
  <c r="Q55" i="10"/>
  <c r="P55" i="10"/>
  <c r="O55" i="10"/>
  <c r="X55" i="10" s="1"/>
  <c r="N55" i="10"/>
  <c r="W55" i="10" s="1"/>
  <c r="M55" i="10"/>
  <c r="H55" i="10"/>
  <c r="G55" i="10"/>
  <c r="W54" i="10"/>
  <c r="T54" i="10"/>
  <c r="R54" i="10"/>
  <c r="Q54" i="10"/>
  <c r="P54" i="10"/>
  <c r="O54" i="10"/>
  <c r="N54" i="10"/>
  <c r="M54" i="10"/>
  <c r="V54" i="10" s="1"/>
  <c r="H54" i="10"/>
  <c r="G54" i="10"/>
  <c r="AC53" i="10"/>
  <c r="Z53" i="10"/>
  <c r="N53" i="10" s="1"/>
  <c r="T53" i="10" s="1"/>
  <c r="R53" i="10"/>
  <c r="Q53" i="10"/>
  <c r="P53" i="10"/>
  <c r="O53" i="10"/>
  <c r="X53" i="10" s="1"/>
  <c r="M53" i="10"/>
  <c r="V53" i="10" s="1"/>
  <c r="L53" i="10"/>
  <c r="U53" i="10" s="1"/>
  <c r="J53" i="10"/>
  <c r="H53" i="10"/>
  <c r="G53" i="10"/>
  <c r="AC52" i="10"/>
  <c r="X52" i="10"/>
  <c r="U52" i="10"/>
  <c r="R52" i="10"/>
  <c r="Q52" i="10"/>
  <c r="P52" i="10"/>
  <c r="O52" i="10"/>
  <c r="N52" i="10"/>
  <c r="W52" i="10" s="1"/>
  <c r="M52" i="10"/>
  <c r="V52" i="10" s="1"/>
  <c r="J52" i="10"/>
  <c r="T52" i="10" s="1"/>
  <c r="G52" i="10"/>
  <c r="AU51" i="10"/>
  <c r="AF51" i="10"/>
  <c r="N51" i="10" s="1"/>
  <c r="W51" i="10" s="1"/>
  <c r="V51" i="10"/>
  <c r="S51" i="10"/>
  <c r="R51" i="10"/>
  <c r="P51" i="10"/>
  <c r="O51" i="10"/>
  <c r="X51" i="10" s="1"/>
  <c r="M51" i="10"/>
  <c r="J51" i="10"/>
  <c r="T51" i="10" s="1"/>
  <c r="H51" i="10"/>
  <c r="G51" i="10"/>
  <c r="AF50" i="10"/>
  <c r="AC50" i="10"/>
  <c r="R50" i="10"/>
  <c r="P50" i="10"/>
  <c r="O50" i="10"/>
  <c r="X50" i="10" s="1"/>
  <c r="M50" i="10"/>
  <c r="V50" i="10" s="1"/>
  <c r="J50" i="10"/>
  <c r="G50" i="10"/>
  <c r="AF49" i="10"/>
  <c r="W49" i="10"/>
  <c r="T49" i="10"/>
  <c r="R49" i="10"/>
  <c r="Q49" i="10"/>
  <c r="P49" i="10"/>
  <c r="O49" i="10"/>
  <c r="X49" i="10" s="1"/>
  <c r="N49" i="10"/>
  <c r="M49" i="10"/>
  <c r="V49" i="10" s="1"/>
  <c r="H49" i="10"/>
  <c r="G49" i="10"/>
  <c r="AL48" i="10"/>
  <c r="AF48" i="10"/>
  <c r="R48" i="10"/>
  <c r="P48" i="10"/>
  <c r="O48" i="10"/>
  <c r="X48" i="10" s="1"/>
  <c r="M48" i="10"/>
  <c r="V48" i="10" s="1"/>
  <c r="J48" i="10"/>
  <c r="G48" i="10"/>
  <c r="V47" i="10"/>
  <c r="S47" i="10"/>
  <c r="R47" i="10"/>
  <c r="Q47" i="10"/>
  <c r="P47" i="10"/>
  <c r="O47" i="10"/>
  <c r="X47" i="10" s="1"/>
  <c r="N47" i="10"/>
  <c r="W47" i="10" s="1"/>
  <c r="M47" i="10"/>
  <c r="H47" i="10"/>
  <c r="G47" i="10"/>
  <c r="W46" i="10"/>
  <c r="T46" i="10"/>
  <c r="R46" i="10"/>
  <c r="Q46" i="10"/>
  <c r="P46" i="10"/>
  <c r="O46" i="10"/>
  <c r="N46" i="10"/>
  <c r="M46" i="10"/>
  <c r="V46" i="10" s="1"/>
  <c r="I46" i="10"/>
  <c r="S46" i="10" s="1"/>
  <c r="AT45" i="10"/>
  <c r="AT12" i="10" s="1"/>
  <c r="AQ45" i="10"/>
  <c r="AN45" i="10"/>
  <c r="AK45" i="10"/>
  <c r="AH45" i="10"/>
  <c r="X45" i="10"/>
  <c r="U45" i="10"/>
  <c r="R45" i="10"/>
  <c r="Q45" i="10"/>
  <c r="O45" i="10"/>
  <c r="N45" i="10"/>
  <c r="K45" i="10"/>
  <c r="J45" i="10"/>
  <c r="I45" i="10"/>
  <c r="G45" i="10"/>
  <c r="AT44" i="10"/>
  <c r="AR44" i="10"/>
  <c r="AQ44" i="10"/>
  <c r="P44" i="10" s="1"/>
  <c r="AF44" i="10"/>
  <c r="AC44" i="10"/>
  <c r="Q44" i="10" s="1"/>
  <c r="R44" i="10"/>
  <c r="O44" i="10"/>
  <c r="X44" i="10" s="1"/>
  <c r="J44" i="10"/>
  <c r="I44" i="10"/>
  <c r="G44" i="10"/>
  <c r="AQ43" i="10"/>
  <c r="W43" i="10"/>
  <c r="T43" i="10"/>
  <c r="R43" i="10"/>
  <c r="Q43" i="10"/>
  <c r="P43" i="10"/>
  <c r="O43" i="10"/>
  <c r="X43" i="10" s="1"/>
  <c r="N43" i="10"/>
  <c r="M43" i="10"/>
  <c r="V43" i="10" s="1"/>
  <c r="I43" i="10"/>
  <c r="S43" i="10" s="1"/>
  <c r="G43" i="10"/>
  <c r="AN42" i="10"/>
  <c r="W42" i="10"/>
  <c r="T42" i="10"/>
  <c r="R42" i="10"/>
  <c r="Q42" i="10"/>
  <c r="P42" i="10"/>
  <c r="O42" i="10"/>
  <c r="X42" i="10" s="1"/>
  <c r="N42" i="10"/>
  <c r="M42" i="10"/>
  <c r="V42" i="10" s="1"/>
  <c r="I42" i="10"/>
  <c r="S42" i="10" s="1"/>
  <c r="G42" i="10"/>
  <c r="E42" i="10"/>
  <c r="W41" i="10"/>
  <c r="T41" i="10"/>
  <c r="R41" i="10"/>
  <c r="Q41" i="10"/>
  <c r="P41" i="10"/>
  <c r="O41" i="10"/>
  <c r="X41" i="10" s="1"/>
  <c r="N41" i="10"/>
  <c r="M41" i="10"/>
  <c r="V41" i="10" s="1"/>
  <c r="I41" i="10"/>
  <c r="S41" i="10" s="1"/>
  <c r="G41" i="10"/>
  <c r="AR40" i="10"/>
  <c r="W40" i="10"/>
  <c r="T40" i="10"/>
  <c r="R40" i="10"/>
  <c r="Q40" i="10"/>
  <c r="P40" i="10"/>
  <c r="O40" i="10"/>
  <c r="X40" i="10" s="1"/>
  <c r="N40" i="10"/>
  <c r="M40" i="10"/>
  <c r="V40" i="10" s="1"/>
  <c r="H40" i="10"/>
  <c r="G40" i="10"/>
  <c r="X39" i="10"/>
  <c r="U39" i="10"/>
  <c r="R39" i="10"/>
  <c r="Q39" i="10"/>
  <c r="P39" i="10"/>
  <c r="O39" i="10"/>
  <c r="N39" i="10"/>
  <c r="W39" i="10" s="1"/>
  <c r="M39" i="10"/>
  <c r="V39" i="10" s="1"/>
  <c r="G39" i="10"/>
  <c r="X38" i="10"/>
  <c r="V38" i="10"/>
  <c r="U38" i="10"/>
  <c r="S38" i="10"/>
  <c r="R38" i="10"/>
  <c r="Q38" i="10"/>
  <c r="P38" i="10"/>
  <c r="O38" i="10"/>
  <c r="N38" i="10"/>
  <c r="M38" i="10"/>
  <c r="H38" i="10"/>
  <c r="G38" i="10"/>
  <c r="V37" i="10"/>
  <c r="T37" i="10"/>
  <c r="S37" i="10"/>
  <c r="R37" i="10"/>
  <c r="Q37" i="10"/>
  <c r="P37" i="10"/>
  <c r="O37" i="10"/>
  <c r="X37" i="10" s="1"/>
  <c r="N37" i="10"/>
  <c r="W37" i="10" s="1"/>
  <c r="M37" i="10"/>
  <c r="H37" i="10"/>
  <c r="G37" i="10"/>
  <c r="AC36" i="10"/>
  <c r="X36" i="10"/>
  <c r="U36" i="10"/>
  <c r="R36" i="10"/>
  <c r="Q36" i="10"/>
  <c r="P36" i="10"/>
  <c r="O36" i="10"/>
  <c r="N36" i="10"/>
  <c r="W36" i="10" s="1"/>
  <c r="M36" i="10"/>
  <c r="H36" i="10" s="1"/>
  <c r="J36" i="10"/>
  <c r="T36" i="10" s="1"/>
  <c r="I36" i="10"/>
  <c r="G36" i="10" s="1"/>
  <c r="AN35" i="10"/>
  <c r="P35" i="10" s="1"/>
  <c r="T35" i="10"/>
  <c r="R35" i="10"/>
  <c r="Q35" i="10"/>
  <c r="O35" i="10"/>
  <c r="X35" i="10" s="1"/>
  <c r="N35" i="10"/>
  <c r="W35" i="10" s="1"/>
  <c r="I35" i="10"/>
  <c r="X34" i="10"/>
  <c r="U34" i="10"/>
  <c r="S34" i="10"/>
  <c r="R34" i="10"/>
  <c r="Q34" i="10"/>
  <c r="P34" i="10"/>
  <c r="O34" i="10"/>
  <c r="N34" i="10"/>
  <c r="W34" i="10" s="1"/>
  <c r="M34" i="10"/>
  <c r="V34" i="10" s="1"/>
  <c r="G34" i="10"/>
  <c r="V33" i="10"/>
  <c r="S33" i="10"/>
  <c r="R33" i="10"/>
  <c r="Q33" i="10"/>
  <c r="P33" i="10"/>
  <c r="O33" i="10"/>
  <c r="X33" i="10" s="1"/>
  <c r="N33" i="10"/>
  <c r="W33" i="10" s="1"/>
  <c r="M33" i="10"/>
  <c r="H33" i="10"/>
  <c r="G33" i="10"/>
  <c r="AQ32" i="10"/>
  <c r="X32" i="10"/>
  <c r="U32" i="10"/>
  <c r="R32" i="10"/>
  <c r="Q32" i="10"/>
  <c r="P32" i="10"/>
  <c r="O32" i="10"/>
  <c r="N32" i="10"/>
  <c r="W32" i="10" s="1"/>
  <c r="M32" i="10"/>
  <c r="V32" i="10" s="1"/>
  <c r="J32" i="10"/>
  <c r="T32" i="10" s="1"/>
  <c r="I32" i="10"/>
  <c r="S32" i="10" s="1"/>
  <c r="H32" i="10"/>
  <c r="AR31" i="10"/>
  <c r="N31" i="10" s="1"/>
  <c r="W31" i="10" s="1"/>
  <c r="V31" i="10"/>
  <c r="S31" i="10"/>
  <c r="R31" i="10"/>
  <c r="P31" i="10"/>
  <c r="O31" i="10"/>
  <c r="X31" i="10" s="1"/>
  <c r="M31" i="10"/>
  <c r="J31" i="10"/>
  <c r="T31" i="10" s="1"/>
  <c r="H31" i="10"/>
  <c r="G31" i="10"/>
  <c r="X30" i="10"/>
  <c r="U30" i="10"/>
  <c r="R30" i="10"/>
  <c r="Q30" i="10"/>
  <c r="P30" i="10"/>
  <c r="O30" i="10"/>
  <c r="N30" i="10"/>
  <c r="W30" i="10" s="1"/>
  <c r="M30" i="10"/>
  <c r="V30" i="10" s="1"/>
  <c r="I30" i="10"/>
  <c r="S30" i="10" s="1"/>
  <c r="G30" i="10"/>
  <c r="AR29" i="10"/>
  <c r="X29" i="10"/>
  <c r="U29" i="10"/>
  <c r="R29" i="10"/>
  <c r="Q29" i="10"/>
  <c r="P29" i="10"/>
  <c r="O29" i="10"/>
  <c r="N29" i="10"/>
  <c r="W29" i="10" s="1"/>
  <c r="M29" i="10"/>
  <c r="V29" i="10" s="1"/>
  <c r="G29" i="10"/>
  <c r="Z28" i="10"/>
  <c r="N28" i="10" s="1"/>
  <c r="T28" i="10" s="1"/>
  <c r="W28" i="10"/>
  <c r="R28" i="10"/>
  <c r="Q28" i="10"/>
  <c r="P28" i="10"/>
  <c r="O28" i="10"/>
  <c r="M28" i="10"/>
  <c r="V28" i="10" s="1"/>
  <c r="H28" i="10"/>
  <c r="G28" i="10"/>
  <c r="W27" i="10"/>
  <c r="U27" i="10"/>
  <c r="T27" i="10"/>
  <c r="R27" i="10"/>
  <c r="Q27" i="10"/>
  <c r="P27" i="10"/>
  <c r="O27" i="10"/>
  <c r="X27" i="10" s="1"/>
  <c r="N27" i="10"/>
  <c r="M27" i="10"/>
  <c r="I27" i="10"/>
  <c r="G27" i="10"/>
  <c r="V26" i="10"/>
  <c r="T26" i="10"/>
  <c r="S26" i="10"/>
  <c r="R26" i="10"/>
  <c r="Q26" i="10"/>
  <c r="P26" i="10"/>
  <c r="O26" i="10"/>
  <c r="X26" i="10" s="1"/>
  <c r="N26" i="10"/>
  <c r="W26" i="10" s="1"/>
  <c r="M26" i="10"/>
  <c r="H26" i="10"/>
  <c r="G26" i="10"/>
  <c r="T25" i="10"/>
  <c r="X24" i="10"/>
  <c r="U24" i="10"/>
  <c r="S24" i="10"/>
  <c r="R24" i="10"/>
  <c r="Q24" i="10"/>
  <c r="P24" i="10"/>
  <c r="O24" i="10"/>
  <c r="N24" i="10"/>
  <c r="W24" i="10" s="1"/>
  <c r="M24" i="10"/>
  <c r="V24" i="10" s="1"/>
  <c r="I24" i="10"/>
  <c r="G24" i="10"/>
  <c r="AQ23" i="10"/>
  <c r="AI23" i="10"/>
  <c r="AF23" i="10"/>
  <c r="Q23" i="10" s="1"/>
  <c r="AC23" i="10"/>
  <c r="N23" i="10" s="1"/>
  <c r="U23" i="10"/>
  <c r="R23" i="10"/>
  <c r="P23" i="10"/>
  <c r="O23" i="10"/>
  <c r="X23" i="10" s="1"/>
  <c r="M23" i="10"/>
  <c r="G23" i="10"/>
  <c r="AF22" i="10"/>
  <c r="Q22" i="10" s="1"/>
  <c r="Z22" i="10"/>
  <c r="W22" i="10"/>
  <c r="U22" i="10"/>
  <c r="T22" i="10"/>
  <c r="R22" i="10"/>
  <c r="P22" i="10"/>
  <c r="O22" i="10"/>
  <c r="X22" i="10" s="1"/>
  <c r="M22" i="10"/>
  <c r="I22" i="10"/>
  <c r="H22" i="10"/>
  <c r="X21" i="10"/>
  <c r="U21" i="10"/>
  <c r="S21" i="10"/>
  <c r="R21" i="10"/>
  <c r="Q21" i="10"/>
  <c r="P21" i="10"/>
  <c r="O21" i="10"/>
  <c r="N21" i="10"/>
  <c r="W21" i="10" s="1"/>
  <c r="M21" i="10"/>
  <c r="V21" i="10" s="1"/>
  <c r="G21" i="10"/>
  <c r="AQ20" i="10"/>
  <c r="M20" i="10" s="1"/>
  <c r="AF20" i="10"/>
  <c r="AC20" i="10"/>
  <c r="T20" i="10"/>
  <c r="R20" i="10"/>
  <c r="Q20" i="10"/>
  <c r="P20" i="10"/>
  <c r="O20" i="10"/>
  <c r="X20" i="10" s="1"/>
  <c r="N20" i="10"/>
  <c r="W20" i="10" s="1"/>
  <c r="H20" i="10"/>
  <c r="G20" i="10"/>
  <c r="AQ19" i="10"/>
  <c r="AN19" i="10"/>
  <c r="M19" i="10" s="1"/>
  <c r="AL19" i="10"/>
  <c r="AF19" i="10"/>
  <c r="X19" i="10"/>
  <c r="U19" i="10"/>
  <c r="R19" i="10"/>
  <c r="Q19" i="10"/>
  <c r="P19" i="10"/>
  <c r="O19" i="10"/>
  <c r="N19" i="10"/>
  <c r="I19" i="10"/>
  <c r="G19" i="10" s="1"/>
  <c r="AT18" i="10"/>
  <c r="AR18" i="10"/>
  <c r="N18" i="10" s="1"/>
  <c r="AC18" i="10"/>
  <c r="X18" i="10"/>
  <c r="U18" i="10"/>
  <c r="R18" i="10"/>
  <c r="P18" i="10"/>
  <c r="O18" i="10"/>
  <c r="M18" i="10"/>
  <c r="V18" i="10" s="1"/>
  <c r="I18" i="10"/>
  <c r="G18" i="10"/>
  <c r="W17" i="10"/>
  <c r="R17" i="10"/>
  <c r="Q17" i="10"/>
  <c r="P17" i="10"/>
  <c r="O17" i="10"/>
  <c r="N17" i="10"/>
  <c r="M17" i="10"/>
  <c r="V17" i="10" s="1"/>
  <c r="J17" i="10"/>
  <c r="T17" i="10" s="1"/>
  <c r="G17" i="10"/>
  <c r="AR16" i="10"/>
  <c r="N16" i="10" s="1"/>
  <c r="W16" i="10"/>
  <c r="R16" i="10"/>
  <c r="Q16" i="10"/>
  <c r="P16" i="10"/>
  <c r="O16" i="10"/>
  <c r="M16" i="10"/>
  <c r="V16" i="10" s="1"/>
  <c r="J16" i="10"/>
  <c r="G16" i="10"/>
  <c r="AR15" i="10"/>
  <c r="N15" i="10" s="1"/>
  <c r="AL15" i="10"/>
  <c r="X15" i="10"/>
  <c r="U15" i="10"/>
  <c r="R15" i="10"/>
  <c r="P15" i="10"/>
  <c r="O15" i="10"/>
  <c r="M15" i="10"/>
  <c r="V15" i="10" s="1"/>
  <c r="I15" i="10"/>
  <c r="G15" i="10"/>
  <c r="W14" i="10"/>
  <c r="T14" i="10"/>
  <c r="R14" i="10"/>
  <c r="Q14" i="10"/>
  <c r="P14" i="10"/>
  <c r="O14" i="10"/>
  <c r="N14" i="10"/>
  <c r="M14" i="10"/>
  <c r="V14" i="10" s="1"/>
  <c r="I14" i="10"/>
  <c r="S14" i="10" s="1"/>
  <c r="X13" i="10"/>
  <c r="V13" i="10"/>
  <c r="S13" i="10"/>
  <c r="R13" i="10"/>
  <c r="Q13" i="10"/>
  <c r="P13" i="10"/>
  <c r="O13" i="10"/>
  <c r="U13" i="10" s="1"/>
  <c r="N13" i="10"/>
  <c r="M13" i="10"/>
  <c r="H13" i="10" s="1"/>
  <c r="G13" i="10"/>
  <c r="BK12" i="10"/>
  <c r="BJ12" i="10"/>
  <c r="BI12" i="10"/>
  <c r="BH12" i="10"/>
  <c r="BG12" i="10"/>
  <c r="BF12" i="10"/>
  <c r="BE12" i="10"/>
  <c r="BD12" i="10"/>
  <c r="BC12" i="10"/>
  <c r="BB12" i="10"/>
  <c r="BA12" i="10"/>
  <c r="AZ12" i="10"/>
  <c r="AY12" i="10"/>
  <c r="AX12" i="10"/>
  <c r="AW12" i="10"/>
  <c r="AV12" i="10"/>
  <c r="AU12" i="10"/>
  <c r="AS12" i="10"/>
  <c r="AQ12" i="10"/>
  <c r="AP12" i="10"/>
  <c r="AO12" i="10"/>
  <c r="AM12" i="10"/>
  <c r="AK12" i="10"/>
  <c r="AJ12" i="10"/>
  <c r="AI12" i="10"/>
  <c r="AH12" i="10"/>
  <c r="AG12" i="10"/>
  <c r="AE12" i="10"/>
  <c r="AD12" i="10"/>
  <c r="AB12" i="10"/>
  <c r="AA12" i="10"/>
  <c r="Y12" i="10"/>
  <c r="L12" i="10"/>
  <c r="K12" i="10"/>
  <c r="F12" i="10"/>
  <c r="E12" i="10"/>
  <c r="W11" i="10"/>
  <c r="R11" i="10"/>
  <c r="Q11" i="10"/>
  <c r="P11" i="10"/>
  <c r="O11" i="10"/>
  <c r="N11" i="10"/>
  <c r="T11" i="10" s="1"/>
  <c r="M11" i="10"/>
  <c r="V11" i="10" s="1"/>
  <c r="G11" i="10"/>
  <c r="W10" i="10"/>
  <c r="T10" i="10"/>
  <c r="R10" i="10"/>
  <c r="Q10" i="10"/>
  <c r="P10" i="10"/>
  <c r="O10" i="10"/>
  <c r="X10" i="10" s="1"/>
  <c r="N10" i="10"/>
  <c r="M10" i="10"/>
  <c r="I10" i="10"/>
  <c r="V9" i="10"/>
  <c r="T9" i="10"/>
  <c r="S9" i="10"/>
  <c r="R9" i="10"/>
  <c r="Q9" i="10"/>
  <c r="P9" i="10"/>
  <c r="O9" i="10"/>
  <c r="X9" i="10" s="1"/>
  <c r="N9" i="10"/>
  <c r="M9" i="10"/>
  <c r="H9" i="10"/>
  <c r="G9" i="10"/>
  <c r="AR8" i="10"/>
  <c r="X8" i="10"/>
  <c r="U8" i="10"/>
  <c r="R8" i="10"/>
  <c r="Q8" i="10"/>
  <c r="P8" i="10"/>
  <c r="O8" i="10"/>
  <c r="N8" i="10"/>
  <c r="W8" i="10" s="1"/>
  <c r="M8" i="10"/>
  <c r="G8" i="10"/>
  <c r="V7" i="10"/>
  <c r="S7" i="10"/>
  <c r="R7" i="10"/>
  <c r="Q7" i="10"/>
  <c r="P7" i="10"/>
  <c r="O7" i="10"/>
  <c r="X7" i="10" s="1"/>
  <c r="N7" i="10"/>
  <c r="W7" i="10" s="1"/>
  <c r="M7" i="10"/>
  <c r="H7" i="10"/>
  <c r="G7" i="10"/>
  <c r="W6" i="10"/>
  <c r="R6" i="10"/>
  <c r="Q6" i="10"/>
  <c r="P6" i="10"/>
  <c r="O6" i="10"/>
  <c r="N6" i="10"/>
  <c r="T6" i="10" s="1"/>
  <c r="M6" i="10"/>
  <c r="V6" i="10" s="1"/>
  <c r="H6" i="10"/>
  <c r="G6" i="10"/>
  <c r="R5" i="10"/>
  <c r="Q5" i="10"/>
  <c r="P5" i="10"/>
  <c r="O5" i="10"/>
  <c r="N5" i="10"/>
  <c r="M5" i="10"/>
  <c r="S5" i="10" s="1"/>
  <c r="BK4" i="10"/>
  <c r="BJ4" i="10"/>
  <c r="BI4" i="10"/>
  <c r="BH4" i="10"/>
  <c r="BG4" i="10"/>
  <c r="BG3" i="10" s="1"/>
  <c r="BF4" i="10"/>
  <c r="BE4" i="10"/>
  <c r="BE3" i="10" s="1"/>
  <c r="BD4" i="10"/>
  <c r="BC4" i="10"/>
  <c r="BB4" i="10"/>
  <c r="BA4" i="10"/>
  <c r="AZ4" i="10"/>
  <c r="AY4" i="10"/>
  <c r="AY3" i="10" s="1"/>
  <c r="AX4" i="10"/>
  <c r="AW4" i="10"/>
  <c r="AW3" i="10" s="1"/>
  <c r="AV4" i="10"/>
  <c r="AU4" i="10"/>
  <c r="AT4" i="10"/>
  <c r="AS4" i="10"/>
  <c r="AR4" i="10"/>
  <c r="AQ4" i="10"/>
  <c r="AP4" i="10"/>
  <c r="AO4" i="10"/>
  <c r="AO3" i="10" s="1"/>
  <c r="AN4" i="10"/>
  <c r="AM4" i="10"/>
  <c r="AL4" i="10"/>
  <c r="AK4" i="10"/>
  <c r="AJ4" i="10"/>
  <c r="AI4" i="10"/>
  <c r="AI3" i="10" s="1"/>
  <c r="AH4" i="10"/>
  <c r="AG4" i="10"/>
  <c r="AG3" i="10" s="1"/>
  <c r="AF4" i="10"/>
  <c r="AE4" i="10"/>
  <c r="AD4" i="10"/>
  <c r="AC4" i="10"/>
  <c r="AB4" i="10"/>
  <c r="AA4" i="10"/>
  <c r="Z4" i="10"/>
  <c r="Q4" i="10" s="1"/>
  <c r="Y4" i="10"/>
  <c r="Y3" i="10" s="1"/>
  <c r="L4" i="10"/>
  <c r="J4" i="10"/>
  <c r="I4" i="10"/>
  <c r="G4" i="10" s="1"/>
  <c r="F4" i="10"/>
  <c r="E4" i="10"/>
  <c r="BF3" i="10"/>
  <c r="BD3" i="10"/>
  <c r="BC3" i="10"/>
  <c r="AU3" i="10"/>
  <c r="AS3" i="10"/>
  <c r="AP3" i="10"/>
  <c r="AM3" i="10"/>
  <c r="AK3" i="10"/>
  <c r="AH3" i="10"/>
  <c r="AE3" i="10"/>
  <c r="AW194" i="9"/>
  <c r="AZ192" i="9"/>
  <c r="AL192" i="9"/>
  <c r="AH192" i="9"/>
  <c r="AF192" i="9"/>
  <c r="AD192" i="9"/>
  <c r="Z192" i="9"/>
  <c r="E192" i="9" s="1"/>
  <c r="F192" i="9"/>
  <c r="W188" i="9"/>
  <c r="T188" i="9"/>
  <c r="R188" i="9"/>
  <c r="Q188" i="9"/>
  <c r="P188" i="9"/>
  <c r="O188" i="9"/>
  <c r="X188" i="9" s="1"/>
  <c r="N188" i="9"/>
  <c r="M188" i="9"/>
  <c r="G188" i="9"/>
  <c r="X187" i="9"/>
  <c r="U187" i="9"/>
  <c r="S187" i="9"/>
  <c r="R187" i="9"/>
  <c r="Q187" i="9"/>
  <c r="P187" i="9"/>
  <c r="O187" i="9"/>
  <c r="N187" i="9"/>
  <c r="W187" i="9" s="1"/>
  <c r="M187" i="9"/>
  <c r="G187" i="9"/>
  <c r="X186" i="9"/>
  <c r="V186" i="9"/>
  <c r="S186" i="9"/>
  <c r="R186" i="9"/>
  <c r="Q186" i="9"/>
  <c r="P186" i="9"/>
  <c r="O186" i="9"/>
  <c r="U186" i="9" s="1"/>
  <c r="N186" i="9"/>
  <c r="W186" i="9" s="1"/>
  <c r="M186" i="9"/>
  <c r="W185" i="9"/>
  <c r="U185" i="9"/>
  <c r="T185" i="9"/>
  <c r="R185" i="9"/>
  <c r="Q185" i="9"/>
  <c r="P185" i="9"/>
  <c r="O185" i="9"/>
  <c r="N185" i="9"/>
  <c r="M185" i="9"/>
  <c r="G185" i="9"/>
  <c r="BK184" i="9"/>
  <c r="BJ184" i="9"/>
  <c r="BI184" i="9"/>
  <c r="P184" i="9" s="1"/>
  <c r="BH184" i="9"/>
  <c r="BG184" i="9"/>
  <c r="BF184" i="9"/>
  <c r="BE184" i="9"/>
  <c r="BD184" i="9"/>
  <c r="BC184" i="9"/>
  <c r="BB184" i="9"/>
  <c r="BA184" i="9"/>
  <c r="AZ184" i="9"/>
  <c r="AY184" i="9"/>
  <c r="AX184" i="9"/>
  <c r="AW184" i="9"/>
  <c r="AV184" i="9"/>
  <c r="AU184" i="9"/>
  <c r="AT184" i="9"/>
  <c r="AS184" i="9"/>
  <c r="AR184" i="9"/>
  <c r="AQ184" i="9"/>
  <c r="AP184" i="9"/>
  <c r="AO184" i="9"/>
  <c r="AN184" i="9"/>
  <c r="AM184" i="9"/>
  <c r="AL184" i="9"/>
  <c r="AK184" i="9"/>
  <c r="AJ184" i="9"/>
  <c r="AI184" i="9"/>
  <c r="AH184" i="9"/>
  <c r="AG184" i="9"/>
  <c r="AF184" i="9"/>
  <c r="AE184" i="9"/>
  <c r="AD184" i="9"/>
  <c r="AC184" i="9"/>
  <c r="AB184" i="9"/>
  <c r="AA184" i="9"/>
  <c r="Z184" i="9"/>
  <c r="Q184" i="9" s="1"/>
  <c r="Y184" i="9"/>
  <c r="R184" i="9"/>
  <c r="L184" i="9"/>
  <c r="K184" i="9"/>
  <c r="J184" i="9"/>
  <c r="I184" i="9"/>
  <c r="G184" i="9"/>
  <c r="F184" i="9"/>
  <c r="E184" i="9"/>
  <c r="X183" i="9"/>
  <c r="V183" i="9"/>
  <c r="U183" i="9"/>
  <c r="S183" i="9"/>
  <c r="R183" i="9"/>
  <c r="Q183" i="9"/>
  <c r="P183" i="9"/>
  <c r="O183" i="9"/>
  <c r="N183" i="9"/>
  <c r="M183" i="9"/>
  <c r="H183" i="9" s="1"/>
  <c r="G183" i="9"/>
  <c r="V182" i="9"/>
  <c r="S182" i="9"/>
  <c r="R182" i="9"/>
  <c r="Q182" i="9"/>
  <c r="P182" i="9"/>
  <c r="O182" i="9"/>
  <c r="X182" i="9" s="1"/>
  <c r="N182" i="9"/>
  <c r="W182" i="9" s="1"/>
  <c r="M182" i="9"/>
  <c r="X181" i="9"/>
  <c r="W181" i="9"/>
  <c r="U181" i="9"/>
  <c r="R181" i="9"/>
  <c r="Q181" i="9"/>
  <c r="P181" i="9"/>
  <c r="O181" i="9"/>
  <c r="N181" i="9"/>
  <c r="T181" i="9" s="1"/>
  <c r="M181" i="9"/>
  <c r="V181" i="9" s="1"/>
  <c r="V180" i="9"/>
  <c r="S180" i="9"/>
  <c r="R180" i="9"/>
  <c r="Q180" i="9"/>
  <c r="P180" i="9"/>
  <c r="O180" i="9"/>
  <c r="X180" i="9" s="1"/>
  <c r="N180" i="9"/>
  <c r="T180" i="9" s="1"/>
  <c r="M180" i="9"/>
  <c r="S179" i="9"/>
  <c r="Q179" i="9"/>
  <c r="P179" i="9"/>
  <c r="O179" i="9"/>
  <c r="U179" i="9" s="1"/>
  <c r="N179" i="9"/>
  <c r="W179" i="9" s="1"/>
  <c r="M179" i="9"/>
  <c r="V179" i="9" s="1"/>
  <c r="H179" i="9"/>
  <c r="G179" i="9"/>
  <c r="W178" i="9"/>
  <c r="U178" i="9"/>
  <c r="T178" i="9"/>
  <c r="R178" i="9"/>
  <c r="Q178" i="9"/>
  <c r="P178" i="9"/>
  <c r="O178" i="9"/>
  <c r="N178" i="9"/>
  <c r="M178" i="9"/>
  <c r="G178" i="9"/>
  <c r="BK177" i="9"/>
  <c r="BJ177" i="9"/>
  <c r="BI177" i="9"/>
  <c r="BH177" i="9"/>
  <c r="BG177" i="9"/>
  <c r="BF177" i="9"/>
  <c r="BF169" i="9" s="1"/>
  <c r="BE177" i="9"/>
  <c r="BD177" i="9"/>
  <c r="BC177" i="9"/>
  <c r="BB177" i="9"/>
  <c r="BA177" i="9"/>
  <c r="AZ177" i="9"/>
  <c r="AY177" i="9"/>
  <c r="AX177" i="9"/>
  <c r="AX169" i="9" s="1"/>
  <c r="AW177" i="9"/>
  <c r="AV177" i="9"/>
  <c r="AU177" i="9"/>
  <c r="AT177" i="9"/>
  <c r="AS177" i="9"/>
  <c r="AR177" i="9"/>
  <c r="AQ177" i="9"/>
  <c r="AP177" i="9"/>
  <c r="AP169" i="9" s="1"/>
  <c r="AO177" i="9"/>
  <c r="AN177" i="9"/>
  <c r="AM177" i="9"/>
  <c r="AL177" i="9"/>
  <c r="AK177" i="9"/>
  <c r="AJ177" i="9"/>
  <c r="R177" i="9" s="1"/>
  <c r="AI177" i="9"/>
  <c r="AH177" i="9"/>
  <c r="AH169" i="9" s="1"/>
  <c r="AG177" i="9"/>
  <c r="AF177" i="9"/>
  <c r="AE177" i="9"/>
  <c r="AD177" i="9"/>
  <c r="AC177" i="9"/>
  <c r="AB177" i="9"/>
  <c r="AA177" i="9"/>
  <c r="Z177" i="9"/>
  <c r="Y177" i="9"/>
  <c r="P177" i="9" s="1"/>
  <c r="L177" i="9"/>
  <c r="K177" i="9"/>
  <c r="J177" i="9"/>
  <c r="J169" i="9" s="1"/>
  <c r="I177" i="9"/>
  <c r="G177" i="9"/>
  <c r="F177" i="9"/>
  <c r="E177" i="9"/>
  <c r="X176" i="9"/>
  <c r="V176" i="9"/>
  <c r="U176" i="9"/>
  <c r="S176" i="9"/>
  <c r="R176" i="9"/>
  <c r="Q176" i="9"/>
  <c r="P176" i="9"/>
  <c r="O176" i="9"/>
  <c r="N176" i="9"/>
  <c r="M176" i="9"/>
  <c r="H176" i="9" s="1"/>
  <c r="G176" i="9"/>
  <c r="V175" i="9"/>
  <c r="T175" i="9"/>
  <c r="S175" i="9"/>
  <c r="R175" i="9"/>
  <c r="Q175" i="9"/>
  <c r="P175" i="9"/>
  <c r="O175" i="9"/>
  <c r="X175" i="9" s="1"/>
  <c r="N175" i="9"/>
  <c r="W175" i="9" s="1"/>
  <c r="M175" i="9"/>
  <c r="H175" i="9"/>
  <c r="G175" i="9"/>
  <c r="W174" i="9"/>
  <c r="T174" i="9"/>
  <c r="R174" i="9"/>
  <c r="Q174" i="9"/>
  <c r="P174" i="9"/>
  <c r="O174" i="9"/>
  <c r="X174" i="9" s="1"/>
  <c r="N174" i="9"/>
  <c r="M174" i="9"/>
  <c r="V174" i="9" s="1"/>
  <c r="H174" i="9"/>
  <c r="G174" i="9"/>
  <c r="X173" i="9"/>
  <c r="W173" i="9"/>
  <c r="U173" i="9"/>
  <c r="R173" i="9"/>
  <c r="Q173" i="9"/>
  <c r="P173" i="9"/>
  <c r="O173" i="9"/>
  <c r="O170" i="9" s="1"/>
  <c r="X170" i="9" s="1"/>
  <c r="N173" i="9"/>
  <c r="T173" i="9" s="1"/>
  <c r="M173" i="9"/>
  <c r="V173" i="9" s="1"/>
  <c r="G173" i="9"/>
  <c r="N172" i="9"/>
  <c r="I172" i="9"/>
  <c r="H172" i="9"/>
  <c r="G172" i="9"/>
  <c r="N171" i="9"/>
  <c r="H171" i="9"/>
  <c r="G171" i="9"/>
  <c r="BK170" i="9"/>
  <c r="BJ170" i="9"/>
  <c r="BI170" i="9"/>
  <c r="BH170" i="9"/>
  <c r="BG170" i="9"/>
  <c r="BF170" i="9"/>
  <c r="BE170" i="9"/>
  <c r="BD170" i="9"/>
  <c r="BC170" i="9"/>
  <c r="BB170" i="9"/>
  <c r="BB169" i="9" s="1"/>
  <c r="BB160" i="9" s="1"/>
  <c r="BA170" i="9"/>
  <c r="AZ170" i="9"/>
  <c r="AY170" i="9"/>
  <c r="AX170" i="9"/>
  <c r="AW170" i="9"/>
  <c r="AV170" i="9"/>
  <c r="AU170" i="9"/>
  <c r="AT170" i="9"/>
  <c r="AT169" i="9" s="1"/>
  <c r="AT160" i="9" s="1"/>
  <c r="AS170" i="9"/>
  <c r="AR170" i="9"/>
  <c r="AQ170" i="9"/>
  <c r="AP170" i="9"/>
  <c r="AO170" i="9"/>
  <c r="AN170" i="9"/>
  <c r="AM170" i="9"/>
  <c r="AL170" i="9"/>
  <c r="AL169" i="9" s="1"/>
  <c r="AL160" i="9" s="1"/>
  <c r="AK170" i="9"/>
  <c r="AJ170" i="9"/>
  <c r="AI170" i="9"/>
  <c r="AH170" i="9"/>
  <c r="AG170" i="9"/>
  <c r="AF170" i="9"/>
  <c r="AE170" i="9"/>
  <c r="AD170" i="9"/>
  <c r="AD169" i="9" s="1"/>
  <c r="AD160" i="9" s="1"/>
  <c r="AC170" i="9"/>
  <c r="AB170" i="9"/>
  <c r="AA170" i="9"/>
  <c r="R170" i="9" s="1"/>
  <c r="Z170" i="9"/>
  <c r="Y170" i="9"/>
  <c r="P170" i="9" s="1"/>
  <c r="N170" i="9"/>
  <c r="L170" i="9"/>
  <c r="L169" i="9" s="1"/>
  <c r="K170" i="9"/>
  <c r="J170" i="9"/>
  <c r="I170" i="9"/>
  <c r="G170" i="9" s="1"/>
  <c r="F170" i="9"/>
  <c r="F169" i="9" s="1"/>
  <c r="F160" i="9" s="1"/>
  <c r="E170" i="9"/>
  <c r="BK169" i="9"/>
  <c r="BI169" i="9"/>
  <c r="BG169" i="9"/>
  <c r="BE169" i="9"/>
  <c r="BE160" i="9" s="1"/>
  <c r="BD169" i="9"/>
  <c r="BC169" i="9"/>
  <c r="BA169" i="9"/>
  <c r="AY169" i="9"/>
  <c r="AW169" i="9"/>
  <c r="AW160" i="9" s="1"/>
  <c r="AV169" i="9"/>
  <c r="AU169" i="9"/>
  <c r="AS169" i="9"/>
  <c r="AQ169" i="9"/>
  <c r="AO169" i="9"/>
  <c r="AO160" i="9" s="1"/>
  <c r="AN169" i="9"/>
  <c r="AM169" i="9"/>
  <c r="AK169" i="9"/>
  <c r="AI169" i="9"/>
  <c r="AG169" i="9"/>
  <c r="AG160" i="9" s="1"/>
  <c r="AF169" i="9"/>
  <c r="AE169" i="9"/>
  <c r="AC169" i="9"/>
  <c r="AA169" i="9"/>
  <c r="Y169" i="9"/>
  <c r="K169" i="9"/>
  <c r="I169" i="9"/>
  <c r="I160" i="9" s="1"/>
  <c r="G169" i="9"/>
  <c r="E169" i="9"/>
  <c r="X168" i="9"/>
  <c r="V168" i="9"/>
  <c r="U168" i="9"/>
  <c r="S168" i="9"/>
  <c r="R168" i="9"/>
  <c r="Q168" i="9"/>
  <c r="P168" i="9"/>
  <c r="O168" i="9"/>
  <c r="N168" i="9"/>
  <c r="W168" i="9" s="1"/>
  <c r="H168" i="9"/>
  <c r="G168" i="9"/>
  <c r="X167" i="9"/>
  <c r="U167" i="9"/>
  <c r="R167" i="9"/>
  <c r="Q167" i="9"/>
  <c r="P167" i="9"/>
  <c r="O167" i="9"/>
  <c r="N167" i="9"/>
  <c r="W167" i="9" s="1"/>
  <c r="M167" i="9"/>
  <c r="V167" i="9" s="1"/>
  <c r="G167" i="9"/>
  <c r="BK166" i="9"/>
  <c r="BJ166" i="9"/>
  <c r="BI166" i="9"/>
  <c r="BH166" i="9"/>
  <c r="BG166" i="9"/>
  <c r="BF166" i="9"/>
  <c r="BE166" i="9"/>
  <c r="BD166" i="9"/>
  <c r="BC166" i="9"/>
  <c r="BB166" i="9"/>
  <c r="BA166" i="9"/>
  <c r="BA161" i="9" s="1"/>
  <c r="BA160" i="9" s="1"/>
  <c r="AZ166" i="9"/>
  <c r="AY166" i="9"/>
  <c r="AX166" i="9"/>
  <c r="AW166" i="9"/>
  <c r="AV166" i="9"/>
  <c r="AU166" i="9"/>
  <c r="AT166" i="9"/>
  <c r="AS166" i="9"/>
  <c r="AS161" i="9" s="1"/>
  <c r="AS160" i="9" s="1"/>
  <c r="AR166" i="9"/>
  <c r="AQ166" i="9"/>
  <c r="AP166" i="9"/>
  <c r="AO166" i="9"/>
  <c r="AN166" i="9"/>
  <c r="AM166" i="9"/>
  <c r="AL166" i="9"/>
  <c r="AK166" i="9"/>
  <c r="AK161" i="9" s="1"/>
  <c r="AK160" i="9" s="1"/>
  <c r="AJ166" i="9"/>
  <c r="AI166" i="9"/>
  <c r="AH166" i="9"/>
  <c r="AG166" i="9"/>
  <c r="AF166" i="9"/>
  <c r="AE166" i="9"/>
  <c r="AD166" i="9"/>
  <c r="AC166" i="9"/>
  <c r="AB166" i="9"/>
  <c r="AA166" i="9"/>
  <c r="Z166" i="9"/>
  <c r="Y166" i="9"/>
  <c r="W166" i="9"/>
  <c r="U166" i="9"/>
  <c r="O166" i="9"/>
  <c r="X166" i="9" s="1"/>
  <c r="N166" i="9"/>
  <c r="M166" i="9"/>
  <c r="L166" i="9"/>
  <c r="K166" i="9"/>
  <c r="J166" i="9"/>
  <c r="I166" i="9"/>
  <c r="F166" i="9"/>
  <c r="E166" i="9"/>
  <c r="E161" i="9" s="1"/>
  <c r="V165" i="9"/>
  <c r="S165" i="9"/>
  <c r="R165" i="9"/>
  <c r="Q165" i="9"/>
  <c r="P165" i="9"/>
  <c r="O165" i="9"/>
  <c r="X165" i="9" s="1"/>
  <c r="N165" i="9"/>
  <c r="W165" i="9" s="1"/>
  <c r="M165" i="9"/>
  <c r="H165" i="9" s="1"/>
  <c r="G165" i="9"/>
  <c r="W164" i="9"/>
  <c r="T164" i="9"/>
  <c r="R164" i="9"/>
  <c r="Q164" i="9"/>
  <c r="P164" i="9"/>
  <c r="O164" i="9"/>
  <c r="N164" i="9"/>
  <c r="M164" i="9"/>
  <c r="V164" i="9" s="1"/>
  <c r="H164" i="9"/>
  <c r="G164" i="9"/>
  <c r="W163" i="9"/>
  <c r="R163" i="9"/>
  <c r="Q163" i="9"/>
  <c r="P163" i="9"/>
  <c r="O163" i="9"/>
  <c r="N163" i="9"/>
  <c r="T163" i="9" s="1"/>
  <c r="M163" i="9"/>
  <c r="G163" i="9"/>
  <c r="BK162" i="9"/>
  <c r="BJ162" i="9"/>
  <c r="BI162" i="9"/>
  <c r="BH162" i="9"/>
  <c r="BH161" i="9" s="1"/>
  <c r="BG162" i="9"/>
  <c r="BF162" i="9"/>
  <c r="BF161" i="9" s="1"/>
  <c r="BF160" i="9" s="1"/>
  <c r="BE162" i="9"/>
  <c r="BD162" i="9"/>
  <c r="BC162" i="9"/>
  <c r="BB162" i="9"/>
  <c r="BA162" i="9"/>
  <c r="AZ162" i="9"/>
  <c r="AZ161" i="9" s="1"/>
  <c r="AY162" i="9"/>
  <c r="AX162" i="9"/>
  <c r="AX161" i="9" s="1"/>
  <c r="AW162" i="9"/>
  <c r="AV162" i="9"/>
  <c r="AU162" i="9"/>
  <c r="AT162" i="9"/>
  <c r="AS162" i="9"/>
  <c r="AR162" i="9"/>
  <c r="AR161" i="9" s="1"/>
  <c r="AQ162" i="9"/>
  <c r="AP162" i="9"/>
  <c r="AP161" i="9" s="1"/>
  <c r="AP160" i="9" s="1"/>
  <c r="AO162" i="9"/>
  <c r="AN162" i="9"/>
  <c r="AM162" i="9"/>
  <c r="AL162" i="9"/>
  <c r="AK162" i="9"/>
  <c r="AJ162" i="9"/>
  <c r="AJ161" i="9" s="1"/>
  <c r="AI162" i="9"/>
  <c r="AH162" i="9"/>
  <c r="AH161" i="9" s="1"/>
  <c r="AG162" i="9"/>
  <c r="AF162" i="9"/>
  <c r="AE162" i="9"/>
  <c r="AD162" i="9"/>
  <c r="AC162" i="9"/>
  <c r="AB162" i="9"/>
  <c r="AA162" i="9"/>
  <c r="Z162" i="9"/>
  <c r="Y162" i="9"/>
  <c r="N162" i="9"/>
  <c r="L162" i="9"/>
  <c r="L161" i="9" s="1"/>
  <c r="L160" i="9" s="1"/>
  <c r="K162" i="9"/>
  <c r="J162" i="9"/>
  <c r="I162" i="9"/>
  <c r="G162" i="9"/>
  <c r="F162" i="9"/>
  <c r="E162" i="9"/>
  <c r="BK161" i="9"/>
  <c r="BJ161" i="9"/>
  <c r="BI161" i="9"/>
  <c r="BG161" i="9"/>
  <c r="BE161" i="9"/>
  <c r="BD161" i="9"/>
  <c r="BC161" i="9"/>
  <c r="BB161" i="9"/>
  <c r="AY161" i="9"/>
  <c r="AW161" i="9"/>
  <c r="AV161" i="9"/>
  <c r="AU161" i="9"/>
  <c r="AU160" i="9" s="1"/>
  <c r="AT161" i="9"/>
  <c r="AQ161" i="9"/>
  <c r="AO161" i="9"/>
  <c r="AN161" i="9"/>
  <c r="AM161" i="9"/>
  <c r="AM160" i="9" s="1"/>
  <c r="AL161" i="9"/>
  <c r="AI161" i="9"/>
  <c r="AG161" i="9"/>
  <c r="AF161" i="9"/>
  <c r="AE161" i="9"/>
  <c r="AE160" i="9" s="1"/>
  <c r="AD161" i="9"/>
  <c r="AC161" i="9"/>
  <c r="AC160" i="9" s="1"/>
  <c r="AA161" i="9"/>
  <c r="Y161" i="9"/>
  <c r="N161" i="9"/>
  <c r="K161" i="9"/>
  <c r="I161" i="9"/>
  <c r="F161" i="9"/>
  <c r="BG160" i="9"/>
  <c r="BD160" i="9"/>
  <c r="AY160" i="9"/>
  <c r="AX160" i="9"/>
  <c r="AV160" i="9"/>
  <c r="AQ160" i="9"/>
  <c r="AN160" i="9"/>
  <c r="AI160" i="9"/>
  <c r="AH160" i="9"/>
  <c r="AF160" i="9"/>
  <c r="AA160" i="9"/>
  <c r="K160" i="9"/>
  <c r="X159" i="9"/>
  <c r="V159" i="9"/>
  <c r="U159" i="9"/>
  <c r="T159" i="9"/>
  <c r="Q159" i="9"/>
  <c r="P159" i="9"/>
  <c r="N159" i="9"/>
  <c r="W159" i="9" s="1"/>
  <c r="M159" i="9"/>
  <c r="S159" i="9" s="1"/>
  <c r="H159" i="9"/>
  <c r="G159" i="9"/>
  <c r="R158" i="9"/>
  <c r="Q158" i="9"/>
  <c r="P158" i="9"/>
  <c r="O158" i="9"/>
  <c r="U158" i="9" s="1"/>
  <c r="U155" i="9" s="1"/>
  <c r="N158" i="9"/>
  <c r="T158" i="9" s="1"/>
  <c r="M158" i="9"/>
  <c r="S158" i="9" s="1"/>
  <c r="U157" i="9"/>
  <c r="S157" i="9"/>
  <c r="R157" i="9"/>
  <c r="Q157" i="9"/>
  <c r="P157" i="9"/>
  <c r="O157" i="9"/>
  <c r="X157" i="9" s="1"/>
  <c r="N157" i="9"/>
  <c r="W157" i="9" s="1"/>
  <c r="M157" i="9"/>
  <c r="V157" i="9" s="1"/>
  <c r="K157" i="9"/>
  <c r="T157" i="9" s="1"/>
  <c r="H157" i="9"/>
  <c r="G157" i="9"/>
  <c r="X156" i="9"/>
  <c r="U156" i="9"/>
  <c r="T156" i="9"/>
  <c r="R156" i="9"/>
  <c r="Q156" i="9"/>
  <c r="P156" i="9"/>
  <c r="O156" i="9"/>
  <c r="N156" i="9"/>
  <c r="W156" i="9" s="1"/>
  <c r="M156" i="9"/>
  <c r="V156" i="9" s="1"/>
  <c r="G156" i="9"/>
  <c r="BK155" i="9"/>
  <c r="BJ155" i="9"/>
  <c r="BI155" i="9"/>
  <c r="BH155" i="9"/>
  <c r="BG155" i="9"/>
  <c r="BF155" i="9"/>
  <c r="BE155" i="9"/>
  <c r="BD155" i="9"/>
  <c r="BC155" i="9"/>
  <c r="BB155" i="9"/>
  <c r="BA155" i="9"/>
  <c r="AZ155" i="9"/>
  <c r="AY155" i="9"/>
  <c r="AX155" i="9"/>
  <c r="AW155" i="9"/>
  <c r="AV155" i="9"/>
  <c r="AU155" i="9"/>
  <c r="AT155" i="9"/>
  <c r="AS155" i="9"/>
  <c r="AR155" i="9"/>
  <c r="AQ155" i="9"/>
  <c r="AP155" i="9"/>
  <c r="AO155" i="9"/>
  <c r="AN155" i="9"/>
  <c r="AM155" i="9"/>
  <c r="AL155" i="9"/>
  <c r="AK155" i="9"/>
  <c r="AJ155" i="9"/>
  <c r="AI155" i="9"/>
  <c r="AH155" i="9"/>
  <c r="AG155" i="9"/>
  <c r="AF155" i="9"/>
  <c r="AE155" i="9"/>
  <c r="AD155" i="9"/>
  <c r="AC155" i="9"/>
  <c r="Q155" i="9" s="1"/>
  <c r="AB155" i="9"/>
  <c r="AA155" i="9"/>
  <c r="Z155" i="9"/>
  <c r="Y155" i="9"/>
  <c r="W155" i="9"/>
  <c r="O155" i="9"/>
  <c r="X155" i="9" s="1"/>
  <c r="N155" i="9"/>
  <c r="L155" i="9"/>
  <c r="K155" i="9"/>
  <c r="J155" i="9"/>
  <c r="I155" i="9"/>
  <c r="F155" i="9"/>
  <c r="E155" i="9"/>
  <c r="G155" i="9" s="1"/>
  <c r="U154" i="9"/>
  <c r="S154" i="9"/>
  <c r="R154" i="9"/>
  <c r="Q154" i="9"/>
  <c r="P154" i="9"/>
  <c r="O154" i="9"/>
  <c r="X154" i="9" s="1"/>
  <c r="N154" i="9"/>
  <c r="W154" i="9" s="1"/>
  <c r="M154" i="9"/>
  <c r="V154" i="9" s="1"/>
  <c r="G154" i="9"/>
  <c r="W153" i="9"/>
  <c r="T153" i="9"/>
  <c r="S153" i="9"/>
  <c r="R153" i="9"/>
  <c r="Q153" i="9"/>
  <c r="P153" i="9"/>
  <c r="O153" i="9"/>
  <c r="N153" i="9"/>
  <c r="M153" i="9"/>
  <c r="V153" i="9" s="1"/>
  <c r="W152" i="9"/>
  <c r="U152" i="9"/>
  <c r="T152" i="9"/>
  <c r="R152" i="9"/>
  <c r="Q152" i="9"/>
  <c r="P152" i="9"/>
  <c r="O152" i="9"/>
  <c r="X152" i="9" s="1"/>
  <c r="N152" i="9"/>
  <c r="M152" i="9"/>
  <c r="S152" i="9" s="1"/>
  <c r="S151" i="9" s="1"/>
  <c r="G152" i="9"/>
  <c r="BK151" i="9"/>
  <c r="BJ151" i="9"/>
  <c r="BI151" i="9"/>
  <c r="BH151" i="9"/>
  <c r="BG151" i="9"/>
  <c r="BF151" i="9"/>
  <c r="BE151" i="9"/>
  <c r="BD151" i="9"/>
  <c r="BC151" i="9"/>
  <c r="BB151" i="9"/>
  <c r="BA151" i="9"/>
  <c r="AZ151" i="9"/>
  <c r="AY151" i="9"/>
  <c r="AX151" i="9"/>
  <c r="AW151" i="9"/>
  <c r="AV151" i="9"/>
  <c r="AU151" i="9"/>
  <c r="AT151" i="9"/>
  <c r="AS151" i="9"/>
  <c r="AR151" i="9"/>
  <c r="AQ151" i="9"/>
  <c r="AP151" i="9"/>
  <c r="AO151" i="9"/>
  <c r="AN151" i="9"/>
  <c r="AM151" i="9"/>
  <c r="AL151" i="9"/>
  <c r="AK151" i="9"/>
  <c r="AJ151" i="9"/>
  <c r="AI151" i="9"/>
  <c r="AH151" i="9"/>
  <c r="AG151" i="9"/>
  <c r="AF151" i="9"/>
  <c r="AE151" i="9"/>
  <c r="AD151" i="9"/>
  <c r="AC151" i="9"/>
  <c r="AB151" i="9"/>
  <c r="AA151" i="9"/>
  <c r="Z151" i="9"/>
  <c r="Q151" i="9" s="1"/>
  <c r="Y151" i="9"/>
  <c r="R151" i="9"/>
  <c r="P151" i="9"/>
  <c r="N151" i="9"/>
  <c r="W151" i="9" s="1"/>
  <c r="L151" i="9"/>
  <c r="K151" i="9"/>
  <c r="J151" i="9"/>
  <c r="I151" i="9"/>
  <c r="G151" i="9" s="1"/>
  <c r="F151" i="9"/>
  <c r="E151" i="9"/>
  <c r="X150" i="9"/>
  <c r="V150" i="9"/>
  <c r="U150" i="9"/>
  <c r="R150" i="9"/>
  <c r="Q150" i="9"/>
  <c r="P150" i="9"/>
  <c r="O150" i="9"/>
  <c r="N150" i="9"/>
  <c r="W150" i="9" s="1"/>
  <c r="M150" i="9"/>
  <c r="S150" i="9" s="1"/>
  <c r="H150" i="9"/>
  <c r="G150" i="9"/>
  <c r="R149" i="9"/>
  <c r="Q149" i="9"/>
  <c r="P149" i="9"/>
  <c r="O149" i="9"/>
  <c r="N149" i="9"/>
  <c r="N146" i="9" s="1"/>
  <c r="W146" i="9" s="1"/>
  <c r="W148" i="9"/>
  <c r="T148" i="9"/>
  <c r="S148" i="9"/>
  <c r="R148" i="9"/>
  <c r="Q148" i="9"/>
  <c r="P148" i="9"/>
  <c r="O148" i="9"/>
  <c r="N148" i="9"/>
  <c r="M148" i="9"/>
  <c r="V148" i="9" s="1"/>
  <c r="G148" i="9"/>
  <c r="W147" i="9"/>
  <c r="R147" i="9"/>
  <c r="Q147" i="9"/>
  <c r="P147" i="9"/>
  <c r="O147" i="9"/>
  <c r="N147" i="9"/>
  <c r="T147" i="9" s="1"/>
  <c r="M147" i="9"/>
  <c r="G147" i="9"/>
  <c r="BK146" i="9"/>
  <c r="BJ146" i="9"/>
  <c r="BI146" i="9"/>
  <c r="BH146" i="9"/>
  <c r="BG146" i="9"/>
  <c r="BF146" i="9"/>
  <c r="BE146" i="9"/>
  <c r="BD146" i="9"/>
  <c r="BC146" i="9"/>
  <c r="BB146" i="9"/>
  <c r="BA146" i="9"/>
  <c r="AZ146" i="9"/>
  <c r="AY146" i="9"/>
  <c r="AX146" i="9"/>
  <c r="AW146" i="9"/>
  <c r="AV146" i="9"/>
  <c r="AU146" i="9"/>
  <c r="AT146" i="9"/>
  <c r="AS146" i="9"/>
  <c r="AR146" i="9"/>
  <c r="AQ146" i="9"/>
  <c r="AP146" i="9"/>
  <c r="AO146" i="9"/>
  <c r="AN146" i="9"/>
  <c r="AM146" i="9"/>
  <c r="AL146" i="9"/>
  <c r="AK146" i="9"/>
  <c r="AJ146" i="9"/>
  <c r="R146" i="9" s="1"/>
  <c r="AI146" i="9"/>
  <c r="AH146" i="9"/>
  <c r="AG146" i="9"/>
  <c r="AF146" i="9"/>
  <c r="AE146" i="9"/>
  <c r="AD146" i="9"/>
  <c r="AC146" i="9"/>
  <c r="AB146" i="9"/>
  <c r="P146" i="9" s="1"/>
  <c r="AA146" i="9"/>
  <c r="Z146" i="9"/>
  <c r="Y146" i="9"/>
  <c r="L146" i="9"/>
  <c r="K146" i="9"/>
  <c r="J146" i="9"/>
  <c r="I146" i="9"/>
  <c r="G146" i="9"/>
  <c r="F146" i="9"/>
  <c r="E146" i="9"/>
  <c r="AF145" i="9"/>
  <c r="P145" i="9"/>
  <c r="O145" i="9"/>
  <c r="W144" i="9"/>
  <c r="U144" i="9"/>
  <c r="R144" i="9"/>
  <c r="Q144" i="9"/>
  <c r="P144" i="9"/>
  <c r="O144" i="9"/>
  <c r="X144" i="9" s="1"/>
  <c r="N144" i="9"/>
  <c r="T144" i="9" s="1"/>
  <c r="M144" i="9"/>
  <c r="G144" i="9"/>
  <c r="U143" i="9"/>
  <c r="S143" i="9"/>
  <c r="R143" i="9"/>
  <c r="Q143" i="9"/>
  <c r="P143" i="9"/>
  <c r="O143" i="9"/>
  <c r="X143" i="9" s="1"/>
  <c r="N143" i="9"/>
  <c r="W143" i="9" s="1"/>
  <c r="M143" i="9"/>
  <c r="V143" i="9" s="1"/>
  <c r="G143" i="9"/>
  <c r="W142" i="9"/>
  <c r="W141" i="9" s="1"/>
  <c r="T142" i="9"/>
  <c r="S142" i="9"/>
  <c r="R142" i="9"/>
  <c r="Q142" i="9"/>
  <c r="P142" i="9"/>
  <c r="O142" i="9"/>
  <c r="N142" i="9"/>
  <c r="M142" i="9"/>
  <c r="V142" i="9" s="1"/>
  <c r="G142" i="9"/>
  <c r="BK141" i="9"/>
  <c r="BJ141" i="9"/>
  <c r="BI141" i="9"/>
  <c r="BH141" i="9"/>
  <c r="BG141" i="9"/>
  <c r="BF141" i="9"/>
  <c r="BE141" i="9"/>
  <c r="BD141" i="9"/>
  <c r="BC141" i="9"/>
  <c r="BB141" i="9"/>
  <c r="BA141" i="9"/>
  <c r="AZ141" i="9"/>
  <c r="AY141" i="9"/>
  <c r="AX141" i="9"/>
  <c r="AW141" i="9"/>
  <c r="AV141" i="9"/>
  <c r="AU141" i="9"/>
  <c r="AT141" i="9"/>
  <c r="AS141" i="9"/>
  <c r="AR141" i="9"/>
  <c r="AQ141" i="9"/>
  <c r="AP141" i="9"/>
  <c r="AO141" i="9"/>
  <c r="AN141" i="9"/>
  <c r="AM141" i="9"/>
  <c r="AL141" i="9"/>
  <c r="AK141" i="9"/>
  <c r="AJ141" i="9"/>
  <c r="AI141" i="9"/>
  <c r="AH141" i="9"/>
  <c r="AG141" i="9"/>
  <c r="AE141" i="9"/>
  <c r="AD141" i="9"/>
  <c r="AC141" i="9"/>
  <c r="AB141" i="9"/>
  <c r="AA141" i="9"/>
  <c r="Z141" i="9"/>
  <c r="Y141" i="9"/>
  <c r="V141" i="9"/>
  <c r="L141" i="9"/>
  <c r="K141" i="9"/>
  <c r="J141" i="9"/>
  <c r="I141" i="9"/>
  <c r="G141" i="9" s="1"/>
  <c r="F141" i="9"/>
  <c r="E141" i="9"/>
  <c r="AQ140" i="9"/>
  <c r="AO140" i="9"/>
  <c r="T140" i="9"/>
  <c r="R140" i="9"/>
  <c r="Q140" i="9"/>
  <c r="O140" i="9"/>
  <c r="X140" i="9" s="1"/>
  <c r="N140" i="9"/>
  <c r="W140" i="9" s="1"/>
  <c r="G140" i="9"/>
  <c r="X139" i="9"/>
  <c r="T139" i="9"/>
  <c r="R139" i="9"/>
  <c r="Q139" i="9"/>
  <c r="P139" i="9"/>
  <c r="O139" i="9"/>
  <c r="U139" i="9" s="1"/>
  <c r="N139" i="9"/>
  <c r="W139" i="9" s="1"/>
  <c r="M139" i="9"/>
  <c r="V139" i="9" s="1"/>
  <c r="H139" i="9"/>
  <c r="G139" i="9"/>
  <c r="AI138" i="9"/>
  <c r="AF138" i="9"/>
  <c r="X138" i="9"/>
  <c r="X137" i="9" s="1"/>
  <c r="R138" i="9"/>
  <c r="P138" i="9"/>
  <c r="O138" i="9"/>
  <c r="U138" i="9" s="1"/>
  <c r="M138" i="9"/>
  <c r="V138" i="9" s="1"/>
  <c r="V137" i="9" s="1"/>
  <c r="H138" i="9"/>
  <c r="G138" i="9"/>
  <c r="BK137" i="9"/>
  <c r="BJ137" i="9"/>
  <c r="BI137" i="9"/>
  <c r="BH137" i="9"/>
  <c r="BG137" i="9"/>
  <c r="BF137" i="9"/>
  <c r="BE137" i="9"/>
  <c r="BD137" i="9"/>
  <c r="BC137" i="9"/>
  <c r="BB137" i="9"/>
  <c r="BA137" i="9"/>
  <c r="AZ137" i="9"/>
  <c r="AY137" i="9"/>
  <c r="AX137" i="9"/>
  <c r="AW137" i="9"/>
  <c r="AV137" i="9"/>
  <c r="AU137" i="9"/>
  <c r="AT137" i="9"/>
  <c r="AS137" i="9"/>
  <c r="AR137" i="9"/>
  <c r="AP137" i="9"/>
  <c r="AO137" i="9"/>
  <c r="AN137" i="9"/>
  <c r="AM137" i="9"/>
  <c r="AL137" i="9"/>
  <c r="AK137" i="9"/>
  <c r="AJ137" i="9"/>
  <c r="AH137" i="9"/>
  <c r="AG137" i="9"/>
  <c r="AF137" i="9"/>
  <c r="AE137" i="9"/>
  <c r="AD137" i="9"/>
  <c r="AC137" i="9"/>
  <c r="AB137" i="9"/>
  <c r="AA137" i="9"/>
  <c r="Z137" i="9"/>
  <c r="Y137" i="9"/>
  <c r="R137" i="9"/>
  <c r="O137" i="9"/>
  <c r="L137" i="9"/>
  <c r="K137" i="9"/>
  <c r="J137" i="9"/>
  <c r="I137" i="9"/>
  <c r="G137" i="9"/>
  <c r="F137" i="9"/>
  <c r="E137" i="9"/>
  <c r="X136" i="9"/>
  <c r="V136" i="9"/>
  <c r="S136" i="9"/>
  <c r="R136" i="9"/>
  <c r="Q136" i="9"/>
  <c r="P136" i="9"/>
  <c r="O136" i="9"/>
  <c r="U136" i="9" s="1"/>
  <c r="N136" i="9"/>
  <c r="W136" i="9" s="1"/>
  <c r="M136" i="9"/>
  <c r="H136" i="9"/>
  <c r="G136" i="9"/>
  <c r="X135" i="9"/>
  <c r="W135" i="9"/>
  <c r="V135" i="9"/>
  <c r="T135" i="9"/>
  <c r="R135" i="9"/>
  <c r="Q135" i="9"/>
  <c r="P135" i="9"/>
  <c r="O135" i="9"/>
  <c r="U135" i="9" s="1"/>
  <c r="N135" i="9"/>
  <c r="M135" i="9"/>
  <c r="S135" i="9" s="1"/>
  <c r="H135" i="9"/>
  <c r="G135" i="9"/>
  <c r="V134" i="9"/>
  <c r="R134" i="9"/>
  <c r="Q134" i="9"/>
  <c r="P134" i="9"/>
  <c r="O134" i="9"/>
  <c r="U134" i="9" s="1"/>
  <c r="N134" i="9"/>
  <c r="T134" i="9" s="1"/>
  <c r="M134" i="9"/>
  <c r="H134" i="9" s="1"/>
  <c r="G134" i="9"/>
  <c r="X133" i="9"/>
  <c r="U133" i="9"/>
  <c r="T133" i="9"/>
  <c r="R133" i="9"/>
  <c r="Q133" i="9"/>
  <c r="P133" i="9"/>
  <c r="O133" i="9"/>
  <c r="N133" i="9"/>
  <c r="W133" i="9" s="1"/>
  <c r="M133" i="9"/>
  <c r="S133" i="9" s="1"/>
  <c r="H133" i="9"/>
  <c r="G133" i="9"/>
  <c r="X132" i="9"/>
  <c r="V132" i="9"/>
  <c r="S132" i="9"/>
  <c r="R132" i="9"/>
  <c r="Q132" i="9"/>
  <c r="P132" i="9"/>
  <c r="O132" i="9"/>
  <c r="U132" i="9" s="1"/>
  <c r="U131" i="9" s="1"/>
  <c r="N132" i="9"/>
  <c r="N131" i="9" s="1"/>
  <c r="M132" i="9"/>
  <c r="I132" i="9"/>
  <c r="H132" i="9"/>
  <c r="G132" i="9"/>
  <c r="BK131" i="9"/>
  <c r="BJ131" i="9"/>
  <c r="BI131" i="9"/>
  <c r="BH131" i="9"/>
  <c r="BG131" i="9"/>
  <c r="BF131" i="9"/>
  <c r="BE131" i="9"/>
  <c r="BD131" i="9"/>
  <c r="BC131" i="9"/>
  <c r="BB131" i="9"/>
  <c r="BA131" i="9"/>
  <c r="AZ131" i="9"/>
  <c r="AY131" i="9"/>
  <c r="AX131" i="9"/>
  <c r="AW131" i="9"/>
  <c r="AV131" i="9"/>
  <c r="AU131" i="9"/>
  <c r="AT131" i="9"/>
  <c r="AS131" i="9"/>
  <c r="AR131" i="9"/>
  <c r="AQ131" i="9"/>
  <c r="AP131" i="9"/>
  <c r="AO131" i="9"/>
  <c r="AN131" i="9"/>
  <c r="AM131" i="9"/>
  <c r="AL131" i="9"/>
  <c r="AK131" i="9"/>
  <c r="AJ131" i="9"/>
  <c r="AI131" i="9"/>
  <c r="AH131" i="9"/>
  <c r="AG131" i="9"/>
  <c r="R131" i="9" s="1"/>
  <c r="AF131" i="9"/>
  <c r="Q131" i="9" s="1"/>
  <c r="AE131" i="9"/>
  <c r="AD131" i="9"/>
  <c r="AC131" i="9"/>
  <c r="AB131" i="9"/>
  <c r="AA131" i="9"/>
  <c r="Z131" i="9"/>
  <c r="Y131" i="9"/>
  <c r="X131" i="9"/>
  <c r="P131" i="9"/>
  <c r="L131" i="9"/>
  <c r="K131" i="9"/>
  <c r="J131" i="9"/>
  <c r="I131" i="9"/>
  <c r="G131" i="9" s="1"/>
  <c r="F131" i="9"/>
  <c r="E131" i="9"/>
  <c r="X130" i="9"/>
  <c r="U130" i="9"/>
  <c r="T130" i="9"/>
  <c r="R130" i="9"/>
  <c r="Q130" i="9"/>
  <c r="P130" i="9"/>
  <c r="O130" i="9"/>
  <c r="N130" i="9"/>
  <c r="W130" i="9" s="1"/>
  <c r="M130" i="9"/>
  <c r="S130" i="9" s="1"/>
  <c r="H130" i="9"/>
  <c r="G130" i="9"/>
  <c r="AR129" i="9"/>
  <c r="AI129" i="9"/>
  <c r="AC129" i="9"/>
  <c r="Q129" i="9" s="1"/>
  <c r="S129" i="9"/>
  <c r="R129" i="9"/>
  <c r="P129" i="9"/>
  <c r="O129" i="9"/>
  <c r="U129" i="9" s="1"/>
  <c r="N129" i="9"/>
  <c r="T129" i="9" s="1"/>
  <c r="M129" i="9"/>
  <c r="V128" i="9"/>
  <c r="R128" i="9"/>
  <c r="Q128" i="9"/>
  <c r="P128" i="9"/>
  <c r="O128" i="9"/>
  <c r="U128" i="9" s="1"/>
  <c r="N128" i="9"/>
  <c r="T128" i="9" s="1"/>
  <c r="M128" i="9"/>
  <c r="H128" i="9" s="1"/>
  <c r="G128" i="9"/>
  <c r="X127" i="9"/>
  <c r="U127" i="9"/>
  <c r="T127" i="9"/>
  <c r="R127" i="9"/>
  <c r="Q127" i="9"/>
  <c r="P127" i="9"/>
  <c r="O127" i="9"/>
  <c r="N127" i="9"/>
  <c r="W127" i="9" s="1"/>
  <c r="M127" i="9"/>
  <c r="S127" i="9" s="1"/>
  <c r="H127" i="9"/>
  <c r="G127" i="9"/>
  <c r="X126" i="9"/>
  <c r="V126" i="9"/>
  <c r="S126" i="9"/>
  <c r="R126" i="9"/>
  <c r="Q126" i="9"/>
  <c r="P126" i="9"/>
  <c r="O126" i="9"/>
  <c r="U126" i="9" s="1"/>
  <c r="N126" i="9"/>
  <c r="W126" i="9" s="1"/>
  <c r="M126" i="9"/>
  <c r="K126" i="9"/>
  <c r="J126" i="9"/>
  <c r="T126" i="9" s="1"/>
  <c r="H126" i="9"/>
  <c r="G126" i="9"/>
  <c r="X125" i="9"/>
  <c r="V125" i="9"/>
  <c r="S125" i="9"/>
  <c r="R125" i="9"/>
  <c r="Q125" i="9"/>
  <c r="P125" i="9"/>
  <c r="O125" i="9"/>
  <c r="U125" i="9" s="1"/>
  <c r="N125" i="9"/>
  <c r="W125" i="9" s="1"/>
  <c r="M125" i="9"/>
  <c r="H125" i="9"/>
  <c r="G125" i="9"/>
  <c r="X124" i="9"/>
  <c r="W124" i="9"/>
  <c r="V124" i="9"/>
  <c r="T124" i="9"/>
  <c r="R124" i="9"/>
  <c r="Q124" i="9"/>
  <c r="P124" i="9"/>
  <c r="O124" i="9"/>
  <c r="U124" i="9" s="1"/>
  <c r="N124" i="9"/>
  <c r="M124" i="9"/>
  <c r="S124" i="9" s="1"/>
  <c r="H124" i="9"/>
  <c r="G124" i="9"/>
  <c r="V123" i="9"/>
  <c r="R123" i="9"/>
  <c r="Q123" i="9"/>
  <c r="P123" i="9"/>
  <c r="O123" i="9"/>
  <c r="U123" i="9" s="1"/>
  <c r="N123" i="9"/>
  <c r="T123" i="9" s="1"/>
  <c r="M123" i="9"/>
  <c r="H123" i="9" s="1"/>
  <c r="G123" i="9"/>
  <c r="X122" i="9"/>
  <c r="U122" i="9"/>
  <c r="T122" i="9"/>
  <c r="R122" i="9"/>
  <c r="Q122" i="9"/>
  <c r="P122" i="9"/>
  <c r="O122" i="9"/>
  <c r="N122" i="9"/>
  <c r="N121" i="9" s="1"/>
  <c r="M122" i="9"/>
  <c r="S122" i="9" s="1"/>
  <c r="H122" i="9"/>
  <c r="G122" i="9"/>
  <c r="BK121" i="9"/>
  <c r="BK120" i="9" s="1"/>
  <c r="BK97" i="9" s="1"/>
  <c r="BJ121" i="9"/>
  <c r="BI121" i="9"/>
  <c r="P121" i="9" s="1"/>
  <c r="BH121" i="9"/>
  <c r="BG121" i="9"/>
  <c r="BF121" i="9"/>
  <c r="BF120" i="9" s="1"/>
  <c r="BF97" i="9" s="1"/>
  <c r="BE121" i="9"/>
  <c r="BE120" i="9" s="1"/>
  <c r="BD121" i="9"/>
  <c r="BC121" i="9"/>
  <c r="BC120" i="9" s="1"/>
  <c r="BC97" i="9" s="1"/>
  <c r="BB121" i="9"/>
  <c r="BA121" i="9"/>
  <c r="AZ121" i="9"/>
  <c r="AY121" i="9"/>
  <c r="AX121" i="9"/>
  <c r="AX120" i="9" s="1"/>
  <c r="AX97" i="9" s="1"/>
  <c r="AW121" i="9"/>
  <c r="AW120" i="9" s="1"/>
  <c r="AV121" i="9"/>
  <c r="AU121" i="9"/>
  <c r="AU120" i="9" s="1"/>
  <c r="AU97" i="9" s="1"/>
  <c r="AT121" i="9"/>
  <c r="AS121" i="9"/>
  <c r="AR121" i="9"/>
  <c r="AQ121" i="9"/>
  <c r="AP121" i="9"/>
  <c r="AP120" i="9" s="1"/>
  <c r="AP97" i="9" s="1"/>
  <c r="AO121" i="9"/>
  <c r="AO120" i="9" s="1"/>
  <c r="AN121" i="9"/>
  <c r="AM121" i="9"/>
  <c r="AM120" i="9" s="1"/>
  <c r="AM97" i="9" s="1"/>
  <c r="AL121" i="9"/>
  <c r="AK121" i="9"/>
  <c r="AJ121" i="9"/>
  <c r="AI121" i="9"/>
  <c r="AH121" i="9"/>
  <c r="AH120" i="9" s="1"/>
  <c r="AH97" i="9" s="1"/>
  <c r="AG121" i="9"/>
  <c r="AG120" i="9" s="1"/>
  <c r="AF121" i="9"/>
  <c r="AE121" i="9"/>
  <c r="AE120" i="9" s="1"/>
  <c r="AE97" i="9" s="1"/>
  <c r="AD121" i="9"/>
  <c r="AC121" i="9"/>
  <c r="AB121" i="9"/>
  <c r="AA121" i="9"/>
  <c r="Z121" i="9"/>
  <c r="Z120" i="9" s="1"/>
  <c r="Z97" i="9" s="1"/>
  <c r="Y121" i="9"/>
  <c r="Y120" i="9" s="1"/>
  <c r="Q121" i="9"/>
  <c r="L121" i="9"/>
  <c r="K121" i="9"/>
  <c r="J121" i="9"/>
  <c r="J120" i="9" s="1"/>
  <c r="I121" i="9"/>
  <c r="G121" i="9" s="1"/>
  <c r="F121" i="9"/>
  <c r="E121" i="9"/>
  <c r="BJ120" i="9"/>
  <c r="BI120" i="9"/>
  <c r="BH120" i="9"/>
  <c r="BG120" i="9"/>
  <c r="BD120" i="9"/>
  <c r="BB120" i="9"/>
  <c r="BA120" i="9"/>
  <c r="AZ120" i="9"/>
  <c r="AY120" i="9"/>
  <c r="AV120" i="9"/>
  <c r="AT120" i="9"/>
  <c r="AS120" i="9"/>
  <c r="AR120" i="9"/>
  <c r="AN120" i="9"/>
  <c r="AL120" i="9"/>
  <c r="AK120" i="9"/>
  <c r="AJ120" i="9"/>
  <c r="AD120" i="9"/>
  <c r="AC120" i="9"/>
  <c r="AB120" i="9"/>
  <c r="AA120" i="9"/>
  <c r="L120" i="9"/>
  <c r="K120" i="9"/>
  <c r="F120" i="9"/>
  <c r="E120" i="9"/>
  <c r="X119" i="9"/>
  <c r="W119" i="9"/>
  <c r="V119" i="9"/>
  <c r="T119" i="9"/>
  <c r="R119" i="9"/>
  <c r="Q119" i="9"/>
  <c r="P119" i="9"/>
  <c r="O119" i="9"/>
  <c r="U119" i="9" s="1"/>
  <c r="N119" i="9"/>
  <c r="M119" i="9"/>
  <c r="S119" i="9" s="1"/>
  <c r="H119" i="9"/>
  <c r="G119" i="9"/>
  <c r="U118" i="9"/>
  <c r="T118" i="9"/>
  <c r="R118" i="9"/>
  <c r="Q118" i="9"/>
  <c r="P118" i="9"/>
  <c r="O118" i="9"/>
  <c r="N118" i="9"/>
  <c r="M118" i="9"/>
  <c r="S118" i="9" s="1"/>
  <c r="X117" i="9"/>
  <c r="W117" i="9"/>
  <c r="V117" i="9"/>
  <c r="T117" i="9"/>
  <c r="R117" i="9"/>
  <c r="Q117" i="9"/>
  <c r="P117" i="9"/>
  <c r="O117" i="9"/>
  <c r="U117" i="9" s="1"/>
  <c r="N117" i="9"/>
  <c r="M117" i="9"/>
  <c r="S117" i="9" s="1"/>
  <c r="H117" i="9"/>
  <c r="G117" i="9"/>
  <c r="V116" i="9"/>
  <c r="R116" i="9"/>
  <c r="Q116" i="9"/>
  <c r="P116" i="9"/>
  <c r="O116" i="9"/>
  <c r="U116" i="9" s="1"/>
  <c r="N116" i="9"/>
  <c r="T116" i="9" s="1"/>
  <c r="T115" i="9" s="1"/>
  <c r="M116" i="9"/>
  <c r="H116" i="9" s="1"/>
  <c r="G116" i="9"/>
  <c r="BK115" i="9"/>
  <c r="R115" i="9" s="1"/>
  <c r="BJ115" i="9"/>
  <c r="BI115" i="9"/>
  <c r="P115" i="9" s="1"/>
  <c r="BH115" i="9"/>
  <c r="BG115" i="9"/>
  <c r="BF115" i="9"/>
  <c r="BE115" i="9"/>
  <c r="BD115" i="9"/>
  <c r="BC115" i="9"/>
  <c r="BB115" i="9"/>
  <c r="BA115" i="9"/>
  <c r="AZ115" i="9"/>
  <c r="AY115" i="9"/>
  <c r="AX115" i="9"/>
  <c r="AW115" i="9"/>
  <c r="AV115" i="9"/>
  <c r="AU115" i="9"/>
  <c r="AT115" i="9"/>
  <c r="AS115" i="9"/>
  <c r="AR115" i="9"/>
  <c r="AQ115" i="9"/>
  <c r="AP115" i="9"/>
  <c r="AO115" i="9"/>
  <c r="AN115" i="9"/>
  <c r="AM115" i="9"/>
  <c r="AL115" i="9"/>
  <c r="AK115" i="9"/>
  <c r="AJ115" i="9"/>
  <c r="AI115" i="9"/>
  <c r="AH115" i="9"/>
  <c r="AG115" i="9"/>
  <c r="AF115" i="9"/>
  <c r="AE115" i="9"/>
  <c r="AD115" i="9"/>
  <c r="AC115" i="9"/>
  <c r="AB115" i="9"/>
  <c r="AA115" i="9"/>
  <c r="Z115" i="9"/>
  <c r="Q115" i="9" s="1"/>
  <c r="Y115" i="9"/>
  <c r="L115" i="9"/>
  <c r="J115" i="9"/>
  <c r="J97" i="9" s="1"/>
  <c r="I115" i="9"/>
  <c r="G115" i="9" s="1"/>
  <c r="F115" i="9"/>
  <c r="E115" i="9"/>
  <c r="V114" i="9"/>
  <c r="R114" i="9"/>
  <c r="Q114" i="9"/>
  <c r="P114" i="9"/>
  <c r="O114" i="9"/>
  <c r="U114" i="9" s="1"/>
  <c r="N114" i="9"/>
  <c r="T114" i="9" s="1"/>
  <c r="M114" i="9"/>
  <c r="H114" i="9" s="1"/>
  <c r="G114" i="9"/>
  <c r="X113" i="9"/>
  <c r="U113" i="9"/>
  <c r="T113" i="9"/>
  <c r="R113" i="9"/>
  <c r="Q113" i="9"/>
  <c r="P113" i="9"/>
  <c r="O113" i="9"/>
  <c r="N113" i="9"/>
  <c r="W113" i="9" s="1"/>
  <c r="M113" i="9"/>
  <c r="S113" i="9" s="1"/>
  <c r="H113" i="9"/>
  <c r="G113" i="9"/>
  <c r="X112" i="9"/>
  <c r="V112" i="9"/>
  <c r="S112" i="9"/>
  <c r="R112" i="9"/>
  <c r="Q112" i="9"/>
  <c r="P112" i="9"/>
  <c r="O112" i="9"/>
  <c r="U112" i="9" s="1"/>
  <c r="N112" i="9"/>
  <c r="W112" i="9" s="1"/>
  <c r="M112" i="9"/>
  <c r="H112" i="9"/>
  <c r="G112" i="9"/>
  <c r="X111" i="9"/>
  <c r="W111" i="9"/>
  <c r="V111" i="9"/>
  <c r="T111" i="9"/>
  <c r="R111" i="9"/>
  <c r="Q111" i="9"/>
  <c r="P111" i="9"/>
  <c r="O111" i="9"/>
  <c r="U111" i="9" s="1"/>
  <c r="N111" i="9"/>
  <c r="M111" i="9"/>
  <c r="S111" i="9" s="1"/>
  <c r="H111" i="9"/>
  <c r="G111" i="9"/>
  <c r="V110" i="9"/>
  <c r="R110" i="9"/>
  <c r="Q110" i="9"/>
  <c r="P110" i="9"/>
  <c r="O110" i="9"/>
  <c r="U110" i="9" s="1"/>
  <c r="N110" i="9"/>
  <c r="T110" i="9" s="1"/>
  <c r="M110" i="9"/>
  <c r="H110" i="9" s="1"/>
  <c r="G110" i="9"/>
  <c r="AR109" i="9"/>
  <c r="U109" i="9"/>
  <c r="R109" i="9"/>
  <c r="Q109" i="9"/>
  <c r="P109" i="9"/>
  <c r="O109" i="9"/>
  <c r="X109" i="9" s="1"/>
  <c r="N109" i="9"/>
  <c r="T109" i="9" s="1"/>
  <c r="M109" i="9"/>
  <c r="H109" i="9" s="1"/>
  <c r="G109" i="9"/>
  <c r="W108" i="9"/>
  <c r="T108" i="9"/>
  <c r="S108" i="9"/>
  <c r="R108" i="9"/>
  <c r="Q108" i="9"/>
  <c r="P108" i="9"/>
  <c r="O108" i="9"/>
  <c r="X108" i="9" s="1"/>
  <c r="N108" i="9"/>
  <c r="M108" i="9"/>
  <c r="V108" i="9" s="1"/>
  <c r="H108" i="9"/>
  <c r="G108" i="9"/>
  <c r="AQ107" i="9"/>
  <c r="AN107" i="9"/>
  <c r="P107" i="9" s="1"/>
  <c r="W107" i="9"/>
  <c r="T107" i="9"/>
  <c r="S107" i="9"/>
  <c r="R107" i="9"/>
  <c r="Q107" i="9"/>
  <c r="O107" i="9"/>
  <c r="X107" i="9" s="1"/>
  <c r="N107" i="9"/>
  <c r="M107" i="9"/>
  <c r="V107" i="9" s="1"/>
  <c r="I107" i="9"/>
  <c r="G107" i="9" s="1"/>
  <c r="H107" i="9"/>
  <c r="X106" i="9"/>
  <c r="V106" i="9"/>
  <c r="S106" i="9"/>
  <c r="R106" i="9"/>
  <c r="Q106" i="9"/>
  <c r="P106" i="9"/>
  <c r="O106" i="9"/>
  <c r="U106" i="9" s="1"/>
  <c r="N106" i="9"/>
  <c r="W106" i="9" s="1"/>
  <c r="M106" i="9"/>
  <c r="H106" i="9"/>
  <c r="G106" i="9"/>
  <c r="X105" i="9"/>
  <c r="W105" i="9"/>
  <c r="V105" i="9"/>
  <c r="T105" i="9"/>
  <c r="R105" i="9"/>
  <c r="Q105" i="9"/>
  <c r="P105" i="9"/>
  <c r="O105" i="9"/>
  <c r="U105" i="9" s="1"/>
  <c r="N105" i="9"/>
  <c r="M105" i="9"/>
  <c r="S105" i="9" s="1"/>
  <c r="H105" i="9"/>
  <c r="G105" i="9"/>
  <c r="U104" i="9"/>
  <c r="R104" i="9"/>
  <c r="Q104" i="9"/>
  <c r="P104" i="9"/>
  <c r="O104" i="9"/>
  <c r="N104" i="9"/>
  <c r="T104" i="9" s="1"/>
  <c r="M104" i="9"/>
  <c r="H104" i="9" s="1"/>
  <c r="G104" i="9"/>
  <c r="W103" i="9"/>
  <c r="T103" i="9"/>
  <c r="S103" i="9"/>
  <c r="R103" i="9"/>
  <c r="Q103" i="9"/>
  <c r="P103" i="9"/>
  <c r="O103" i="9"/>
  <c r="X103" i="9" s="1"/>
  <c r="N103" i="9"/>
  <c r="M103" i="9"/>
  <c r="V103" i="9" s="1"/>
  <c r="H103" i="9"/>
  <c r="G103" i="9"/>
  <c r="X102" i="9"/>
  <c r="W102" i="9"/>
  <c r="U102" i="9"/>
  <c r="R102" i="9"/>
  <c r="Q102" i="9"/>
  <c r="P102" i="9"/>
  <c r="O102" i="9"/>
  <c r="N102" i="9"/>
  <c r="T102" i="9" s="1"/>
  <c r="M102" i="9"/>
  <c r="V102" i="9" s="1"/>
  <c r="G102" i="9"/>
  <c r="W101" i="9"/>
  <c r="V101" i="9"/>
  <c r="S101" i="9"/>
  <c r="R101" i="9"/>
  <c r="Q101" i="9"/>
  <c r="P101" i="9"/>
  <c r="O101" i="9"/>
  <c r="U101" i="9" s="1"/>
  <c r="N101" i="9"/>
  <c r="T101" i="9" s="1"/>
  <c r="M101" i="9"/>
  <c r="H101" i="9" s="1"/>
  <c r="G101" i="9"/>
  <c r="U100" i="9"/>
  <c r="R100" i="9"/>
  <c r="Q100" i="9"/>
  <c r="P100" i="9"/>
  <c r="O100" i="9"/>
  <c r="X100" i="9" s="1"/>
  <c r="N100" i="9"/>
  <c r="T100" i="9" s="1"/>
  <c r="M100" i="9"/>
  <c r="H100" i="9" s="1"/>
  <c r="G100" i="9"/>
  <c r="W99" i="9"/>
  <c r="T99" i="9"/>
  <c r="S99" i="9"/>
  <c r="R99" i="9"/>
  <c r="Q99" i="9"/>
  <c r="P99" i="9"/>
  <c r="O99" i="9"/>
  <c r="O98" i="9" s="1"/>
  <c r="N99" i="9"/>
  <c r="M99" i="9"/>
  <c r="M98" i="9" s="1"/>
  <c r="H99" i="9"/>
  <c r="G99" i="9"/>
  <c r="BK98" i="9"/>
  <c r="BJ98" i="9"/>
  <c r="BI98" i="9"/>
  <c r="BH98" i="9"/>
  <c r="BG98" i="9"/>
  <c r="BF98" i="9"/>
  <c r="BE98" i="9"/>
  <c r="BD98" i="9"/>
  <c r="BD97" i="9" s="1"/>
  <c r="BD3" i="9" s="1"/>
  <c r="BC98" i="9"/>
  <c r="BB98" i="9"/>
  <c r="BA98" i="9"/>
  <c r="AZ98" i="9"/>
  <c r="AY98" i="9"/>
  <c r="AX98" i="9"/>
  <c r="AW98" i="9"/>
  <c r="AV98" i="9"/>
  <c r="AV97" i="9" s="1"/>
  <c r="AV3" i="9" s="1"/>
  <c r="AU98" i="9"/>
  <c r="AT98" i="9"/>
  <c r="AS98" i="9"/>
  <c r="AR98" i="9"/>
  <c r="AQ98" i="9"/>
  <c r="AP98" i="9"/>
  <c r="AO98" i="9"/>
  <c r="AN98" i="9"/>
  <c r="AN97" i="9" s="1"/>
  <c r="AM98" i="9"/>
  <c r="AL98" i="9"/>
  <c r="AK98" i="9"/>
  <c r="AJ98" i="9"/>
  <c r="AI98" i="9"/>
  <c r="AH98" i="9"/>
  <c r="AG98" i="9"/>
  <c r="AF98" i="9"/>
  <c r="AE98" i="9"/>
  <c r="AD98" i="9"/>
  <c r="AC98" i="9"/>
  <c r="AB98" i="9"/>
  <c r="AA98" i="9"/>
  <c r="Z98" i="9"/>
  <c r="Y98" i="9"/>
  <c r="P98" i="9"/>
  <c r="L98" i="9"/>
  <c r="K98" i="9"/>
  <c r="J98" i="9"/>
  <c r="I98" i="9"/>
  <c r="G98" i="9" s="1"/>
  <c r="F98" i="9"/>
  <c r="E98" i="9"/>
  <c r="BJ97" i="9"/>
  <c r="BI97" i="9"/>
  <c r="BH97" i="9"/>
  <c r="BG97" i="9"/>
  <c r="BB97" i="9"/>
  <c r="BA97" i="9"/>
  <c r="AZ97" i="9"/>
  <c r="AY97" i="9"/>
  <c r="AT97" i="9"/>
  <c r="AS97" i="9"/>
  <c r="AR97" i="9"/>
  <c r="AL97" i="9"/>
  <c r="AK97" i="9"/>
  <c r="AJ97" i="9"/>
  <c r="AD97" i="9"/>
  <c r="AC97" i="9"/>
  <c r="AB97" i="9"/>
  <c r="AA97" i="9"/>
  <c r="L97" i="9"/>
  <c r="K97" i="9"/>
  <c r="F97" i="9"/>
  <c r="E97" i="9"/>
  <c r="W96" i="9"/>
  <c r="V96" i="9"/>
  <c r="S96" i="9"/>
  <c r="R96" i="9"/>
  <c r="Q96" i="9"/>
  <c r="P96" i="9"/>
  <c r="O96" i="9"/>
  <c r="U96" i="9" s="1"/>
  <c r="N96" i="9"/>
  <c r="T96" i="9" s="1"/>
  <c r="M96" i="9"/>
  <c r="H96" i="9" s="1"/>
  <c r="G96" i="9"/>
  <c r="U95" i="9"/>
  <c r="R95" i="9"/>
  <c r="Q95" i="9"/>
  <c r="P95" i="9"/>
  <c r="O95" i="9"/>
  <c r="X95" i="9" s="1"/>
  <c r="N95" i="9"/>
  <c r="T95" i="9" s="1"/>
  <c r="M95" i="9"/>
  <c r="H95" i="9" s="1"/>
  <c r="G95" i="9"/>
  <c r="AN94" i="9"/>
  <c r="Q94" i="9"/>
  <c r="P94" i="9"/>
  <c r="Q93" i="9"/>
  <c r="P93" i="9"/>
  <c r="AN92" i="9"/>
  <c r="P92" i="9" s="1"/>
  <c r="X92" i="9"/>
  <c r="W92" i="9"/>
  <c r="U92" i="9"/>
  <c r="T92" i="9"/>
  <c r="T90" i="9" s="1"/>
  <c r="R92" i="9"/>
  <c r="Q92" i="9"/>
  <c r="O92" i="9"/>
  <c r="N92" i="9"/>
  <c r="I92" i="9"/>
  <c r="G92" i="9"/>
  <c r="BK90" i="9"/>
  <c r="R90" i="9" s="1"/>
  <c r="BJ90" i="9"/>
  <c r="BI90" i="9"/>
  <c r="BH90" i="9"/>
  <c r="BG90" i="9"/>
  <c r="BF90" i="9"/>
  <c r="BE90" i="9"/>
  <c r="BD90" i="9"/>
  <c r="BC90" i="9"/>
  <c r="BB90" i="9"/>
  <c r="BA90" i="9"/>
  <c r="AZ90" i="9"/>
  <c r="AY90" i="9"/>
  <c r="AX90" i="9"/>
  <c r="AW90" i="9"/>
  <c r="AV90" i="9"/>
  <c r="AU90" i="9"/>
  <c r="AT90" i="9"/>
  <c r="AS90" i="9"/>
  <c r="AR90" i="9"/>
  <c r="AQ90" i="9"/>
  <c r="AP90" i="9"/>
  <c r="AO90" i="9"/>
  <c r="AM90" i="9"/>
  <c r="AL90" i="9"/>
  <c r="AK90" i="9"/>
  <c r="AJ90" i="9"/>
  <c r="AI90" i="9"/>
  <c r="AH90" i="9"/>
  <c r="AG90" i="9"/>
  <c r="AF90" i="9"/>
  <c r="Q90" i="9" s="1"/>
  <c r="AE90" i="9"/>
  <c r="AD90" i="9"/>
  <c r="AC90" i="9"/>
  <c r="AB90" i="9"/>
  <c r="AA90" i="9"/>
  <c r="Z90" i="9"/>
  <c r="Y90" i="9"/>
  <c r="O90" i="9"/>
  <c r="X90" i="9" s="1"/>
  <c r="L90" i="9"/>
  <c r="K90" i="9"/>
  <c r="J90" i="9"/>
  <c r="I90" i="9"/>
  <c r="G90" i="9"/>
  <c r="F90" i="9"/>
  <c r="E90" i="9"/>
  <c r="W89" i="9"/>
  <c r="T89" i="9"/>
  <c r="S89" i="9"/>
  <c r="R89" i="9"/>
  <c r="Q89" i="9"/>
  <c r="P89" i="9"/>
  <c r="O89" i="9"/>
  <c r="X89" i="9" s="1"/>
  <c r="N89" i="9"/>
  <c r="M89" i="9"/>
  <c r="V89" i="9" s="1"/>
  <c r="H89" i="9"/>
  <c r="G89" i="9"/>
  <c r="AR88" i="9"/>
  <c r="AF88" i="9"/>
  <c r="AC88" i="9"/>
  <c r="Z88" i="9"/>
  <c r="U88" i="9"/>
  <c r="R88" i="9"/>
  <c r="Q88" i="9"/>
  <c r="P88" i="9"/>
  <c r="O88" i="9"/>
  <c r="X88" i="9" s="1"/>
  <c r="N88" i="9"/>
  <c r="T88" i="9" s="1"/>
  <c r="M88" i="9"/>
  <c r="H88" i="9" s="1"/>
  <c r="G88" i="9"/>
  <c r="W87" i="9"/>
  <c r="T87" i="9"/>
  <c r="S87" i="9"/>
  <c r="R87" i="9"/>
  <c r="Q87" i="9"/>
  <c r="P87" i="9"/>
  <c r="O87" i="9"/>
  <c r="X87" i="9" s="1"/>
  <c r="N87" i="9"/>
  <c r="M87" i="9"/>
  <c r="V87" i="9" s="1"/>
  <c r="H87" i="9"/>
  <c r="G87" i="9"/>
  <c r="X86" i="9"/>
  <c r="W86" i="9"/>
  <c r="U86" i="9"/>
  <c r="T86" i="9"/>
  <c r="R86" i="9"/>
  <c r="Q86" i="9"/>
  <c r="P86" i="9"/>
  <c r="O86" i="9"/>
  <c r="N86" i="9"/>
  <c r="M86" i="9"/>
  <c r="M85" i="9" s="1"/>
  <c r="G86" i="9"/>
  <c r="BK85" i="9"/>
  <c r="R85" i="9" s="1"/>
  <c r="BJ85" i="9"/>
  <c r="Q85" i="9" s="1"/>
  <c r="BI85" i="9"/>
  <c r="BH85" i="9"/>
  <c r="BG85" i="9"/>
  <c r="BF85" i="9"/>
  <c r="BE85" i="9"/>
  <c r="BD85" i="9"/>
  <c r="BC85" i="9"/>
  <c r="BB85" i="9"/>
  <c r="BA85" i="9"/>
  <c r="AZ85" i="9"/>
  <c r="AY85" i="9"/>
  <c r="AX85" i="9"/>
  <c r="AW85" i="9"/>
  <c r="AV85" i="9"/>
  <c r="AU85" i="9"/>
  <c r="AT85" i="9"/>
  <c r="AS85" i="9"/>
  <c r="AR85" i="9"/>
  <c r="AQ85" i="9"/>
  <c r="AP85" i="9"/>
  <c r="AO85" i="9"/>
  <c r="AN85" i="9"/>
  <c r="AM85" i="9"/>
  <c r="AL85" i="9"/>
  <c r="AK85" i="9"/>
  <c r="AJ85" i="9"/>
  <c r="AI85" i="9"/>
  <c r="AH85" i="9"/>
  <c r="AG85" i="9"/>
  <c r="AF85" i="9"/>
  <c r="AE85" i="9"/>
  <c r="P85" i="9" s="1"/>
  <c r="AD85" i="9"/>
  <c r="AC85" i="9"/>
  <c r="AB85" i="9"/>
  <c r="AA85" i="9"/>
  <c r="Z85" i="9"/>
  <c r="Y85" i="9"/>
  <c r="O85" i="9"/>
  <c r="X85" i="9" s="1"/>
  <c r="N85" i="9"/>
  <c r="W85" i="9" s="1"/>
  <c r="L85" i="9"/>
  <c r="K85" i="9"/>
  <c r="J85" i="9"/>
  <c r="I85" i="9"/>
  <c r="G85" i="9"/>
  <c r="F85" i="9"/>
  <c r="E85" i="9"/>
  <c r="X84" i="9"/>
  <c r="V84" i="9"/>
  <c r="S84" i="9"/>
  <c r="R84" i="9"/>
  <c r="Q84" i="9"/>
  <c r="P84" i="9"/>
  <c r="O84" i="9"/>
  <c r="U84" i="9" s="1"/>
  <c r="N84" i="9"/>
  <c r="W84" i="9" s="1"/>
  <c r="M84" i="9"/>
  <c r="H84" i="9"/>
  <c r="G84" i="9"/>
  <c r="X83" i="9"/>
  <c r="W83" i="9"/>
  <c r="V83" i="9"/>
  <c r="T83" i="9"/>
  <c r="R83" i="9"/>
  <c r="Q83" i="9"/>
  <c r="P83" i="9"/>
  <c r="O83" i="9"/>
  <c r="U83" i="9" s="1"/>
  <c r="N83" i="9"/>
  <c r="M83" i="9"/>
  <c r="S83" i="9" s="1"/>
  <c r="H83" i="9"/>
  <c r="G83" i="9"/>
  <c r="V82" i="9"/>
  <c r="R82" i="9"/>
  <c r="Q82" i="9"/>
  <c r="P82" i="9"/>
  <c r="O82" i="9"/>
  <c r="U82" i="9" s="1"/>
  <c r="N82" i="9"/>
  <c r="T82" i="9" s="1"/>
  <c r="M82" i="9"/>
  <c r="H82" i="9" s="1"/>
  <c r="G82" i="9"/>
  <c r="BK81" i="9"/>
  <c r="R81" i="9" s="1"/>
  <c r="BJ81" i="9"/>
  <c r="BI81" i="9"/>
  <c r="P81" i="9" s="1"/>
  <c r="BH81" i="9"/>
  <c r="BG81" i="9"/>
  <c r="BF81" i="9"/>
  <c r="BE81" i="9"/>
  <c r="BD81" i="9"/>
  <c r="BC81" i="9"/>
  <c r="BB81" i="9"/>
  <c r="BA81" i="9"/>
  <c r="AZ81" i="9"/>
  <c r="AY81" i="9"/>
  <c r="AX81" i="9"/>
  <c r="AW81" i="9"/>
  <c r="AV81" i="9"/>
  <c r="AU81" i="9"/>
  <c r="AT81" i="9"/>
  <c r="AS81" i="9"/>
  <c r="AR81" i="9"/>
  <c r="AQ81" i="9"/>
  <c r="AP81" i="9"/>
  <c r="AO81" i="9"/>
  <c r="AN81" i="9"/>
  <c r="AM81" i="9"/>
  <c r="AL81" i="9"/>
  <c r="AK81" i="9"/>
  <c r="AJ81" i="9"/>
  <c r="AI81" i="9"/>
  <c r="AH81" i="9"/>
  <c r="AG81" i="9"/>
  <c r="AF81" i="9"/>
  <c r="AE81" i="9"/>
  <c r="AD81" i="9"/>
  <c r="AC81" i="9"/>
  <c r="AB81" i="9"/>
  <c r="AA81" i="9"/>
  <c r="Z81" i="9"/>
  <c r="Q81" i="9" s="1"/>
  <c r="Y81" i="9"/>
  <c r="M81" i="9"/>
  <c r="H81" i="9" s="1"/>
  <c r="L81" i="9"/>
  <c r="K81" i="9"/>
  <c r="J81" i="9"/>
  <c r="I81" i="9"/>
  <c r="G81" i="9"/>
  <c r="F81" i="9"/>
  <c r="E81" i="9"/>
  <c r="W80" i="9"/>
  <c r="V80" i="9"/>
  <c r="S80" i="9"/>
  <c r="R80" i="9"/>
  <c r="Q80" i="9"/>
  <c r="P80" i="9"/>
  <c r="O80" i="9"/>
  <c r="U80" i="9" s="1"/>
  <c r="N80" i="9"/>
  <c r="T80" i="9" s="1"/>
  <c r="M80" i="9"/>
  <c r="H80" i="9" s="1"/>
  <c r="G80" i="9"/>
  <c r="U79" i="9"/>
  <c r="U78" i="9" s="1"/>
  <c r="R79" i="9"/>
  <c r="Q79" i="9"/>
  <c r="P79" i="9"/>
  <c r="O79" i="9"/>
  <c r="O78" i="9" s="1"/>
  <c r="X78" i="9" s="1"/>
  <c r="N79" i="9"/>
  <c r="T79" i="9" s="1"/>
  <c r="T78" i="9" s="1"/>
  <c r="M79" i="9"/>
  <c r="H79" i="9" s="1"/>
  <c r="G79" i="9"/>
  <c r="BK78" i="9"/>
  <c r="BJ78" i="9"/>
  <c r="Q78" i="9" s="1"/>
  <c r="BI78" i="9"/>
  <c r="BH78" i="9"/>
  <c r="BG78" i="9"/>
  <c r="BG68" i="9" s="1"/>
  <c r="BF78" i="9"/>
  <c r="BF68" i="9" s="1"/>
  <c r="BE78" i="9"/>
  <c r="BD78" i="9"/>
  <c r="BC78" i="9"/>
  <c r="BB78" i="9"/>
  <c r="BA78" i="9"/>
  <c r="AZ78" i="9"/>
  <c r="AY78" i="9"/>
  <c r="AY68" i="9" s="1"/>
  <c r="AX78" i="9"/>
  <c r="AX68" i="9" s="1"/>
  <c r="AW78" i="9"/>
  <c r="AV78" i="9"/>
  <c r="AU78" i="9"/>
  <c r="AT78" i="9"/>
  <c r="AS78" i="9"/>
  <c r="AR78" i="9"/>
  <c r="AQ78" i="9"/>
  <c r="AP78" i="9"/>
  <c r="AP68" i="9" s="1"/>
  <c r="AO78" i="9"/>
  <c r="AN78" i="9"/>
  <c r="AM78" i="9"/>
  <c r="AL78" i="9"/>
  <c r="AK78" i="9"/>
  <c r="AJ78" i="9"/>
  <c r="AI78" i="9"/>
  <c r="AI68" i="9" s="1"/>
  <c r="AH78" i="9"/>
  <c r="AH68" i="9" s="1"/>
  <c r="AG78" i="9"/>
  <c r="AF78" i="9"/>
  <c r="AE78" i="9"/>
  <c r="AD78" i="9"/>
  <c r="AC78" i="9"/>
  <c r="AB78" i="9"/>
  <c r="AA78" i="9"/>
  <c r="AA68" i="9" s="1"/>
  <c r="Z78" i="9"/>
  <c r="Z68" i="9" s="1"/>
  <c r="Y78" i="9"/>
  <c r="P78" i="9" s="1"/>
  <c r="R78" i="9"/>
  <c r="L78" i="9"/>
  <c r="K78" i="9"/>
  <c r="K68" i="9" s="1"/>
  <c r="J78" i="9"/>
  <c r="J68" i="9" s="1"/>
  <c r="I78" i="9"/>
  <c r="G78" i="9" s="1"/>
  <c r="X77" i="9"/>
  <c r="U77" i="9"/>
  <c r="T77" i="9"/>
  <c r="R77" i="9"/>
  <c r="Q77" i="9"/>
  <c r="P77" i="9"/>
  <c r="O77" i="9"/>
  <c r="N77" i="9"/>
  <c r="W77" i="9" s="1"/>
  <c r="M77" i="9"/>
  <c r="S77" i="9" s="1"/>
  <c r="H77" i="9"/>
  <c r="G77" i="9"/>
  <c r="X76" i="9"/>
  <c r="V76" i="9"/>
  <c r="U76" i="9"/>
  <c r="S76" i="9"/>
  <c r="R76" i="9"/>
  <c r="Q76" i="9"/>
  <c r="P76" i="9"/>
  <c r="O76" i="9"/>
  <c r="N76" i="9"/>
  <c r="W76" i="9" s="1"/>
  <c r="M76" i="9"/>
  <c r="H76" i="9"/>
  <c r="G76" i="9"/>
  <c r="AN75" i="9"/>
  <c r="P75" i="9" s="1"/>
  <c r="AF75" i="9"/>
  <c r="Q75" i="9" s="1"/>
  <c r="AC75" i="9"/>
  <c r="N75" i="9" s="1"/>
  <c r="R75" i="9"/>
  <c r="O75" i="9"/>
  <c r="X75" i="9" s="1"/>
  <c r="I75" i="9"/>
  <c r="G75" i="9" s="1"/>
  <c r="X74" i="9"/>
  <c r="V74" i="9"/>
  <c r="S74" i="9"/>
  <c r="R74" i="9"/>
  <c r="Q74" i="9"/>
  <c r="P74" i="9"/>
  <c r="O74" i="9"/>
  <c r="U74" i="9" s="1"/>
  <c r="N74" i="9"/>
  <c r="W74" i="9" s="1"/>
  <c r="M74" i="9"/>
  <c r="H74" i="9"/>
  <c r="G74" i="9"/>
  <c r="AQ73" i="9"/>
  <c r="P73" i="9" s="1"/>
  <c r="AC73" i="9"/>
  <c r="R73" i="9"/>
  <c r="Q73" i="9"/>
  <c r="O73" i="9"/>
  <c r="X73" i="9" s="1"/>
  <c r="N73" i="9"/>
  <c r="W73" i="9" s="1"/>
  <c r="I73" i="9"/>
  <c r="G73" i="9"/>
  <c r="AQ72" i="9"/>
  <c r="P72" i="9" s="1"/>
  <c r="R72" i="9"/>
  <c r="Q72" i="9"/>
  <c r="O72" i="9"/>
  <c r="X72" i="9" s="1"/>
  <c r="N72" i="9"/>
  <c r="W72" i="9" s="1"/>
  <c r="I72" i="9"/>
  <c r="G72" i="9"/>
  <c r="AI71" i="9"/>
  <c r="V71" i="9"/>
  <c r="S71" i="9"/>
  <c r="R71" i="9"/>
  <c r="Q71" i="9"/>
  <c r="P71" i="9"/>
  <c r="O71" i="9"/>
  <c r="X71" i="9" s="1"/>
  <c r="N71" i="9"/>
  <c r="W71" i="9" s="1"/>
  <c r="M71" i="9"/>
  <c r="H71" i="9"/>
  <c r="G71" i="9"/>
  <c r="X70" i="9"/>
  <c r="W70" i="9"/>
  <c r="T70" i="9"/>
  <c r="R70" i="9"/>
  <c r="Q70" i="9"/>
  <c r="P70" i="9"/>
  <c r="O70" i="9"/>
  <c r="U70" i="9" s="1"/>
  <c r="N70" i="9"/>
  <c r="M70" i="9"/>
  <c r="V70" i="9" s="1"/>
  <c r="H70" i="9"/>
  <c r="G70" i="9"/>
  <c r="BK69" i="9"/>
  <c r="BJ69" i="9"/>
  <c r="BJ68" i="9" s="1"/>
  <c r="BI69" i="9"/>
  <c r="BI68" i="9" s="1"/>
  <c r="BH69" i="9"/>
  <c r="BG69" i="9"/>
  <c r="BF69" i="9"/>
  <c r="BE69" i="9"/>
  <c r="BD69" i="9"/>
  <c r="BC69" i="9"/>
  <c r="BB69" i="9"/>
  <c r="BB68" i="9" s="1"/>
  <c r="BA69" i="9"/>
  <c r="BA68" i="9" s="1"/>
  <c r="AZ69" i="9"/>
  <c r="AY69" i="9"/>
  <c r="AX69" i="9"/>
  <c r="AW69" i="9"/>
  <c r="AV69" i="9"/>
  <c r="AU69" i="9"/>
  <c r="AT69" i="9"/>
  <c r="AT68" i="9" s="1"/>
  <c r="AS69" i="9"/>
  <c r="AS68" i="9" s="1"/>
  <c r="AR69" i="9"/>
  <c r="AP69" i="9"/>
  <c r="AO69" i="9"/>
  <c r="AM69" i="9"/>
  <c r="AL69" i="9"/>
  <c r="AL68" i="9" s="1"/>
  <c r="AK69" i="9"/>
  <c r="AK68" i="9" s="1"/>
  <c r="AJ69" i="9"/>
  <c r="AI69" i="9"/>
  <c r="AH69" i="9"/>
  <c r="AG69" i="9"/>
  <c r="AF69" i="9"/>
  <c r="AE69" i="9"/>
  <c r="AD69" i="9"/>
  <c r="AD68" i="9" s="1"/>
  <c r="AC69" i="9"/>
  <c r="AC68" i="9" s="1"/>
  <c r="AB69" i="9"/>
  <c r="AA69" i="9"/>
  <c r="Z69" i="9"/>
  <c r="Y69" i="9"/>
  <c r="L69" i="9"/>
  <c r="K69" i="9"/>
  <c r="J69" i="9"/>
  <c r="I69" i="9"/>
  <c r="G69" i="9" s="1"/>
  <c r="F69" i="9"/>
  <c r="F68" i="9" s="1"/>
  <c r="E69" i="9"/>
  <c r="E68" i="9" s="1"/>
  <c r="BK68" i="9"/>
  <c r="BH68" i="9"/>
  <c r="BE68" i="9"/>
  <c r="BD68" i="9"/>
  <c r="BC68" i="9"/>
  <c r="AZ68" i="9"/>
  <c r="AW68" i="9"/>
  <c r="AV68" i="9"/>
  <c r="AU68" i="9"/>
  <c r="AR68" i="9"/>
  <c r="AO68" i="9"/>
  <c r="AM68" i="9"/>
  <c r="AJ68" i="9"/>
  <c r="AG68" i="9"/>
  <c r="AF68" i="9"/>
  <c r="AE68" i="9"/>
  <c r="AB68" i="9"/>
  <c r="Y68" i="9"/>
  <c r="L68" i="9"/>
  <c r="I68" i="9"/>
  <c r="G68" i="9" s="1"/>
  <c r="X67" i="9"/>
  <c r="U67" i="9"/>
  <c r="T67" i="9"/>
  <c r="R67" i="9"/>
  <c r="Q67" i="9"/>
  <c r="P67" i="9"/>
  <c r="O67" i="9"/>
  <c r="N67" i="9"/>
  <c r="W67" i="9" s="1"/>
  <c r="M67" i="9"/>
  <c r="S67" i="9" s="1"/>
  <c r="H67" i="9"/>
  <c r="G67" i="9"/>
  <c r="V66" i="9"/>
  <c r="S66" i="9"/>
  <c r="R66" i="9"/>
  <c r="Q66" i="9"/>
  <c r="P66" i="9"/>
  <c r="O66" i="9"/>
  <c r="X66" i="9" s="1"/>
  <c r="N66" i="9"/>
  <c r="W66" i="9" s="1"/>
  <c r="M66" i="9"/>
  <c r="H66" i="9"/>
  <c r="G66" i="9"/>
  <c r="X65" i="9"/>
  <c r="W65" i="9"/>
  <c r="T65" i="9"/>
  <c r="R65" i="9"/>
  <c r="Q65" i="9"/>
  <c r="P65" i="9"/>
  <c r="O65" i="9"/>
  <c r="U65" i="9" s="1"/>
  <c r="N65" i="9"/>
  <c r="M65" i="9"/>
  <c r="V65" i="9" s="1"/>
  <c r="H65" i="9"/>
  <c r="G65" i="9"/>
  <c r="V64" i="9"/>
  <c r="R64" i="9"/>
  <c r="Q64" i="9"/>
  <c r="P64" i="9"/>
  <c r="O64" i="9"/>
  <c r="U64" i="9" s="1"/>
  <c r="N64" i="9"/>
  <c r="T64" i="9" s="1"/>
  <c r="M64" i="9"/>
  <c r="H64" i="9" s="1"/>
  <c r="G64" i="9"/>
  <c r="X63" i="9"/>
  <c r="U63" i="9"/>
  <c r="T63" i="9"/>
  <c r="R63" i="9"/>
  <c r="Q63" i="9"/>
  <c r="P63" i="9"/>
  <c r="O63" i="9"/>
  <c r="N63" i="9"/>
  <c r="W63" i="9" s="1"/>
  <c r="M63" i="9"/>
  <c r="S63" i="9" s="1"/>
  <c r="G63" i="9"/>
  <c r="X62" i="9"/>
  <c r="U62" i="9"/>
  <c r="R62" i="9"/>
  <c r="Q62" i="9"/>
  <c r="P62" i="9"/>
  <c r="O62" i="9"/>
  <c r="N62" i="9"/>
  <c r="W62" i="9" s="1"/>
  <c r="M62" i="9"/>
  <c r="V62" i="9" s="1"/>
  <c r="G62" i="9"/>
  <c r="V61" i="9"/>
  <c r="R61" i="9"/>
  <c r="Q61" i="9"/>
  <c r="P61" i="9"/>
  <c r="O61" i="9"/>
  <c r="U61" i="9" s="1"/>
  <c r="N61" i="9"/>
  <c r="T61" i="9" s="1"/>
  <c r="M61" i="9"/>
  <c r="H61" i="9" s="1"/>
  <c r="G61" i="9"/>
  <c r="X60" i="9"/>
  <c r="U60" i="9"/>
  <c r="T60" i="9"/>
  <c r="R60" i="9"/>
  <c r="Q60" i="9"/>
  <c r="P60" i="9"/>
  <c r="O60" i="9"/>
  <c r="N60" i="9"/>
  <c r="W60" i="9" s="1"/>
  <c r="M60" i="9"/>
  <c r="S60" i="9" s="1"/>
  <c r="H60" i="9"/>
  <c r="G60" i="9"/>
  <c r="V59" i="9"/>
  <c r="S59" i="9"/>
  <c r="R59" i="9"/>
  <c r="Q59" i="9"/>
  <c r="P59" i="9"/>
  <c r="O59" i="9"/>
  <c r="X59" i="9" s="1"/>
  <c r="N59" i="9"/>
  <c r="W59" i="9" s="1"/>
  <c r="M59" i="9"/>
  <c r="H59" i="9"/>
  <c r="G59" i="9"/>
  <c r="X58" i="9"/>
  <c r="W58" i="9"/>
  <c r="T58" i="9"/>
  <c r="R58" i="9"/>
  <c r="Q58" i="9"/>
  <c r="P58" i="9"/>
  <c r="O58" i="9"/>
  <c r="U58" i="9" s="1"/>
  <c r="N58" i="9"/>
  <c r="M58" i="9"/>
  <c r="V58" i="9" s="1"/>
  <c r="H58" i="9"/>
  <c r="G58" i="9"/>
  <c r="AC57" i="9"/>
  <c r="W57" i="9"/>
  <c r="V57" i="9"/>
  <c r="S57" i="9"/>
  <c r="R57" i="9"/>
  <c r="Q57" i="9"/>
  <c r="P57" i="9"/>
  <c r="O57" i="9"/>
  <c r="U57" i="9" s="1"/>
  <c r="N57" i="9"/>
  <c r="T57" i="9" s="1"/>
  <c r="M57" i="9"/>
  <c r="H57" i="9" s="1"/>
  <c r="G57" i="9"/>
  <c r="U56" i="9"/>
  <c r="R56" i="9"/>
  <c r="Q56" i="9"/>
  <c r="P56" i="9"/>
  <c r="O56" i="9"/>
  <c r="X56" i="9" s="1"/>
  <c r="N56" i="9"/>
  <c r="T56" i="9" s="1"/>
  <c r="M56" i="9"/>
  <c r="H56" i="9" s="1"/>
  <c r="G56" i="9"/>
  <c r="W55" i="9"/>
  <c r="T55" i="9"/>
  <c r="S55" i="9"/>
  <c r="R55" i="9"/>
  <c r="Q55" i="9"/>
  <c r="P55" i="9"/>
  <c r="O55" i="9"/>
  <c r="X55" i="9" s="1"/>
  <c r="N55" i="9"/>
  <c r="M55" i="9"/>
  <c r="V55" i="9" s="1"/>
  <c r="H55" i="9"/>
  <c r="G55" i="9"/>
  <c r="X54" i="9"/>
  <c r="U54" i="9"/>
  <c r="R54" i="9"/>
  <c r="Q54" i="9"/>
  <c r="P54" i="9"/>
  <c r="O54" i="9"/>
  <c r="N54" i="9"/>
  <c r="W54" i="9" s="1"/>
  <c r="M54" i="9"/>
  <c r="V54" i="9" s="1"/>
  <c r="G54" i="9"/>
  <c r="AC53" i="9"/>
  <c r="Z53" i="9"/>
  <c r="N53" i="9" s="1"/>
  <c r="W53" i="9" s="1"/>
  <c r="X53" i="9"/>
  <c r="U53" i="9"/>
  <c r="R53" i="9"/>
  <c r="Q53" i="9"/>
  <c r="P53" i="9"/>
  <c r="O53" i="9"/>
  <c r="M53" i="9"/>
  <c r="V53" i="9" s="1"/>
  <c r="J53" i="9"/>
  <c r="T53" i="9" s="1"/>
  <c r="G53" i="9"/>
  <c r="AC52" i="9"/>
  <c r="N52" i="9" s="1"/>
  <c r="W52" i="9" s="1"/>
  <c r="X52" i="9"/>
  <c r="U52" i="9"/>
  <c r="R52" i="9"/>
  <c r="Q52" i="9"/>
  <c r="P52" i="9"/>
  <c r="O52" i="9"/>
  <c r="M52" i="9"/>
  <c r="V52" i="9" s="1"/>
  <c r="J52" i="9"/>
  <c r="T52" i="9" s="1"/>
  <c r="G52" i="9"/>
  <c r="AF51" i="9"/>
  <c r="N51" i="9" s="1"/>
  <c r="W51" i="9" s="1"/>
  <c r="X51" i="9"/>
  <c r="U51" i="9"/>
  <c r="R51" i="9"/>
  <c r="Q51" i="9"/>
  <c r="P51" i="9"/>
  <c r="O51" i="9"/>
  <c r="M51" i="9"/>
  <c r="V51" i="9" s="1"/>
  <c r="J51" i="9"/>
  <c r="T51" i="9" s="1"/>
  <c r="I51" i="9"/>
  <c r="S51" i="9" s="1"/>
  <c r="H51" i="9"/>
  <c r="G51" i="9"/>
  <c r="AF50" i="9"/>
  <c r="Q50" i="9" s="1"/>
  <c r="AC50" i="9"/>
  <c r="N50" i="9" s="1"/>
  <c r="W50" i="9" s="1"/>
  <c r="S50" i="9"/>
  <c r="R50" i="9"/>
  <c r="P50" i="9"/>
  <c r="O50" i="9"/>
  <c r="X50" i="9" s="1"/>
  <c r="M50" i="9"/>
  <c r="V50" i="9" s="1"/>
  <c r="J50" i="9"/>
  <c r="T50" i="9" s="1"/>
  <c r="H50" i="9"/>
  <c r="G50" i="9"/>
  <c r="AF49" i="9"/>
  <c r="N49" i="9" s="1"/>
  <c r="S49" i="9"/>
  <c r="R49" i="9"/>
  <c r="Q49" i="9"/>
  <c r="P49" i="9"/>
  <c r="O49" i="9"/>
  <c r="X49" i="9" s="1"/>
  <c r="M49" i="9"/>
  <c r="V49" i="9" s="1"/>
  <c r="H49" i="9"/>
  <c r="G49" i="9"/>
  <c r="AL48" i="9"/>
  <c r="Q48" i="9" s="1"/>
  <c r="AF48" i="9"/>
  <c r="N48" i="9" s="1"/>
  <c r="W48" i="9" s="1"/>
  <c r="S48" i="9"/>
  <c r="R48" i="9"/>
  <c r="P48" i="9"/>
  <c r="O48" i="9"/>
  <c r="X48" i="9" s="1"/>
  <c r="M48" i="9"/>
  <c r="V48" i="9" s="1"/>
  <c r="J48" i="9"/>
  <c r="H48" i="9"/>
  <c r="G48" i="9"/>
  <c r="V47" i="9"/>
  <c r="S47" i="9"/>
  <c r="R47" i="9"/>
  <c r="Q47" i="9"/>
  <c r="P47" i="9"/>
  <c r="O47" i="9"/>
  <c r="X47" i="9" s="1"/>
  <c r="N47" i="9"/>
  <c r="W47" i="9" s="1"/>
  <c r="M47" i="9"/>
  <c r="H47" i="9"/>
  <c r="G47" i="9"/>
  <c r="X46" i="9"/>
  <c r="W46" i="9"/>
  <c r="T46" i="9"/>
  <c r="R46" i="9"/>
  <c r="Q46" i="9"/>
  <c r="P46" i="9"/>
  <c r="O46" i="9"/>
  <c r="U46" i="9" s="1"/>
  <c r="N46" i="9"/>
  <c r="M46" i="9"/>
  <c r="V46" i="9" s="1"/>
  <c r="I46" i="9"/>
  <c r="S46" i="9" s="1"/>
  <c r="AQ45" i="9"/>
  <c r="AN45" i="9"/>
  <c r="AK45" i="9"/>
  <c r="M45" i="9" s="1"/>
  <c r="AH45" i="9"/>
  <c r="P45" i="9" s="1"/>
  <c r="R45" i="9"/>
  <c r="Q45" i="9"/>
  <c r="O45" i="9"/>
  <c r="X45" i="9" s="1"/>
  <c r="N45" i="9"/>
  <c r="K45" i="9"/>
  <c r="J45" i="9"/>
  <c r="W45" i="9" s="1"/>
  <c r="I45" i="9"/>
  <c r="G45" i="9" s="1"/>
  <c r="AR44" i="9"/>
  <c r="AQ44" i="9"/>
  <c r="AF44" i="9"/>
  <c r="AC44" i="9"/>
  <c r="N44" i="9" s="1"/>
  <c r="W44" i="9" s="1"/>
  <c r="X44" i="9"/>
  <c r="V44" i="9"/>
  <c r="R44" i="9"/>
  <c r="Q44" i="9"/>
  <c r="P44" i="9"/>
  <c r="O44" i="9"/>
  <c r="U44" i="9" s="1"/>
  <c r="M44" i="9"/>
  <c r="J44" i="9"/>
  <c r="T44" i="9" s="1"/>
  <c r="I44" i="9"/>
  <c r="S44" i="9" s="1"/>
  <c r="H44" i="9"/>
  <c r="G44" i="9"/>
  <c r="AQ43" i="9"/>
  <c r="P43" i="9" s="1"/>
  <c r="X43" i="9"/>
  <c r="U43" i="9"/>
  <c r="R43" i="9"/>
  <c r="Q43" i="9"/>
  <c r="O43" i="9"/>
  <c r="N43" i="9"/>
  <c r="W43" i="9" s="1"/>
  <c r="I43" i="9"/>
  <c r="G43" i="9"/>
  <c r="AN42" i="9"/>
  <c r="P42" i="9" s="1"/>
  <c r="X42" i="9"/>
  <c r="U42" i="9"/>
  <c r="R42" i="9"/>
  <c r="Q42" i="9"/>
  <c r="O42" i="9"/>
  <c r="N42" i="9"/>
  <c r="W42" i="9" s="1"/>
  <c r="I42" i="9"/>
  <c r="E42" i="9"/>
  <c r="G42" i="9" s="1"/>
  <c r="X41" i="9"/>
  <c r="U41" i="9"/>
  <c r="R41" i="9"/>
  <c r="Q41" i="9"/>
  <c r="P41" i="9"/>
  <c r="O41" i="9"/>
  <c r="N41" i="9"/>
  <c r="W41" i="9" s="1"/>
  <c r="M41" i="9"/>
  <c r="V41" i="9" s="1"/>
  <c r="I41" i="9"/>
  <c r="G41" i="9"/>
  <c r="AR40" i="9"/>
  <c r="N40" i="9" s="1"/>
  <c r="X40" i="9"/>
  <c r="U40" i="9"/>
  <c r="R40" i="9"/>
  <c r="Q40" i="9"/>
  <c r="P40" i="9"/>
  <c r="O40" i="9"/>
  <c r="M40" i="9"/>
  <c r="V40" i="9" s="1"/>
  <c r="G40" i="9"/>
  <c r="W39" i="9"/>
  <c r="V39" i="9"/>
  <c r="S39" i="9"/>
  <c r="R39" i="9"/>
  <c r="Q39" i="9"/>
  <c r="P39" i="9"/>
  <c r="O39" i="9"/>
  <c r="N39" i="9"/>
  <c r="T39" i="9" s="1"/>
  <c r="M39" i="9"/>
  <c r="H39" i="9" s="1"/>
  <c r="G39" i="9"/>
  <c r="U38" i="9"/>
  <c r="R38" i="9"/>
  <c r="Q38" i="9"/>
  <c r="P38" i="9"/>
  <c r="O38" i="9"/>
  <c r="X38" i="9" s="1"/>
  <c r="N38" i="9"/>
  <c r="T38" i="9" s="1"/>
  <c r="M38" i="9"/>
  <c r="G38" i="9"/>
  <c r="W37" i="9"/>
  <c r="T37" i="9"/>
  <c r="S37" i="9"/>
  <c r="R37" i="9"/>
  <c r="Q37" i="9"/>
  <c r="P37" i="9"/>
  <c r="O37" i="9"/>
  <c r="X37" i="9" s="1"/>
  <c r="N37" i="9"/>
  <c r="M37" i="9"/>
  <c r="V37" i="9" s="1"/>
  <c r="H37" i="9"/>
  <c r="G37" i="9"/>
  <c r="AC36" i="9"/>
  <c r="V36" i="9"/>
  <c r="S36" i="9"/>
  <c r="R36" i="9"/>
  <c r="Q36" i="9"/>
  <c r="P36" i="9"/>
  <c r="O36" i="9"/>
  <c r="X36" i="9" s="1"/>
  <c r="N36" i="9"/>
  <c r="W36" i="9" s="1"/>
  <c r="M36" i="9"/>
  <c r="J36" i="9"/>
  <c r="T36" i="9" s="1"/>
  <c r="H36" i="9"/>
  <c r="G36" i="9"/>
  <c r="AN35" i="9"/>
  <c r="P35" i="9" s="1"/>
  <c r="R35" i="9"/>
  <c r="Q35" i="9"/>
  <c r="O35" i="9"/>
  <c r="X35" i="9" s="1"/>
  <c r="N35" i="9"/>
  <c r="W35" i="9" s="1"/>
  <c r="G35" i="9"/>
  <c r="X34" i="9"/>
  <c r="W34" i="9"/>
  <c r="T34" i="9"/>
  <c r="R34" i="9"/>
  <c r="Q34" i="9"/>
  <c r="P34" i="9"/>
  <c r="O34" i="9"/>
  <c r="U34" i="9" s="1"/>
  <c r="N34" i="9"/>
  <c r="M34" i="9"/>
  <c r="V34" i="9" s="1"/>
  <c r="H34" i="9"/>
  <c r="G34" i="9"/>
  <c r="V33" i="9"/>
  <c r="R33" i="9"/>
  <c r="Q33" i="9"/>
  <c r="P33" i="9"/>
  <c r="O33" i="9"/>
  <c r="N33" i="9"/>
  <c r="T33" i="9" s="1"/>
  <c r="M33" i="9"/>
  <c r="H33" i="9" s="1"/>
  <c r="G33" i="9"/>
  <c r="AQ32" i="9"/>
  <c r="U32" i="9"/>
  <c r="R32" i="9"/>
  <c r="Q32" i="9"/>
  <c r="O32" i="9"/>
  <c r="X32" i="9" s="1"/>
  <c r="N32" i="9"/>
  <c r="W32" i="9" s="1"/>
  <c r="J32" i="9"/>
  <c r="T32" i="9" s="1"/>
  <c r="I32" i="9"/>
  <c r="G32" i="9"/>
  <c r="AR31" i="9"/>
  <c r="V31" i="9"/>
  <c r="R31" i="9"/>
  <c r="Q31" i="9"/>
  <c r="P31" i="9"/>
  <c r="O31" i="9"/>
  <c r="N31" i="9"/>
  <c r="W31" i="9" s="1"/>
  <c r="M31" i="9"/>
  <c r="S31" i="9" s="1"/>
  <c r="J31" i="9"/>
  <c r="G31" i="9"/>
  <c r="U30" i="9"/>
  <c r="R30" i="9"/>
  <c r="Q30" i="9"/>
  <c r="P30" i="9"/>
  <c r="O30" i="9"/>
  <c r="X30" i="9" s="1"/>
  <c r="N30" i="9"/>
  <c r="M30" i="9"/>
  <c r="V30" i="9" s="1"/>
  <c r="G30" i="9"/>
  <c r="AR29" i="9"/>
  <c r="N29" i="9" s="1"/>
  <c r="W29" i="9" s="1"/>
  <c r="X29" i="9"/>
  <c r="U29" i="9"/>
  <c r="T29" i="9"/>
  <c r="R29" i="9"/>
  <c r="Q29" i="9"/>
  <c r="P29" i="9"/>
  <c r="O29" i="9"/>
  <c r="M29" i="9"/>
  <c r="H29" i="9"/>
  <c r="G29" i="9"/>
  <c r="Z28" i="9"/>
  <c r="N28" i="9" s="1"/>
  <c r="W28" i="9" s="1"/>
  <c r="S28" i="9"/>
  <c r="R28" i="9"/>
  <c r="Q28" i="9"/>
  <c r="P28" i="9"/>
  <c r="O28" i="9"/>
  <c r="M28" i="9"/>
  <c r="V28" i="9" s="1"/>
  <c r="H28" i="9"/>
  <c r="G28" i="9"/>
  <c r="X27" i="9"/>
  <c r="U27" i="9"/>
  <c r="R27" i="9"/>
  <c r="Q27" i="9"/>
  <c r="P27" i="9"/>
  <c r="O27" i="9"/>
  <c r="N27" i="9"/>
  <c r="W27" i="9" s="1"/>
  <c r="M27" i="9"/>
  <c r="I27" i="9"/>
  <c r="G27" i="9"/>
  <c r="X26" i="9"/>
  <c r="W26" i="9"/>
  <c r="T26" i="9"/>
  <c r="R26" i="9"/>
  <c r="Q26" i="9"/>
  <c r="P26" i="9"/>
  <c r="O26" i="9"/>
  <c r="U26" i="9" s="1"/>
  <c r="N26" i="9"/>
  <c r="M26" i="9"/>
  <c r="V26" i="9" s="1"/>
  <c r="H26" i="9"/>
  <c r="G26" i="9"/>
  <c r="T25" i="9"/>
  <c r="W24" i="9"/>
  <c r="V24" i="9"/>
  <c r="S24" i="9"/>
  <c r="R24" i="9"/>
  <c r="Q24" i="9"/>
  <c r="P24" i="9"/>
  <c r="O24" i="9"/>
  <c r="U24" i="9" s="1"/>
  <c r="N24" i="9"/>
  <c r="T24" i="9" s="1"/>
  <c r="M24" i="9"/>
  <c r="I24" i="9"/>
  <c r="G24" i="9"/>
  <c r="AQ23" i="9"/>
  <c r="AI23" i="9"/>
  <c r="AF23" i="9"/>
  <c r="AC23" i="9"/>
  <c r="N23" i="9" s="1"/>
  <c r="X23" i="9"/>
  <c r="U23" i="9"/>
  <c r="R23" i="9"/>
  <c r="P23" i="9"/>
  <c r="O23" i="9"/>
  <c r="M23" i="9"/>
  <c r="G23" i="9"/>
  <c r="AF22" i="9"/>
  <c r="Z22" i="9"/>
  <c r="Z12" i="9" s="1"/>
  <c r="X22" i="9"/>
  <c r="W22" i="9"/>
  <c r="U22" i="9"/>
  <c r="T22" i="9"/>
  <c r="R22" i="9"/>
  <c r="Q22" i="9"/>
  <c r="P22" i="9"/>
  <c r="O22" i="9"/>
  <c r="M22" i="9"/>
  <c r="V22" i="9" s="1"/>
  <c r="I22" i="9"/>
  <c r="W21" i="9"/>
  <c r="V21" i="9"/>
  <c r="S21" i="9"/>
  <c r="R21" i="9"/>
  <c r="Q21" i="9"/>
  <c r="P21" i="9"/>
  <c r="O21" i="9"/>
  <c r="U21" i="9" s="1"/>
  <c r="N21" i="9"/>
  <c r="T21" i="9" s="1"/>
  <c r="M21" i="9"/>
  <c r="H21" i="9" s="1"/>
  <c r="G21" i="9"/>
  <c r="AQ20" i="9"/>
  <c r="AF20" i="9"/>
  <c r="AC20" i="9"/>
  <c r="N20" i="9" s="1"/>
  <c r="T20" i="9" s="1"/>
  <c r="R20" i="9"/>
  <c r="P20" i="9"/>
  <c r="O20" i="9"/>
  <c r="U20" i="9" s="1"/>
  <c r="M20" i="9"/>
  <c r="V20" i="9" s="1"/>
  <c r="H20" i="9"/>
  <c r="G20" i="9"/>
  <c r="AQ19" i="9"/>
  <c r="AN19" i="9"/>
  <c r="AL19" i="9"/>
  <c r="AF19" i="9"/>
  <c r="AF12" i="9" s="1"/>
  <c r="R19" i="9"/>
  <c r="O19" i="9"/>
  <c r="X19" i="9" s="1"/>
  <c r="N19" i="9"/>
  <c r="I19" i="9"/>
  <c r="G19" i="9"/>
  <c r="AR18" i="9"/>
  <c r="Q18" i="9" s="1"/>
  <c r="AC18" i="9"/>
  <c r="S18" i="9"/>
  <c r="R18" i="9"/>
  <c r="P18" i="9"/>
  <c r="O18" i="9"/>
  <c r="M18" i="9"/>
  <c r="V18" i="9" s="1"/>
  <c r="I18" i="9"/>
  <c r="G18" i="9" s="1"/>
  <c r="H18" i="9"/>
  <c r="V17" i="9"/>
  <c r="S17" i="9"/>
  <c r="R17" i="9"/>
  <c r="Q17" i="9"/>
  <c r="P17" i="9"/>
  <c r="O17" i="9"/>
  <c r="X17" i="9" s="1"/>
  <c r="N17" i="9"/>
  <c r="W17" i="9" s="1"/>
  <c r="M17" i="9"/>
  <c r="J17" i="9"/>
  <c r="T17" i="9" s="1"/>
  <c r="H17" i="9"/>
  <c r="G17" i="9"/>
  <c r="AR16" i="9"/>
  <c r="Q16" i="9" s="1"/>
  <c r="V16" i="9"/>
  <c r="S16" i="9"/>
  <c r="R16" i="9"/>
  <c r="P16" i="9"/>
  <c r="O16" i="9"/>
  <c r="X16" i="9" s="1"/>
  <c r="N16" i="9"/>
  <c r="W16" i="9" s="1"/>
  <c r="M16" i="9"/>
  <c r="J16" i="9"/>
  <c r="H16" i="9"/>
  <c r="G16" i="9"/>
  <c r="AR15" i="9"/>
  <c r="Q15" i="9" s="1"/>
  <c r="AL15" i="9"/>
  <c r="N15" i="9" s="1"/>
  <c r="R15" i="9"/>
  <c r="P15" i="9"/>
  <c r="O15" i="9"/>
  <c r="M15" i="9"/>
  <c r="I15" i="9"/>
  <c r="H15" i="9"/>
  <c r="V14" i="9"/>
  <c r="S14" i="9"/>
  <c r="R14" i="9"/>
  <c r="Q14" i="9"/>
  <c r="P14" i="9"/>
  <c r="O14" i="9"/>
  <c r="X14" i="9" s="1"/>
  <c r="N14" i="9"/>
  <c r="M14" i="9"/>
  <c r="H14" i="9"/>
  <c r="G14" i="9"/>
  <c r="W13" i="9"/>
  <c r="T13" i="9"/>
  <c r="R13" i="9"/>
  <c r="Q13" i="9"/>
  <c r="P13" i="9"/>
  <c r="O13" i="9"/>
  <c r="U13" i="9" s="1"/>
  <c r="N13" i="9"/>
  <c r="M13" i="9"/>
  <c r="H13" i="9" s="1"/>
  <c r="G13" i="9"/>
  <c r="BK12" i="9"/>
  <c r="BJ12" i="9"/>
  <c r="BI12" i="9"/>
  <c r="BH12" i="9"/>
  <c r="BG12" i="9"/>
  <c r="BF12" i="9"/>
  <c r="BE12" i="9"/>
  <c r="BD12" i="9"/>
  <c r="BC12" i="9"/>
  <c r="BB12" i="9"/>
  <c r="BA12" i="9"/>
  <c r="AZ12" i="9"/>
  <c r="AY12" i="9"/>
  <c r="AX12" i="9"/>
  <c r="AW12" i="9"/>
  <c r="AV12" i="9"/>
  <c r="AU12" i="9"/>
  <c r="AT12" i="9"/>
  <c r="AS12" i="9"/>
  <c r="AP12" i="9"/>
  <c r="AO12" i="9"/>
  <c r="AM12" i="9"/>
  <c r="AL12" i="9"/>
  <c r="AL3" i="9" s="1"/>
  <c r="AK12" i="9"/>
  <c r="AJ12" i="9"/>
  <c r="AI12" i="9"/>
  <c r="AH12" i="9"/>
  <c r="AG12" i="9"/>
  <c r="AE12" i="9"/>
  <c r="AD12" i="9"/>
  <c r="AC12" i="9"/>
  <c r="AB12" i="9"/>
  <c r="AA12" i="9"/>
  <c r="R12" i="9" s="1"/>
  <c r="Y12" i="9"/>
  <c r="L12" i="9"/>
  <c r="K12" i="9"/>
  <c r="J12" i="9"/>
  <c r="F12" i="9"/>
  <c r="E12" i="9"/>
  <c r="U11" i="9"/>
  <c r="S11" i="9"/>
  <c r="R11" i="9"/>
  <c r="Q11" i="9"/>
  <c r="P11" i="9"/>
  <c r="O11" i="9"/>
  <c r="X11" i="9" s="1"/>
  <c r="N11" i="9"/>
  <c r="T11" i="9" s="1"/>
  <c r="M11" i="9"/>
  <c r="H11" i="9" s="1"/>
  <c r="G11" i="9"/>
  <c r="W10" i="9"/>
  <c r="R10" i="9"/>
  <c r="Q10" i="9"/>
  <c r="P10" i="9"/>
  <c r="O10" i="9"/>
  <c r="X10" i="9" s="1"/>
  <c r="N10" i="9"/>
  <c r="T10" i="9" s="1"/>
  <c r="M10" i="9"/>
  <c r="V10" i="9" s="1"/>
  <c r="I10" i="9"/>
  <c r="G10" i="9" s="1"/>
  <c r="X9" i="9"/>
  <c r="V9" i="9"/>
  <c r="U9" i="9"/>
  <c r="R9" i="9"/>
  <c r="Q9" i="9"/>
  <c r="P9" i="9"/>
  <c r="O9" i="9"/>
  <c r="N9" i="9"/>
  <c r="W9" i="9" s="1"/>
  <c r="M9" i="9"/>
  <c r="S9" i="9" s="1"/>
  <c r="H9" i="9"/>
  <c r="G9" i="9"/>
  <c r="AR8" i="9"/>
  <c r="W8" i="9"/>
  <c r="T8" i="9"/>
  <c r="R8" i="9"/>
  <c r="Q8" i="9"/>
  <c r="P8" i="9"/>
  <c r="O8" i="9"/>
  <c r="N8" i="9"/>
  <c r="M8" i="9"/>
  <c r="V8" i="9" s="1"/>
  <c r="G8" i="9"/>
  <c r="W7" i="9"/>
  <c r="U7" i="9"/>
  <c r="T7" i="9"/>
  <c r="R7" i="9"/>
  <c r="Q7" i="9"/>
  <c r="P7" i="9"/>
  <c r="O7" i="9"/>
  <c r="X7" i="9" s="1"/>
  <c r="N7" i="9"/>
  <c r="M7" i="9"/>
  <c r="G7" i="9"/>
  <c r="W6" i="9"/>
  <c r="S6" i="9"/>
  <c r="R6" i="9"/>
  <c r="Q6" i="9"/>
  <c r="P6" i="9"/>
  <c r="O6" i="9"/>
  <c r="X6" i="9" s="1"/>
  <c r="N6" i="9"/>
  <c r="T6" i="9" s="1"/>
  <c r="M6" i="9"/>
  <c r="H6" i="9" s="1"/>
  <c r="G6" i="9"/>
  <c r="S5" i="9"/>
  <c r="R5" i="9"/>
  <c r="Q5" i="9"/>
  <c r="P5" i="9"/>
  <c r="O5" i="9"/>
  <c r="N5" i="9"/>
  <c r="M5" i="9"/>
  <c r="BK4" i="9"/>
  <c r="BJ4" i="9"/>
  <c r="BI4" i="9"/>
  <c r="BH4" i="9"/>
  <c r="BG4" i="9"/>
  <c r="BG3" i="9" s="1"/>
  <c r="BF4" i="9"/>
  <c r="BF3" i="9" s="1"/>
  <c r="BE4" i="9"/>
  <c r="BD4" i="9"/>
  <c r="BC4" i="9"/>
  <c r="BB4" i="9"/>
  <c r="BA4" i="9"/>
  <c r="BA3" i="9" s="1"/>
  <c r="AZ4" i="9"/>
  <c r="AY4" i="9"/>
  <c r="AY3" i="9" s="1"/>
  <c r="AX4" i="9"/>
  <c r="AX3" i="9" s="1"/>
  <c r="AW4" i="9"/>
  <c r="AV4" i="9"/>
  <c r="AU4" i="9"/>
  <c r="AU3" i="9" s="1"/>
  <c r="AT4" i="9"/>
  <c r="AS4" i="9"/>
  <c r="AS3" i="9" s="1"/>
  <c r="AR4" i="9"/>
  <c r="AQ4" i="9"/>
  <c r="AP4" i="9"/>
  <c r="AP3" i="9" s="1"/>
  <c r="AO4" i="9"/>
  <c r="AN4" i="9"/>
  <c r="AM4" i="9"/>
  <c r="AM3" i="9" s="1"/>
  <c r="AL4" i="9"/>
  <c r="AK4" i="9"/>
  <c r="AK3" i="9" s="1"/>
  <c r="AJ4" i="9"/>
  <c r="AI4" i="9"/>
  <c r="AH4" i="9"/>
  <c r="AH3" i="9" s="1"/>
  <c r="AG4" i="9"/>
  <c r="AF4" i="9"/>
  <c r="AE4" i="9"/>
  <c r="AE3" i="9" s="1"/>
  <c r="AD4" i="9"/>
  <c r="AC4" i="9"/>
  <c r="AC3" i="9" s="1"/>
  <c r="AB4" i="9"/>
  <c r="AA4" i="9"/>
  <c r="AA3" i="9" s="1"/>
  <c r="Z4" i="9"/>
  <c r="Y4" i="9"/>
  <c r="O4" i="9"/>
  <c r="L4" i="9"/>
  <c r="L193" i="9" s="1"/>
  <c r="J4" i="9"/>
  <c r="I4" i="9"/>
  <c r="F4" i="9"/>
  <c r="E4" i="9"/>
  <c r="BB3" i="9"/>
  <c r="AT3" i="9"/>
  <c r="AD3" i="9"/>
  <c r="K3" i="9"/>
  <c r="AZ191" i="8"/>
  <c r="AL191" i="8"/>
  <c r="AH191" i="8"/>
  <c r="AF191" i="8"/>
  <c r="AD191" i="8"/>
  <c r="E191" i="8" s="1"/>
  <c r="Z191" i="8"/>
  <c r="F191" i="8"/>
  <c r="X187" i="8"/>
  <c r="V187" i="8"/>
  <c r="U187" i="8"/>
  <c r="R187" i="8"/>
  <c r="Q187" i="8"/>
  <c r="P187" i="8"/>
  <c r="O187" i="8"/>
  <c r="N187" i="8"/>
  <c r="W187" i="8" s="1"/>
  <c r="M187" i="8"/>
  <c r="S187" i="8" s="1"/>
  <c r="H187" i="8"/>
  <c r="G187" i="8"/>
  <c r="X186" i="8"/>
  <c r="V186" i="8"/>
  <c r="U186" i="8"/>
  <c r="S186" i="8"/>
  <c r="R186" i="8"/>
  <c r="Q186" i="8"/>
  <c r="P186" i="8"/>
  <c r="O186" i="8"/>
  <c r="N186" i="8"/>
  <c r="M186" i="8"/>
  <c r="H186" i="8"/>
  <c r="G186" i="8"/>
  <c r="X185" i="8"/>
  <c r="V185" i="8"/>
  <c r="T185" i="8"/>
  <c r="S185" i="8"/>
  <c r="R185" i="8"/>
  <c r="Q185" i="8"/>
  <c r="P185" i="8"/>
  <c r="O185" i="8"/>
  <c r="U185" i="8" s="1"/>
  <c r="N185" i="8"/>
  <c r="W185" i="8" s="1"/>
  <c r="M185" i="8"/>
  <c r="X184" i="8"/>
  <c r="V184" i="8"/>
  <c r="U184" i="8"/>
  <c r="R184" i="8"/>
  <c r="Q184" i="8"/>
  <c r="P184" i="8"/>
  <c r="O184" i="8"/>
  <c r="N184" i="8"/>
  <c r="M184" i="8"/>
  <c r="S184" i="8" s="1"/>
  <c r="H184" i="8"/>
  <c r="G184" i="8"/>
  <c r="BK183" i="8"/>
  <c r="BJ183" i="8"/>
  <c r="BI183" i="8"/>
  <c r="BH183" i="8"/>
  <c r="BG183" i="8"/>
  <c r="BF183" i="8"/>
  <c r="BE183" i="8"/>
  <c r="BD183" i="8"/>
  <c r="BC183" i="8"/>
  <c r="BB183" i="8"/>
  <c r="BA183" i="8"/>
  <c r="AZ183" i="8"/>
  <c r="AY183" i="8"/>
  <c r="AX183" i="8"/>
  <c r="AW183" i="8"/>
  <c r="AV183" i="8"/>
  <c r="AU183" i="8"/>
  <c r="AT183" i="8"/>
  <c r="AS183" i="8"/>
  <c r="AR183" i="8"/>
  <c r="AQ183" i="8"/>
  <c r="AP183" i="8"/>
  <c r="AO183" i="8"/>
  <c r="AN183" i="8"/>
  <c r="AM183" i="8"/>
  <c r="AL183" i="8"/>
  <c r="AK183" i="8"/>
  <c r="AJ183" i="8"/>
  <c r="AI183" i="8"/>
  <c r="AH183" i="8"/>
  <c r="AG183" i="8"/>
  <c r="AF183" i="8"/>
  <c r="AE183" i="8"/>
  <c r="AD183" i="8"/>
  <c r="AC183" i="8"/>
  <c r="Q183" i="8" s="1"/>
  <c r="AB183" i="8"/>
  <c r="AA183" i="8"/>
  <c r="R183" i="8" s="1"/>
  <c r="Z183" i="8"/>
  <c r="Y183" i="8"/>
  <c r="U183" i="8"/>
  <c r="O183" i="8"/>
  <c r="X183" i="8" s="1"/>
  <c r="M183" i="8"/>
  <c r="L183" i="8"/>
  <c r="K183" i="8"/>
  <c r="J183" i="8"/>
  <c r="I183" i="8"/>
  <c r="F183" i="8"/>
  <c r="E183" i="8"/>
  <c r="W182" i="8"/>
  <c r="R182" i="8"/>
  <c r="Q182" i="8"/>
  <c r="P182" i="8"/>
  <c r="O182" i="8"/>
  <c r="X182" i="8" s="1"/>
  <c r="N182" i="8"/>
  <c r="T182" i="8" s="1"/>
  <c r="M182" i="8"/>
  <c r="V182" i="8" s="1"/>
  <c r="G182" i="8"/>
  <c r="W181" i="8"/>
  <c r="T181" i="8"/>
  <c r="R181" i="8"/>
  <c r="Q181" i="8"/>
  <c r="P181" i="8"/>
  <c r="O181" i="8"/>
  <c r="N181" i="8"/>
  <c r="M181" i="8"/>
  <c r="V181" i="8" s="1"/>
  <c r="W180" i="8"/>
  <c r="S180" i="8"/>
  <c r="R180" i="8"/>
  <c r="Q180" i="8"/>
  <c r="P180" i="8"/>
  <c r="O180" i="8"/>
  <c r="X180" i="8" s="1"/>
  <c r="N180" i="8"/>
  <c r="T180" i="8" s="1"/>
  <c r="M180" i="8"/>
  <c r="V180" i="8" s="1"/>
  <c r="W179" i="8"/>
  <c r="T179" i="8"/>
  <c r="S179" i="8"/>
  <c r="R179" i="8"/>
  <c r="Q179" i="8"/>
  <c r="P179" i="8"/>
  <c r="O179" i="8"/>
  <c r="N179" i="8"/>
  <c r="M179" i="8"/>
  <c r="V179" i="8" s="1"/>
  <c r="W178" i="8"/>
  <c r="S178" i="8"/>
  <c r="R178" i="8"/>
  <c r="Q178" i="8"/>
  <c r="P178" i="8"/>
  <c r="O178" i="8"/>
  <c r="X178" i="8" s="1"/>
  <c r="N178" i="8"/>
  <c r="T178" i="8" s="1"/>
  <c r="M178" i="8"/>
  <c r="H178" i="8" s="1"/>
  <c r="G178" i="8"/>
  <c r="W177" i="8"/>
  <c r="U177" i="8"/>
  <c r="R177" i="8"/>
  <c r="Q177" i="8"/>
  <c r="P177" i="8"/>
  <c r="O177" i="8"/>
  <c r="O176" i="8" s="1"/>
  <c r="X176" i="8" s="1"/>
  <c r="N177" i="8"/>
  <c r="T177" i="8" s="1"/>
  <c r="M177" i="8"/>
  <c r="M176" i="8" s="1"/>
  <c r="H176" i="8" s="1"/>
  <c r="G177" i="8"/>
  <c r="BK176" i="8"/>
  <c r="BJ176" i="8"/>
  <c r="BI176" i="8"/>
  <c r="BH176" i="8"/>
  <c r="BG176" i="8"/>
  <c r="BF176" i="8"/>
  <c r="BE176" i="8"/>
  <c r="BD176" i="8"/>
  <c r="BC176" i="8"/>
  <c r="BB176" i="8"/>
  <c r="BB168" i="8" s="1"/>
  <c r="BA176" i="8"/>
  <c r="AZ176" i="8"/>
  <c r="AY176" i="8"/>
  <c r="AX176" i="8"/>
  <c r="AW176" i="8"/>
  <c r="AV176" i="8"/>
  <c r="AU176" i="8"/>
  <c r="AT176" i="8"/>
  <c r="AT168" i="8" s="1"/>
  <c r="AS176" i="8"/>
  <c r="AR176" i="8"/>
  <c r="AQ176" i="8"/>
  <c r="AP176" i="8"/>
  <c r="AO176" i="8"/>
  <c r="AN176" i="8"/>
  <c r="AM176" i="8"/>
  <c r="AL176" i="8"/>
  <c r="AL168" i="8" s="1"/>
  <c r="AK176" i="8"/>
  <c r="AJ176" i="8"/>
  <c r="AI176" i="8"/>
  <c r="AH176" i="8"/>
  <c r="AG176" i="8"/>
  <c r="AF176" i="8"/>
  <c r="AE176" i="8"/>
  <c r="AD176" i="8"/>
  <c r="AC176" i="8"/>
  <c r="AB176" i="8"/>
  <c r="AA176" i="8"/>
  <c r="Z176" i="8"/>
  <c r="Y176" i="8"/>
  <c r="V176" i="8"/>
  <c r="N176" i="8"/>
  <c r="W176" i="8" s="1"/>
  <c r="L176" i="8"/>
  <c r="K176" i="8"/>
  <c r="J176" i="8"/>
  <c r="I176" i="8"/>
  <c r="G176" i="8" s="1"/>
  <c r="F176" i="8"/>
  <c r="F168" i="8" s="1"/>
  <c r="E176" i="8"/>
  <c r="X175" i="8"/>
  <c r="V175" i="8"/>
  <c r="R175" i="8"/>
  <c r="Q175" i="8"/>
  <c r="P175" i="8"/>
  <c r="O175" i="8"/>
  <c r="U175" i="8" s="1"/>
  <c r="N175" i="8"/>
  <c r="W175" i="8" s="1"/>
  <c r="M175" i="8"/>
  <c r="S175" i="8" s="1"/>
  <c r="H175" i="8"/>
  <c r="G175" i="8"/>
  <c r="X174" i="8"/>
  <c r="V174" i="8"/>
  <c r="U174" i="8"/>
  <c r="T174" i="8"/>
  <c r="R174" i="8"/>
  <c r="Q174" i="8"/>
  <c r="P174" i="8"/>
  <c r="O174" i="8"/>
  <c r="N174" i="8"/>
  <c r="W174" i="8" s="1"/>
  <c r="M174" i="8"/>
  <c r="S174" i="8" s="1"/>
  <c r="S169" i="8" s="1"/>
  <c r="H174" i="8"/>
  <c r="G174" i="8"/>
  <c r="X173" i="8"/>
  <c r="V173" i="8"/>
  <c r="U173" i="8"/>
  <c r="S173" i="8"/>
  <c r="R173" i="8"/>
  <c r="Q173" i="8"/>
  <c r="P173" i="8"/>
  <c r="O173" i="8"/>
  <c r="N173" i="8"/>
  <c r="M173" i="8"/>
  <c r="H173" i="8"/>
  <c r="G173" i="8"/>
  <c r="X172" i="8"/>
  <c r="V172" i="8"/>
  <c r="T172" i="8"/>
  <c r="S172" i="8"/>
  <c r="R172" i="8"/>
  <c r="Q172" i="8"/>
  <c r="P172" i="8"/>
  <c r="O172" i="8"/>
  <c r="U172" i="8" s="1"/>
  <c r="U169" i="8" s="1"/>
  <c r="N172" i="8"/>
  <c r="W172" i="8" s="1"/>
  <c r="M172" i="8"/>
  <c r="H172" i="8"/>
  <c r="G172" i="8"/>
  <c r="N171" i="8"/>
  <c r="N169" i="8" s="1"/>
  <c r="H171" i="8"/>
  <c r="G171" i="8"/>
  <c r="N170" i="8"/>
  <c r="H170" i="8"/>
  <c r="G170" i="8"/>
  <c r="BK169" i="8"/>
  <c r="BJ169" i="8"/>
  <c r="BI169" i="8"/>
  <c r="BH169" i="8"/>
  <c r="BH168" i="8" s="1"/>
  <c r="BG169" i="8"/>
  <c r="BG168" i="8" s="1"/>
  <c r="BF169" i="8"/>
  <c r="BE169" i="8"/>
  <c r="BE168" i="8" s="1"/>
  <c r="BD169" i="8"/>
  <c r="BC169" i="8"/>
  <c r="BC168" i="8" s="1"/>
  <c r="BB169" i="8"/>
  <c r="BA169" i="8"/>
  <c r="BA168" i="8" s="1"/>
  <c r="AZ169" i="8"/>
  <c r="AZ168" i="8" s="1"/>
  <c r="AY169" i="8"/>
  <c r="AY168" i="8" s="1"/>
  <c r="AX169" i="8"/>
  <c r="AW169" i="8"/>
  <c r="AW168" i="8" s="1"/>
  <c r="AV169" i="8"/>
  <c r="AU169" i="8"/>
  <c r="AU168" i="8" s="1"/>
  <c r="AT169" i="8"/>
  <c r="AS169" i="8"/>
  <c r="AS168" i="8" s="1"/>
  <c r="AR169" i="8"/>
  <c r="AR168" i="8" s="1"/>
  <c r="AQ169" i="8"/>
  <c r="AQ168" i="8" s="1"/>
  <c r="AP169" i="8"/>
  <c r="AO169" i="8"/>
  <c r="AO168" i="8" s="1"/>
  <c r="AN169" i="8"/>
  <c r="AM169" i="8"/>
  <c r="AM168" i="8" s="1"/>
  <c r="AL169" i="8"/>
  <c r="AK169" i="8"/>
  <c r="AK168" i="8" s="1"/>
  <c r="AJ169" i="8"/>
  <c r="AJ168" i="8" s="1"/>
  <c r="AI169" i="8"/>
  <c r="AI168" i="8" s="1"/>
  <c r="AH169" i="8"/>
  <c r="AG169" i="8"/>
  <c r="AG168" i="8" s="1"/>
  <c r="AF169" i="8"/>
  <c r="AE169" i="8"/>
  <c r="AE168" i="8" s="1"/>
  <c r="AD169" i="8"/>
  <c r="AC169" i="8"/>
  <c r="AC168" i="8" s="1"/>
  <c r="AB169" i="8"/>
  <c r="AB168" i="8" s="1"/>
  <c r="AA169" i="8"/>
  <c r="AA168" i="8" s="1"/>
  <c r="Z169" i="8"/>
  <c r="Y169" i="8"/>
  <c r="Y168" i="8" s="1"/>
  <c r="W169" i="8"/>
  <c r="O169" i="8"/>
  <c r="M169" i="8"/>
  <c r="H169" i="8" s="1"/>
  <c r="L169" i="8"/>
  <c r="L168" i="8" s="1"/>
  <c r="K169" i="8"/>
  <c r="K168" i="8" s="1"/>
  <c r="J169" i="8"/>
  <c r="I169" i="8"/>
  <c r="I168" i="8" s="1"/>
  <c r="G168" i="8" s="1"/>
  <c r="G169" i="8"/>
  <c r="F169" i="8"/>
  <c r="E169" i="8"/>
  <c r="E168" i="8" s="1"/>
  <c r="BF168" i="8"/>
  <c r="BD168" i="8"/>
  <c r="AX168" i="8"/>
  <c r="AV168" i="8"/>
  <c r="AP168" i="8"/>
  <c r="AN168" i="8"/>
  <c r="AH168" i="8"/>
  <c r="AF168" i="8"/>
  <c r="Z168" i="8"/>
  <c r="J168" i="8"/>
  <c r="X167" i="8"/>
  <c r="V167" i="8"/>
  <c r="U167" i="8"/>
  <c r="S167" i="8"/>
  <c r="R167" i="8"/>
  <c r="Q167" i="8"/>
  <c r="P167" i="8"/>
  <c r="O167" i="8"/>
  <c r="N167" i="8"/>
  <c r="H167" i="8"/>
  <c r="G167" i="8"/>
  <c r="W166" i="8"/>
  <c r="S166" i="8"/>
  <c r="S165" i="8" s="1"/>
  <c r="R166" i="8"/>
  <c r="Q166" i="8"/>
  <c r="P166" i="8"/>
  <c r="O166" i="8"/>
  <c r="O165" i="8" s="1"/>
  <c r="N166" i="8"/>
  <c r="T166" i="8" s="1"/>
  <c r="M166" i="8"/>
  <c r="H166" i="8" s="1"/>
  <c r="G166" i="8"/>
  <c r="BK165" i="8"/>
  <c r="BJ165" i="8"/>
  <c r="Q165" i="8" s="1"/>
  <c r="BI165" i="8"/>
  <c r="BH165" i="8"/>
  <c r="BG165" i="8"/>
  <c r="BF165" i="8"/>
  <c r="BE165" i="8"/>
  <c r="BD165" i="8"/>
  <c r="BC165" i="8"/>
  <c r="BB165" i="8"/>
  <c r="BA165" i="8"/>
  <c r="AZ165" i="8"/>
  <c r="AY165" i="8"/>
  <c r="AX165" i="8"/>
  <c r="AW165" i="8"/>
  <c r="AV165" i="8"/>
  <c r="AU165" i="8"/>
  <c r="AT165" i="8"/>
  <c r="AS165" i="8"/>
  <c r="AR165" i="8"/>
  <c r="AQ165" i="8"/>
  <c r="AP165" i="8"/>
  <c r="AO165" i="8"/>
  <c r="AN165" i="8"/>
  <c r="AM165" i="8"/>
  <c r="AL165" i="8"/>
  <c r="AK165" i="8"/>
  <c r="AJ165" i="8"/>
  <c r="AI165" i="8"/>
  <c r="AH165" i="8"/>
  <c r="AG165" i="8"/>
  <c r="AF165" i="8"/>
  <c r="AE165" i="8"/>
  <c r="AD165" i="8"/>
  <c r="R165" i="8" s="1"/>
  <c r="AC165" i="8"/>
  <c r="AB165" i="8"/>
  <c r="AA165" i="8"/>
  <c r="Z165" i="8"/>
  <c r="Y165" i="8"/>
  <c r="X165" i="8"/>
  <c r="V165" i="8"/>
  <c r="P165" i="8"/>
  <c r="M165" i="8"/>
  <c r="L165" i="8"/>
  <c r="K165" i="8"/>
  <c r="J165" i="8"/>
  <c r="I165" i="8"/>
  <c r="H165" i="8"/>
  <c r="F165" i="8"/>
  <c r="E165" i="8"/>
  <c r="G165" i="8" s="1"/>
  <c r="X164" i="8"/>
  <c r="V164" i="8"/>
  <c r="T164" i="8"/>
  <c r="S164" i="8"/>
  <c r="R164" i="8"/>
  <c r="Q164" i="8"/>
  <c r="P164" i="8"/>
  <c r="O164" i="8"/>
  <c r="U164" i="8" s="1"/>
  <c r="U161" i="8" s="1"/>
  <c r="N164" i="8"/>
  <c r="W164" i="8" s="1"/>
  <c r="M164" i="8"/>
  <c r="H164" i="8"/>
  <c r="G164" i="8"/>
  <c r="X163" i="8"/>
  <c r="V163" i="8"/>
  <c r="R163" i="8"/>
  <c r="Q163" i="8"/>
  <c r="P163" i="8"/>
  <c r="O163" i="8"/>
  <c r="U163" i="8" s="1"/>
  <c r="N163" i="8"/>
  <c r="W163" i="8" s="1"/>
  <c r="M163" i="8"/>
  <c r="S163" i="8" s="1"/>
  <c r="H163" i="8"/>
  <c r="G163" i="8"/>
  <c r="X162" i="8"/>
  <c r="V162" i="8"/>
  <c r="U162" i="8"/>
  <c r="T162" i="8"/>
  <c r="R162" i="8"/>
  <c r="Q162" i="8"/>
  <c r="P162" i="8"/>
  <c r="O162" i="8"/>
  <c r="N162" i="8"/>
  <c r="N161" i="8" s="1"/>
  <c r="M162" i="8"/>
  <c r="S162" i="8" s="1"/>
  <c r="S161" i="8" s="1"/>
  <c r="S160" i="8" s="1"/>
  <c r="H162" i="8"/>
  <c r="G162" i="8"/>
  <c r="BK161" i="8"/>
  <c r="BK160" i="8" s="1"/>
  <c r="BJ161" i="8"/>
  <c r="BI161" i="8"/>
  <c r="BH161" i="8"/>
  <c r="BG161" i="8"/>
  <c r="BG160" i="8" s="1"/>
  <c r="BF161" i="8"/>
  <c r="BE161" i="8"/>
  <c r="BE160" i="8" s="1"/>
  <c r="BD161" i="8"/>
  <c r="BC161" i="8"/>
  <c r="BC160" i="8" s="1"/>
  <c r="BC159" i="8" s="1"/>
  <c r="BB161" i="8"/>
  <c r="BA161" i="8"/>
  <c r="BA160" i="8" s="1"/>
  <c r="BA159" i="8" s="1"/>
  <c r="AZ161" i="8"/>
  <c r="AY161" i="8"/>
  <c r="AY160" i="8" s="1"/>
  <c r="AX161" i="8"/>
  <c r="AW161" i="8"/>
  <c r="AW160" i="8" s="1"/>
  <c r="AV161" i="8"/>
  <c r="AU161" i="8"/>
  <c r="AU160" i="8" s="1"/>
  <c r="AU159" i="8" s="1"/>
  <c r="AT161" i="8"/>
  <c r="AS161" i="8"/>
  <c r="AS160" i="8" s="1"/>
  <c r="AS159" i="8" s="1"/>
  <c r="AR161" i="8"/>
  <c r="AQ161" i="8"/>
  <c r="AQ160" i="8" s="1"/>
  <c r="AQ159" i="8" s="1"/>
  <c r="AP161" i="8"/>
  <c r="AO161" i="8"/>
  <c r="AO160" i="8" s="1"/>
  <c r="AN161" i="8"/>
  <c r="AM161" i="8"/>
  <c r="AM160" i="8" s="1"/>
  <c r="AM159" i="8" s="1"/>
  <c r="AL161" i="8"/>
  <c r="AK161" i="8"/>
  <c r="AK160" i="8" s="1"/>
  <c r="AK159" i="8" s="1"/>
  <c r="AJ161" i="8"/>
  <c r="AI161" i="8"/>
  <c r="AI160" i="8" s="1"/>
  <c r="AH161" i="8"/>
  <c r="AG161" i="8"/>
  <c r="AG160" i="8" s="1"/>
  <c r="AF161" i="8"/>
  <c r="AE161" i="8"/>
  <c r="AE160" i="8" s="1"/>
  <c r="AE159" i="8" s="1"/>
  <c r="AD161" i="8"/>
  <c r="AC161" i="8"/>
  <c r="AB161" i="8"/>
  <c r="AA161" i="8"/>
  <c r="AA160" i="8" s="1"/>
  <c r="Z161" i="8"/>
  <c r="Y161" i="8"/>
  <c r="Y160" i="8" s="1"/>
  <c r="O161" i="8"/>
  <c r="O160" i="8" s="1"/>
  <c r="X160" i="8" s="1"/>
  <c r="M161" i="8"/>
  <c r="L161" i="8"/>
  <c r="K161" i="8"/>
  <c r="K160" i="8" s="1"/>
  <c r="J161" i="8"/>
  <c r="I161" i="8"/>
  <c r="I160" i="8" s="1"/>
  <c r="F161" i="8"/>
  <c r="E161" i="8"/>
  <c r="E160" i="8" s="1"/>
  <c r="E159" i="8" s="1"/>
  <c r="BJ160" i="8"/>
  <c r="BH160" i="8"/>
  <c r="BH159" i="8" s="1"/>
  <c r="BF160" i="8"/>
  <c r="BF159" i="8" s="1"/>
  <c r="BD160" i="8"/>
  <c r="BD159" i="8" s="1"/>
  <c r="BB160" i="8"/>
  <c r="BB159" i="8" s="1"/>
  <c r="AZ160" i="8"/>
  <c r="AZ159" i="8" s="1"/>
  <c r="AX160" i="8"/>
  <c r="AX159" i="8" s="1"/>
  <c r="AV160" i="8"/>
  <c r="AV159" i="8" s="1"/>
  <c r="AT160" i="8"/>
  <c r="AT159" i="8" s="1"/>
  <c r="AR160" i="8"/>
  <c r="AR159" i="8" s="1"/>
  <c r="AP160" i="8"/>
  <c r="AP159" i="8" s="1"/>
  <c r="AN160" i="8"/>
  <c r="AN159" i="8" s="1"/>
  <c r="AL160" i="8"/>
  <c r="AL159" i="8" s="1"/>
  <c r="AJ160" i="8"/>
  <c r="AJ159" i="8" s="1"/>
  <c r="AH160" i="8"/>
  <c r="AH159" i="8" s="1"/>
  <c r="AF160" i="8"/>
  <c r="AF159" i="8" s="1"/>
  <c r="AD160" i="8"/>
  <c r="AB160" i="8"/>
  <c r="AB159" i="8" s="1"/>
  <c r="Z160" i="8"/>
  <c r="Z159" i="8" s="1"/>
  <c r="L160" i="8"/>
  <c r="L159" i="8" s="1"/>
  <c r="J160" i="8"/>
  <c r="J159" i="8" s="1"/>
  <c r="F160" i="8"/>
  <c r="F159" i="8" s="1"/>
  <c r="BG159" i="8"/>
  <c r="AY159" i="8"/>
  <c r="AI159" i="8"/>
  <c r="AA159" i="8"/>
  <c r="K159" i="8"/>
  <c r="X158" i="8"/>
  <c r="W158" i="8"/>
  <c r="U158" i="8"/>
  <c r="T158" i="8"/>
  <c r="Q158" i="8"/>
  <c r="P158" i="8"/>
  <c r="N158" i="8"/>
  <c r="M158" i="8"/>
  <c r="I158" i="8"/>
  <c r="I154" i="8" s="1"/>
  <c r="G154" i="8" s="1"/>
  <c r="G158" i="8"/>
  <c r="U157" i="8"/>
  <c r="R157" i="8"/>
  <c r="Q157" i="8"/>
  <c r="P157" i="8"/>
  <c r="O157" i="8"/>
  <c r="N157" i="8"/>
  <c r="T157" i="8" s="1"/>
  <c r="M157" i="8"/>
  <c r="S157" i="8" s="1"/>
  <c r="W156" i="8"/>
  <c r="U156" i="8"/>
  <c r="T156" i="8"/>
  <c r="R156" i="8"/>
  <c r="Q156" i="8"/>
  <c r="P156" i="8"/>
  <c r="O156" i="8"/>
  <c r="X156" i="8" s="1"/>
  <c r="N156" i="8"/>
  <c r="M156" i="8"/>
  <c r="G156" i="8"/>
  <c r="W155" i="8"/>
  <c r="S155" i="8"/>
  <c r="R155" i="8"/>
  <c r="Q155" i="8"/>
  <c r="P155" i="8"/>
  <c r="O155" i="8"/>
  <c r="O154" i="8" s="1"/>
  <c r="N155" i="8"/>
  <c r="T155" i="8" s="1"/>
  <c r="T154" i="8" s="1"/>
  <c r="M155" i="8"/>
  <c r="H155" i="8" s="1"/>
  <c r="G155" i="8"/>
  <c r="BK154" i="8"/>
  <c r="BJ154" i="8"/>
  <c r="Q154" i="8" s="1"/>
  <c r="BI154" i="8"/>
  <c r="BH154" i="8"/>
  <c r="BG154" i="8"/>
  <c r="BF154" i="8"/>
  <c r="BE154" i="8"/>
  <c r="BD154" i="8"/>
  <c r="BC154" i="8"/>
  <c r="BB154" i="8"/>
  <c r="BA154" i="8"/>
  <c r="AZ154" i="8"/>
  <c r="AY154" i="8"/>
  <c r="AX154" i="8"/>
  <c r="AW154" i="8"/>
  <c r="AV154" i="8"/>
  <c r="AU154" i="8"/>
  <c r="AT154" i="8"/>
  <c r="AS154" i="8"/>
  <c r="AR154" i="8"/>
  <c r="AQ154" i="8"/>
  <c r="AP154" i="8"/>
  <c r="AO154" i="8"/>
  <c r="AN154" i="8"/>
  <c r="AM154" i="8"/>
  <c r="AL154" i="8"/>
  <c r="AK154" i="8"/>
  <c r="AJ154" i="8"/>
  <c r="AI154" i="8"/>
  <c r="AH154" i="8"/>
  <c r="AG154" i="8"/>
  <c r="AF154" i="8"/>
  <c r="AE154" i="8"/>
  <c r="AD154" i="8"/>
  <c r="R154" i="8" s="1"/>
  <c r="AC154" i="8"/>
  <c r="AB154" i="8"/>
  <c r="AA154" i="8"/>
  <c r="Z154" i="8"/>
  <c r="Y154" i="8"/>
  <c r="X154" i="8"/>
  <c r="P154" i="8"/>
  <c r="N154" i="8"/>
  <c r="W154" i="8" s="1"/>
  <c r="L154" i="8"/>
  <c r="K154" i="8"/>
  <c r="J154" i="8"/>
  <c r="F154" i="8"/>
  <c r="E154" i="8"/>
  <c r="X153" i="8"/>
  <c r="V153" i="8"/>
  <c r="T153" i="8"/>
  <c r="S153" i="8"/>
  <c r="R153" i="8"/>
  <c r="Q153" i="8"/>
  <c r="P153" i="8"/>
  <c r="O153" i="8"/>
  <c r="U153" i="8" s="1"/>
  <c r="N153" i="8"/>
  <c r="W153" i="8" s="1"/>
  <c r="M153" i="8"/>
  <c r="H153" i="8"/>
  <c r="G153" i="8"/>
  <c r="X152" i="8"/>
  <c r="V152" i="8"/>
  <c r="R152" i="8"/>
  <c r="Q152" i="8"/>
  <c r="P152" i="8"/>
  <c r="O152" i="8"/>
  <c r="U152" i="8" s="1"/>
  <c r="U150" i="8" s="1"/>
  <c r="N152" i="8"/>
  <c r="W152" i="8" s="1"/>
  <c r="M152" i="8"/>
  <c r="S152" i="8" s="1"/>
  <c r="X151" i="8"/>
  <c r="V151" i="8"/>
  <c r="U151" i="8"/>
  <c r="S151" i="8"/>
  <c r="R151" i="8"/>
  <c r="Q151" i="8"/>
  <c r="P151" i="8"/>
  <c r="O151" i="8"/>
  <c r="N151" i="8"/>
  <c r="M151" i="8"/>
  <c r="H151" i="8"/>
  <c r="G151" i="8"/>
  <c r="BK150" i="8"/>
  <c r="BJ150" i="8"/>
  <c r="BI150" i="8"/>
  <c r="BH150" i="8"/>
  <c r="BG150" i="8"/>
  <c r="BF150" i="8"/>
  <c r="BE150" i="8"/>
  <c r="BD150" i="8"/>
  <c r="BC150" i="8"/>
  <c r="BB150" i="8"/>
  <c r="BA150" i="8"/>
  <c r="AZ150" i="8"/>
  <c r="AY150" i="8"/>
  <c r="AX150" i="8"/>
  <c r="AW150" i="8"/>
  <c r="AV150" i="8"/>
  <c r="AU150" i="8"/>
  <c r="AT150" i="8"/>
  <c r="AS150" i="8"/>
  <c r="AR150" i="8"/>
  <c r="AQ150" i="8"/>
  <c r="AP150" i="8"/>
  <c r="AO150" i="8"/>
  <c r="AN150" i="8"/>
  <c r="AM150" i="8"/>
  <c r="AL150" i="8"/>
  <c r="AK150" i="8"/>
  <c r="AJ150" i="8"/>
  <c r="AI150" i="8"/>
  <c r="Q150" i="8" s="1"/>
  <c r="AH150" i="8"/>
  <c r="AG150" i="8"/>
  <c r="AF150" i="8"/>
  <c r="AE150" i="8"/>
  <c r="AD150" i="8"/>
  <c r="AC150" i="8"/>
  <c r="AB150" i="8"/>
  <c r="AA150" i="8"/>
  <c r="Z150" i="8"/>
  <c r="Y150" i="8"/>
  <c r="S150" i="8"/>
  <c r="O150" i="8"/>
  <c r="X150" i="8" s="1"/>
  <c r="M150" i="8"/>
  <c r="H150" i="8" s="1"/>
  <c r="L150" i="8"/>
  <c r="K150" i="8"/>
  <c r="J150" i="8"/>
  <c r="I150" i="8"/>
  <c r="G150" i="8"/>
  <c r="F150" i="8"/>
  <c r="E150" i="8"/>
  <c r="W149" i="8"/>
  <c r="T149" i="8"/>
  <c r="S149" i="8"/>
  <c r="R149" i="8"/>
  <c r="Q149" i="8"/>
  <c r="P149" i="8"/>
  <c r="O149" i="8"/>
  <c r="N149" i="8"/>
  <c r="M149" i="8"/>
  <c r="V149" i="8" s="1"/>
  <c r="G149" i="8"/>
  <c r="R148" i="8"/>
  <c r="Q148" i="8"/>
  <c r="P148" i="8"/>
  <c r="O148" i="8"/>
  <c r="O145" i="8" s="1"/>
  <c r="X145" i="8" s="1"/>
  <c r="N148" i="8"/>
  <c r="X147" i="8"/>
  <c r="V147" i="8"/>
  <c r="R147" i="8"/>
  <c r="Q147" i="8"/>
  <c r="P147" i="8"/>
  <c r="O147" i="8"/>
  <c r="U147" i="8" s="1"/>
  <c r="N147" i="8"/>
  <c r="W147" i="8" s="1"/>
  <c r="M147" i="8"/>
  <c r="S147" i="8" s="1"/>
  <c r="H147" i="8"/>
  <c r="G147" i="8"/>
  <c r="X146" i="8"/>
  <c r="V146" i="8"/>
  <c r="U146" i="8"/>
  <c r="T146" i="8"/>
  <c r="R146" i="8"/>
  <c r="Q146" i="8"/>
  <c r="P146" i="8"/>
  <c r="O146" i="8"/>
  <c r="N146" i="8"/>
  <c r="N145" i="8" s="1"/>
  <c r="W145" i="8" s="1"/>
  <c r="M146" i="8"/>
  <c r="S146" i="8" s="1"/>
  <c r="H146" i="8"/>
  <c r="G146" i="8"/>
  <c r="BK145" i="8"/>
  <c r="R145" i="8" s="1"/>
  <c r="BJ145" i="8"/>
  <c r="BI145" i="8"/>
  <c r="BH145" i="8"/>
  <c r="BG145" i="8"/>
  <c r="BF145" i="8"/>
  <c r="BE145" i="8"/>
  <c r="BD145" i="8"/>
  <c r="BC145" i="8"/>
  <c r="BB145" i="8"/>
  <c r="BA145" i="8"/>
  <c r="AZ145" i="8"/>
  <c r="AY145" i="8"/>
  <c r="AX145" i="8"/>
  <c r="AW145" i="8"/>
  <c r="AV145" i="8"/>
  <c r="AU145" i="8"/>
  <c r="AT145" i="8"/>
  <c r="AS145" i="8"/>
  <c r="AR145" i="8"/>
  <c r="AQ145" i="8"/>
  <c r="AP145" i="8"/>
  <c r="AO145" i="8"/>
  <c r="AN145" i="8"/>
  <c r="AM145" i="8"/>
  <c r="AL145" i="8"/>
  <c r="AK145" i="8"/>
  <c r="AJ145" i="8"/>
  <c r="AI145" i="8"/>
  <c r="AH145" i="8"/>
  <c r="AG145" i="8"/>
  <c r="AF145" i="8"/>
  <c r="AE145" i="8"/>
  <c r="AD145" i="8"/>
  <c r="AC145" i="8"/>
  <c r="Q145" i="8" s="1"/>
  <c r="AB145" i="8"/>
  <c r="AA145" i="8"/>
  <c r="Z145" i="8"/>
  <c r="Y145" i="8"/>
  <c r="M145" i="8"/>
  <c r="L145" i="8"/>
  <c r="K145" i="8"/>
  <c r="J145" i="8"/>
  <c r="I145" i="8"/>
  <c r="G145" i="8" s="1"/>
  <c r="F145" i="8"/>
  <c r="E145" i="8"/>
  <c r="AF144" i="8"/>
  <c r="AF140" i="8" s="1"/>
  <c r="Q144" i="8"/>
  <c r="P144" i="8"/>
  <c r="O144" i="8"/>
  <c r="N144" i="8"/>
  <c r="X143" i="8"/>
  <c r="V143" i="8"/>
  <c r="U143" i="8"/>
  <c r="S143" i="8"/>
  <c r="R143" i="8"/>
  <c r="Q143" i="8"/>
  <c r="P143" i="8"/>
  <c r="O143" i="8"/>
  <c r="N143" i="8"/>
  <c r="M143" i="8"/>
  <c r="H143" i="8"/>
  <c r="G143" i="8"/>
  <c r="X142" i="8"/>
  <c r="V142" i="8"/>
  <c r="T142" i="8"/>
  <c r="S142" i="8"/>
  <c r="R142" i="8"/>
  <c r="Q142" i="8"/>
  <c r="P142" i="8"/>
  <c r="O142" i="8"/>
  <c r="U142" i="8" s="1"/>
  <c r="N142" i="8"/>
  <c r="W142" i="8" s="1"/>
  <c r="M142" i="8"/>
  <c r="H142" i="8"/>
  <c r="G142" i="8"/>
  <c r="X141" i="8"/>
  <c r="X140" i="8" s="1"/>
  <c r="V141" i="8"/>
  <c r="V140" i="8" s="1"/>
  <c r="R141" i="8"/>
  <c r="Q141" i="8"/>
  <c r="P141" i="8"/>
  <c r="O141" i="8"/>
  <c r="U141" i="8" s="1"/>
  <c r="N141" i="8"/>
  <c r="N140" i="8" s="1"/>
  <c r="M141" i="8"/>
  <c r="S141" i="8" s="1"/>
  <c r="S140" i="8" s="1"/>
  <c r="H141" i="8"/>
  <c r="G141" i="8"/>
  <c r="BK140" i="8"/>
  <c r="BJ140" i="8"/>
  <c r="BI140" i="8"/>
  <c r="P140" i="8" s="1"/>
  <c r="BH140" i="8"/>
  <c r="BG140" i="8"/>
  <c r="BF140" i="8"/>
  <c r="BE140" i="8"/>
  <c r="BD140" i="8"/>
  <c r="BC140" i="8"/>
  <c r="BB140" i="8"/>
  <c r="BA140" i="8"/>
  <c r="AZ140" i="8"/>
  <c r="AY140" i="8"/>
  <c r="AX140" i="8"/>
  <c r="AW140" i="8"/>
  <c r="AV140" i="8"/>
  <c r="AU140" i="8"/>
  <c r="AT140" i="8"/>
  <c r="AS140" i="8"/>
  <c r="AR140" i="8"/>
  <c r="AQ140" i="8"/>
  <c r="AP140" i="8"/>
  <c r="AO140" i="8"/>
  <c r="AN140" i="8"/>
  <c r="AM140" i="8"/>
  <c r="AL140" i="8"/>
  <c r="AK140" i="8"/>
  <c r="AJ140" i="8"/>
  <c r="AI140" i="8"/>
  <c r="AH140" i="8"/>
  <c r="AG140" i="8"/>
  <c r="AE140" i="8"/>
  <c r="AD140" i="8"/>
  <c r="AC140" i="8"/>
  <c r="AB140" i="8"/>
  <c r="AA140" i="8"/>
  <c r="Z140" i="8"/>
  <c r="Y140" i="8"/>
  <c r="O140" i="8"/>
  <c r="M140" i="8"/>
  <c r="H140" i="8" s="1"/>
  <c r="L140" i="8"/>
  <c r="K140" i="8"/>
  <c r="J140" i="8"/>
  <c r="I140" i="8"/>
  <c r="G140" i="8"/>
  <c r="F140" i="8"/>
  <c r="E140" i="8"/>
  <c r="AO139" i="8"/>
  <c r="X139" i="8"/>
  <c r="V139" i="8"/>
  <c r="T139" i="8"/>
  <c r="S139" i="8"/>
  <c r="R139" i="8"/>
  <c r="Q139" i="8"/>
  <c r="P139" i="8"/>
  <c r="O139" i="8"/>
  <c r="U139" i="8" s="1"/>
  <c r="N139" i="8"/>
  <c r="W139" i="8" s="1"/>
  <c r="M139" i="8"/>
  <c r="H139" i="8"/>
  <c r="G139" i="8"/>
  <c r="X138" i="8"/>
  <c r="V138" i="8"/>
  <c r="R138" i="8"/>
  <c r="Q138" i="8"/>
  <c r="P138" i="8"/>
  <c r="O138" i="8"/>
  <c r="U138" i="8" s="1"/>
  <c r="N138" i="8"/>
  <c r="M138" i="8"/>
  <c r="S138" i="8" s="1"/>
  <c r="H138" i="8"/>
  <c r="G138" i="8"/>
  <c r="AI137" i="8"/>
  <c r="Q137" i="8" s="1"/>
  <c r="AF137" i="8"/>
  <c r="AF136" i="8" s="1"/>
  <c r="X137" i="8"/>
  <c r="X136" i="8" s="1"/>
  <c r="V137" i="8"/>
  <c r="V136" i="8" s="1"/>
  <c r="R137" i="8"/>
  <c r="P137" i="8"/>
  <c r="O137" i="8"/>
  <c r="U137" i="8" s="1"/>
  <c r="U136" i="8" s="1"/>
  <c r="M137" i="8"/>
  <c r="S137" i="8" s="1"/>
  <c r="H137" i="8"/>
  <c r="G137" i="8"/>
  <c r="BK136" i="8"/>
  <c r="BJ136" i="8"/>
  <c r="BI136" i="8"/>
  <c r="BH136" i="8"/>
  <c r="BG136" i="8"/>
  <c r="BF136" i="8"/>
  <c r="BE136" i="8"/>
  <c r="BD136" i="8"/>
  <c r="BC136" i="8"/>
  <c r="BB136" i="8"/>
  <c r="BA136" i="8"/>
  <c r="AZ136" i="8"/>
  <c r="AY136" i="8"/>
  <c r="AX136" i="8"/>
  <c r="AW136" i="8"/>
  <c r="AV136" i="8"/>
  <c r="AU136" i="8"/>
  <c r="AT136" i="8"/>
  <c r="AS136" i="8"/>
  <c r="AR136" i="8"/>
  <c r="AQ136" i="8"/>
  <c r="AP136" i="8"/>
  <c r="AO136" i="8"/>
  <c r="AN136" i="8"/>
  <c r="AM136" i="8"/>
  <c r="AL136" i="8"/>
  <c r="AK136" i="8"/>
  <c r="AJ136" i="8"/>
  <c r="AH136" i="8"/>
  <c r="AG136" i="8"/>
  <c r="AE136" i="8"/>
  <c r="AD136" i="8"/>
  <c r="AC136" i="8"/>
  <c r="AB136" i="8"/>
  <c r="AA136" i="8"/>
  <c r="Z136" i="8"/>
  <c r="Y136" i="8"/>
  <c r="S136" i="8"/>
  <c r="O136" i="8"/>
  <c r="M136" i="8"/>
  <c r="H136" i="8" s="1"/>
  <c r="L136" i="8"/>
  <c r="K136" i="8"/>
  <c r="J136" i="8"/>
  <c r="I136" i="8"/>
  <c r="G136" i="8"/>
  <c r="F136" i="8"/>
  <c r="E136" i="8"/>
  <c r="W135" i="8"/>
  <c r="S135" i="8"/>
  <c r="R135" i="8"/>
  <c r="Q135" i="8"/>
  <c r="P135" i="8"/>
  <c r="O135" i="8"/>
  <c r="N135" i="8"/>
  <c r="T135" i="8" s="1"/>
  <c r="M135" i="8"/>
  <c r="H135" i="8" s="1"/>
  <c r="G135" i="8"/>
  <c r="W134" i="8"/>
  <c r="U134" i="8"/>
  <c r="R134" i="8"/>
  <c r="Q134" i="8"/>
  <c r="P134" i="8"/>
  <c r="O134" i="8"/>
  <c r="X134" i="8" s="1"/>
  <c r="N134" i="8"/>
  <c r="T134" i="8" s="1"/>
  <c r="M134" i="8"/>
  <c r="G134" i="8"/>
  <c r="W133" i="8"/>
  <c r="T133" i="8"/>
  <c r="S133" i="8"/>
  <c r="R133" i="8"/>
  <c r="Q133" i="8"/>
  <c r="P133" i="8"/>
  <c r="O133" i="8"/>
  <c r="N133" i="8"/>
  <c r="M133" i="8"/>
  <c r="V133" i="8" s="1"/>
  <c r="G133" i="8"/>
  <c r="W132" i="8"/>
  <c r="U132" i="8"/>
  <c r="T132" i="8"/>
  <c r="R132" i="8"/>
  <c r="Q132" i="8"/>
  <c r="P132" i="8"/>
  <c r="O132" i="8"/>
  <c r="X132" i="8" s="1"/>
  <c r="N132" i="8"/>
  <c r="M132" i="8"/>
  <c r="M130" i="8" s="1"/>
  <c r="H130" i="8" s="1"/>
  <c r="G132" i="8"/>
  <c r="W131" i="8"/>
  <c r="W130" i="8" s="1"/>
  <c r="S131" i="8"/>
  <c r="R131" i="8"/>
  <c r="Q131" i="8"/>
  <c r="P131" i="8"/>
  <c r="O131" i="8"/>
  <c r="N131" i="8"/>
  <c r="T131" i="8" s="1"/>
  <c r="M131" i="8"/>
  <c r="V131" i="8" s="1"/>
  <c r="I131" i="8"/>
  <c r="H131" i="8"/>
  <c r="G131" i="8"/>
  <c r="BK130" i="8"/>
  <c r="R130" i="8" s="1"/>
  <c r="BJ130" i="8"/>
  <c r="BI130" i="8"/>
  <c r="BH130" i="8"/>
  <c r="BG130" i="8"/>
  <c r="BF130" i="8"/>
  <c r="BE130" i="8"/>
  <c r="BD130" i="8"/>
  <c r="BC130" i="8"/>
  <c r="BB130" i="8"/>
  <c r="BA130" i="8"/>
  <c r="BA119" i="8" s="1"/>
  <c r="AZ130" i="8"/>
  <c r="AY130" i="8"/>
  <c r="AX130" i="8"/>
  <c r="AW130" i="8"/>
  <c r="AV130" i="8"/>
  <c r="AU130" i="8"/>
  <c r="AT130" i="8"/>
  <c r="AS130" i="8"/>
  <c r="AS119" i="8" s="1"/>
  <c r="AR130" i="8"/>
  <c r="AQ130" i="8"/>
  <c r="AP130" i="8"/>
  <c r="AO130" i="8"/>
  <c r="AN130" i="8"/>
  <c r="AM130" i="8"/>
  <c r="AL130" i="8"/>
  <c r="AK130" i="8"/>
  <c r="AK119" i="8" s="1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Q130" i="8"/>
  <c r="N130" i="8"/>
  <c r="L130" i="8"/>
  <c r="K130" i="8"/>
  <c r="J130" i="8"/>
  <c r="I130" i="8"/>
  <c r="F130" i="8"/>
  <c r="E130" i="8"/>
  <c r="E119" i="8" s="1"/>
  <c r="W129" i="8"/>
  <c r="U129" i="8"/>
  <c r="T129" i="8"/>
  <c r="R129" i="8"/>
  <c r="Q129" i="8"/>
  <c r="P129" i="8"/>
  <c r="O129" i="8"/>
  <c r="X129" i="8" s="1"/>
  <c r="N129" i="8"/>
  <c r="M129" i="8"/>
  <c r="G129" i="8"/>
  <c r="AI128" i="8"/>
  <c r="AC128" i="8"/>
  <c r="R128" i="8"/>
  <c r="P128" i="8"/>
  <c r="O128" i="8"/>
  <c r="U128" i="8" s="1"/>
  <c r="N128" i="8"/>
  <c r="T128" i="8" s="1"/>
  <c r="M128" i="8"/>
  <c r="S128" i="8" s="1"/>
  <c r="X127" i="8"/>
  <c r="V127" i="8"/>
  <c r="U127" i="8"/>
  <c r="S127" i="8"/>
  <c r="R127" i="8"/>
  <c r="Q127" i="8"/>
  <c r="P127" i="8"/>
  <c r="O127" i="8"/>
  <c r="N127" i="8"/>
  <c r="M127" i="8"/>
  <c r="H127" i="8"/>
  <c r="G127" i="8"/>
  <c r="X126" i="8"/>
  <c r="V126" i="8"/>
  <c r="T126" i="8"/>
  <c r="S126" i="8"/>
  <c r="R126" i="8"/>
  <c r="Q126" i="8"/>
  <c r="P126" i="8"/>
  <c r="O126" i="8"/>
  <c r="U126" i="8" s="1"/>
  <c r="N126" i="8"/>
  <c r="W126" i="8" s="1"/>
  <c r="M126" i="8"/>
  <c r="H126" i="8"/>
  <c r="G126" i="8"/>
  <c r="X125" i="8"/>
  <c r="V125" i="8"/>
  <c r="R125" i="8"/>
  <c r="Q125" i="8"/>
  <c r="P125" i="8"/>
  <c r="O125" i="8"/>
  <c r="U125" i="8" s="1"/>
  <c r="N125" i="8"/>
  <c r="W125" i="8" s="1"/>
  <c r="M125" i="8"/>
  <c r="S125" i="8" s="1"/>
  <c r="J125" i="8"/>
  <c r="G125" i="8"/>
  <c r="W124" i="8"/>
  <c r="U124" i="8"/>
  <c r="R124" i="8"/>
  <c r="Q124" i="8"/>
  <c r="P124" i="8"/>
  <c r="O124" i="8"/>
  <c r="X124" i="8" s="1"/>
  <c r="N124" i="8"/>
  <c r="T124" i="8" s="1"/>
  <c r="M124" i="8"/>
  <c r="G124" i="8"/>
  <c r="W123" i="8"/>
  <c r="U123" i="8"/>
  <c r="T123" i="8"/>
  <c r="S123" i="8"/>
  <c r="R123" i="8"/>
  <c r="Q123" i="8"/>
  <c r="P123" i="8"/>
  <c r="O123" i="8"/>
  <c r="X123" i="8" s="1"/>
  <c r="N123" i="8"/>
  <c r="M123" i="8"/>
  <c r="G123" i="8"/>
  <c r="W122" i="8"/>
  <c r="U122" i="8"/>
  <c r="T122" i="8"/>
  <c r="R122" i="8"/>
  <c r="Q122" i="8"/>
  <c r="P122" i="8"/>
  <c r="O122" i="8"/>
  <c r="X122" i="8" s="1"/>
  <c r="N122" i="8"/>
  <c r="M122" i="8"/>
  <c r="G122" i="8"/>
  <c r="W121" i="8"/>
  <c r="S121" i="8"/>
  <c r="R121" i="8"/>
  <c r="Q121" i="8"/>
  <c r="P121" i="8"/>
  <c r="O121" i="8"/>
  <c r="N121" i="8"/>
  <c r="T121" i="8" s="1"/>
  <c r="M121" i="8"/>
  <c r="H121" i="8" s="1"/>
  <c r="G121" i="8"/>
  <c r="BK120" i="8"/>
  <c r="BJ120" i="8"/>
  <c r="BI120" i="8"/>
  <c r="BH120" i="8"/>
  <c r="BH119" i="8" s="1"/>
  <c r="BG120" i="8"/>
  <c r="BF120" i="8"/>
  <c r="BF119" i="8" s="1"/>
  <c r="BE120" i="8"/>
  <c r="BD120" i="8"/>
  <c r="BD119" i="8" s="1"/>
  <c r="BC120" i="8"/>
  <c r="BB120" i="8"/>
  <c r="BB119" i="8" s="1"/>
  <c r="BA120" i="8"/>
  <c r="AZ120" i="8"/>
  <c r="AZ119" i="8" s="1"/>
  <c r="AY120" i="8"/>
  <c r="AX120" i="8"/>
  <c r="AX119" i="8" s="1"/>
  <c r="AW120" i="8"/>
  <c r="AV120" i="8"/>
  <c r="AV119" i="8" s="1"/>
  <c r="AU120" i="8"/>
  <c r="AT120" i="8"/>
  <c r="AT119" i="8" s="1"/>
  <c r="AS120" i="8"/>
  <c r="AR120" i="8"/>
  <c r="AR119" i="8" s="1"/>
  <c r="AQ120" i="8"/>
  <c r="AP120" i="8"/>
  <c r="AP119" i="8" s="1"/>
  <c r="AO120" i="8"/>
  <c r="AN120" i="8"/>
  <c r="AN119" i="8" s="1"/>
  <c r="AM120" i="8"/>
  <c r="AL120" i="8"/>
  <c r="AL119" i="8" s="1"/>
  <c r="AK120" i="8"/>
  <c r="AJ120" i="8"/>
  <c r="AJ119" i="8" s="1"/>
  <c r="AI120" i="8"/>
  <c r="AH120" i="8"/>
  <c r="AH119" i="8" s="1"/>
  <c r="AG120" i="8"/>
  <c r="AF120" i="8"/>
  <c r="AF119" i="8" s="1"/>
  <c r="AE120" i="8"/>
  <c r="AD120" i="8"/>
  <c r="AB120" i="8"/>
  <c r="AB119" i="8" s="1"/>
  <c r="AA120" i="8"/>
  <c r="Z120" i="8"/>
  <c r="Z119" i="8" s="1"/>
  <c r="Y120" i="8"/>
  <c r="L120" i="8"/>
  <c r="L119" i="8" s="1"/>
  <c r="K120" i="8"/>
  <c r="J120" i="8"/>
  <c r="J119" i="8" s="1"/>
  <c r="I120" i="8"/>
  <c r="F120" i="8"/>
  <c r="F119" i="8" s="1"/>
  <c r="E120" i="8"/>
  <c r="G120" i="8" s="1"/>
  <c r="BK119" i="8"/>
  <c r="BG119" i="8"/>
  <c r="BE119" i="8"/>
  <c r="BC119" i="8"/>
  <c r="AY119" i="8"/>
  <c r="AW119" i="8"/>
  <c r="AU119" i="8"/>
  <c r="AQ119" i="8"/>
  <c r="AO119" i="8"/>
  <c r="AM119" i="8"/>
  <c r="AG119" i="8"/>
  <c r="AE119" i="8"/>
  <c r="AA119" i="8"/>
  <c r="Y119" i="8"/>
  <c r="K119" i="8"/>
  <c r="I119" i="8"/>
  <c r="W118" i="8"/>
  <c r="U118" i="8"/>
  <c r="T118" i="8"/>
  <c r="S118" i="8"/>
  <c r="R118" i="8"/>
  <c r="Q118" i="8"/>
  <c r="P118" i="8"/>
  <c r="O118" i="8"/>
  <c r="X118" i="8" s="1"/>
  <c r="N118" i="8"/>
  <c r="M118" i="8"/>
  <c r="G118" i="8"/>
  <c r="S117" i="8"/>
  <c r="R117" i="8"/>
  <c r="Q117" i="8"/>
  <c r="P117" i="8"/>
  <c r="O117" i="8"/>
  <c r="U117" i="8" s="1"/>
  <c r="N117" i="8"/>
  <c r="T117" i="8" s="1"/>
  <c r="T114" i="8" s="1"/>
  <c r="M117" i="8"/>
  <c r="V117" i="8" s="1"/>
  <c r="W116" i="8"/>
  <c r="U116" i="8"/>
  <c r="T116" i="8"/>
  <c r="R116" i="8"/>
  <c r="Q116" i="8"/>
  <c r="P116" i="8"/>
  <c r="O116" i="8"/>
  <c r="X116" i="8" s="1"/>
  <c r="N116" i="8"/>
  <c r="M116" i="8"/>
  <c r="S116" i="8" s="1"/>
  <c r="G116" i="8"/>
  <c r="W115" i="8"/>
  <c r="U115" i="8"/>
  <c r="T115" i="8"/>
  <c r="S115" i="8"/>
  <c r="R115" i="8"/>
  <c r="Q115" i="8"/>
  <c r="P115" i="8"/>
  <c r="O115" i="8"/>
  <c r="N115" i="8"/>
  <c r="M115" i="8"/>
  <c r="G115" i="8"/>
  <c r="BK114" i="8"/>
  <c r="BJ114" i="8"/>
  <c r="BI114" i="8"/>
  <c r="BH114" i="8"/>
  <c r="BG114" i="8"/>
  <c r="BF114" i="8"/>
  <c r="BE114" i="8"/>
  <c r="BD114" i="8"/>
  <c r="BC114" i="8"/>
  <c r="BB114" i="8"/>
  <c r="BA114" i="8"/>
  <c r="AZ114" i="8"/>
  <c r="AY114" i="8"/>
  <c r="AX114" i="8"/>
  <c r="AW114" i="8"/>
  <c r="AV114" i="8"/>
  <c r="AU114" i="8"/>
  <c r="AT114" i="8"/>
  <c r="AS114" i="8"/>
  <c r="AR114" i="8"/>
  <c r="AQ114" i="8"/>
  <c r="AP114" i="8"/>
  <c r="AO114" i="8"/>
  <c r="AN114" i="8"/>
  <c r="AM114" i="8"/>
  <c r="AL114" i="8"/>
  <c r="AK114" i="8"/>
  <c r="AJ114" i="8"/>
  <c r="AI114" i="8"/>
  <c r="AH114" i="8"/>
  <c r="P114" i="8" s="1"/>
  <c r="AG114" i="8"/>
  <c r="AF114" i="8"/>
  <c r="AE114" i="8"/>
  <c r="AD114" i="8"/>
  <c r="AC114" i="8"/>
  <c r="AB114" i="8"/>
  <c r="AA114" i="8"/>
  <c r="Z114" i="8"/>
  <c r="Y114" i="8"/>
  <c r="R114" i="8"/>
  <c r="N114" i="8"/>
  <c r="W114" i="8" s="1"/>
  <c r="L114" i="8"/>
  <c r="J114" i="8"/>
  <c r="I114" i="8"/>
  <c r="F114" i="8"/>
  <c r="E114" i="8"/>
  <c r="G114" i="8" s="1"/>
  <c r="W113" i="8"/>
  <c r="U113" i="8"/>
  <c r="T113" i="8"/>
  <c r="R113" i="8"/>
  <c r="Q113" i="8"/>
  <c r="P113" i="8"/>
  <c r="O113" i="8"/>
  <c r="X113" i="8" s="1"/>
  <c r="N113" i="8"/>
  <c r="M113" i="8"/>
  <c r="S113" i="8" s="1"/>
  <c r="G113" i="8"/>
  <c r="W112" i="8"/>
  <c r="S112" i="8"/>
  <c r="R112" i="8"/>
  <c r="Q112" i="8"/>
  <c r="P112" i="8"/>
  <c r="O112" i="8"/>
  <c r="N112" i="8"/>
  <c r="T112" i="8" s="1"/>
  <c r="M112" i="8"/>
  <c r="H112" i="8" s="1"/>
  <c r="G112" i="8"/>
  <c r="W111" i="8"/>
  <c r="T111" i="8"/>
  <c r="R111" i="8"/>
  <c r="Q111" i="8"/>
  <c r="P111" i="8"/>
  <c r="O111" i="8"/>
  <c r="X111" i="8" s="1"/>
  <c r="N111" i="8"/>
  <c r="M111" i="8"/>
  <c r="G111" i="8"/>
  <c r="W110" i="8"/>
  <c r="U110" i="8"/>
  <c r="T110" i="8"/>
  <c r="S110" i="8"/>
  <c r="R110" i="8"/>
  <c r="Q110" i="8"/>
  <c r="P110" i="8"/>
  <c r="O110" i="8"/>
  <c r="X110" i="8" s="1"/>
  <c r="N110" i="8"/>
  <c r="M110" i="8"/>
  <c r="G110" i="8"/>
  <c r="W109" i="8"/>
  <c r="U109" i="8"/>
  <c r="T109" i="8"/>
  <c r="R109" i="8"/>
  <c r="Q109" i="8"/>
  <c r="P109" i="8"/>
  <c r="O109" i="8"/>
  <c r="X109" i="8" s="1"/>
  <c r="N109" i="8"/>
  <c r="M109" i="8"/>
  <c r="S109" i="8" s="1"/>
  <c r="G109" i="8"/>
  <c r="W108" i="8"/>
  <c r="S108" i="8"/>
  <c r="R108" i="8"/>
  <c r="Q108" i="8"/>
  <c r="P108" i="8"/>
  <c r="O108" i="8"/>
  <c r="N108" i="8"/>
  <c r="T108" i="8" s="1"/>
  <c r="M108" i="8"/>
  <c r="H108" i="8" s="1"/>
  <c r="G108" i="8"/>
  <c r="W107" i="8"/>
  <c r="T107" i="8"/>
  <c r="R107" i="8"/>
  <c r="Q107" i="8"/>
  <c r="P107" i="8"/>
  <c r="O107" i="8"/>
  <c r="X107" i="8" s="1"/>
  <c r="N107" i="8"/>
  <c r="M107" i="8"/>
  <c r="G107" i="8"/>
  <c r="AN106" i="8"/>
  <c r="X106" i="8"/>
  <c r="V106" i="8"/>
  <c r="U106" i="8"/>
  <c r="T106" i="8"/>
  <c r="R106" i="8"/>
  <c r="Q106" i="8"/>
  <c r="P106" i="8"/>
  <c r="O106" i="8"/>
  <c r="N106" i="8"/>
  <c r="W106" i="8" s="1"/>
  <c r="M106" i="8"/>
  <c r="I106" i="8"/>
  <c r="S106" i="8" s="1"/>
  <c r="H106" i="8"/>
  <c r="W105" i="8"/>
  <c r="T105" i="8"/>
  <c r="S105" i="8"/>
  <c r="R105" i="8"/>
  <c r="Q105" i="8"/>
  <c r="P105" i="8"/>
  <c r="O105" i="8"/>
  <c r="X105" i="8" s="1"/>
  <c r="N105" i="8"/>
  <c r="M105" i="8"/>
  <c r="G105" i="8"/>
  <c r="W104" i="8"/>
  <c r="U104" i="8"/>
  <c r="T104" i="8"/>
  <c r="R104" i="8"/>
  <c r="Q104" i="8"/>
  <c r="P104" i="8"/>
  <c r="O104" i="8"/>
  <c r="X104" i="8" s="1"/>
  <c r="N104" i="8"/>
  <c r="M104" i="8"/>
  <c r="S104" i="8" s="1"/>
  <c r="G104" i="8"/>
  <c r="V103" i="8"/>
  <c r="U103" i="8"/>
  <c r="R103" i="8"/>
  <c r="Q103" i="8"/>
  <c r="P103" i="8"/>
  <c r="O103" i="8"/>
  <c r="N103" i="8"/>
  <c r="W103" i="8" s="1"/>
  <c r="M103" i="8"/>
  <c r="S103" i="8" s="1"/>
  <c r="H103" i="8"/>
  <c r="G103" i="8"/>
  <c r="X102" i="8"/>
  <c r="V102" i="8"/>
  <c r="U102" i="8"/>
  <c r="T102" i="8"/>
  <c r="S102" i="8"/>
  <c r="R102" i="8"/>
  <c r="Q102" i="8"/>
  <c r="P102" i="8"/>
  <c r="O102" i="8"/>
  <c r="N102" i="8"/>
  <c r="W102" i="8" s="1"/>
  <c r="M102" i="8"/>
  <c r="H102" i="8"/>
  <c r="G102" i="8"/>
  <c r="X101" i="8"/>
  <c r="V101" i="8"/>
  <c r="U101" i="8"/>
  <c r="T101" i="8"/>
  <c r="S101" i="8"/>
  <c r="R101" i="8"/>
  <c r="Q101" i="8"/>
  <c r="P101" i="8"/>
  <c r="O101" i="8"/>
  <c r="N101" i="8"/>
  <c r="W101" i="8" s="1"/>
  <c r="M101" i="8"/>
  <c r="H101" i="8"/>
  <c r="G101" i="8"/>
  <c r="X100" i="8"/>
  <c r="V100" i="8"/>
  <c r="T100" i="8"/>
  <c r="S100" i="8"/>
  <c r="R100" i="8"/>
  <c r="Q100" i="8"/>
  <c r="P100" i="8"/>
  <c r="O100" i="8"/>
  <c r="U100" i="8" s="1"/>
  <c r="N100" i="8"/>
  <c r="W100" i="8" s="1"/>
  <c r="M100" i="8"/>
  <c r="H100" i="8"/>
  <c r="G100" i="8"/>
  <c r="X99" i="8"/>
  <c r="V99" i="8"/>
  <c r="U99" i="8"/>
  <c r="T99" i="8"/>
  <c r="R99" i="8"/>
  <c r="Q99" i="8"/>
  <c r="P99" i="8"/>
  <c r="O99" i="8"/>
  <c r="N99" i="8"/>
  <c r="W99" i="8" s="1"/>
  <c r="M99" i="8"/>
  <c r="S99" i="8" s="1"/>
  <c r="H99" i="8"/>
  <c r="G99" i="8"/>
  <c r="X98" i="8"/>
  <c r="V98" i="8"/>
  <c r="U98" i="8"/>
  <c r="S98" i="8"/>
  <c r="R98" i="8"/>
  <c r="Q98" i="8"/>
  <c r="P98" i="8"/>
  <c r="O98" i="8"/>
  <c r="N98" i="8"/>
  <c r="T98" i="8" s="1"/>
  <c r="M98" i="8"/>
  <c r="H98" i="8"/>
  <c r="G98" i="8"/>
  <c r="BK97" i="8"/>
  <c r="BK96" i="8" s="1"/>
  <c r="BJ97" i="8"/>
  <c r="BI97" i="8"/>
  <c r="BH97" i="8"/>
  <c r="BG97" i="8"/>
  <c r="BG96" i="8" s="1"/>
  <c r="BF97" i="8"/>
  <c r="BE97" i="8"/>
  <c r="BE96" i="8" s="1"/>
  <c r="BD97" i="8"/>
  <c r="BC97" i="8"/>
  <c r="BC96" i="8" s="1"/>
  <c r="BB97" i="8"/>
  <c r="BA97" i="8"/>
  <c r="BA96" i="8" s="1"/>
  <c r="AZ97" i="8"/>
  <c r="AY97" i="8"/>
  <c r="AY96" i="8" s="1"/>
  <c r="AX97" i="8"/>
  <c r="AW97" i="8"/>
  <c r="AW96" i="8" s="1"/>
  <c r="AV97" i="8"/>
  <c r="AU97" i="8"/>
  <c r="AU96" i="8" s="1"/>
  <c r="AT97" i="8"/>
  <c r="AS97" i="8"/>
  <c r="AS96" i="8" s="1"/>
  <c r="AR97" i="8"/>
  <c r="AQ97" i="8"/>
  <c r="AQ96" i="8" s="1"/>
  <c r="AP97" i="8"/>
  <c r="AP96" i="8" s="1"/>
  <c r="AO97" i="8"/>
  <c r="AO96" i="8" s="1"/>
  <c r="AN97" i="8"/>
  <c r="AN96" i="8" s="1"/>
  <c r="AM97" i="8"/>
  <c r="AM96" i="8" s="1"/>
  <c r="AL97" i="8"/>
  <c r="AK97" i="8"/>
  <c r="AK96" i="8" s="1"/>
  <c r="AJ97" i="8"/>
  <c r="AI97" i="8"/>
  <c r="AH97" i="8"/>
  <c r="AG97" i="8"/>
  <c r="AG96" i="8" s="1"/>
  <c r="AF97" i="8"/>
  <c r="AE97" i="8"/>
  <c r="AE96" i="8" s="1"/>
  <c r="AD97" i="8"/>
  <c r="AC97" i="8"/>
  <c r="AB97" i="8"/>
  <c r="AA97" i="8"/>
  <c r="AA96" i="8" s="1"/>
  <c r="Z97" i="8"/>
  <c r="Y97" i="8"/>
  <c r="Y96" i="8" s="1"/>
  <c r="Q97" i="8"/>
  <c r="O97" i="8"/>
  <c r="X97" i="8" s="1"/>
  <c r="L97" i="8"/>
  <c r="K97" i="8"/>
  <c r="J97" i="8"/>
  <c r="J96" i="8" s="1"/>
  <c r="I97" i="8"/>
  <c r="I96" i="8" s="1"/>
  <c r="G97" i="8"/>
  <c r="F97" i="8"/>
  <c r="E97" i="8"/>
  <c r="BH96" i="8"/>
  <c r="BF96" i="8"/>
  <c r="BD96" i="8"/>
  <c r="BB96" i="8"/>
  <c r="AZ96" i="8"/>
  <c r="AX96" i="8"/>
  <c r="AV96" i="8"/>
  <c r="AT96" i="8"/>
  <c r="AR96" i="8"/>
  <c r="AL96" i="8"/>
  <c r="AJ96" i="8"/>
  <c r="AH96" i="8"/>
  <c r="AF96" i="8"/>
  <c r="AB96" i="8"/>
  <c r="Z96" i="8"/>
  <c r="L96" i="8"/>
  <c r="K96" i="8"/>
  <c r="F96" i="8"/>
  <c r="E96" i="8"/>
  <c r="V95" i="8"/>
  <c r="S95" i="8"/>
  <c r="R95" i="8"/>
  <c r="Q95" i="8"/>
  <c r="P95" i="8"/>
  <c r="O95" i="8"/>
  <c r="U95" i="8" s="1"/>
  <c r="N95" i="8"/>
  <c r="W95" i="8" s="1"/>
  <c r="M95" i="8"/>
  <c r="H95" i="8"/>
  <c r="G95" i="8"/>
  <c r="U94" i="8"/>
  <c r="R94" i="8"/>
  <c r="Q94" i="8"/>
  <c r="P94" i="8"/>
  <c r="O94" i="8"/>
  <c r="X94" i="8" s="1"/>
  <c r="N94" i="8"/>
  <c r="N89" i="8" s="1"/>
  <c r="W89" i="8" s="1"/>
  <c r="M94" i="8"/>
  <c r="S94" i="8" s="1"/>
  <c r="H94" i="8"/>
  <c r="G94" i="8"/>
  <c r="AN93" i="8"/>
  <c r="P93" i="8" s="1"/>
  <c r="Q93" i="8"/>
  <c r="I93" i="8"/>
  <c r="Q92" i="8"/>
  <c r="P92" i="8"/>
  <c r="AN91" i="8"/>
  <c r="P91" i="8" s="1"/>
  <c r="W91" i="8"/>
  <c r="U91" i="8"/>
  <c r="T91" i="8"/>
  <c r="R91" i="8"/>
  <c r="Q91" i="8"/>
  <c r="O91" i="8"/>
  <c r="X91" i="8" s="1"/>
  <c r="N91" i="8"/>
  <c r="I91" i="8"/>
  <c r="BK89" i="8"/>
  <c r="BJ89" i="8"/>
  <c r="BI89" i="8"/>
  <c r="BH89" i="8"/>
  <c r="BG89" i="8"/>
  <c r="BF89" i="8"/>
  <c r="BE89" i="8"/>
  <c r="BD89" i="8"/>
  <c r="BC89" i="8"/>
  <c r="BB89" i="8"/>
  <c r="BA89" i="8"/>
  <c r="AZ89" i="8"/>
  <c r="AY89" i="8"/>
  <c r="AX89" i="8"/>
  <c r="AW89" i="8"/>
  <c r="AV89" i="8"/>
  <c r="AU89" i="8"/>
  <c r="AT89" i="8"/>
  <c r="AS89" i="8"/>
  <c r="AR89" i="8"/>
  <c r="Q89" i="8" s="1"/>
  <c r="AQ89" i="8"/>
  <c r="AP89" i="8"/>
  <c r="AO89" i="8"/>
  <c r="AM89" i="8"/>
  <c r="AL89" i="8"/>
  <c r="AK89" i="8"/>
  <c r="AJ89" i="8"/>
  <c r="R89" i="8" s="1"/>
  <c r="AI89" i="8"/>
  <c r="AH89" i="8"/>
  <c r="AG89" i="8"/>
  <c r="AF89" i="8"/>
  <c r="AE89" i="8"/>
  <c r="AD89" i="8"/>
  <c r="AC89" i="8"/>
  <c r="AB89" i="8"/>
  <c r="AA89" i="8"/>
  <c r="Z89" i="8"/>
  <c r="Y89" i="8"/>
  <c r="U89" i="8"/>
  <c r="L89" i="8"/>
  <c r="K89" i="8"/>
  <c r="J89" i="8"/>
  <c r="I89" i="8"/>
  <c r="G89" i="8" s="1"/>
  <c r="F89" i="8"/>
  <c r="E89" i="8"/>
  <c r="AI88" i="8"/>
  <c r="X88" i="8"/>
  <c r="V88" i="8"/>
  <c r="R88" i="8"/>
  <c r="Q88" i="8"/>
  <c r="P88" i="8"/>
  <c r="O88" i="8"/>
  <c r="U88" i="8" s="1"/>
  <c r="N88" i="8"/>
  <c r="T88" i="8" s="1"/>
  <c r="M88" i="8"/>
  <c r="S88" i="8" s="1"/>
  <c r="H88" i="8"/>
  <c r="G88" i="8"/>
  <c r="AF87" i="8"/>
  <c r="AF84" i="8" s="1"/>
  <c r="AF67" i="8" s="1"/>
  <c r="AC87" i="8"/>
  <c r="AC84" i="8" s="1"/>
  <c r="Z87" i="8"/>
  <c r="N87" i="8" s="1"/>
  <c r="S87" i="8"/>
  <c r="R87" i="8"/>
  <c r="Q87" i="8"/>
  <c r="P87" i="8"/>
  <c r="O87" i="8"/>
  <c r="U87" i="8" s="1"/>
  <c r="M87" i="8"/>
  <c r="H87" i="8" s="1"/>
  <c r="G87" i="8"/>
  <c r="W86" i="8"/>
  <c r="R86" i="8"/>
  <c r="Q86" i="8"/>
  <c r="P86" i="8"/>
  <c r="O86" i="8"/>
  <c r="X86" i="8" s="1"/>
  <c r="N86" i="8"/>
  <c r="N84" i="8" s="1"/>
  <c r="W84" i="8" s="1"/>
  <c r="M86" i="8"/>
  <c r="S86" i="8" s="1"/>
  <c r="G86" i="8"/>
  <c r="W85" i="8"/>
  <c r="U85" i="8"/>
  <c r="T85" i="8"/>
  <c r="R85" i="8"/>
  <c r="Q85" i="8"/>
  <c r="P85" i="8"/>
  <c r="O85" i="8"/>
  <c r="X85" i="8" s="1"/>
  <c r="N85" i="8"/>
  <c r="M85" i="8"/>
  <c r="M84" i="8" s="1"/>
  <c r="G85" i="8"/>
  <c r="BK84" i="8"/>
  <c r="BJ84" i="8"/>
  <c r="BI84" i="8"/>
  <c r="BH84" i="8"/>
  <c r="BG84" i="8"/>
  <c r="BF84" i="8"/>
  <c r="BE84" i="8"/>
  <c r="BD84" i="8"/>
  <c r="BC84" i="8"/>
  <c r="BB84" i="8"/>
  <c r="BA84" i="8"/>
  <c r="AZ84" i="8"/>
  <c r="AY84" i="8"/>
  <c r="AX84" i="8"/>
  <c r="AW84" i="8"/>
  <c r="AV84" i="8"/>
  <c r="AU84" i="8"/>
  <c r="AT84" i="8"/>
  <c r="AS84" i="8"/>
  <c r="AR84" i="8"/>
  <c r="AQ84" i="8"/>
  <c r="AP84" i="8"/>
  <c r="AO84" i="8"/>
  <c r="AN84" i="8"/>
  <c r="AM84" i="8"/>
  <c r="AL84" i="8"/>
  <c r="AK84" i="8"/>
  <c r="AJ84" i="8"/>
  <c r="AI84" i="8"/>
  <c r="AH84" i="8"/>
  <c r="AG84" i="8"/>
  <c r="AE84" i="8"/>
  <c r="AD84" i="8"/>
  <c r="AB84" i="8"/>
  <c r="P84" i="8" s="1"/>
  <c r="AA84" i="8"/>
  <c r="Z84" i="8"/>
  <c r="Y84" i="8"/>
  <c r="R84" i="8"/>
  <c r="L84" i="8"/>
  <c r="K84" i="8"/>
  <c r="J84" i="8"/>
  <c r="I84" i="8"/>
  <c r="G84" i="8" s="1"/>
  <c r="F84" i="8"/>
  <c r="E84" i="8"/>
  <c r="X83" i="8"/>
  <c r="V83" i="8"/>
  <c r="U83" i="8"/>
  <c r="R83" i="8"/>
  <c r="Q83" i="8"/>
  <c r="P83" i="8"/>
  <c r="O83" i="8"/>
  <c r="N83" i="8"/>
  <c r="W83" i="8" s="1"/>
  <c r="M83" i="8"/>
  <c r="S83" i="8" s="1"/>
  <c r="H83" i="8"/>
  <c r="G83" i="8"/>
  <c r="X82" i="8"/>
  <c r="V82" i="8"/>
  <c r="U82" i="8"/>
  <c r="T82" i="8"/>
  <c r="S82" i="8"/>
  <c r="R82" i="8"/>
  <c r="Q82" i="8"/>
  <c r="P82" i="8"/>
  <c r="O82" i="8"/>
  <c r="N82" i="8"/>
  <c r="W82" i="8" s="1"/>
  <c r="M82" i="8"/>
  <c r="H82" i="8"/>
  <c r="G82" i="8"/>
  <c r="X81" i="8"/>
  <c r="V81" i="8"/>
  <c r="T81" i="8"/>
  <c r="S81" i="8"/>
  <c r="R81" i="8"/>
  <c r="Q81" i="8"/>
  <c r="P81" i="8"/>
  <c r="O81" i="8"/>
  <c r="U81" i="8" s="1"/>
  <c r="U80" i="8" s="1"/>
  <c r="N81" i="8"/>
  <c r="W81" i="8" s="1"/>
  <c r="M81" i="8"/>
  <c r="H81" i="8"/>
  <c r="G81" i="8"/>
  <c r="BK80" i="8"/>
  <c r="R80" i="8" s="1"/>
  <c r="BJ80" i="8"/>
  <c r="BI80" i="8"/>
  <c r="P80" i="8" s="1"/>
  <c r="BH80" i="8"/>
  <c r="BG80" i="8"/>
  <c r="BF80" i="8"/>
  <c r="BE80" i="8"/>
  <c r="BD80" i="8"/>
  <c r="BC80" i="8"/>
  <c r="BB80" i="8"/>
  <c r="BA80" i="8"/>
  <c r="AZ80" i="8"/>
  <c r="AY80" i="8"/>
  <c r="AX80" i="8"/>
  <c r="AW80" i="8"/>
  <c r="AV80" i="8"/>
  <c r="AU80" i="8"/>
  <c r="Q80" i="8" s="1"/>
  <c r="AT80" i="8"/>
  <c r="AS80" i="8"/>
  <c r="AR80" i="8"/>
  <c r="AQ80" i="8"/>
  <c r="AP80" i="8"/>
  <c r="AO80" i="8"/>
  <c r="AN80" i="8"/>
  <c r="AM80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O80" i="8"/>
  <c r="X80" i="8" s="1"/>
  <c r="M80" i="8"/>
  <c r="H80" i="8" s="1"/>
  <c r="L80" i="8"/>
  <c r="K80" i="8"/>
  <c r="J80" i="8"/>
  <c r="I80" i="8"/>
  <c r="G80" i="8"/>
  <c r="F80" i="8"/>
  <c r="E80" i="8"/>
  <c r="W79" i="8"/>
  <c r="U79" i="8"/>
  <c r="T79" i="8"/>
  <c r="S79" i="8"/>
  <c r="R79" i="8"/>
  <c r="Q79" i="8"/>
  <c r="P79" i="8"/>
  <c r="O79" i="8"/>
  <c r="X79" i="8" s="1"/>
  <c r="N79" i="8"/>
  <c r="M79" i="8"/>
  <c r="V79" i="8" s="1"/>
  <c r="G79" i="8"/>
  <c r="W78" i="8"/>
  <c r="S78" i="8"/>
  <c r="S77" i="8" s="1"/>
  <c r="R78" i="8"/>
  <c r="Q78" i="8"/>
  <c r="P78" i="8"/>
  <c r="O78" i="8"/>
  <c r="U78" i="8" s="1"/>
  <c r="U77" i="8" s="1"/>
  <c r="N78" i="8"/>
  <c r="T78" i="8" s="1"/>
  <c r="T77" i="8" s="1"/>
  <c r="M78" i="8"/>
  <c r="H78" i="8" s="1"/>
  <c r="G78" i="8"/>
  <c r="BK77" i="8"/>
  <c r="BJ77" i="8"/>
  <c r="Q77" i="8" s="1"/>
  <c r="BI77" i="8"/>
  <c r="BH77" i="8"/>
  <c r="BG77" i="8"/>
  <c r="BF77" i="8"/>
  <c r="BE77" i="8"/>
  <c r="BD77" i="8"/>
  <c r="BC77" i="8"/>
  <c r="BB77" i="8"/>
  <c r="BA77" i="8"/>
  <c r="AZ77" i="8"/>
  <c r="AY77" i="8"/>
  <c r="AX77" i="8"/>
  <c r="AW77" i="8"/>
  <c r="AV77" i="8"/>
  <c r="AU77" i="8"/>
  <c r="AT77" i="8"/>
  <c r="P77" i="8" s="1"/>
  <c r="AS77" i="8"/>
  <c r="AR77" i="8"/>
  <c r="AQ77" i="8"/>
  <c r="AP77" i="8"/>
  <c r="AO77" i="8"/>
  <c r="AN77" i="8"/>
  <c r="AM77" i="8"/>
  <c r="AL77" i="8"/>
  <c r="AK77" i="8"/>
  <c r="AJ77" i="8"/>
  <c r="AI77" i="8"/>
  <c r="AH77" i="8"/>
  <c r="AG77" i="8"/>
  <c r="AF77" i="8"/>
  <c r="AE77" i="8"/>
  <c r="AD77" i="8"/>
  <c r="R77" i="8" s="1"/>
  <c r="AC77" i="8"/>
  <c r="AB77" i="8"/>
  <c r="AA77" i="8"/>
  <c r="Z77" i="8"/>
  <c r="Y77" i="8"/>
  <c r="N77" i="8"/>
  <c r="W77" i="8" s="1"/>
  <c r="L77" i="8"/>
  <c r="K77" i="8"/>
  <c r="J77" i="8"/>
  <c r="I77" i="8"/>
  <c r="G77" i="8"/>
  <c r="X76" i="8"/>
  <c r="V76" i="8"/>
  <c r="R76" i="8"/>
  <c r="Q76" i="8"/>
  <c r="P76" i="8"/>
  <c r="O76" i="8"/>
  <c r="U76" i="8" s="1"/>
  <c r="N76" i="8"/>
  <c r="T76" i="8" s="1"/>
  <c r="M76" i="8"/>
  <c r="S76" i="8" s="1"/>
  <c r="H76" i="8"/>
  <c r="G76" i="8"/>
  <c r="X75" i="8"/>
  <c r="V75" i="8"/>
  <c r="U75" i="8"/>
  <c r="R75" i="8"/>
  <c r="Q75" i="8"/>
  <c r="P75" i="8"/>
  <c r="O75" i="8"/>
  <c r="N75" i="8"/>
  <c r="W75" i="8" s="1"/>
  <c r="M75" i="8"/>
  <c r="S75" i="8" s="1"/>
  <c r="H75" i="8"/>
  <c r="G75" i="8"/>
  <c r="AN74" i="8"/>
  <c r="AF74" i="8"/>
  <c r="AC74" i="8"/>
  <c r="N74" i="8" s="1"/>
  <c r="R74" i="8"/>
  <c r="Q74" i="8"/>
  <c r="P74" i="8"/>
  <c r="O74" i="8"/>
  <c r="X74" i="8" s="1"/>
  <c r="M74" i="8"/>
  <c r="S74" i="8" s="1"/>
  <c r="I74" i="8"/>
  <c r="G74" i="8"/>
  <c r="X73" i="8"/>
  <c r="V73" i="8"/>
  <c r="U73" i="8"/>
  <c r="R73" i="8"/>
  <c r="Q73" i="8"/>
  <c r="P73" i="8"/>
  <c r="O73" i="8"/>
  <c r="N73" i="8"/>
  <c r="W73" i="8" s="1"/>
  <c r="M73" i="8"/>
  <c r="S73" i="8" s="1"/>
  <c r="H73" i="8"/>
  <c r="G73" i="8"/>
  <c r="AC72" i="8"/>
  <c r="W72" i="8"/>
  <c r="U72" i="8"/>
  <c r="T72" i="8"/>
  <c r="R72" i="8"/>
  <c r="Q72" i="8"/>
  <c r="P72" i="8"/>
  <c r="O72" i="8"/>
  <c r="X72" i="8" s="1"/>
  <c r="N72" i="8"/>
  <c r="M72" i="8"/>
  <c r="V72" i="8" s="1"/>
  <c r="I72" i="8"/>
  <c r="G72" i="8" s="1"/>
  <c r="X71" i="8"/>
  <c r="U71" i="8"/>
  <c r="T71" i="8"/>
  <c r="R71" i="8"/>
  <c r="Q71" i="8"/>
  <c r="P71" i="8"/>
  <c r="O71" i="8"/>
  <c r="N71" i="8"/>
  <c r="W71" i="8" s="1"/>
  <c r="M71" i="8"/>
  <c r="I71" i="8"/>
  <c r="V71" i="8" s="1"/>
  <c r="H71" i="8"/>
  <c r="AI70" i="8"/>
  <c r="X70" i="8"/>
  <c r="V70" i="8"/>
  <c r="U70" i="8"/>
  <c r="S70" i="8"/>
  <c r="R70" i="8"/>
  <c r="Q70" i="8"/>
  <c r="P70" i="8"/>
  <c r="O70" i="8"/>
  <c r="N70" i="8"/>
  <c r="W70" i="8" s="1"/>
  <c r="M70" i="8"/>
  <c r="H70" i="8"/>
  <c r="G70" i="8"/>
  <c r="X69" i="8"/>
  <c r="V69" i="8"/>
  <c r="T69" i="8"/>
  <c r="S69" i="8"/>
  <c r="R69" i="8"/>
  <c r="Q69" i="8"/>
  <c r="P69" i="8"/>
  <c r="O69" i="8"/>
  <c r="U69" i="8" s="1"/>
  <c r="N69" i="8"/>
  <c r="W69" i="8" s="1"/>
  <c r="M69" i="8"/>
  <c r="H69" i="8"/>
  <c r="G69" i="8"/>
  <c r="BK68" i="8"/>
  <c r="R68" i="8" s="1"/>
  <c r="BJ68" i="8"/>
  <c r="BJ67" i="8" s="1"/>
  <c r="BI68" i="8"/>
  <c r="BI67" i="8" s="1"/>
  <c r="BH68" i="8"/>
  <c r="BG68" i="8"/>
  <c r="BF68" i="8"/>
  <c r="BE68" i="8"/>
  <c r="BE67" i="8" s="1"/>
  <c r="BD68" i="8"/>
  <c r="BC68" i="8"/>
  <c r="BC67" i="8" s="1"/>
  <c r="BB68" i="8"/>
  <c r="BB67" i="8" s="1"/>
  <c r="BA68" i="8"/>
  <c r="BA67" i="8" s="1"/>
  <c r="AZ68" i="8"/>
  <c r="AY68" i="8"/>
  <c r="AX68" i="8"/>
  <c r="AW68" i="8"/>
  <c r="AW67" i="8" s="1"/>
  <c r="AV68" i="8"/>
  <c r="AU68" i="8"/>
  <c r="AU67" i="8" s="1"/>
  <c r="AT68" i="8"/>
  <c r="AT67" i="8" s="1"/>
  <c r="AS68" i="8"/>
  <c r="AS67" i="8" s="1"/>
  <c r="AR68" i="8"/>
  <c r="AQ68" i="8"/>
  <c r="AP68" i="8"/>
  <c r="AO68" i="8"/>
  <c r="AO67" i="8" s="1"/>
  <c r="AN68" i="8"/>
  <c r="AM68" i="8"/>
  <c r="AM67" i="8" s="1"/>
  <c r="AL68" i="8"/>
  <c r="AL67" i="8" s="1"/>
  <c r="AK68" i="8"/>
  <c r="AK67" i="8" s="1"/>
  <c r="AJ68" i="8"/>
  <c r="AI68" i="8"/>
  <c r="AH68" i="8"/>
  <c r="AG68" i="8"/>
  <c r="AG67" i="8" s="1"/>
  <c r="AF68" i="8"/>
  <c r="AE68" i="8"/>
  <c r="AE67" i="8" s="1"/>
  <c r="AD68" i="8"/>
  <c r="AD67" i="8" s="1"/>
  <c r="AB68" i="8"/>
  <c r="AA68" i="8"/>
  <c r="Z68" i="8"/>
  <c r="Y68" i="8"/>
  <c r="Y67" i="8" s="1"/>
  <c r="O68" i="8"/>
  <c r="X68" i="8" s="1"/>
  <c r="L68" i="8"/>
  <c r="K68" i="8"/>
  <c r="J68" i="8"/>
  <c r="I68" i="8"/>
  <c r="I67" i="8" s="1"/>
  <c r="G67" i="8" s="1"/>
  <c r="G68" i="8"/>
  <c r="F68" i="8"/>
  <c r="F67" i="8" s="1"/>
  <c r="E68" i="8"/>
  <c r="E67" i="8" s="1"/>
  <c r="BH67" i="8"/>
  <c r="BG67" i="8"/>
  <c r="BF67" i="8"/>
  <c r="BD67" i="8"/>
  <c r="AZ67" i="8"/>
  <c r="AY67" i="8"/>
  <c r="AX67" i="8"/>
  <c r="AV67" i="8"/>
  <c r="AR67" i="8"/>
  <c r="AQ67" i="8"/>
  <c r="AP67" i="8"/>
  <c r="AJ67" i="8"/>
  <c r="AI67" i="8"/>
  <c r="AH67" i="8"/>
  <c r="AB67" i="8"/>
  <c r="AA67" i="8"/>
  <c r="Z67" i="8"/>
  <c r="L67" i="8"/>
  <c r="K67" i="8"/>
  <c r="J67" i="8"/>
  <c r="X66" i="8"/>
  <c r="V66" i="8"/>
  <c r="U66" i="8"/>
  <c r="R66" i="8"/>
  <c r="Q66" i="8"/>
  <c r="P66" i="8"/>
  <c r="O66" i="8"/>
  <c r="N66" i="8"/>
  <c r="W66" i="8" s="1"/>
  <c r="M66" i="8"/>
  <c r="S66" i="8" s="1"/>
  <c r="H66" i="8"/>
  <c r="G66" i="8"/>
  <c r="X65" i="8"/>
  <c r="V65" i="8"/>
  <c r="U65" i="8"/>
  <c r="S65" i="8"/>
  <c r="R65" i="8"/>
  <c r="Q65" i="8"/>
  <c r="P65" i="8"/>
  <c r="O65" i="8"/>
  <c r="N65" i="8"/>
  <c r="W65" i="8" s="1"/>
  <c r="M65" i="8"/>
  <c r="H65" i="8"/>
  <c r="G65" i="8"/>
  <c r="X64" i="8"/>
  <c r="V64" i="8"/>
  <c r="T64" i="8"/>
  <c r="S64" i="8"/>
  <c r="R64" i="8"/>
  <c r="Q64" i="8"/>
  <c r="P64" i="8"/>
  <c r="O64" i="8"/>
  <c r="U64" i="8" s="1"/>
  <c r="N64" i="8"/>
  <c r="W64" i="8" s="1"/>
  <c r="M64" i="8"/>
  <c r="H64" i="8"/>
  <c r="G64" i="8"/>
  <c r="X63" i="8"/>
  <c r="V63" i="8"/>
  <c r="R63" i="8"/>
  <c r="Q63" i="8"/>
  <c r="P63" i="8"/>
  <c r="O63" i="8"/>
  <c r="U63" i="8" s="1"/>
  <c r="N63" i="8"/>
  <c r="T63" i="8" s="1"/>
  <c r="M63" i="8"/>
  <c r="S63" i="8" s="1"/>
  <c r="H63" i="8"/>
  <c r="G63" i="8"/>
  <c r="X62" i="8"/>
  <c r="V62" i="8"/>
  <c r="U62" i="8"/>
  <c r="R62" i="8"/>
  <c r="Q62" i="8"/>
  <c r="P62" i="8"/>
  <c r="O62" i="8"/>
  <c r="N62" i="8"/>
  <c r="W62" i="8" s="1"/>
  <c r="M62" i="8"/>
  <c r="S62" i="8" s="1"/>
  <c r="G62" i="8"/>
  <c r="W61" i="8"/>
  <c r="U61" i="8"/>
  <c r="T61" i="8"/>
  <c r="R61" i="8"/>
  <c r="Q61" i="8"/>
  <c r="P61" i="8"/>
  <c r="O61" i="8"/>
  <c r="X61" i="8" s="1"/>
  <c r="N61" i="8"/>
  <c r="M61" i="8"/>
  <c r="V61" i="8" s="1"/>
  <c r="G61" i="8"/>
  <c r="X60" i="8"/>
  <c r="V60" i="8"/>
  <c r="R60" i="8"/>
  <c r="Q60" i="8"/>
  <c r="P60" i="8"/>
  <c r="O60" i="8"/>
  <c r="U60" i="8" s="1"/>
  <c r="N60" i="8"/>
  <c r="T60" i="8" s="1"/>
  <c r="M60" i="8"/>
  <c r="S60" i="8" s="1"/>
  <c r="H60" i="8"/>
  <c r="G60" i="8"/>
  <c r="X59" i="8"/>
  <c r="V59" i="8"/>
  <c r="U59" i="8"/>
  <c r="R59" i="8"/>
  <c r="Q59" i="8"/>
  <c r="P59" i="8"/>
  <c r="O59" i="8"/>
  <c r="N59" i="8"/>
  <c r="W59" i="8" s="1"/>
  <c r="M59" i="8"/>
  <c r="S59" i="8" s="1"/>
  <c r="H59" i="8"/>
  <c r="G59" i="8"/>
  <c r="X58" i="8"/>
  <c r="V58" i="8"/>
  <c r="U58" i="8"/>
  <c r="S58" i="8"/>
  <c r="R58" i="8"/>
  <c r="Q58" i="8"/>
  <c r="P58" i="8"/>
  <c r="O58" i="8"/>
  <c r="N58" i="8"/>
  <c r="W58" i="8" s="1"/>
  <c r="M58" i="8"/>
  <c r="H58" i="8"/>
  <c r="G58" i="8"/>
  <c r="X57" i="8"/>
  <c r="V57" i="8"/>
  <c r="T57" i="8"/>
  <c r="S57" i="8"/>
  <c r="R57" i="8"/>
  <c r="Q57" i="8"/>
  <c r="P57" i="8"/>
  <c r="O57" i="8"/>
  <c r="U57" i="8" s="1"/>
  <c r="N57" i="8"/>
  <c r="W57" i="8" s="1"/>
  <c r="M57" i="8"/>
  <c r="H57" i="8"/>
  <c r="G57" i="8"/>
  <c r="AC56" i="8"/>
  <c r="N56" i="8" s="1"/>
  <c r="S56" i="8"/>
  <c r="R56" i="8"/>
  <c r="Q56" i="8"/>
  <c r="P56" i="8"/>
  <c r="O56" i="8"/>
  <c r="U56" i="8" s="1"/>
  <c r="M56" i="8"/>
  <c r="H56" i="8" s="1"/>
  <c r="G56" i="8"/>
  <c r="W55" i="8"/>
  <c r="R55" i="8"/>
  <c r="Q55" i="8"/>
  <c r="P55" i="8"/>
  <c r="O55" i="8"/>
  <c r="X55" i="8" s="1"/>
  <c r="N55" i="8"/>
  <c r="T55" i="8" s="1"/>
  <c r="M55" i="8"/>
  <c r="S55" i="8" s="1"/>
  <c r="G55" i="8"/>
  <c r="W54" i="8"/>
  <c r="T54" i="8"/>
  <c r="R54" i="8"/>
  <c r="Q54" i="8"/>
  <c r="P54" i="8"/>
  <c r="O54" i="8"/>
  <c r="X54" i="8" s="1"/>
  <c r="N54" i="8"/>
  <c r="M54" i="8"/>
  <c r="V54" i="8" s="1"/>
  <c r="G54" i="8"/>
  <c r="W53" i="8"/>
  <c r="U53" i="8"/>
  <c r="T53" i="8"/>
  <c r="R53" i="8"/>
  <c r="Q53" i="8"/>
  <c r="P53" i="8"/>
  <c r="O53" i="8"/>
  <c r="X53" i="8" s="1"/>
  <c r="N53" i="8"/>
  <c r="M53" i="8"/>
  <c r="V53" i="8" s="1"/>
  <c r="G53" i="8"/>
  <c r="AC52" i="8"/>
  <c r="Z52" i="8"/>
  <c r="N52" i="8" s="1"/>
  <c r="W52" i="8" s="1"/>
  <c r="U52" i="8"/>
  <c r="R52" i="8"/>
  <c r="Q52" i="8"/>
  <c r="P52" i="8"/>
  <c r="O52" i="8"/>
  <c r="X52" i="8" s="1"/>
  <c r="M52" i="8"/>
  <c r="V52" i="8" s="1"/>
  <c r="J52" i="8"/>
  <c r="G52" i="8"/>
  <c r="AC51" i="8"/>
  <c r="N51" i="8" s="1"/>
  <c r="W51" i="8" s="1"/>
  <c r="U51" i="8"/>
  <c r="R51" i="8"/>
  <c r="Q51" i="8"/>
  <c r="P51" i="8"/>
  <c r="O51" i="8"/>
  <c r="X51" i="8" s="1"/>
  <c r="M51" i="8"/>
  <c r="V51" i="8" s="1"/>
  <c r="J51" i="8"/>
  <c r="G51" i="8"/>
  <c r="AF50" i="8"/>
  <c r="N50" i="8" s="1"/>
  <c r="W50" i="8" s="1"/>
  <c r="U50" i="8"/>
  <c r="R50" i="8"/>
  <c r="Q50" i="8"/>
  <c r="P50" i="8"/>
  <c r="O50" i="8"/>
  <c r="X50" i="8" s="1"/>
  <c r="M50" i="8"/>
  <c r="V50" i="8" s="1"/>
  <c r="J50" i="8"/>
  <c r="I50" i="8"/>
  <c r="S50" i="8" s="1"/>
  <c r="AF49" i="8"/>
  <c r="AC49" i="8"/>
  <c r="N49" i="8" s="1"/>
  <c r="W49" i="8" s="1"/>
  <c r="R49" i="8"/>
  <c r="Q49" i="8"/>
  <c r="P49" i="8"/>
  <c r="O49" i="8"/>
  <c r="X49" i="8" s="1"/>
  <c r="M49" i="8"/>
  <c r="V49" i="8" s="1"/>
  <c r="J49" i="8"/>
  <c r="T49" i="8" s="1"/>
  <c r="G49" i="8"/>
  <c r="AF48" i="8"/>
  <c r="N48" i="8" s="1"/>
  <c r="R48" i="8"/>
  <c r="Q48" i="8"/>
  <c r="P48" i="8"/>
  <c r="O48" i="8"/>
  <c r="X48" i="8" s="1"/>
  <c r="M48" i="8"/>
  <c r="V48" i="8" s="1"/>
  <c r="G48" i="8"/>
  <c r="AL47" i="8"/>
  <c r="AF47" i="8"/>
  <c r="N47" i="8" s="1"/>
  <c r="W47" i="8" s="1"/>
  <c r="R47" i="8"/>
  <c r="Q47" i="8"/>
  <c r="P47" i="8"/>
  <c r="O47" i="8"/>
  <c r="X47" i="8" s="1"/>
  <c r="M47" i="8"/>
  <c r="V47" i="8" s="1"/>
  <c r="J47" i="8"/>
  <c r="T47" i="8" s="1"/>
  <c r="G47" i="8"/>
  <c r="X46" i="8"/>
  <c r="V46" i="8"/>
  <c r="U46" i="8"/>
  <c r="S46" i="8"/>
  <c r="R46" i="8"/>
  <c r="Q46" i="8"/>
  <c r="P46" i="8"/>
  <c r="O46" i="8"/>
  <c r="N46" i="8"/>
  <c r="W46" i="8" s="1"/>
  <c r="M46" i="8"/>
  <c r="H46" i="8"/>
  <c r="G46" i="8"/>
  <c r="X45" i="8"/>
  <c r="T45" i="8"/>
  <c r="R45" i="8"/>
  <c r="Q45" i="8"/>
  <c r="P45" i="8"/>
  <c r="O45" i="8"/>
  <c r="U45" i="8" s="1"/>
  <c r="N45" i="8"/>
  <c r="W45" i="8" s="1"/>
  <c r="M45" i="8"/>
  <c r="I45" i="8"/>
  <c r="V45" i="8" s="1"/>
  <c r="H45" i="8"/>
  <c r="AN44" i="8"/>
  <c r="AK44" i="8"/>
  <c r="P44" i="8" s="1"/>
  <c r="AH44" i="8"/>
  <c r="X44" i="8"/>
  <c r="U44" i="8"/>
  <c r="R44" i="8"/>
  <c r="Q44" i="8"/>
  <c r="O44" i="8"/>
  <c r="N44" i="8"/>
  <c r="W44" i="8" s="1"/>
  <c r="J44" i="8"/>
  <c r="T44" i="8" s="1"/>
  <c r="I44" i="8"/>
  <c r="AF43" i="8"/>
  <c r="Q43" i="8" s="1"/>
  <c r="AC43" i="8"/>
  <c r="X43" i="8"/>
  <c r="V43" i="8"/>
  <c r="U43" i="8"/>
  <c r="R43" i="8"/>
  <c r="P43" i="8"/>
  <c r="O43" i="8"/>
  <c r="N43" i="8"/>
  <c r="W43" i="8" s="1"/>
  <c r="M43" i="8"/>
  <c r="S43" i="8" s="1"/>
  <c r="J43" i="8"/>
  <c r="T43" i="8" s="1"/>
  <c r="G43" i="8"/>
  <c r="W42" i="8"/>
  <c r="T42" i="8"/>
  <c r="R42" i="8"/>
  <c r="Q42" i="8"/>
  <c r="P42" i="8"/>
  <c r="O42" i="8"/>
  <c r="X42" i="8" s="1"/>
  <c r="N42" i="8"/>
  <c r="M42" i="8"/>
  <c r="V42" i="8" s="1"/>
  <c r="I42" i="8"/>
  <c r="G42" i="8" s="1"/>
  <c r="AN41" i="8"/>
  <c r="P41" i="8" s="1"/>
  <c r="W41" i="8"/>
  <c r="T41" i="8"/>
  <c r="R41" i="8"/>
  <c r="Q41" i="8"/>
  <c r="O41" i="8"/>
  <c r="X41" i="8" s="1"/>
  <c r="N41" i="8"/>
  <c r="M41" i="8"/>
  <c r="V41" i="8" s="1"/>
  <c r="I41" i="8"/>
  <c r="G41" i="8" s="1"/>
  <c r="E41" i="8"/>
  <c r="W40" i="8"/>
  <c r="T40" i="8"/>
  <c r="R40" i="8"/>
  <c r="Q40" i="8"/>
  <c r="P40" i="8"/>
  <c r="O40" i="8"/>
  <c r="X40" i="8" s="1"/>
  <c r="N40" i="8"/>
  <c r="M40" i="8"/>
  <c r="V40" i="8" s="1"/>
  <c r="I40" i="8"/>
  <c r="G40" i="8" s="1"/>
  <c r="X39" i="8"/>
  <c r="V39" i="8"/>
  <c r="U39" i="8"/>
  <c r="S39" i="8"/>
  <c r="R39" i="8"/>
  <c r="Q39" i="8"/>
  <c r="P39" i="8"/>
  <c r="O39" i="8"/>
  <c r="N39" i="8"/>
  <c r="W39" i="8" s="1"/>
  <c r="M39" i="8"/>
  <c r="H39" i="8"/>
  <c r="G39" i="8"/>
  <c r="X38" i="8"/>
  <c r="V38" i="8"/>
  <c r="T38" i="8"/>
  <c r="S38" i="8"/>
  <c r="R38" i="8"/>
  <c r="Q38" i="8"/>
  <c r="P38" i="8"/>
  <c r="O38" i="8"/>
  <c r="U38" i="8" s="1"/>
  <c r="N38" i="8"/>
  <c r="W38" i="8" s="1"/>
  <c r="M38" i="8"/>
  <c r="H38" i="8"/>
  <c r="G38" i="8"/>
  <c r="X37" i="8"/>
  <c r="V37" i="8"/>
  <c r="R37" i="8"/>
  <c r="Q37" i="8"/>
  <c r="P37" i="8"/>
  <c r="O37" i="8"/>
  <c r="U37" i="8" s="1"/>
  <c r="N37" i="8"/>
  <c r="T37" i="8" s="1"/>
  <c r="M37" i="8"/>
  <c r="S37" i="8" s="1"/>
  <c r="H37" i="8"/>
  <c r="G37" i="8"/>
  <c r="X36" i="8"/>
  <c r="V36" i="8"/>
  <c r="U36" i="8"/>
  <c r="R36" i="8"/>
  <c r="Q36" i="8"/>
  <c r="P36" i="8"/>
  <c r="O36" i="8"/>
  <c r="N36" i="8"/>
  <c r="W36" i="8" s="1"/>
  <c r="M36" i="8"/>
  <c r="S36" i="8" s="1"/>
  <c r="H36" i="8"/>
  <c r="G36" i="8"/>
  <c r="AC35" i="8"/>
  <c r="N35" i="8" s="1"/>
  <c r="W35" i="8" s="1"/>
  <c r="R35" i="8"/>
  <c r="Q35" i="8"/>
  <c r="P35" i="8"/>
  <c r="O35" i="8"/>
  <c r="X35" i="8" s="1"/>
  <c r="M35" i="8"/>
  <c r="V35" i="8" s="1"/>
  <c r="J35" i="8"/>
  <c r="G35" i="8"/>
  <c r="AN34" i="8"/>
  <c r="P34" i="8" s="1"/>
  <c r="W34" i="8"/>
  <c r="T34" i="8"/>
  <c r="R34" i="8"/>
  <c r="Q34" i="8"/>
  <c r="O34" i="8"/>
  <c r="X34" i="8" s="1"/>
  <c r="N34" i="8"/>
  <c r="M34" i="8"/>
  <c r="V34" i="8" s="1"/>
  <c r="G34" i="8"/>
  <c r="W33" i="8"/>
  <c r="U33" i="8"/>
  <c r="T33" i="8"/>
  <c r="R33" i="8"/>
  <c r="Q33" i="8"/>
  <c r="P33" i="8"/>
  <c r="O33" i="8"/>
  <c r="X33" i="8" s="1"/>
  <c r="N33" i="8"/>
  <c r="M33" i="8"/>
  <c r="V33" i="8" s="1"/>
  <c r="G33" i="8"/>
  <c r="W32" i="8"/>
  <c r="S32" i="8"/>
  <c r="R32" i="8"/>
  <c r="Q32" i="8"/>
  <c r="P32" i="8"/>
  <c r="O32" i="8"/>
  <c r="U32" i="8" s="1"/>
  <c r="N32" i="8"/>
  <c r="T32" i="8" s="1"/>
  <c r="M32" i="8"/>
  <c r="H32" i="8" s="1"/>
  <c r="G32" i="8"/>
  <c r="W31" i="8"/>
  <c r="R31" i="8"/>
  <c r="Q31" i="8"/>
  <c r="P31" i="8"/>
  <c r="O31" i="8"/>
  <c r="X31" i="8" s="1"/>
  <c r="N31" i="8"/>
  <c r="M31" i="8"/>
  <c r="H31" i="8" s="1"/>
  <c r="J31" i="8"/>
  <c r="T31" i="8" s="1"/>
  <c r="I31" i="8"/>
  <c r="S31" i="8" s="1"/>
  <c r="G31" i="8"/>
  <c r="W30" i="8"/>
  <c r="R30" i="8"/>
  <c r="Q30" i="8"/>
  <c r="P30" i="8"/>
  <c r="O30" i="8"/>
  <c r="X30" i="8" s="1"/>
  <c r="N30" i="8"/>
  <c r="M30" i="8"/>
  <c r="S30" i="8" s="1"/>
  <c r="J30" i="8"/>
  <c r="T30" i="8" s="1"/>
  <c r="G30" i="8"/>
  <c r="X29" i="8"/>
  <c r="V29" i="8"/>
  <c r="U29" i="8"/>
  <c r="R29" i="8"/>
  <c r="Q29" i="8"/>
  <c r="P29" i="8"/>
  <c r="O29" i="8"/>
  <c r="N29" i="8"/>
  <c r="W29" i="8" s="1"/>
  <c r="M29" i="8"/>
  <c r="S29" i="8" s="1"/>
  <c r="H29" i="8"/>
  <c r="G29" i="8"/>
  <c r="X28" i="8"/>
  <c r="V28" i="8"/>
  <c r="U28" i="8"/>
  <c r="S28" i="8"/>
  <c r="R28" i="8"/>
  <c r="Q28" i="8"/>
  <c r="P28" i="8"/>
  <c r="O28" i="8"/>
  <c r="N28" i="8"/>
  <c r="M28" i="8"/>
  <c r="H28" i="8"/>
  <c r="G28" i="8"/>
  <c r="Z27" i="8"/>
  <c r="Z12" i="8" s="1"/>
  <c r="Z3" i="8" s="1"/>
  <c r="U27" i="8"/>
  <c r="R27" i="8"/>
  <c r="Q27" i="8"/>
  <c r="P27" i="8"/>
  <c r="O27" i="8"/>
  <c r="X27" i="8" s="1"/>
  <c r="M27" i="8"/>
  <c r="G27" i="8"/>
  <c r="W26" i="8"/>
  <c r="S26" i="8"/>
  <c r="R26" i="8"/>
  <c r="Q26" i="8"/>
  <c r="P26" i="8"/>
  <c r="O26" i="8"/>
  <c r="U26" i="8" s="1"/>
  <c r="N26" i="8"/>
  <c r="T26" i="8" s="1"/>
  <c r="M26" i="8"/>
  <c r="H26" i="8" s="1"/>
  <c r="G26" i="8"/>
  <c r="W25" i="8"/>
  <c r="R25" i="8"/>
  <c r="Q25" i="8"/>
  <c r="P25" i="8"/>
  <c r="O25" i="8"/>
  <c r="X25" i="8" s="1"/>
  <c r="N25" i="8"/>
  <c r="T25" i="8" s="1"/>
  <c r="M25" i="8"/>
  <c r="S25" i="8" s="1"/>
  <c r="G25" i="8"/>
  <c r="W24" i="8"/>
  <c r="U24" i="8"/>
  <c r="T24" i="8"/>
  <c r="R24" i="8"/>
  <c r="Q24" i="8"/>
  <c r="P24" i="8"/>
  <c r="O24" i="8"/>
  <c r="X24" i="8" s="1"/>
  <c r="N24" i="8"/>
  <c r="M24" i="8"/>
  <c r="I24" i="8"/>
  <c r="G24" i="8"/>
  <c r="AI23" i="8"/>
  <c r="AF23" i="8"/>
  <c r="Q23" i="8" s="1"/>
  <c r="AC23" i="8"/>
  <c r="X23" i="8"/>
  <c r="V23" i="8"/>
  <c r="U23" i="8"/>
  <c r="R23" i="8"/>
  <c r="P23" i="8"/>
  <c r="O23" i="8"/>
  <c r="N23" i="8"/>
  <c r="M23" i="8"/>
  <c r="S23" i="8" s="1"/>
  <c r="H23" i="8"/>
  <c r="G23" i="8"/>
  <c r="AF22" i="8"/>
  <c r="Q22" i="8" s="1"/>
  <c r="Z22" i="8"/>
  <c r="X22" i="8"/>
  <c r="V22" i="8"/>
  <c r="U22" i="8"/>
  <c r="R22" i="8"/>
  <c r="P22" i="8"/>
  <c r="O22" i="8"/>
  <c r="N22" i="8"/>
  <c r="M22" i="8"/>
  <c r="H22" i="8" s="1"/>
  <c r="I22" i="8"/>
  <c r="G22" i="8" s="1"/>
  <c r="W21" i="8"/>
  <c r="T21" i="8"/>
  <c r="R21" i="8"/>
  <c r="Q21" i="8"/>
  <c r="P21" i="8"/>
  <c r="O21" i="8"/>
  <c r="X21" i="8" s="1"/>
  <c r="N21" i="8"/>
  <c r="M21" i="8"/>
  <c r="G21" i="8"/>
  <c r="AF20" i="8"/>
  <c r="AC20" i="8"/>
  <c r="N20" i="8" s="1"/>
  <c r="T20" i="8" s="1"/>
  <c r="W20" i="8"/>
  <c r="U20" i="8"/>
  <c r="R20" i="8"/>
  <c r="Q20" i="8"/>
  <c r="P20" i="8"/>
  <c r="O20" i="8"/>
  <c r="X20" i="8" s="1"/>
  <c r="M20" i="8"/>
  <c r="G20" i="8"/>
  <c r="AN19" i="8"/>
  <c r="AL19" i="8"/>
  <c r="Q19" i="8" s="1"/>
  <c r="AF19" i="8"/>
  <c r="X19" i="8"/>
  <c r="V19" i="8"/>
  <c r="U19" i="8"/>
  <c r="R19" i="8"/>
  <c r="P19" i="8"/>
  <c r="O19" i="8"/>
  <c r="N19" i="8"/>
  <c r="M19" i="8"/>
  <c r="H19" i="8" s="1"/>
  <c r="I19" i="8"/>
  <c r="G19" i="8" s="1"/>
  <c r="AC18" i="8"/>
  <c r="X18" i="8"/>
  <c r="V18" i="8"/>
  <c r="U18" i="8"/>
  <c r="R18" i="8"/>
  <c r="Q18" i="8"/>
  <c r="P18" i="8"/>
  <c r="O18" i="8"/>
  <c r="N18" i="8"/>
  <c r="M18" i="8"/>
  <c r="H18" i="8" s="1"/>
  <c r="I18" i="8"/>
  <c r="G18" i="8" s="1"/>
  <c r="W17" i="8"/>
  <c r="R17" i="8"/>
  <c r="Q17" i="8"/>
  <c r="P17" i="8"/>
  <c r="O17" i="8"/>
  <c r="X17" i="8" s="1"/>
  <c r="N17" i="8"/>
  <c r="M17" i="8"/>
  <c r="J17" i="8"/>
  <c r="T17" i="8" s="1"/>
  <c r="G17" i="8"/>
  <c r="X16" i="8"/>
  <c r="V16" i="8"/>
  <c r="U16" i="8"/>
  <c r="S16" i="8"/>
  <c r="R16" i="8"/>
  <c r="Q16" i="8"/>
  <c r="P16" i="8"/>
  <c r="O16" i="8"/>
  <c r="N16" i="8"/>
  <c r="W16" i="8" s="1"/>
  <c r="M16" i="8"/>
  <c r="J16" i="8"/>
  <c r="J12" i="8" s="1"/>
  <c r="H16" i="8"/>
  <c r="G16" i="8"/>
  <c r="AL15" i="8"/>
  <c r="X15" i="8"/>
  <c r="V15" i="8"/>
  <c r="U15" i="8"/>
  <c r="R15" i="8"/>
  <c r="Q15" i="8"/>
  <c r="P15" i="8"/>
  <c r="O15" i="8"/>
  <c r="N15" i="8"/>
  <c r="W15" i="8" s="1"/>
  <c r="M15" i="8"/>
  <c r="I15" i="8"/>
  <c r="H15" i="8"/>
  <c r="W14" i="8"/>
  <c r="U14" i="8"/>
  <c r="T14" i="8"/>
  <c r="R14" i="8"/>
  <c r="Q14" i="8"/>
  <c r="P14" i="8"/>
  <c r="O14" i="8"/>
  <c r="X14" i="8" s="1"/>
  <c r="N14" i="8"/>
  <c r="M14" i="8"/>
  <c r="S14" i="8" s="1"/>
  <c r="G14" i="8"/>
  <c r="W13" i="8"/>
  <c r="S13" i="8"/>
  <c r="R13" i="8"/>
  <c r="Q13" i="8"/>
  <c r="P13" i="8"/>
  <c r="O13" i="8"/>
  <c r="U13" i="8" s="1"/>
  <c r="N13" i="8"/>
  <c r="T13" i="8" s="1"/>
  <c r="M13" i="8"/>
  <c r="H13" i="8" s="1"/>
  <c r="G13" i="8"/>
  <c r="BK12" i="8"/>
  <c r="BJ12" i="8"/>
  <c r="BI12" i="8"/>
  <c r="BH12" i="8"/>
  <c r="BG12" i="8"/>
  <c r="BF12" i="8"/>
  <c r="BF3" i="8" s="1"/>
  <c r="BE12" i="8"/>
  <c r="BD12" i="8"/>
  <c r="BD3" i="8" s="1"/>
  <c r="BC12" i="8"/>
  <c r="BB12" i="8"/>
  <c r="BB3" i="8" s="1"/>
  <c r="BA12" i="8"/>
  <c r="AZ12" i="8"/>
  <c r="AY12" i="8"/>
  <c r="AX12" i="8"/>
  <c r="AX3" i="8" s="1"/>
  <c r="AW12" i="8"/>
  <c r="AV12" i="8"/>
  <c r="AV3" i="8" s="1"/>
  <c r="AU12" i="8"/>
  <c r="AT12" i="8"/>
  <c r="P12" i="8" s="1"/>
  <c r="AS12" i="8"/>
  <c r="AR12" i="8"/>
  <c r="AQ12" i="8"/>
  <c r="AP12" i="8"/>
  <c r="AP3" i="8" s="1"/>
  <c r="AO12" i="8"/>
  <c r="AN12" i="8"/>
  <c r="AM12" i="8"/>
  <c r="AL12" i="8"/>
  <c r="AL3" i="8" s="1"/>
  <c r="AK12" i="8"/>
  <c r="AJ12" i="8"/>
  <c r="AI12" i="8"/>
  <c r="AH12" i="8"/>
  <c r="AH3" i="8" s="1"/>
  <c r="AG12" i="8"/>
  <c r="AF12" i="8"/>
  <c r="AF3" i="8" s="1"/>
  <c r="AE12" i="8"/>
  <c r="AD12" i="8"/>
  <c r="R12" i="8" s="1"/>
  <c r="AC12" i="8"/>
  <c r="AB12" i="8"/>
  <c r="AA12" i="8"/>
  <c r="Y12" i="8"/>
  <c r="N12" i="8"/>
  <c r="W12" i="8" s="1"/>
  <c r="L12" i="8"/>
  <c r="K12" i="8"/>
  <c r="F12" i="8"/>
  <c r="E12" i="8"/>
  <c r="X11" i="8"/>
  <c r="V11" i="8"/>
  <c r="T11" i="8"/>
  <c r="S11" i="8"/>
  <c r="R11" i="8"/>
  <c r="Q11" i="8"/>
  <c r="P11" i="8"/>
  <c r="O11" i="8"/>
  <c r="U11" i="8" s="1"/>
  <c r="N11" i="8"/>
  <c r="W11" i="8" s="1"/>
  <c r="M11" i="8"/>
  <c r="H11" i="8"/>
  <c r="G11" i="8"/>
  <c r="X10" i="8"/>
  <c r="V10" i="8"/>
  <c r="R10" i="8"/>
  <c r="Q10" i="8"/>
  <c r="P10" i="8"/>
  <c r="O10" i="8"/>
  <c r="U10" i="8" s="1"/>
  <c r="N10" i="8"/>
  <c r="M10" i="8"/>
  <c r="H10" i="8" s="1"/>
  <c r="I10" i="8"/>
  <c r="S10" i="8" s="1"/>
  <c r="G10" i="8"/>
  <c r="W9" i="8"/>
  <c r="R9" i="8"/>
  <c r="Q9" i="8"/>
  <c r="P9" i="8"/>
  <c r="O9" i="8"/>
  <c r="X9" i="8" s="1"/>
  <c r="N9" i="8"/>
  <c r="T9" i="8" s="1"/>
  <c r="M9" i="8"/>
  <c r="G9" i="8"/>
  <c r="W8" i="8"/>
  <c r="T8" i="8"/>
  <c r="S8" i="8"/>
  <c r="R8" i="8"/>
  <c r="Q8" i="8"/>
  <c r="P8" i="8"/>
  <c r="O8" i="8"/>
  <c r="X8" i="8" s="1"/>
  <c r="N8" i="8"/>
  <c r="M8" i="8"/>
  <c r="V8" i="8" s="1"/>
  <c r="H8" i="8"/>
  <c r="G8" i="8"/>
  <c r="W7" i="8"/>
  <c r="U7" i="8"/>
  <c r="T7" i="8"/>
  <c r="S7" i="8"/>
  <c r="R7" i="8"/>
  <c r="Q7" i="8"/>
  <c r="P7" i="8"/>
  <c r="O7" i="8"/>
  <c r="X7" i="8" s="1"/>
  <c r="N7" i="8"/>
  <c r="M7" i="8"/>
  <c r="G7" i="8"/>
  <c r="X6" i="8"/>
  <c r="W6" i="8"/>
  <c r="S6" i="8"/>
  <c r="R6" i="8"/>
  <c r="Q6" i="8"/>
  <c r="P6" i="8"/>
  <c r="O6" i="8"/>
  <c r="U6" i="8" s="1"/>
  <c r="N6" i="8"/>
  <c r="T6" i="8" s="1"/>
  <c r="M6" i="8"/>
  <c r="H6" i="8" s="1"/>
  <c r="G6" i="8"/>
  <c r="S5" i="8"/>
  <c r="R5" i="8"/>
  <c r="Q5" i="8"/>
  <c r="P5" i="8"/>
  <c r="O5" i="8"/>
  <c r="N5" i="8"/>
  <c r="M5" i="8"/>
  <c r="BK4" i="8"/>
  <c r="BJ4" i="8"/>
  <c r="BI4" i="8"/>
  <c r="BH4" i="8"/>
  <c r="BH3" i="8" s="1"/>
  <c r="BG4" i="8"/>
  <c r="BG3" i="8" s="1"/>
  <c r="BF4" i="8"/>
  <c r="BE4" i="8"/>
  <c r="BD4" i="8"/>
  <c r="BC4" i="8"/>
  <c r="BC3" i="8" s="1"/>
  <c r="BB4" i="8"/>
  <c r="BA4" i="8"/>
  <c r="AZ4" i="8"/>
  <c r="AZ3" i="8" s="1"/>
  <c r="AY4" i="8"/>
  <c r="AY3" i="8" s="1"/>
  <c r="AX4" i="8"/>
  <c r="AW4" i="8"/>
  <c r="AV4" i="8"/>
  <c r="AU4" i="8"/>
  <c r="AU3" i="8" s="1"/>
  <c r="AT4" i="8"/>
  <c r="AS4" i="8"/>
  <c r="AR4" i="8"/>
  <c r="AR3" i="8" s="1"/>
  <c r="AQ4" i="8"/>
  <c r="AQ3" i="8" s="1"/>
  <c r="AP4" i="8"/>
  <c r="AO4" i="8"/>
  <c r="AN4" i="8"/>
  <c r="AM4" i="8"/>
  <c r="AM3" i="8" s="1"/>
  <c r="AL4" i="8"/>
  <c r="AK4" i="8"/>
  <c r="AJ4" i="8"/>
  <c r="AJ3" i="8" s="1"/>
  <c r="AI4" i="8"/>
  <c r="AH4" i="8"/>
  <c r="AG4" i="8"/>
  <c r="AF4" i="8"/>
  <c r="AE4" i="8"/>
  <c r="AE3" i="8" s="1"/>
  <c r="AD4" i="8"/>
  <c r="AC4" i="8"/>
  <c r="AB4" i="8"/>
  <c r="AB3" i="8" s="1"/>
  <c r="AA4" i="8"/>
  <c r="AA3" i="8" s="1"/>
  <c r="Z4" i="8"/>
  <c r="Y4" i="8"/>
  <c r="O4" i="8"/>
  <c r="M4" i="8"/>
  <c r="L4" i="8"/>
  <c r="J4" i="8"/>
  <c r="F4" i="8"/>
  <c r="F190" i="8" s="1"/>
  <c r="E4" i="8"/>
  <c r="BA3" i="8"/>
  <c r="AS3" i="8"/>
  <c r="AK3" i="8"/>
  <c r="K3" i="8"/>
  <c r="F3" i="8"/>
  <c r="E3" i="8"/>
  <c r="AZ191" i="7"/>
  <c r="F191" i="7" s="1"/>
  <c r="AL191" i="7"/>
  <c r="AH191" i="7"/>
  <c r="AF191" i="7"/>
  <c r="Z191" i="7"/>
  <c r="E191" i="7"/>
  <c r="W187" i="7"/>
  <c r="T187" i="7"/>
  <c r="S187" i="7"/>
  <c r="R187" i="7"/>
  <c r="Q187" i="7"/>
  <c r="P187" i="7"/>
  <c r="O187" i="7"/>
  <c r="X187" i="7" s="1"/>
  <c r="N187" i="7"/>
  <c r="M187" i="7"/>
  <c r="V187" i="7" s="1"/>
  <c r="H187" i="7"/>
  <c r="G187" i="7"/>
  <c r="W186" i="7"/>
  <c r="U186" i="7"/>
  <c r="T186" i="7"/>
  <c r="S186" i="7"/>
  <c r="R186" i="7"/>
  <c r="Q186" i="7"/>
  <c r="P186" i="7"/>
  <c r="O186" i="7"/>
  <c r="X186" i="7" s="1"/>
  <c r="N186" i="7"/>
  <c r="M186" i="7"/>
  <c r="G186" i="7"/>
  <c r="X185" i="7"/>
  <c r="W185" i="7"/>
  <c r="S185" i="7"/>
  <c r="R185" i="7"/>
  <c r="Q185" i="7"/>
  <c r="P185" i="7"/>
  <c r="O185" i="7"/>
  <c r="U185" i="7" s="1"/>
  <c r="N185" i="7"/>
  <c r="T185" i="7" s="1"/>
  <c r="M185" i="7"/>
  <c r="V185" i="7" s="1"/>
  <c r="W184" i="7"/>
  <c r="T184" i="7"/>
  <c r="S184" i="7"/>
  <c r="R184" i="7"/>
  <c r="Q184" i="7"/>
  <c r="P184" i="7"/>
  <c r="O184" i="7"/>
  <c r="N184" i="7"/>
  <c r="M184" i="7"/>
  <c r="H184" i="7"/>
  <c r="G184" i="7"/>
  <c r="BK183" i="7"/>
  <c r="BJ183" i="7"/>
  <c r="BI183" i="7"/>
  <c r="BH183" i="7"/>
  <c r="BG183" i="7"/>
  <c r="BF183" i="7"/>
  <c r="BE183" i="7"/>
  <c r="BD183" i="7"/>
  <c r="BC183" i="7"/>
  <c r="BB183" i="7"/>
  <c r="BA183" i="7"/>
  <c r="AZ183" i="7"/>
  <c r="AY183" i="7"/>
  <c r="AX183" i="7"/>
  <c r="AW183" i="7"/>
  <c r="AV183" i="7"/>
  <c r="AU183" i="7"/>
  <c r="AT183" i="7"/>
  <c r="AS183" i="7"/>
  <c r="AR183" i="7"/>
  <c r="AQ183" i="7"/>
  <c r="AP183" i="7"/>
  <c r="AO183" i="7"/>
  <c r="AN183" i="7"/>
  <c r="AM183" i="7"/>
  <c r="AL183" i="7"/>
  <c r="AK183" i="7"/>
  <c r="AJ183" i="7"/>
  <c r="AI183" i="7"/>
  <c r="AH183" i="7"/>
  <c r="AG183" i="7"/>
  <c r="R183" i="7" s="1"/>
  <c r="AF183" i="7"/>
  <c r="Q183" i="7" s="1"/>
  <c r="AE183" i="7"/>
  <c r="AD183" i="7"/>
  <c r="AC183" i="7"/>
  <c r="AB183" i="7"/>
  <c r="AA183" i="7"/>
  <c r="Z183" i="7"/>
  <c r="Y183" i="7"/>
  <c r="T183" i="7"/>
  <c r="P183" i="7"/>
  <c r="N183" i="7"/>
  <c r="L183" i="7"/>
  <c r="K183" i="7"/>
  <c r="J183" i="7"/>
  <c r="I183" i="7"/>
  <c r="G183" i="7" s="1"/>
  <c r="F183" i="7"/>
  <c r="E183" i="7"/>
  <c r="X182" i="7"/>
  <c r="U182" i="7"/>
  <c r="T182" i="7"/>
  <c r="R182" i="7"/>
  <c r="Q182" i="7"/>
  <c r="P182" i="7"/>
  <c r="O182" i="7"/>
  <c r="N182" i="7"/>
  <c r="W182" i="7" s="1"/>
  <c r="M182" i="7"/>
  <c r="S182" i="7" s="1"/>
  <c r="H182" i="7"/>
  <c r="G182" i="7"/>
  <c r="X181" i="7"/>
  <c r="V181" i="7"/>
  <c r="U181" i="7"/>
  <c r="T181" i="7"/>
  <c r="S181" i="7"/>
  <c r="R181" i="7"/>
  <c r="Q181" i="7"/>
  <c r="P181" i="7"/>
  <c r="O181" i="7"/>
  <c r="N181" i="7"/>
  <c r="W181" i="7" s="1"/>
  <c r="M181" i="7"/>
  <c r="X180" i="7"/>
  <c r="W180" i="7"/>
  <c r="V180" i="7"/>
  <c r="R180" i="7"/>
  <c r="Q180" i="7"/>
  <c r="P180" i="7"/>
  <c r="O180" i="7"/>
  <c r="U180" i="7" s="1"/>
  <c r="N180" i="7"/>
  <c r="T180" i="7" s="1"/>
  <c r="M180" i="7"/>
  <c r="S180" i="7" s="1"/>
  <c r="X179" i="7"/>
  <c r="V179" i="7"/>
  <c r="U179" i="7"/>
  <c r="T179" i="7"/>
  <c r="S179" i="7"/>
  <c r="R179" i="7"/>
  <c r="Q179" i="7"/>
  <c r="P179" i="7"/>
  <c r="O179" i="7"/>
  <c r="N179" i="7"/>
  <c r="W179" i="7" s="1"/>
  <c r="M179" i="7"/>
  <c r="X178" i="7"/>
  <c r="W178" i="7"/>
  <c r="V178" i="7"/>
  <c r="R178" i="7"/>
  <c r="Q178" i="7"/>
  <c r="P178" i="7"/>
  <c r="O178" i="7"/>
  <c r="U178" i="7" s="1"/>
  <c r="N178" i="7"/>
  <c r="T178" i="7" s="1"/>
  <c r="M178" i="7"/>
  <c r="S178" i="7" s="1"/>
  <c r="H178" i="7"/>
  <c r="G178" i="7"/>
  <c r="X177" i="7"/>
  <c r="U177" i="7"/>
  <c r="U176" i="7" s="1"/>
  <c r="R177" i="7"/>
  <c r="Q177" i="7"/>
  <c r="P177" i="7"/>
  <c r="O177" i="7"/>
  <c r="N177" i="7"/>
  <c r="M177" i="7"/>
  <c r="S177" i="7" s="1"/>
  <c r="S176" i="7" s="1"/>
  <c r="G177" i="7"/>
  <c r="BK176" i="7"/>
  <c r="R176" i="7" s="1"/>
  <c r="BJ176" i="7"/>
  <c r="BI176" i="7"/>
  <c r="BH176" i="7"/>
  <c r="BG176" i="7"/>
  <c r="BF176" i="7"/>
  <c r="BE176" i="7"/>
  <c r="BE168" i="7" s="1"/>
  <c r="BE159" i="7" s="1"/>
  <c r="BD176" i="7"/>
  <c r="BC176" i="7"/>
  <c r="BB176" i="7"/>
  <c r="BA176" i="7"/>
  <c r="AZ176" i="7"/>
  <c r="AY176" i="7"/>
  <c r="AX176" i="7"/>
  <c r="AW176" i="7"/>
  <c r="AV176" i="7"/>
  <c r="AU176" i="7"/>
  <c r="AT176" i="7"/>
  <c r="AS176" i="7"/>
  <c r="AR176" i="7"/>
  <c r="AQ176" i="7"/>
  <c r="AP176" i="7"/>
  <c r="AO176" i="7"/>
  <c r="AO168" i="7" s="1"/>
  <c r="AN176" i="7"/>
  <c r="AM176" i="7"/>
  <c r="AL176" i="7"/>
  <c r="AK176" i="7"/>
  <c r="AJ176" i="7"/>
  <c r="AI176" i="7"/>
  <c r="AH176" i="7"/>
  <c r="AG176" i="7"/>
  <c r="AF176" i="7"/>
  <c r="AE176" i="7"/>
  <c r="AD176" i="7"/>
  <c r="AC176" i="7"/>
  <c r="AB176" i="7"/>
  <c r="AA176" i="7"/>
  <c r="Z176" i="7"/>
  <c r="Q176" i="7" s="1"/>
  <c r="Y176" i="7"/>
  <c r="Y168" i="7" s="1"/>
  <c r="Y159" i="7" s="1"/>
  <c r="O176" i="7"/>
  <c r="X176" i="7" s="1"/>
  <c r="L176" i="7"/>
  <c r="K176" i="7"/>
  <c r="J176" i="7"/>
  <c r="I176" i="7"/>
  <c r="G176" i="7" s="1"/>
  <c r="F176" i="7"/>
  <c r="E176" i="7"/>
  <c r="S175" i="7"/>
  <c r="R175" i="7"/>
  <c r="Q175" i="7"/>
  <c r="P175" i="7"/>
  <c r="O175" i="7"/>
  <c r="U175" i="7" s="1"/>
  <c r="N175" i="7"/>
  <c r="T175" i="7" s="1"/>
  <c r="M175" i="7"/>
  <c r="H175" i="7" s="1"/>
  <c r="G175" i="7"/>
  <c r="W174" i="7"/>
  <c r="T174" i="7"/>
  <c r="T169" i="7" s="1"/>
  <c r="S174" i="7"/>
  <c r="R174" i="7"/>
  <c r="Q174" i="7"/>
  <c r="P174" i="7"/>
  <c r="O174" i="7"/>
  <c r="X174" i="7" s="1"/>
  <c r="N174" i="7"/>
  <c r="M174" i="7"/>
  <c r="V174" i="7" s="1"/>
  <c r="H174" i="7"/>
  <c r="G174" i="7"/>
  <c r="W173" i="7"/>
  <c r="T173" i="7"/>
  <c r="S173" i="7"/>
  <c r="R173" i="7"/>
  <c r="Q173" i="7"/>
  <c r="P173" i="7"/>
  <c r="O173" i="7"/>
  <c r="X173" i="7" s="1"/>
  <c r="N173" i="7"/>
  <c r="M173" i="7"/>
  <c r="V173" i="7" s="1"/>
  <c r="H173" i="7"/>
  <c r="G173" i="7"/>
  <c r="W172" i="7"/>
  <c r="U172" i="7"/>
  <c r="S172" i="7"/>
  <c r="S169" i="7" s="1"/>
  <c r="S168" i="7" s="1"/>
  <c r="R172" i="7"/>
  <c r="Q172" i="7"/>
  <c r="P172" i="7"/>
  <c r="O172" i="7"/>
  <c r="O169" i="7" s="1"/>
  <c r="O168" i="7" s="1"/>
  <c r="X168" i="7" s="1"/>
  <c r="N172" i="7"/>
  <c r="T172" i="7" s="1"/>
  <c r="M172" i="7"/>
  <c r="G172" i="7"/>
  <c r="N171" i="7"/>
  <c r="H171" i="7"/>
  <c r="G171" i="7"/>
  <c r="N170" i="7"/>
  <c r="H170" i="7"/>
  <c r="G170" i="7"/>
  <c r="BK169" i="7"/>
  <c r="BJ169" i="7"/>
  <c r="BI169" i="7"/>
  <c r="P169" i="7" s="1"/>
  <c r="BH169" i="7"/>
  <c r="BH168" i="7" s="1"/>
  <c r="BG169" i="7"/>
  <c r="BF169" i="7"/>
  <c r="BE169" i="7"/>
  <c r="BD169" i="7"/>
  <c r="BC169" i="7"/>
  <c r="BB169" i="7"/>
  <c r="BB168" i="7" s="1"/>
  <c r="BA169" i="7"/>
  <c r="BA168" i="7" s="1"/>
  <c r="AZ169" i="7"/>
  <c r="AZ168" i="7" s="1"/>
  <c r="AY169" i="7"/>
  <c r="AX169" i="7"/>
  <c r="AW169" i="7"/>
  <c r="AV169" i="7"/>
  <c r="AU169" i="7"/>
  <c r="AT169" i="7"/>
  <c r="AT168" i="7" s="1"/>
  <c r="AS169" i="7"/>
  <c r="AS168" i="7" s="1"/>
  <c r="AR169" i="7"/>
  <c r="AR168" i="7" s="1"/>
  <c r="AQ169" i="7"/>
  <c r="AP169" i="7"/>
  <c r="AO169" i="7"/>
  <c r="AN169" i="7"/>
  <c r="AM169" i="7"/>
  <c r="AL169" i="7"/>
  <c r="AL168" i="7" s="1"/>
  <c r="AK169" i="7"/>
  <c r="AK168" i="7" s="1"/>
  <c r="AJ169" i="7"/>
  <c r="AJ168" i="7" s="1"/>
  <c r="AI169" i="7"/>
  <c r="AH169" i="7"/>
  <c r="AG169" i="7"/>
  <c r="AF169" i="7"/>
  <c r="AE169" i="7"/>
  <c r="AD169" i="7"/>
  <c r="R169" i="7" s="1"/>
  <c r="AC169" i="7"/>
  <c r="AB169" i="7"/>
  <c r="AB168" i="7" s="1"/>
  <c r="AA169" i="7"/>
  <c r="Z169" i="7"/>
  <c r="Y169" i="7"/>
  <c r="N169" i="7"/>
  <c r="L169" i="7"/>
  <c r="L168" i="7" s="1"/>
  <c r="K169" i="7"/>
  <c r="K168" i="7" s="1"/>
  <c r="K159" i="7" s="1"/>
  <c r="J169" i="7"/>
  <c r="J168" i="7" s="1"/>
  <c r="I169" i="7"/>
  <c r="F169" i="7"/>
  <c r="E169" i="7"/>
  <c r="E168" i="7" s="1"/>
  <c r="BK168" i="7"/>
  <c r="BI168" i="7"/>
  <c r="BG168" i="7"/>
  <c r="BD168" i="7"/>
  <c r="BC168" i="7"/>
  <c r="AY168" i="7"/>
  <c r="AW168" i="7"/>
  <c r="AV168" i="7"/>
  <c r="AU168" i="7"/>
  <c r="AQ168" i="7"/>
  <c r="AN168" i="7"/>
  <c r="AM168" i="7"/>
  <c r="AI168" i="7"/>
  <c r="AG168" i="7"/>
  <c r="AF168" i="7"/>
  <c r="AE168" i="7"/>
  <c r="AC168" i="7"/>
  <c r="AA168" i="7"/>
  <c r="F168" i="7"/>
  <c r="W167" i="7"/>
  <c r="V167" i="7"/>
  <c r="U167" i="7"/>
  <c r="U165" i="7" s="1"/>
  <c r="T167" i="7"/>
  <c r="S167" i="7"/>
  <c r="R167" i="7"/>
  <c r="Q167" i="7"/>
  <c r="P167" i="7"/>
  <c r="O167" i="7"/>
  <c r="X167" i="7" s="1"/>
  <c r="N167" i="7"/>
  <c r="H167" i="7"/>
  <c r="G167" i="7"/>
  <c r="X166" i="7"/>
  <c r="W166" i="7"/>
  <c r="V166" i="7"/>
  <c r="R166" i="7"/>
  <c r="Q166" i="7"/>
  <c r="P166" i="7"/>
  <c r="O166" i="7"/>
  <c r="U166" i="7" s="1"/>
  <c r="N166" i="7"/>
  <c r="T166" i="7" s="1"/>
  <c r="T165" i="7" s="1"/>
  <c r="M166" i="7"/>
  <c r="S166" i="7" s="1"/>
  <c r="S165" i="7" s="1"/>
  <c r="H166" i="7"/>
  <c r="G166" i="7"/>
  <c r="BK165" i="7"/>
  <c r="BJ165" i="7"/>
  <c r="Q165" i="7" s="1"/>
  <c r="BI165" i="7"/>
  <c r="BI160" i="7" s="1"/>
  <c r="BH165" i="7"/>
  <c r="BG165" i="7"/>
  <c r="BF165" i="7"/>
  <c r="BE165" i="7"/>
  <c r="BD165" i="7"/>
  <c r="BC165" i="7"/>
  <c r="BC160" i="7" s="1"/>
  <c r="BC159" i="7" s="1"/>
  <c r="BB165" i="7"/>
  <c r="BB160" i="7" s="1"/>
  <c r="BB159" i="7" s="1"/>
  <c r="BA165" i="7"/>
  <c r="AZ165" i="7"/>
  <c r="AY165" i="7"/>
  <c r="AX165" i="7"/>
  <c r="AW165" i="7"/>
  <c r="AV165" i="7"/>
  <c r="AU165" i="7"/>
  <c r="AT165" i="7"/>
  <c r="AS165" i="7"/>
  <c r="AS160" i="7" s="1"/>
  <c r="AS159" i="7" s="1"/>
  <c r="AR165" i="7"/>
  <c r="AQ165" i="7"/>
  <c r="AP165" i="7"/>
  <c r="AO165" i="7"/>
  <c r="AN165" i="7"/>
  <c r="AM165" i="7"/>
  <c r="AM160" i="7" s="1"/>
  <c r="AM159" i="7" s="1"/>
  <c r="AL165" i="7"/>
  <c r="AL160" i="7" s="1"/>
  <c r="AL159" i="7" s="1"/>
  <c r="AK165" i="7"/>
  <c r="AJ165" i="7"/>
  <c r="AI165" i="7"/>
  <c r="AI160" i="7" s="1"/>
  <c r="AI159" i="7" s="1"/>
  <c r="AH165" i="7"/>
  <c r="AG165" i="7"/>
  <c r="AF165" i="7"/>
  <c r="AE165" i="7"/>
  <c r="AD165" i="7"/>
  <c r="AC165" i="7"/>
  <c r="AC160" i="7" s="1"/>
  <c r="AC159" i="7" s="1"/>
  <c r="AB165" i="7"/>
  <c r="AA165" i="7"/>
  <c r="Z165" i="7"/>
  <c r="Y165" i="7"/>
  <c r="V165" i="7"/>
  <c r="O165" i="7"/>
  <c r="X165" i="7" s="1"/>
  <c r="N165" i="7"/>
  <c r="W165" i="7" s="1"/>
  <c r="M165" i="7"/>
  <c r="L165" i="7"/>
  <c r="K165" i="7"/>
  <c r="J165" i="7"/>
  <c r="I165" i="7"/>
  <c r="F165" i="7"/>
  <c r="F160" i="7" s="1"/>
  <c r="F159" i="7" s="1"/>
  <c r="E165" i="7"/>
  <c r="G165" i="7" s="1"/>
  <c r="W164" i="7"/>
  <c r="S164" i="7"/>
  <c r="R164" i="7"/>
  <c r="Q164" i="7"/>
  <c r="P164" i="7"/>
  <c r="O164" i="7"/>
  <c r="X164" i="7" s="1"/>
  <c r="N164" i="7"/>
  <c r="T164" i="7" s="1"/>
  <c r="M164" i="7"/>
  <c r="G164" i="7"/>
  <c r="U163" i="7"/>
  <c r="S163" i="7"/>
  <c r="R163" i="7"/>
  <c r="Q163" i="7"/>
  <c r="P163" i="7"/>
  <c r="O163" i="7"/>
  <c r="X163" i="7" s="1"/>
  <c r="N163" i="7"/>
  <c r="T163" i="7" s="1"/>
  <c r="M163" i="7"/>
  <c r="H163" i="7" s="1"/>
  <c r="G163" i="7"/>
  <c r="W162" i="7"/>
  <c r="T162" i="7"/>
  <c r="T161" i="7" s="1"/>
  <c r="T160" i="7" s="1"/>
  <c r="S162" i="7"/>
  <c r="R162" i="7"/>
  <c r="Q162" i="7"/>
  <c r="P162" i="7"/>
  <c r="O162" i="7"/>
  <c r="N162" i="7"/>
  <c r="M162" i="7"/>
  <c r="M161" i="7" s="1"/>
  <c r="M160" i="7" s="1"/>
  <c r="H162" i="7"/>
  <c r="G162" i="7"/>
  <c r="BK161" i="7"/>
  <c r="BJ161" i="7"/>
  <c r="Q161" i="7" s="1"/>
  <c r="BI161" i="7"/>
  <c r="BH161" i="7"/>
  <c r="BH160" i="7" s="1"/>
  <c r="BH159" i="7" s="1"/>
  <c r="BG161" i="7"/>
  <c r="BF161" i="7"/>
  <c r="BF160" i="7" s="1"/>
  <c r="BE161" i="7"/>
  <c r="BD161" i="7"/>
  <c r="BD160" i="7" s="1"/>
  <c r="BD159" i="7" s="1"/>
  <c r="BC161" i="7"/>
  <c r="BB161" i="7"/>
  <c r="BA161" i="7"/>
  <c r="AZ161" i="7"/>
  <c r="AY161" i="7"/>
  <c r="AX161" i="7"/>
  <c r="AX160" i="7" s="1"/>
  <c r="AW161" i="7"/>
  <c r="AW160" i="7" s="1"/>
  <c r="AW159" i="7" s="1"/>
  <c r="AV161" i="7"/>
  <c r="AV160" i="7" s="1"/>
  <c r="AV159" i="7" s="1"/>
  <c r="AU161" i="7"/>
  <c r="AT161" i="7"/>
  <c r="AS161" i="7"/>
  <c r="AR161" i="7"/>
  <c r="AR160" i="7" s="1"/>
  <c r="AR159" i="7" s="1"/>
  <c r="AQ161" i="7"/>
  <c r="AP161" i="7"/>
  <c r="AP160" i="7" s="1"/>
  <c r="AO161" i="7"/>
  <c r="AN161" i="7"/>
  <c r="AN160" i="7" s="1"/>
  <c r="AN159" i="7" s="1"/>
  <c r="AM161" i="7"/>
  <c r="AL161" i="7"/>
  <c r="AK161" i="7"/>
  <c r="AJ161" i="7"/>
  <c r="AI161" i="7"/>
  <c r="AH161" i="7"/>
  <c r="AH160" i="7" s="1"/>
  <c r="AG161" i="7"/>
  <c r="AG160" i="7" s="1"/>
  <c r="AG159" i="7" s="1"/>
  <c r="AF161" i="7"/>
  <c r="AF160" i="7" s="1"/>
  <c r="AE161" i="7"/>
  <c r="AD161" i="7"/>
  <c r="AC161" i="7"/>
  <c r="AB161" i="7"/>
  <c r="AB160" i="7" s="1"/>
  <c r="AB159" i="7" s="1"/>
  <c r="AA161" i="7"/>
  <c r="Z161" i="7"/>
  <c r="Z160" i="7" s="1"/>
  <c r="Y161" i="7"/>
  <c r="P161" i="7" s="1"/>
  <c r="S161" i="7"/>
  <c r="S160" i="7" s="1"/>
  <c r="N161" i="7"/>
  <c r="W161" i="7" s="1"/>
  <c r="L161" i="7"/>
  <c r="L160" i="7" s="1"/>
  <c r="L159" i="7" s="1"/>
  <c r="K161" i="7"/>
  <c r="J161" i="7"/>
  <c r="J160" i="7" s="1"/>
  <c r="J159" i="7" s="1"/>
  <c r="I161" i="7"/>
  <c r="G161" i="7" s="1"/>
  <c r="H161" i="7"/>
  <c r="F161" i="7"/>
  <c r="E161" i="7"/>
  <c r="BK160" i="7"/>
  <c r="BJ160" i="7"/>
  <c r="BG160" i="7"/>
  <c r="BG159" i="7" s="1"/>
  <c r="BE160" i="7"/>
  <c r="BA160" i="7"/>
  <c r="AZ160" i="7"/>
  <c r="AZ159" i="7" s="1"/>
  <c r="AY160" i="7"/>
  <c r="AY159" i="7" s="1"/>
  <c r="AU160" i="7"/>
  <c r="AU159" i="7" s="1"/>
  <c r="AT160" i="7"/>
  <c r="AT159" i="7" s="1"/>
  <c r="AQ160" i="7"/>
  <c r="AQ159" i="7" s="1"/>
  <c r="AO160" i="7"/>
  <c r="AO159" i="7" s="1"/>
  <c r="AK160" i="7"/>
  <c r="AJ160" i="7"/>
  <c r="AE160" i="7"/>
  <c r="AD160" i="7"/>
  <c r="AA160" i="7"/>
  <c r="AA159" i="7" s="1"/>
  <c r="Y160" i="7"/>
  <c r="N160" i="7"/>
  <c r="W160" i="7" s="1"/>
  <c r="K160" i="7"/>
  <c r="E160" i="7"/>
  <c r="E159" i="7" s="1"/>
  <c r="BK159" i="7"/>
  <c r="AJ159" i="7"/>
  <c r="AF159" i="7"/>
  <c r="AE159" i="7"/>
  <c r="X158" i="7"/>
  <c r="U158" i="7"/>
  <c r="S158" i="7"/>
  <c r="Q158" i="7"/>
  <c r="P158" i="7"/>
  <c r="N158" i="7"/>
  <c r="T158" i="7" s="1"/>
  <c r="M158" i="7"/>
  <c r="V158" i="7" s="1"/>
  <c r="I158" i="7"/>
  <c r="G158" i="7"/>
  <c r="U157" i="7"/>
  <c r="R157" i="7"/>
  <c r="Q157" i="7"/>
  <c r="P157" i="7"/>
  <c r="O157" i="7"/>
  <c r="N157" i="7"/>
  <c r="T157" i="7" s="1"/>
  <c r="M157" i="7"/>
  <c r="M154" i="7" s="1"/>
  <c r="V156" i="7"/>
  <c r="U156" i="7"/>
  <c r="R156" i="7"/>
  <c r="Q156" i="7"/>
  <c r="P156" i="7"/>
  <c r="O156" i="7"/>
  <c r="X156" i="7" s="1"/>
  <c r="N156" i="7"/>
  <c r="T156" i="7" s="1"/>
  <c r="M156" i="7"/>
  <c r="H156" i="7" s="1"/>
  <c r="G156" i="7"/>
  <c r="W155" i="7"/>
  <c r="T155" i="7"/>
  <c r="S155" i="7"/>
  <c r="R155" i="7"/>
  <c r="Q155" i="7"/>
  <c r="P155" i="7"/>
  <c r="O155" i="7"/>
  <c r="O154" i="7" s="1"/>
  <c r="X154" i="7" s="1"/>
  <c r="N155" i="7"/>
  <c r="M155" i="7"/>
  <c r="V155" i="7" s="1"/>
  <c r="H155" i="7"/>
  <c r="G155" i="7"/>
  <c r="BK154" i="7"/>
  <c r="BJ154" i="7"/>
  <c r="BI154" i="7"/>
  <c r="BH154" i="7"/>
  <c r="BG154" i="7"/>
  <c r="BF154" i="7"/>
  <c r="BE154" i="7"/>
  <c r="BD154" i="7"/>
  <c r="BC154" i="7"/>
  <c r="BB154" i="7"/>
  <c r="BA154" i="7"/>
  <c r="AZ154" i="7"/>
  <c r="AY154" i="7"/>
  <c r="AX154" i="7"/>
  <c r="AW154" i="7"/>
  <c r="AV154" i="7"/>
  <c r="AU154" i="7"/>
  <c r="AT154" i="7"/>
  <c r="AS154" i="7"/>
  <c r="AR154" i="7"/>
  <c r="AQ154" i="7"/>
  <c r="AP154" i="7"/>
  <c r="AO154" i="7"/>
  <c r="AN154" i="7"/>
  <c r="AM154" i="7"/>
  <c r="AL154" i="7"/>
  <c r="AK154" i="7"/>
  <c r="AJ154" i="7"/>
  <c r="AI154" i="7"/>
  <c r="AH154" i="7"/>
  <c r="AG154" i="7"/>
  <c r="AF154" i="7"/>
  <c r="AE154" i="7"/>
  <c r="AD154" i="7"/>
  <c r="R154" i="7" s="1"/>
  <c r="AC154" i="7"/>
  <c r="AB154" i="7"/>
  <c r="AA154" i="7"/>
  <c r="Z154" i="7"/>
  <c r="Y154" i="7"/>
  <c r="P154" i="7" s="1"/>
  <c r="Q154" i="7"/>
  <c r="L154" i="7"/>
  <c r="K154" i="7"/>
  <c r="J154" i="7"/>
  <c r="I154" i="7"/>
  <c r="G154" i="7" s="1"/>
  <c r="F154" i="7"/>
  <c r="E154" i="7"/>
  <c r="X153" i="7"/>
  <c r="U153" i="7"/>
  <c r="T153" i="7"/>
  <c r="R153" i="7"/>
  <c r="Q153" i="7"/>
  <c r="P153" i="7"/>
  <c r="O153" i="7"/>
  <c r="N153" i="7"/>
  <c r="W153" i="7" s="1"/>
  <c r="M153" i="7"/>
  <c r="S153" i="7" s="1"/>
  <c r="G153" i="7"/>
  <c r="V152" i="7"/>
  <c r="S152" i="7"/>
  <c r="S150" i="7" s="1"/>
  <c r="R152" i="7"/>
  <c r="Q152" i="7"/>
  <c r="P152" i="7"/>
  <c r="O152" i="7"/>
  <c r="X152" i="7" s="1"/>
  <c r="N152" i="7"/>
  <c r="W152" i="7" s="1"/>
  <c r="M152" i="7"/>
  <c r="W151" i="7"/>
  <c r="V151" i="7"/>
  <c r="S151" i="7"/>
  <c r="R151" i="7"/>
  <c r="Q151" i="7"/>
  <c r="P151" i="7"/>
  <c r="O151" i="7"/>
  <c r="U151" i="7" s="1"/>
  <c r="N151" i="7"/>
  <c r="T151" i="7" s="1"/>
  <c r="M151" i="7"/>
  <c r="H151" i="7"/>
  <c r="G151" i="7"/>
  <c r="BK150" i="7"/>
  <c r="R150" i="7" s="1"/>
  <c r="BJ150" i="7"/>
  <c r="BI150" i="7"/>
  <c r="BH150" i="7"/>
  <c r="BG150" i="7"/>
  <c r="BF150" i="7"/>
  <c r="BE150" i="7"/>
  <c r="BD150" i="7"/>
  <c r="BC150" i="7"/>
  <c r="BB150" i="7"/>
  <c r="BA150" i="7"/>
  <c r="AZ150" i="7"/>
  <c r="AY150" i="7"/>
  <c r="AX150" i="7"/>
  <c r="AW150" i="7"/>
  <c r="AV150" i="7"/>
  <c r="AU150" i="7"/>
  <c r="AT150" i="7"/>
  <c r="AS150" i="7"/>
  <c r="AR150" i="7"/>
  <c r="AQ150" i="7"/>
  <c r="AP150" i="7"/>
  <c r="AO150" i="7"/>
  <c r="AN150" i="7"/>
  <c r="AM150" i="7"/>
  <c r="AL150" i="7"/>
  <c r="AK150" i="7"/>
  <c r="AJ150" i="7"/>
  <c r="AI150" i="7"/>
  <c r="AH150" i="7"/>
  <c r="AG150" i="7"/>
  <c r="AF150" i="7"/>
  <c r="Q150" i="7" s="1"/>
  <c r="AE150" i="7"/>
  <c r="AD150" i="7"/>
  <c r="AC150" i="7"/>
  <c r="AB150" i="7"/>
  <c r="P150" i="7" s="1"/>
  <c r="AA150" i="7"/>
  <c r="Z150" i="7"/>
  <c r="Y150" i="7"/>
  <c r="L150" i="7"/>
  <c r="K150" i="7"/>
  <c r="J150" i="7"/>
  <c r="I150" i="7"/>
  <c r="G150" i="7"/>
  <c r="F150" i="7"/>
  <c r="E150" i="7"/>
  <c r="X149" i="7"/>
  <c r="W149" i="7"/>
  <c r="T149" i="7"/>
  <c r="S149" i="7"/>
  <c r="R149" i="7"/>
  <c r="Q149" i="7"/>
  <c r="P149" i="7"/>
  <c r="O149" i="7"/>
  <c r="U149" i="7" s="1"/>
  <c r="N149" i="7"/>
  <c r="M149" i="7"/>
  <c r="V149" i="7" s="1"/>
  <c r="H149" i="7"/>
  <c r="G149" i="7"/>
  <c r="R148" i="7"/>
  <c r="Q148" i="7"/>
  <c r="P148" i="7"/>
  <c r="O148" i="7"/>
  <c r="N148" i="7"/>
  <c r="V147" i="7"/>
  <c r="S147" i="7"/>
  <c r="R147" i="7"/>
  <c r="Q147" i="7"/>
  <c r="P147" i="7"/>
  <c r="O147" i="7"/>
  <c r="X147" i="7" s="1"/>
  <c r="N147" i="7"/>
  <c r="W147" i="7" s="1"/>
  <c r="M147" i="7"/>
  <c r="H147" i="7"/>
  <c r="G147" i="7"/>
  <c r="X146" i="7"/>
  <c r="U146" i="7"/>
  <c r="T146" i="7"/>
  <c r="R146" i="7"/>
  <c r="Q146" i="7"/>
  <c r="P146" i="7"/>
  <c r="O146" i="7"/>
  <c r="N146" i="7"/>
  <c r="W146" i="7" s="1"/>
  <c r="M146" i="7"/>
  <c r="V146" i="7" s="1"/>
  <c r="H146" i="7"/>
  <c r="G146" i="7"/>
  <c r="BK145" i="7"/>
  <c r="BJ145" i="7"/>
  <c r="Q145" i="7" s="1"/>
  <c r="BI145" i="7"/>
  <c r="P145" i="7" s="1"/>
  <c r="BH145" i="7"/>
  <c r="BG145" i="7"/>
  <c r="BF145" i="7"/>
  <c r="BE145" i="7"/>
  <c r="BD145" i="7"/>
  <c r="BC145" i="7"/>
  <c r="BB145" i="7"/>
  <c r="BA145" i="7"/>
  <c r="AZ145" i="7"/>
  <c r="AY145" i="7"/>
  <c r="AX145" i="7"/>
  <c r="AW145" i="7"/>
  <c r="AV145" i="7"/>
  <c r="AU145" i="7"/>
  <c r="AT145" i="7"/>
  <c r="AS145" i="7"/>
  <c r="AR145" i="7"/>
  <c r="AQ145" i="7"/>
  <c r="AP145" i="7"/>
  <c r="AO145" i="7"/>
  <c r="AN145" i="7"/>
  <c r="AM145" i="7"/>
  <c r="AL145" i="7"/>
  <c r="AK145" i="7"/>
  <c r="AJ145" i="7"/>
  <c r="AI145" i="7"/>
  <c r="AH145" i="7"/>
  <c r="AG145" i="7"/>
  <c r="AF145" i="7"/>
  <c r="AE145" i="7"/>
  <c r="AD145" i="7"/>
  <c r="R145" i="7" s="1"/>
  <c r="AC145" i="7"/>
  <c r="AB145" i="7"/>
  <c r="AA145" i="7"/>
  <c r="Z145" i="7"/>
  <c r="Y145" i="7"/>
  <c r="V145" i="7"/>
  <c r="N145" i="7"/>
  <c r="W145" i="7" s="1"/>
  <c r="M145" i="7"/>
  <c r="H145" i="7" s="1"/>
  <c r="L145" i="7"/>
  <c r="K145" i="7"/>
  <c r="J145" i="7"/>
  <c r="I145" i="7"/>
  <c r="G145" i="7" s="1"/>
  <c r="F145" i="7"/>
  <c r="E145" i="7"/>
  <c r="AF144" i="7"/>
  <c r="Q144" i="7"/>
  <c r="P144" i="7"/>
  <c r="O144" i="7"/>
  <c r="N144" i="7"/>
  <c r="W143" i="7"/>
  <c r="V143" i="7"/>
  <c r="S143" i="7"/>
  <c r="R143" i="7"/>
  <c r="Q143" i="7"/>
  <c r="P143" i="7"/>
  <c r="O143" i="7"/>
  <c r="U143" i="7" s="1"/>
  <c r="N143" i="7"/>
  <c r="T143" i="7" s="1"/>
  <c r="M143" i="7"/>
  <c r="H143" i="7"/>
  <c r="G143" i="7"/>
  <c r="X142" i="7"/>
  <c r="U142" i="7"/>
  <c r="T142" i="7"/>
  <c r="R142" i="7"/>
  <c r="Q142" i="7"/>
  <c r="P142" i="7"/>
  <c r="O142" i="7"/>
  <c r="N142" i="7"/>
  <c r="W142" i="7" s="1"/>
  <c r="M142" i="7"/>
  <c r="S142" i="7" s="1"/>
  <c r="G142" i="7"/>
  <c r="V141" i="7"/>
  <c r="V140" i="7" s="1"/>
  <c r="S141" i="7"/>
  <c r="S140" i="7" s="1"/>
  <c r="R141" i="7"/>
  <c r="Q141" i="7"/>
  <c r="P141" i="7"/>
  <c r="O141" i="7"/>
  <c r="X141" i="7" s="1"/>
  <c r="X140" i="7" s="1"/>
  <c r="N141" i="7"/>
  <c r="N140" i="7" s="1"/>
  <c r="M141" i="7"/>
  <c r="H141" i="7"/>
  <c r="G141" i="7"/>
  <c r="BK140" i="7"/>
  <c r="R140" i="7" s="1"/>
  <c r="BJ140" i="7"/>
  <c r="BI140" i="7"/>
  <c r="BH140" i="7"/>
  <c r="BG140" i="7"/>
  <c r="BF140" i="7"/>
  <c r="BE140" i="7"/>
  <c r="BD140" i="7"/>
  <c r="BC140" i="7"/>
  <c r="BB140" i="7"/>
  <c r="BA140" i="7"/>
  <c r="AZ140" i="7"/>
  <c r="AY140" i="7"/>
  <c r="AX140" i="7"/>
  <c r="AW140" i="7"/>
  <c r="AV140" i="7"/>
  <c r="AU140" i="7"/>
  <c r="AT140" i="7"/>
  <c r="AS140" i="7"/>
  <c r="AR140" i="7"/>
  <c r="AQ140" i="7"/>
  <c r="AP140" i="7"/>
  <c r="AO140" i="7"/>
  <c r="AN140" i="7"/>
  <c r="AM140" i="7"/>
  <c r="AL140" i="7"/>
  <c r="AK140" i="7"/>
  <c r="AJ140" i="7"/>
  <c r="AI140" i="7"/>
  <c r="AH140" i="7"/>
  <c r="AG140" i="7"/>
  <c r="AF140" i="7"/>
  <c r="AE140" i="7"/>
  <c r="AD140" i="7"/>
  <c r="AC140" i="7"/>
  <c r="Q140" i="7" s="1"/>
  <c r="AB140" i="7"/>
  <c r="AA140" i="7"/>
  <c r="Z140" i="7"/>
  <c r="Y140" i="7"/>
  <c r="P140" i="7"/>
  <c r="L140" i="7"/>
  <c r="K140" i="7"/>
  <c r="J140" i="7"/>
  <c r="I140" i="7"/>
  <c r="G140" i="7"/>
  <c r="F140" i="7"/>
  <c r="E140" i="7"/>
  <c r="W139" i="7"/>
  <c r="T139" i="7"/>
  <c r="S139" i="7"/>
  <c r="R139" i="7"/>
  <c r="Q139" i="7"/>
  <c r="P139" i="7"/>
  <c r="O139" i="7"/>
  <c r="X139" i="7" s="1"/>
  <c r="N139" i="7"/>
  <c r="M139" i="7"/>
  <c r="V139" i="7" s="1"/>
  <c r="H139" i="7"/>
  <c r="G139" i="7"/>
  <c r="U138" i="7"/>
  <c r="R138" i="7"/>
  <c r="Q138" i="7"/>
  <c r="P138" i="7"/>
  <c r="O138" i="7"/>
  <c r="X138" i="7" s="1"/>
  <c r="N138" i="7"/>
  <c r="W138" i="7" s="1"/>
  <c r="M138" i="7"/>
  <c r="V138" i="7" s="1"/>
  <c r="G138" i="7"/>
  <c r="AI137" i="7"/>
  <c r="AI136" i="7" s="1"/>
  <c r="AI119" i="7" s="1"/>
  <c r="AF137" i="7"/>
  <c r="N137" i="7" s="1"/>
  <c r="U137" i="7"/>
  <c r="R137" i="7"/>
  <c r="P137" i="7"/>
  <c r="O137" i="7"/>
  <c r="X137" i="7" s="1"/>
  <c r="X136" i="7" s="1"/>
  <c r="M137" i="7"/>
  <c r="M136" i="7" s="1"/>
  <c r="H136" i="7" s="1"/>
  <c r="G137" i="7"/>
  <c r="BK136" i="7"/>
  <c r="BK119" i="7" s="1"/>
  <c r="BJ136" i="7"/>
  <c r="BI136" i="7"/>
  <c r="BH136" i="7"/>
  <c r="BG136" i="7"/>
  <c r="BF136" i="7"/>
  <c r="BE136" i="7"/>
  <c r="BD136" i="7"/>
  <c r="BC136" i="7"/>
  <c r="BC119" i="7" s="1"/>
  <c r="BB136" i="7"/>
  <c r="BA136" i="7"/>
  <c r="AZ136" i="7"/>
  <c r="AY136" i="7"/>
  <c r="AX136" i="7"/>
  <c r="AW136" i="7"/>
  <c r="AV136" i="7"/>
  <c r="AU136" i="7"/>
  <c r="AU119" i="7" s="1"/>
  <c r="AT136" i="7"/>
  <c r="AS136" i="7"/>
  <c r="AR136" i="7"/>
  <c r="AQ136" i="7"/>
  <c r="AP136" i="7"/>
  <c r="AO136" i="7"/>
  <c r="AN136" i="7"/>
  <c r="AM136" i="7"/>
  <c r="AM119" i="7" s="1"/>
  <c r="AL136" i="7"/>
  <c r="AK136" i="7"/>
  <c r="AJ136" i="7"/>
  <c r="AH136" i="7"/>
  <c r="AG136" i="7"/>
  <c r="AE136" i="7"/>
  <c r="AE119" i="7" s="1"/>
  <c r="AD136" i="7"/>
  <c r="AC136" i="7"/>
  <c r="AB136" i="7"/>
  <c r="P136" i="7" s="1"/>
  <c r="AA136" i="7"/>
  <c r="Z136" i="7"/>
  <c r="Y136" i="7"/>
  <c r="O136" i="7"/>
  <c r="L136" i="7"/>
  <c r="K136" i="7"/>
  <c r="J136" i="7"/>
  <c r="I136" i="7"/>
  <c r="G136" i="7"/>
  <c r="F136" i="7"/>
  <c r="E136" i="7"/>
  <c r="V135" i="7"/>
  <c r="S135" i="7"/>
  <c r="R135" i="7"/>
  <c r="Q135" i="7"/>
  <c r="P135" i="7"/>
  <c r="O135" i="7"/>
  <c r="X135" i="7" s="1"/>
  <c r="N135" i="7"/>
  <c r="W135" i="7" s="1"/>
  <c r="M135" i="7"/>
  <c r="H135" i="7"/>
  <c r="G135" i="7"/>
  <c r="X134" i="7"/>
  <c r="U134" i="7"/>
  <c r="T134" i="7"/>
  <c r="R134" i="7"/>
  <c r="Q134" i="7"/>
  <c r="P134" i="7"/>
  <c r="O134" i="7"/>
  <c r="N134" i="7"/>
  <c r="W134" i="7" s="1"/>
  <c r="M134" i="7"/>
  <c r="V134" i="7" s="1"/>
  <c r="H134" i="7"/>
  <c r="G134" i="7"/>
  <c r="W133" i="7"/>
  <c r="V133" i="7"/>
  <c r="S133" i="7"/>
  <c r="R133" i="7"/>
  <c r="Q133" i="7"/>
  <c r="P133" i="7"/>
  <c r="O133" i="7"/>
  <c r="U133" i="7" s="1"/>
  <c r="N133" i="7"/>
  <c r="T133" i="7" s="1"/>
  <c r="M133" i="7"/>
  <c r="H133" i="7"/>
  <c r="G133" i="7"/>
  <c r="X132" i="7"/>
  <c r="U132" i="7"/>
  <c r="T132" i="7"/>
  <c r="R132" i="7"/>
  <c r="Q132" i="7"/>
  <c r="P132" i="7"/>
  <c r="O132" i="7"/>
  <c r="N132" i="7"/>
  <c r="W132" i="7" s="1"/>
  <c r="M132" i="7"/>
  <c r="S132" i="7" s="1"/>
  <c r="G132" i="7"/>
  <c r="V131" i="7"/>
  <c r="S131" i="7"/>
  <c r="R131" i="7"/>
  <c r="Q131" i="7"/>
  <c r="P131" i="7"/>
  <c r="O131" i="7"/>
  <c r="O130" i="7" s="1"/>
  <c r="N131" i="7"/>
  <c r="N130" i="7" s="1"/>
  <c r="M131" i="7"/>
  <c r="I131" i="7"/>
  <c r="H131" i="7"/>
  <c r="G131" i="7"/>
  <c r="BK130" i="7"/>
  <c r="BJ130" i="7"/>
  <c r="BI130" i="7"/>
  <c r="BH130" i="7"/>
  <c r="BG130" i="7"/>
  <c r="BF130" i="7"/>
  <c r="BE130" i="7"/>
  <c r="BD130" i="7"/>
  <c r="BC130" i="7"/>
  <c r="BB130" i="7"/>
  <c r="BA130" i="7"/>
  <c r="AZ130" i="7"/>
  <c r="AY130" i="7"/>
  <c r="AX130" i="7"/>
  <c r="AW130" i="7"/>
  <c r="AV130" i="7"/>
  <c r="AU130" i="7"/>
  <c r="AT130" i="7"/>
  <c r="AS130" i="7"/>
  <c r="AR130" i="7"/>
  <c r="AQ130" i="7"/>
  <c r="AP130" i="7"/>
  <c r="AO130" i="7"/>
  <c r="AN130" i="7"/>
  <c r="AM130" i="7"/>
  <c r="AL130" i="7"/>
  <c r="AK130" i="7"/>
  <c r="AJ130" i="7"/>
  <c r="AI130" i="7"/>
  <c r="AH130" i="7"/>
  <c r="AG130" i="7"/>
  <c r="R130" i="7" s="1"/>
  <c r="AF130" i="7"/>
  <c r="AE130" i="7"/>
  <c r="AD130" i="7"/>
  <c r="AC130" i="7"/>
  <c r="AB130" i="7"/>
  <c r="AA130" i="7"/>
  <c r="Z130" i="7"/>
  <c r="Y130" i="7"/>
  <c r="P130" i="7" s="1"/>
  <c r="Q130" i="7"/>
  <c r="L130" i="7"/>
  <c r="K130" i="7"/>
  <c r="J130" i="7"/>
  <c r="I130" i="7"/>
  <c r="G130" i="7" s="1"/>
  <c r="G119" i="7" s="1"/>
  <c r="F130" i="7"/>
  <c r="E130" i="7"/>
  <c r="X129" i="7"/>
  <c r="U129" i="7"/>
  <c r="T129" i="7"/>
  <c r="R129" i="7"/>
  <c r="Q129" i="7"/>
  <c r="P129" i="7"/>
  <c r="O129" i="7"/>
  <c r="N129" i="7"/>
  <c r="W129" i="7" s="1"/>
  <c r="M129" i="7"/>
  <c r="S129" i="7" s="1"/>
  <c r="G129" i="7"/>
  <c r="AI128" i="7"/>
  <c r="AC128" i="7"/>
  <c r="AC120" i="7" s="1"/>
  <c r="U128" i="7"/>
  <c r="R128" i="7"/>
  <c r="Q128" i="7"/>
  <c r="P128" i="7"/>
  <c r="O128" i="7"/>
  <c r="N128" i="7"/>
  <c r="T128" i="7" s="1"/>
  <c r="M128" i="7"/>
  <c r="S128" i="7" s="1"/>
  <c r="V127" i="7"/>
  <c r="U127" i="7"/>
  <c r="R127" i="7"/>
  <c r="Q127" i="7"/>
  <c r="P127" i="7"/>
  <c r="O127" i="7"/>
  <c r="X127" i="7" s="1"/>
  <c r="N127" i="7"/>
  <c r="T127" i="7" s="1"/>
  <c r="M127" i="7"/>
  <c r="H127" i="7" s="1"/>
  <c r="G127" i="7"/>
  <c r="W126" i="7"/>
  <c r="T126" i="7"/>
  <c r="S126" i="7"/>
  <c r="R126" i="7"/>
  <c r="Q126" i="7"/>
  <c r="P126" i="7"/>
  <c r="O126" i="7"/>
  <c r="X126" i="7" s="1"/>
  <c r="N126" i="7"/>
  <c r="M126" i="7"/>
  <c r="V126" i="7" s="1"/>
  <c r="H126" i="7"/>
  <c r="G126" i="7"/>
  <c r="U125" i="7"/>
  <c r="R125" i="7"/>
  <c r="Q125" i="7"/>
  <c r="P125" i="7"/>
  <c r="O125" i="7"/>
  <c r="X125" i="7" s="1"/>
  <c r="N125" i="7"/>
  <c r="W125" i="7" s="1"/>
  <c r="M125" i="7"/>
  <c r="V125" i="7" s="1"/>
  <c r="J125" i="7"/>
  <c r="T125" i="7" s="1"/>
  <c r="G125" i="7"/>
  <c r="X124" i="7"/>
  <c r="U124" i="7"/>
  <c r="T124" i="7"/>
  <c r="R124" i="7"/>
  <c r="Q124" i="7"/>
  <c r="P124" i="7"/>
  <c r="O124" i="7"/>
  <c r="N124" i="7"/>
  <c r="W124" i="7" s="1"/>
  <c r="M124" i="7"/>
  <c r="V124" i="7" s="1"/>
  <c r="H124" i="7"/>
  <c r="G124" i="7"/>
  <c r="W123" i="7"/>
  <c r="V123" i="7"/>
  <c r="S123" i="7"/>
  <c r="R123" i="7"/>
  <c r="Q123" i="7"/>
  <c r="P123" i="7"/>
  <c r="O123" i="7"/>
  <c r="U123" i="7" s="1"/>
  <c r="N123" i="7"/>
  <c r="T123" i="7" s="1"/>
  <c r="M123" i="7"/>
  <c r="H123" i="7"/>
  <c r="G123" i="7"/>
  <c r="X122" i="7"/>
  <c r="U122" i="7"/>
  <c r="T122" i="7"/>
  <c r="R122" i="7"/>
  <c r="Q122" i="7"/>
  <c r="P122" i="7"/>
  <c r="O122" i="7"/>
  <c r="N122" i="7"/>
  <c r="W122" i="7" s="1"/>
  <c r="M122" i="7"/>
  <c r="S122" i="7" s="1"/>
  <c r="G122" i="7"/>
  <c r="V121" i="7"/>
  <c r="S121" i="7"/>
  <c r="R121" i="7"/>
  <c r="Q121" i="7"/>
  <c r="P121" i="7"/>
  <c r="O121" i="7"/>
  <c r="X121" i="7" s="1"/>
  <c r="N121" i="7"/>
  <c r="N120" i="7" s="1"/>
  <c r="M121" i="7"/>
  <c r="H121" i="7"/>
  <c r="G121" i="7"/>
  <c r="BK120" i="7"/>
  <c r="R120" i="7" s="1"/>
  <c r="BJ120" i="7"/>
  <c r="BI120" i="7"/>
  <c r="BI119" i="7" s="1"/>
  <c r="BH120" i="7"/>
  <c r="BH119" i="7" s="1"/>
  <c r="BG120" i="7"/>
  <c r="BF120" i="7"/>
  <c r="BE120" i="7"/>
  <c r="BE119" i="7" s="1"/>
  <c r="BE96" i="7" s="1"/>
  <c r="BD120" i="7"/>
  <c r="BD119" i="7" s="1"/>
  <c r="BC120" i="7"/>
  <c r="BB120" i="7"/>
  <c r="BA120" i="7"/>
  <c r="BA119" i="7" s="1"/>
  <c r="AZ120" i="7"/>
  <c r="AZ119" i="7" s="1"/>
  <c r="AY120" i="7"/>
  <c r="AX120" i="7"/>
  <c r="AW120" i="7"/>
  <c r="AW119" i="7" s="1"/>
  <c r="AW96" i="7" s="1"/>
  <c r="AV120" i="7"/>
  <c r="AV119" i="7" s="1"/>
  <c r="AU120" i="7"/>
  <c r="AT120" i="7"/>
  <c r="AS120" i="7"/>
  <c r="AS119" i="7" s="1"/>
  <c r="AR120" i="7"/>
  <c r="AR119" i="7" s="1"/>
  <c r="AQ120" i="7"/>
  <c r="AP120" i="7"/>
  <c r="AO120" i="7"/>
  <c r="AO119" i="7" s="1"/>
  <c r="AO96" i="7" s="1"/>
  <c r="AN120" i="7"/>
  <c r="AN119" i="7" s="1"/>
  <c r="AM120" i="7"/>
  <c r="AL120" i="7"/>
  <c r="AK120" i="7"/>
  <c r="AK119" i="7" s="1"/>
  <c r="AJ120" i="7"/>
  <c r="AJ119" i="7" s="1"/>
  <c r="AI120" i="7"/>
  <c r="AH120" i="7"/>
  <c r="AG120" i="7"/>
  <c r="AG119" i="7" s="1"/>
  <c r="AG96" i="7" s="1"/>
  <c r="AF120" i="7"/>
  <c r="AE120" i="7"/>
  <c r="AD120" i="7"/>
  <c r="AB120" i="7"/>
  <c r="AB119" i="7" s="1"/>
  <c r="AA120" i="7"/>
  <c r="Z120" i="7"/>
  <c r="Y120" i="7"/>
  <c r="Y119" i="7" s="1"/>
  <c r="Y96" i="7" s="1"/>
  <c r="P120" i="7"/>
  <c r="P119" i="7" s="1"/>
  <c r="L120" i="7"/>
  <c r="L119" i="7" s="1"/>
  <c r="K120" i="7"/>
  <c r="J120" i="7"/>
  <c r="I120" i="7"/>
  <c r="I119" i="7" s="1"/>
  <c r="I96" i="7" s="1"/>
  <c r="G120" i="7"/>
  <c r="F120" i="7"/>
  <c r="E120" i="7"/>
  <c r="E119" i="7" s="1"/>
  <c r="E96" i="7" s="1"/>
  <c r="BJ119" i="7"/>
  <c r="BG119" i="7"/>
  <c r="BF119" i="7"/>
  <c r="BB119" i="7"/>
  <c r="AY119" i="7"/>
  <c r="AX119" i="7"/>
  <c r="AT119" i="7"/>
  <c r="AQ119" i="7"/>
  <c r="AP119" i="7"/>
  <c r="AL119" i="7"/>
  <c r="AH119" i="7"/>
  <c r="AD119" i="7"/>
  <c r="AA119" i="7"/>
  <c r="Z119" i="7"/>
  <c r="K119" i="7"/>
  <c r="J119" i="7"/>
  <c r="F119" i="7"/>
  <c r="W118" i="7"/>
  <c r="V118" i="7"/>
  <c r="S118" i="7"/>
  <c r="R118" i="7"/>
  <c r="Q118" i="7"/>
  <c r="P118" i="7"/>
  <c r="O118" i="7"/>
  <c r="U118" i="7" s="1"/>
  <c r="N118" i="7"/>
  <c r="T118" i="7" s="1"/>
  <c r="M118" i="7"/>
  <c r="H118" i="7"/>
  <c r="G118" i="7"/>
  <c r="V117" i="7"/>
  <c r="S117" i="7"/>
  <c r="R117" i="7"/>
  <c r="Q117" i="7"/>
  <c r="P117" i="7"/>
  <c r="O117" i="7"/>
  <c r="U117" i="7" s="1"/>
  <c r="N117" i="7"/>
  <c r="N114" i="7" s="1"/>
  <c r="W114" i="7" s="1"/>
  <c r="M117" i="7"/>
  <c r="W116" i="7"/>
  <c r="V116" i="7"/>
  <c r="S116" i="7"/>
  <c r="R116" i="7"/>
  <c r="Q116" i="7"/>
  <c r="P116" i="7"/>
  <c r="O116" i="7"/>
  <c r="U116" i="7" s="1"/>
  <c r="N116" i="7"/>
  <c r="T116" i="7" s="1"/>
  <c r="M116" i="7"/>
  <c r="H116" i="7"/>
  <c r="G116" i="7"/>
  <c r="X115" i="7"/>
  <c r="U115" i="7"/>
  <c r="T115" i="7"/>
  <c r="R115" i="7"/>
  <c r="Q115" i="7"/>
  <c r="P115" i="7"/>
  <c r="O115" i="7"/>
  <c r="N115" i="7"/>
  <c r="W115" i="7" s="1"/>
  <c r="M115" i="7"/>
  <c r="S115" i="7" s="1"/>
  <c r="S114" i="7" s="1"/>
  <c r="G115" i="7"/>
  <c r="BK114" i="7"/>
  <c r="BJ114" i="7"/>
  <c r="BI114" i="7"/>
  <c r="P114" i="7" s="1"/>
  <c r="BH114" i="7"/>
  <c r="BG114" i="7"/>
  <c r="BF114" i="7"/>
  <c r="BE114" i="7"/>
  <c r="BD114" i="7"/>
  <c r="BC114" i="7"/>
  <c r="BB114" i="7"/>
  <c r="BA114" i="7"/>
  <c r="BA96" i="7" s="1"/>
  <c r="AZ114" i="7"/>
  <c r="AY114" i="7"/>
  <c r="AX114" i="7"/>
  <c r="AW114" i="7"/>
  <c r="AV114" i="7"/>
  <c r="AU114" i="7"/>
  <c r="AT114" i="7"/>
  <c r="AS114" i="7"/>
  <c r="AS96" i="7" s="1"/>
  <c r="AR114" i="7"/>
  <c r="AQ114" i="7"/>
  <c r="AP114" i="7"/>
  <c r="AO114" i="7"/>
  <c r="AN114" i="7"/>
  <c r="AM114" i="7"/>
  <c r="AL114" i="7"/>
  <c r="AK114" i="7"/>
  <c r="AK96" i="7" s="1"/>
  <c r="AJ114" i="7"/>
  <c r="AI114" i="7"/>
  <c r="AH114" i="7"/>
  <c r="AG114" i="7"/>
  <c r="AF114" i="7"/>
  <c r="AE114" i="7"/>
  <c r="AD114" i="7"/>
  <c r="AC114" i="7"/>
  <c r="AB114" i="7"/>
  <c r="AA114" i="7"/>
  <c r="Z114" i="7"/>
  <c r="Q114" i="7" s="1"/>
  <c r="Y114" i="7"/>
  <c r="R114" i="7"/>
  <c r="L114" i="7"/>
  <c r="J114" i="7"/>
  <c r="I114" i="7"/>
  <c r="G114" i="7" s="1"/>
  <c r="F114" i="7"/>
  <c r="E114" i="7"/>
  <c r="X113" i="7"/>
  <c r="U113" i="7"/>
  <c r="T113" i="7"/>
  <c r="R113" i="7"/>
  <c r="Q113" i="7"/>
  <c r="P113" i="7"/>
  <c r="O113" i="7"/>
  <c r="N113" i="7"/>
  <c r="W113" i="7" s="1"/>
  <c r="M113" i="7"/>
  <c r="S113" i="7" s="1"/>
  <c r="G113" i="7"/>
  <c r="V112" i="7"/>
  <c r="S112" i="7"/>
  <c r="R112" i="7"/>
  <c r="Q112" i="7"/>
  <c r="P112" i="7"/>
  <c r="O112" i="7"/>
  <c r="X112" i="7" s="1"/>
  <c r="N112" i="7"/>
  <c r="W112" i="7" s="1"/>
  <c r="M112" i="7"/>
  <c r="H112" i="7"/>
  <c r="G112" i="7"/>
  <c r="X111" i="7"/>
  <c r="U111" i="7"/>
  <c r="T111" i="7"/>
  <c r="R111" i="7"/>
  <c r="Q111" i="7"/>
  <c r="P111" i="7"/>
  <c r="O111" i="7"/>
  <c r="N111" i="7"/>
  <c r="W111" i="7" s="1"/>
  <c r="M111" i="7"/>
  <c r="V111" i="7" s="1"/>
  <c r="H111" i="7"/>
  <c r="G111" i="7"/>
  <c r="W110" i="7"/>
  <c r="V110" i="7"/>
  <c r="S110" i="7"/>
  <c r="R110" i="7"/>
  <c r="Q110" i="7"/>
  <c r="P110" i="7"/>
  <c r="O110" i="7"/>
  <c r="U110" i="7" s="1"/>
  <c r="N110" i="7"/>
  <c r="T110" i="7" s="1"/>
  <c r="M110" i="7"/>
  <c r="H110" i="7"/>
  <c r="G110" i="7"/>
  <c r="X109" i="7"/>
  <c r="U109" i="7"/>
  <c r="T109" i="7"/>
  <c r="R109" i="7"/>
  <c r="Q109" i="7"/>
  <c r="P109" i="7"/>
  <c r="O109" i="7"/>
  <c r="N109" i="7"/>
  <c r="W109" i="7" s="1"/>
  <c r="M109" i="7"/>
  <c r="S109" i="7" s="1"/>
  <c r="G109" i="7"/>
  <c r="V108" i="7"/>
  <c r="S108" i="7"/>
  <c r="R108" i="7"/>
  <c r="Q108" i="7"/>
  <c r="P108" i="7"/>
  <c r="O108" i="7"/>
  <c r="X108" i="7" s="1"/>
  <c r="N108" i="7"/>
  <c r="W108" i="7" s="1"/>
  <c r="M108" i="7"/>
  <c r="H108" i="7"/>
  <c r="G108" i="7"/>
  <c r="X107" i="7"/>
  <c r="U107" i="7"/>
  <c r="T107" i="7"/>
  <c r="R107" i="7"/>
  <c r="Q107" i="7"/>
  <c r="P107" i="7"/>
  <c r="O107" i="7"/>
  <c r="N107" i="7"/>
  <c r="W107" i="7" s="1"/>
  <c r="M107" i="7"/>
  <c r="V107" i="7" s="1"/>
  <c r="H107" i="7"/>
  <c r="G107" i="7"/>
  <c r="W106" i="7"/>
  <c r="V106" i="7"/>
  <c r="S106" i="7"/>
  <c r="R106" i="7"/>
  <c r="Q106" i="7"/>
  <c r="P106" i="7"/>
  <c r="O106" i="7"/>
  <c r="U106" i="7" s="1"/>
  <c r="N106" i="7"/>
  <c r="T106" i="7" s="1"/>
  <c r="M106" i="7"/>
  <c r="H106" i="7"/>
  <c r="G106" i="7"/>
  <c r="X105" i="7"/>
  <c r="U105" i="7"/>
  <c r="T105" i="7"/>
  <c r="R105" i="7"/>
  <c r="Q105" i="7"/>
  <c r="P105" i="7"/>
  <c r="O105" i="7"/>
  <c r="N105" i="7"/>
  <c r="W105" i="7" s="1"/>
  <c r="M105" i="7"/>
  <c r="S105" i="7" s="1"/>
  <c r="G105" i="7"/>
  <c r="V104" i="7"/>
  <c r="S104" i="7"/>
  <c r="R104" i="7"/>
  <c r="Q104" i="7"/>
  <c r="P104" i="7"/>
  <c r="O104" i="7"/>
  <c r="X104" i="7" s="1"/>
  <c r="N104" i="7"/>
  <c r="W104" i="7" s="1"/>
  <c r="M104" i="7"/>
  <c r="H104" i="7"/>
  <c r="G104" i="7"/>
  <c r="W103" i="7"/>
  <c r="T103" i="7"/>
  <c r="S103" i="7"/>
  <c r="R103" i="7"/>
  <c r="Q103" i="7"/>
  <c r="P103" i="7"/>
  <c r="O103" i="7"/>
  <c r="U103" i="7" s="1"/>
  <c r="N103" i="7"/>
  <c r="M103" i="7"/>
  <c r="V103" i="7" s="1"/>
  <c r="H103" i="7"/>
  <c r="G103" i="7"/>
  <c r="V102" i="7"/>
  <c r="U102" i="7"/>
  <c r="R102" i="7"/>
  <c r="Q102" i="7"/>
  <c r="P102" i="7"/>
  <c r="O102" i="7"/>
  <c r="X102" i="7" s="1"/>
  <c r="N102" i="7"/>
  <c r="M102" i="7"/>
  <c r="H102" i="7" s="1"/>
  <c r="G102" i="7"/>
  <c r="W101" i="7"/>
  <c r="T101" i="7"/>
  <c r="S101" i="7"/>
  <c r="R101" i="7"/>
  <c r="Q101" i="7"/>
  <c r="P101" i="7"/>
  <c r="O101" i="7"/>
  <c r="X101" i="7" s="1"/>
  <c r="N101" i="7"/>
  <c r="M101" i="7"/>
  <c r="V101" i="7" s="1"/>
  <c r="H101" i="7"/>
  <c r="G101" i="7"/>
  <c r="U100" i="7"/>
  <c r="R100" i="7"/>
  <c r="Q100" i="7"/>
  <c r="P100" i="7"/>
  <c r="O100" i="7"/>
  <c r="X100" i="7" s="1"/>
  <c r="N100" i="7"/>
  <c r="W100" i="7" s="1"/>
  <c r="M100" i="7"/>
  <c r="V100" i="7" s="1"/>
  <c r="G100" i="7"/>
  <c r="X99" i="7"/>
  <c r="W99" i="7"/>
  <c r="T99" i="7"/>
  <c r="S99" i="7"/>
  <c r="R99" i="7"/>
  <c r="Q99" i="7"/>
  <c r="P99" i="7"/>
  <c r="O99" i="7"/>
  <c r="U99" i="7" s="1"/>
  <c r="N99" i="7"/>
  <c r="M99" i="7"/>
  <c r="V99" i="7" s="1"/>
  <c r="H99" i="7"/>
  <c r="G99" i="7"/>
  <c r="V98" i="7"/>
  <c r="U98" i="7"/>
  <c r="R98" i="7"/>
  <c r="Q98" i="7"/>
  <c r="P98" i="7"/>
  <c r="O98" i="7"/>
  <c r="X98" i="7" s="1"/>
  <c r="N98" i="7"/>
  <c r="M98" i="7"/>
  <c r="H98" i="7" s="1"/>
  <c r="G98" i="7"/>
  <c r="BK97" i="7"/>
  <c r="BK96" i="7" s="1"/>
  <c r="BJ97" i="7"/>
  <c r="BI97" i="7"/>
  <c r="BH97" i="7"/>
  <c r="BH96" i="7" s="1"/>
  <c r="BG97" i="7"/>
  <c r="BG96" i="7" s="1"/>
  <c r="BF97" i="7"/>
  <c r="BF96" i="7" s="1"/>
  <c r="BE97" i="7"/>
  <c r="BD97" i="7"/>
  <c r="BD96" i="7" s="1"/>
  <c r="BC97" i="7"/>
  <c r="BC96" i="7" s="1"/>
  <c r="BB97" i="7"/>
  <c r="BA97" i="7"/>
  <c r="AZ97" i="7"/>
  <c r="AZ96" i="7" s="1"/>
  <c r="AY97" i="7"/>
  <c r="AY96" i="7" s="1"/>
  <c r="AX97" i="7"/>
  <c r="AX96" i="7" s="1"/>
  <c r="AW97" i="7"/>
  <c r="AV97" i="7"/>
  <c r="AV96" i="7" s="1"/>
  <c r="AU97" i="7"/>
  <c r="AU96" i="7" s="1"/>
  <c r="AT97" i="7"/>
  <c r="AS97" i="7"/>
  <c r="AR97" i="7"/>
  <c r="AR96" i="7" s="1"/>
  <c r="AQ97" i="7"/>
  <c r="AQ96" i="7" s="1"/>
  <c r="AP97" i="7"/>
  <c r="AP96" i="7" s="1"/>
  <c r="AO97" i="7"/>
  <c r="AN97" i="7"/>
  <c r="AN96" i="7" s="1"/>
  <c r="AM97" i="7"/>
  <c r="AM96" i="7" s="1"/>
  <c r="AL97" i="7"/>
  <c r="AK97" i="7"/>
  <c r="AJ97" i="7"/>
  <c r="AJ96" i="7" s="1"/>
  <c r="AI97" i="7"/>
  <c r="AI96" i="7" s="1"/>
  <c r="AH97" i="7"/>
  <c r="AH96" i="7" s="1"/>
  <c r="AG97" i="7"/>
  <c r="AF97" i="7"/>
  <c r="AE97" i="7"/>
  <c r="P97" i="7" s="1"/>
  <c r="AD97" i="7"/>
  <c r="AC97" i="7"/>
  <c r="AB97" i="7"/>
  <c r="AB96" i="7" s="1"/>
  <c r="AA97" i="7"/>
  <c r="Z97" i="7"/>
  <c r="Z96" i="7" s="1"/>
  <c r="Y97" i="7"/>
  <c r="L97" i="7"/>
  <c r="L96" i="7" s="1"/>
  <c r="K97" i="7"/>
  <c r="K96" i="7" s="1"/>
  <c r="J97" i="7"/>
  <c r="J96" i="7" s="1"/>
  <c r="I97" i="7"/>
  <c r="G97" i="7"/>
  <c r="F97" i="7"/>
  <c r="E97" i="7"/>
  <c r="BJ96" i="7"/>
  <c r="BB96" i="7"/>
  <c r="AT96" i="7"/>
  <c r="AL96" i="7"/>
  <c r="AD96" i="7"/>
  <c r="F96" i="7"/>
  <c r="U95" i="7"/>
  <c r="R95" i="7"/>
  <c r="Q95" i="7"/>
  <c r="P95" i="7"/>
  <c r="O95" i="7"/>
  <c r="X95" i="7" s="1"/>
  <c r="N95" i="7"/>
  <c r="W95" i="7" s="1"/>
  <c r="M95" i="7"/>
  <c r="V95" i="7" s="1"/>
  <c r="G95" i="7"/>
  <c r="X94" i="7"/>
  <c r="W94" i="7"/>
  <c r="T94" i="7"/>
  <c r="S94" i="7"/>
  <c r="R94" i="7"/>
  <c r="Q94" i="7"/>
  <c r="P94" i="7"/>
  <c r="O94" i="7"/>
  <c r="U94" i="7" s="1"/>
  <c r="N94" i="7"/>
  <c r="M94" i="7"/>
  <c r="V94" i="7" s="1"/>
  <c r="H94" i="7"/>
  <c r="G94" i="7"/>
  <c r="Q93" i="7"/>
  <c r="P93" i="7"/>
  <c r="I93" i="7"/>
  <c r="I89" i="7" s="1"/>
  <c r="G89" i="7" s="1"/>
  <c r="Q92" i="7"/>
  <c r="P92" i="7"/>
  <c r="V91" i="7"/>
  <c r="S91" i="7"/>
  <c r="R91" i="7"/>
  <c r="Q91" i="7"/>
  <c r="P91" i="7"/>
  <c r="O91" i="7"/>
  <c r="O89" i="7" s="1"/>
  <c r="X89" i="7" s="1"/>
  <c r="N91" i="7"/>
  <c r="N89" i="7" s="1"/>
  <c r="W89" i="7" s="1"/>
  <c r="M91" i="7"/>
  <c r="I91" i="7"/>
  <c r="H91" i="7"/>
  <c r="G91" i="7"/>
  <c r="BK89" i="7"/>
  <c r="BJ89" i="7"/>
  <c r="BI89" i="7"/>
  <c r="BH89" i="7"/>
  <c r="BG89" i="7"/>
  <c r="BF89" i="7"/>
  <c r="BE89" i="7"/>
  <c r="BD89" i="7"/>
  <c r="BC89" i="7"/>
  <c r="BB89" i="7"/>
  <c r="BA89" i="7"/>
  <c r="AZ89" i="7"/>
  <c r="AY89" i="7"/>
  <c r="AX89" i="7"/>
  <c r="AW89" i="7"/>
  <c r="AV89" i="7"/>
  <c r="AU89" i="7"/>
  <c r="AT89" i="7"/>
  <c r="AS89" i="7"/>
  <c r="AR89" i="7"/>
  <c r="AQ89" i="7"/>
  <c r="AP89" i="7"/>
  <c r="AO89" i="7"/>
  <c r="Q89" i="7" s="1"/>
  <c r="AN89" i="7"/>
  <c r="AM89" i="7"/>
  <c r="AL89" i="7"/>
  <c r="AK89" i="7"/>
  <c r="AJ89" i="7"/>
  <c r="AI89" i="7"/>
  <c r="AH89" i="7"/>
  <c r="AG89" i="7"/>
  <c r="AF89" i="7"/>
  <c r="AE89" i="7"/>
  <c r="AD89" i="7"/>
  <c r="R89" i="7" s="1"/>
  <c r="AC89" i="7"/>
  <c r="AB89" i="7"/>
  <c r="AA89" i="7"/>
  <c r="Z89" i="7"/>
  <c r="Y89" i="7"/>
  <c r="P89" i="7" s="1"/>
  <c r="L89" i="7"/>
  <c r="K89" i="7"/>
  <c r="J89" i="7"/>
  <c r="F89" i="7"/>
  <c r="E89" i="7"/>
  <c r="AI88" i="7"/>
  <c r="V88" i="7"/>
  <c r="U88" i="7"/>
  <c r="R88" i="7"/>
  <c r="Q88" i="7"/>
  <c r="P88" i="7"/>
  <c r="O88" i="7"/>
  <c r="X88" i="7" s="1"/>
  <c r="N88" i="7"/>
  <c r="M88" i="7"/>
  <c r="H88" i="7" s="1"/>
  <c r="G88" i="7"/>
  <c r="AF87" i="7"/>
  <c r="AC87" i="7"/>
  <c r="Z87" i="7"/>
  <c r="V87" i="7"/>
  <c r="S87" i="7"/>
  <c r="R87" i="7"/>
  <c r="P87" i="7"/>
  <c r="O87" i="7"/>
  <c r="M87" i="7"/>
  <c r="H87" i="7"/>
  <c r="G87" i="7"/>
  <c r="X86" i="7"/>
  <c r="U86" i="7"/>
  <c r="T86" i="7"/>
  <c r="R86" i="7"/>
  <c r="Q86" i="7"/>
  <c r="P86" i="7"/>
  <c r="O86" i="7"/>
  <c r="N86" i="7"/>
  <c r="W86" i="7" s="1"/>
  <c r="M86" i="7"/>
  <c r="G86" i="7"/>
  <c r="V85" i="7"/>
  <c r="S85" i="7"/>
  <c r="R85" i="7"/>
  <c r="Q85" i="7"/>
  <c r="P85" i="7"/>
  <c r="O85" i="7"/>
  <c r="X85" i="7" s="1"/>
  <c r="N85" i="7"/>
  <c r="M85" i="7"/>
  <c r="H85" i="7"/>
  <c r="G85" i="7"/>
  <c r="BK84" i="7"/>
  <c r="R84" i="7" s="1"/>
  <c r="BJ84" i="7"/>
  <c r="BI84" i="7"/>
  <c r="BH84" i="7"/>
  <c r="BG84" i="7"/>
  <c r="BF84" i="7"/>
  <c r="BE84" i="7"/>
  <c r="BD84" i="7"/>
  <c r="BC84" i="7"/>
  <c r="BB84" i="7"/>
  <c r="BA84" i="7"/>
  <c r="AZ84" i="7"/>
  <c r="AY84" i="7"/>
  <c r="AX84" i="7"/>
  <c r="AW84" i="7"/>
  <c r="AV84" i="7"/>
  <c r="AU84" i="7"/>
  <c r="AT84" i="7"/>
  <c r="AS84" i="7"/>
  <c r="AR84" i="7"/>
  <c r="AQ84" i="7"/>
  <c r="AP84" i="7"/>
  <c r="AO84" i="7"/>
  <c r="AN84" i="7"/>
  <c r="AM84" i="7"/>
  <c r="AL84" i="7"/>
  <c r="AK84" i="7"/>
  <c r="AJ84" i="7"/>
  <c r="AI84" i="7"/>
  <c r="AH84" i="7"/>
  <c r="AG84" i="7"/>
  <c r="AF84" i="7"/>
  <c r="AE84" i="7"/>
  <c r="AD84" i="7"/>
  <c r="AB84" i="7"/>
  <c r="AA84" i="7"/>
  <c r="Z84" i="7"/>
  <c r="Y84" i="7"/>
  <c r="P84" i="7"/>
  <c r="L84" i="7"/>
  <c r="K84" i="7"/>
  <c r="J84" i="7"/>
  <c r="I84" i="7"/>
  <c r="G84" i="7"/>
  <c r="F84" i="7"/>
  <c r="E84" i="7"/>
  <c r="W83" i="7"/>
  <c r="T83" i="7"/>
  <c r="S83" i="7"/>
  <c r="R83" i="7"/>
  <c r="Q83" i="7"/>
  <c r="P83" i="7"/>
  <c r="O83" i="7"/>
  <c r="N83" i="7"/>
  <c r="M83" i="7"/>
  <c r="V83" i="7" s="1"/>
  <c r="H83" i="7"/>
  <c r="G83" i="7"/>
  <c r="U82" i="7"/>
  <c r="R82" i="7"/>
  <c r="Q82" i="7"/>
  <c r="P82" i="7"/>
  <c r="O82" i="7"/>
  <c r="X82" i="7" s="1"/>
  <c r="N82" i="7"/>
  <c r="W82" i="7" s="1"/>
  <c r="M82" i="7"/>
  <c r="G82" i="7"/>
  <c r="X81" i="7"/>
  <c r="W81" i="7"/>
  <c r="T81" i="7"/>
  <c r="S81" i="7"/>
  <c r="R81" i="7"/>
  <c r="Q81" i="7"/>
  <c r="P81" i="7"/>
  <c r="O81" i="7"/>
  <c r="U81" i="7" s="1"/>
  <c r="N81" i="7"/>
  <c r="M81" i="7"/>
  <c r="V81" i="7" s="1"/>
  <c r="H81" i="7"/>
  <c r="G81" i="7"/>
  <c r="BK80" i="7"/>
  <c r="BJ80" i="7"/>
  <c r="BI80" i="7"/>
  <c r="P80" i="7" s="1"/>
  <c r="BH80" i="7"/>
  <c r="BG80" i="7"/>
  <c r="BF80" i="7"/>
  <c r="BE80" i="7"/>
  <c r="BD80" i="7"/>
  <c r="BC80" i="7"/>
  <c r="BB80" i="7"/>
  <c r="BA80" i="7"/>
  <c r="BA67" i="7" s="1"/>
  <c r="AZ80" i="7"/>
  <c r="AY80" i="7"/>
  <c r="AX80" i="7"/>
  <c r="AW80" i="7"/>
  <c r="AV80" i="7"/>
  <c r="AU80" i="7"/>
  <c r="AT80" i="7"/>
  <c r="AS80" i="7"/>
  <c r="AR80" i="7"/>
  <c r="AQ80" i="7"/>
  <c r="AP80" i="7"/>
  <c r="AO80" i="7"/>
  <c r="AN80" i="7"/>
  <c r="AM80" i="7"/>
  <c r="AL80" i="7"/>
  <c r="AK80" i="7"/>
  <c r="AJ80" i="7"/>
  <c r="AI80" i="7"/>
  <c r="AH80" i="7"/>
  <c r="AG80" i="7"/>
  <c r="AF80" i="7"/>
  <c r="AE80" i="7"/>
  <c r="AD80" i="7"/>
  <c r="AC80" i="7"/>
  <c r="Q80" i="7" s="1"/>
  <c r="AB80" i="7"/>
  <c r="AA80" i="7"/>
  <c r="Z80" i="7"/>
  <c r="Y80" i="7"/>
  <c r="M80" i="7"/>
  <c r="V80" i="7" s="1"/>
  <c r="L80" i="7"/>
  <c r="K80" i="7"/>
  <c r="J80" i="7"/>
  <c r="I80" i="7"/>
  <c r="F80" i="7"/>
  <c r="E80" i="7"/>
  <c r="X79" i="7"/>
  <c r="U79" i="7"/>
  <c r="T79" i="7"/>
  <c r="R79" i="7"/>
  <c r="Q79" i="7"/>
  <c r="P79" i="7"/>
  <c r="O79" i="7"/>
  <c r="N79" i="7"/>
  <c r="W79" i="7" s="1"/>
  <c r="M79" i="7"/>
  <c r="V79" i="7" s="1"/>
  <c r="H79" i="7"/>
  <c r="G79" i="7"/>
  <c r="W78" i="7"/>
  <c r="V78" i="7"/>
  <c r="S78" i="7"/>
  <c r="R78" i="7"/>
  <c r="Q78" i="7"/>
  <c r="P78" i="7"/>
  <c r="O78" i="7"/>
  <c r="N78" i="7"/>
  <c r="T78" i="7" s="1"/>
  <c r="M78" i="7"/>
  <c r="H78" i="7"/>
  <c r="G78" i="7"/>
  <c r="BK77" i="7"/>
  <c r="BJ77" i="7"/>
  <c r="BI77" i="7"/>
  <c r="BH77" i="7"/>
  <c r="BH67" i="7" s="1"/>
  <c r="BG77" i="7"/>
  <c r="BF77" i="7"/>
  <c r="BE77" i="7"/>
  <c r="BD77" i="7"/>
  <c r="BC77" i="7"/>
  <c r="BB77" i="7"/>
  <c r="BA77" i="7"/>
  <c r="AZ77" i="7"/>
  <c r="AZ67" i="7" s="1"/>
  <c r="AY77" i="7"/>
  <c r="AX77" i="7"/>
  <c r="AW77" i="7"/>
  <c r="AV77" i="7"/>
  <c r="AU77" i="7"/>
  <c r="AT77" i="7"/>
  <c r="AS77" i="7"/>
  <c r="AR77" i="7"/>
  <c r="AR67" i="7" s="1"/>
  <c r="AQ77" i="7"/>
  <c r="AP77" i="7"/>
  <c r="AO77" i="7"/>
  <c r="AN77" i="7"/>
  <c r="AM77" i="7"/>
  <c r="AL77" i="7"/>
  <c r="AK77" i="7"/>
  <c r="AJ77" i="7"/>
  <c r="AJ67" i="7" s="1"/>
  <c r="AI77" i="7"/>
  <c r="AH77" i="7"/>
  <c r="AG77" i="7"/>
  <c r="AF77" i="7"/>
  <c r="AE77" i="7"/>
  <c r="AD77" i="7"/>
  <c r="AC77" i="7"/>
  <c r="AB77" i="7"/>
  <c r="AA77" i="7"/>
  <c r="Z77" i="7"/>
  <c r="Y77" i="7"/>
  <c r="T77" i="7"/>
  <c r="L77" i="7"/>
  <c r="L67" i="7" s="1"/>
  <c r="K77" i="7"/>
  <c r="J77" i="7"/>
  <c r="I77" i="7"/>
  <c r="G77" i="7"/>
  <c r="V76" i="7"/>
  <c r="U76" i="7"/>
  <c r="R76" i="7"/>
  <c r="Q76" i="7"/>
  <c r="P76" i="7"/>
  <c r="O76" i="7"/>
  <c r="X76" i="7" s="1"/>
  <c r="N76" i="7"/>
  <c r="M76" i="7"/>
  <c r="H76" i="7" s="1"/>
  <c r="G76" i="7"/>
  <c r="W75" i="7"/>
  <c r="T75" i="7"/>
  <c r="S75" i="7"/>
  <c r="R75" i="7"/>
  <c r="Q75" i="7"/>
  <c r="P75" i="7"/>
  <c r="O75" i="7"/>
  <c r="N75" i="7"/>
  <c r="M75" i="7"/>
  <c r="V75" i="7" s="1"/>
  <c r="H75" i="7"/>
  <c r="G75" i="7"/>
  <c r="AF74" i="7"/>
  <c r="AC74" i="7"/>
  <c r="N74" i="7" s="1"/>
  <c r="W74" i="7"/>
  <c r="T74" i="7"/>
  <c r="S74" i="7"/>
  <c r="R74" i="7"/>
  <c r="Q74" i="7"/>
  <c r="P74" i="7"/>
  <c r="O74" i="7"/>
  <c r="M74" i="7"/>
  <c r="V74" i="7" s="1"/>
  <c r="H74" i="7"/>
  <c r="G74" i="7"/>
  <c r="U73" i="7"/>
  <c r="R73" i="7"/>
  <c r="Q73" i="7"/>
  <c r="P73" i="7"/>
  <c r="O73" i="7"/>
  <c r="X73" i="7" s="1"/>
  <c r="N73" i="7"/>
  <c r="W73" i="7" s="1"/>
  <c r="M73" i="7"/>
  <c r="G73" i="7"/>
  <c r="AC72" i="7"/>
  <c r="N72" i="7" s="1"/>
  <c r="W72" i="7" s="1"/>
  <c r="X72" i="7"/>
  <c r="U72" i="7"/>
  <c r="T72" i="7"/>
  <c r="R72" i="7"/>
  <c r="Q72" i="7"/>
  <c r="P72" i="7"/>
  <c r="O72" i="7"/>
  <c r="M72" i="7"/>
  <c r="V72" i="7" s="1"/>
  <c r="H72" i="7"/>
  <c r="G72" i="7"/>
  <c r="W71" i="7"/>
  <c r="V71" i="7"/>
  <c r="S71" i="7"/>
  <c r="R71" i="7"/>
  <c r="Q71" i="7"/>
  <c r="P71" i="7"/>
  <c r="O71" i="7"/>
  <c r="N71" i="7"/>
  <c r="T71" i="7" s="1"/>
  <c r="M71" i="7"/>
  <c r="I71" i="7"/>
  <c r="H71" i="7"/>
  <c r="G71" i="7"/>
  <c r="AI70" i="7"/>
  <c r="W70" i="7"/>
  <c r="V70" i="7"/>
  <c r="S70" i="7"/>
  <c r="R70" i="7"/>
  <c r="Q70" i="7"/>
  <c r="P70" i="7"/>
  <c r="O70" i="7"/>
  <c r="N70" i="7"/>
  <c r="T70" i="7" s="1"/>
  <c r="M70" i="7"/>
  <c r="H70" i="7"/>
  <c r="G70" i="7"/>
  <c r="X69" i="7"/>
  <c r="U69" i="7"/>
  <c r="T69" i="7"/>
  <c r="R69" i="7"/>
  <c r="Q69" i="7"/>
  <c r="P69" i="7"/>
  <c r="O69" i="7"/>
  <c r="N69" i="7"/>
  <c r="W69" i="7" s="1"/>
  <c r="M69" i="7"/>
  <c r="M68" i="7" s="1"/>
  <c r="G69" i="7"/>
  <c r="BK68" i="7"/>
  <c r="BJ68" i="7"/>
  <c r="BJ67" i="7" s="1"/>
  <c r="BI68" i="7"/>
  <c r="BH68" i="7"/>
  <c r="BG68" i="7"/>
  <c r="BG67" i="7" s="1"/>
  <c r="BF68" i="7"/>
  <c r="BF67" i="7" s="1"/>
  <c r="BE68" i="7"/>
  <c r="BE67" i="7" s="1"/>
  <c r="BD68" i="7"/>
  <c r="BC68" i="7"/>
  <c r="BB68" i="7"/>
  <c r="BB67" i="7" s="1"/>
  <c r="BA68" i="7"/>
  <c r="AZ68" i="7"/>
  <c r="AY68" i="7"/>
  <c r="AY67" i="7" s="1"/>
  <c r="AX68" i="7"/>
  <c r="AX67" i="7" s="1"/>
  <c r="AW68" i="7"/>
  <c r="AW67" i="7" s="1"/>
  <c r="AV68" i="7"/>
  <c r="AU68" i="7"/>
  <c r="AT68" i="7"/>
  <c r="AT67" i="7" s="1"/>
  <c r="AS68" i="7"/>
  <c r="AR68" i="7"/>
  <c r="AQ68" i="7"/>
  <c r="AQ67" i="7" s="1"/>
  <c r="AP68" i="7"/>
  <c r="AP67" i="7" s="1"/>
  <c r="AO68" i="7"/>
  <c r="AO67" i="7" s="1"/>
  <c r="AN68" i="7"/>
  <c r="AM68" i="7"/>
  <c r="AL68" i="7"/>
  <c r="AL67" i="7" s="1"/>
  <c r="AK68" i="7"/>
  <c r="AJ68" i="7"/>
  <c r="AI68" i="7"/>
  <c r="AI67" i="7" s="1"/>
  <c r="AH68" i="7"/>
  <c r="AH67" i="7" s="1"/>
  <c r="AG68" i="7"/>
  <c r="AG67" i="7" s="1"/>
  <c r="AF68" i="7"/>
  <c r="AE68" i="7"/>
  <c r="AD68" i="7"/>
  <c r="AD67" i="7" s="1"/>
  <c r="AC68" i="7"/>
  <c r="AB68" i="7"/>
  <c r="AA68" i="7"/>
  <c r="AA67" i="7" s="1"/>
  <c r="Z68" i="7"/>
  <c r="Y68" i="7"/>
  <c r="Y67" i="7" s="1"/>
  <c r="R68" i="7"/>
  <c r="L68" i="7"/>
  <c r="K68" i="7"/>
  <c r="J68" i="7"/>
  <c r="J67" i="7" s="1"/>
  <c r="I68" i="7"/>
  <c r="F68" i="7"/>
  <c r="F67" i="7" s="1"/>
  <c r="E68" i="7"/>
  <c r="BD67" i="7"/>
  <c r="AV67" i="7"/>
  <c r="AS67" i="7"/>
  <c r="AN67" i="7"/>
  <c r="AK67" i="7"/>
  <c r="AF67" i="7"/>
  <c r="E67" i="7"/>
  <c r="X66" i="7"/>
  <c r="U66" i="7"/>
  <c r="T66" i="7"/>
  <c r="R66" i="7"/>
  <c r="Q66" i="7"/>
  <c r="P66" i="7"/>
  <c r="O66" i="7"/>
  <c r="N66" i="7"/>
  <c r="W66" i="7" s="1"/>
  <c r="M66" i="7"/>
  <c r="V66" i="7" s="1"/>
  <c r="H66" i="7"/>
  <c r="G66" i="7"/>
  <c r="W65" i="7"/>
  <c r="V65" i="7"/>
  <c r="S65" i="7"/>
  <c r="R65" i="7"/>
  <c r="Q65" i="7"/>
  <c r="P65" i="7"/>
  <c r="O65" i="7"/>
  <c r="N65" i="7"/>
  <c r="T65" i="7" s="1"/>
  <c r="M65" i="7"/>
  <c r="H65" i="7"/>
  <c r="G65" i="7"/>
  <c r="X64" i="7"/>
  <c r="U64" i="7"/>
  <c r="T64" i="7"/>
  <c r="R64" i="7"/>
  <c r="Q64" i="7"/>
  <c r="P64" i="7"/>
  <c r="O64" i="7"/>
  <c r="N64" i="7"/>
  <c r="W64" i="7" s="1"/>
  <c r="M64" i="7"/>
  <c r="G64" i="7"/>
  <c r="V63" i="7"/>
  <c r="S63" i="7"/>
  <c r="R63" i="7"/>
  <c r="Q63" i="7"/>
  <c r="P63" i="7"/>
  <c r="O63" i="7"/>
  <c r="X63" i="7" s="1"/>
  <c r="N63" i="7"/>
  <c r="M63" i="7"/>
  <c r="H63" i="7"/>
  <c r="G63" i="7"/>
  <c r="X62" i="7"/>
  <c r="U62" i="7"/>
  <c r="T62" i="7"/>
  <c r="R62" i="7"/>
  <c r="Q62" i="7"/>
  <c r="P62" i="7"/>
  <c r="O62" i="7"/>
  <c r="N62" i="7"/>
  <c r="W62" i="7" s="1"/>
  <c r="M62" i="7"/>
  <c r="V62" i="7" s="1"/>
  <c r="G62" i="7"/>
  <c r="V61" i="7"/>
  <c r="U61" i="7"/>
  <c r="R61" i="7"/>
  <c r="Q61" i="7"/>
  <c r="P61" i="7"/>
  <c r="O61" i="7"/>
  <c r="X61" i="7" s="1"/>
  <c r="N61" i="7"/>
  <c r="M61" i="7"/>
  <c r="S61" i="7" s="1"/>
  <c r="G61" i="7"/>
  <c r="V60" i="7"/>
  <c r="S60" i="7"/>
  <c r="R60" i="7"/>
  <c r="Q60" i="7"/>
  <c r="P60" i="7"/>
  <c r="O60" i="7"/>
  <c r="X60" i="7" s="1"/>
  <c r="N60" i="7"/>
  <c r="M60" i="7"/>
  <c r="H60" i="7"/>
  <c r="G60" i="7"/>
  <c r="X59" i="7"/>
  <c r="U59" i="7"/>
  <c r="T59" i="7"/>
  <c r="R59" i="7"/>
  <c r="Q59" i="7"/>
  <c r="P59" i="7"/>
  <c r="O59" i="7"/>
  <c r="N59" i="7"/>
  <c r="W59" i="7" s="1"/>
  <c r="M59" i="7"/>
  <c r="V59" i="7" s="1"/>
  <c r="H59" i="7"/>
  <c r="G59" i="7"/>
  <c r="W58" i="7"/>
  <c r="V58" i="7"/>
  <c r="S58" i="7"/>
  <c r="R58" i="7"/>
  <c r="Q58" i="7"/>
  <c r="P58" i="7"/>
  <c r="O58" i="7"/>
  <c r="N58" i="7"/>
  <c r="T58" i="7" s="1"/>
  <c r="M58" i="7"/>
  <c r="H58" i="7"/>
  <c r="G58" i="7"/>
  <c r="X57" i="7"/>
  <c r="U57" i="7"/>
  <c r="T57" i="7"/>
  <c r="R57" i="7"/>
  <c r="Q57" i="7"/>
  <c r="P57" i="7"/>
  <c r="O57" i="7"/>
  <c r="N57" i="7"/>
  <c r="W57" i="7" s="1"/>
  <c r="M57" i="7"/>
  <c r="H57" i="7" s="1"/>
  <c r="G57" i="7"/>
  <c r="AC56" i="7"/>
  <c r="N56" i="7" s="1"/>
  <c r="W56" i="7" s="1"/>
  <c r="T56" i="7"/>
  <c r="S56" i="7"/>
  <c r="R56" i="7"/>
  <c r="Q56" i="7"/>
  <c r="P56" i="7"/>
  <c r="O56" i="7"/>
  <c r="M56" i="7"/>
  <c r="V56" i="7" s="1"/>
  <c r="H56" i="7"/>
  <c r="G56" i="7"/>
  <c r="U55" i="7"/>
  <c r="R55" i="7"/>
  <c r="Q55" i="7"/>
  <c r="P55" i="7"/>
  <c r="O55" i="7"/>
  <c r="X55" i="7" s="1"/>
  <c r="N55" i="7"/>
  <c r="M55" i="7"/>
  <c r="V55" i="7" s="1"/>
  <c r="G55" i="7"/>
  <c r="W54" i="7"/>
  <c r="T54" i="7"/>
  <c r="S54" i="7"/>
  <c r="R54" i="7"/>
  <c r="Q54" i="7"/>
  <c r="P54" i="7"/>
  <c r="O54" i="7"/>
  <c r="U54" i="7" s="1"/>
  <c r="N54" i="7"/>
  <c r="M54" i="7"/>
  <c r="V54" i="7" s="1"/>
  <c r="H54" i="7"/>
  <c r="G54" i="7"/>
  <c r="U53" i="7"/>
  <c r="R53" i="7"/>
  <c r="Q53" i="7"/>
  <c r="P53" i="7"/>
  <c r="O53" i="7"/>
  <c r="X53" i="7" s="1"/>
  <c r="N53" i="7"/>
  <c r="M53" i="7"/>
  <c r="V53" i="7" s="1"/>
  <c r="G53" i="7"/>
  <c r="AC52" i="7"/>
  <c r="Z52" i="7"/>
  <c r="Q52" i="7" s="1"/>
  <c r="U52" i="7"/>
  <c r="R52" i="7"/>
  <c r="P52" i="7"/>
  <c r="O52" i="7"/>
  <c r="X52" i="7" s="1"/>
  <c r="M52" i="7"/>
  <c r="V52" i="7" s="1"/>
  <c r="J52" i="7"/>
  <c r="G52" i="7"/>
  <c r="AC51" i="7"/>
  <c r="N51" i="7" s="1"/>
  <c r="W51" i="7" s="1"/>
  <c r="U51" i="7"/>
  <c r="R51" i="7"/>
  <c r="P51" i="7"/>
  <c r="O51" i="7"/>
  <c r="X51" i="7" s="1"/>
  <c r="M51" i="7"/>
  <c r="V51" i="7" s="1"/>
  <c r="J51" i="7"/>
  <c r="G51" i="7"/>
  <c r="AF50" i="7"/>
  <c r="Q50" i="7" s="1"/>
  <c r="U50" i="7"/>
  <c r="R50" i="7"/>
  <c r="P50" i="7"/>
  <c r="O50" i="7"/>
  <c r="X50" i="7" s="1"/>
  <c r="N50" i="7"/>
  <c r="W50" i="7" s="1"/>
  <c r="M50" i="7"/>
  <c r="V50" i="7" s="1"/>
  <c r="J50" i="7"/>
  <c r="I50" i="7"/>
  <c r="S50" i="7" s="1"/>
  <c r="G50" i="7"/>
  <c r="AF49" i="7"/>
  <c r="AC49" i="7"/>
  <c r="N49" i="7" s="1"/>
  <c r="X49" i="7"/>
  <c r="S49" i="7"/>
  <c r="R49" i="7"/>
  <c r="Q49" i="7"/>
  <c r="P49" i="7"/>
  <c r="O49" i="7"/>
  <c r="U49" i="7" s="1"/>
  <c r="M49" i="7"/>
  <c r="V49" i="7" s="1"/>
  <c r="J49" i="7"/>
  <c r="W49" i="7" s="1"/>
  <c r="H49" i="7"/>
  <c r="G49" i="7"/>
  <c r="AF48" i="7"/>
  <c r="N48" i="7" s="1"/>
  <c r="W48" i="7"/>
  <c r="T48" i="7"/>
  <c r="S48" i="7"/>
  <c r="R48" i="7"/>
  <c r="Q48" i="7"/>
  <c r="P48" i="7"/>
  <c r="O48" i="7"/>
  <c r="U48" i="7" s="1"/>
  <c r="M48" i="7"/>
  <c r="V48" i="7" s="1"/>
  <c r="H48" i="7"/>
  <c r="G48" i="7"/>
  <c r="AL47" i="7"/>
  <c r="AF47" i="7"/>
  <c r="N47" i="7" s="1"/>
  <c r="S47" i="7"/>
  <c r="R47" i="7"/>
  <c r="Q47" i="7"/>
  <c r="P47" i="7"/>
  <c r="O47" i="7"/>
  <c r="U47" i="7" s="1"/>
  <c r="M47" i="7"/>
  <c r="V47" i="7" s="1"/>
  <c r="J47" i="7"/>
  <c r="W47" i="7" s="1"/>
  <c r="H47" i="7"/>
  <c r="G47" i="7"/>
  <c r="W46" i="7"/>
  <c r="V46" i="7"/>
  <c r="S46" i="7"/>
  <c r="R46" i="7"/>
  <c r="Q46" i="7"/>
  <c r="P46" i="7"/>
  <c r="O46" i="7"/>
  <c r="N46" i="7"/>
  <c r="T46" i="7" s="1"/>
  <c r="M46" i="7"/>
  <c r="H46" i="7"/>
  <c r="G46" i="7"/>
  <c r="X45" i="7"/>
  <c r="U45" i="7"/>
  <c r="T45" i="7"/>
  <c r="R45" i="7"/>
  <c r="Q45" i="7"/>
  <c r="P45" i="7"/>
  <c r="O45" i="7"/>
  <c r="N45" i="7"/>
  <c r="W45" i="7" s="1"/>
  <c r="M45" i="7"/>
  <c r="I45" i="7"/>
  <c r="AK44" i="7"/>
  <c r="AH44" i="7"/>
  <c r="U44" i="7"/>
  <c r="R44" i="7"/>
  <c r="Q44" i="7"/>
  <c r="O44" i="7"/>
  <c r="X44" i="7" s="1"/>
  <c r="N44" i="7"/>
  <c r="W44" i="7" s="1"/>
  <c r="M44" i="7"/>
  <c r="V44" i="7" s="1"/>
  <c r="J44" i="7"/>
  <c r="T44" i="7" s="1"/>
  <c r="I44" i="7"/>
  <c r="H44" i="7"/>
  <c r="G44" i="7"/>
  <c r="AF43" i="7"/>
  <c r="AC43" i="7"/>
  <c r="N43" i="7" s="1"/>
  <c r="S43" i="7"/>
  <c r="R43" i="7"/>
  <c r="Q43" i="7"/>
  <c r="P43" i="7"/>
  <c r="O43" i="7"/>
  <c r="U43" i="7" s="1"/>
  <c r="M43" i="7"/>
  <c r="V43" i="7" s="1"/>
  <c r="J43" i="7"/>
  <c r="W43" i="7" s="1"/>
  <c r="H43" i="7"/>
  <c r="G43" i="7"/>
  <c r="X42" i="7"/>
  <c r="V42" i="7"/>
  <c r="S42" i="7"/>
  <c r="R42" i="7"/>
  <c r="Q42" i="7"/>
  <c r="P42" i="7"/>
  <c r="O42" i="7"/>
  <c r="U42" i="7" s="1"/>
  <c r="N42" i="7"/>
  <c r="T42" i="7" s="1"/>
  <c r="M42" i="7"/>
  <c r="I42" i="7"/>
  <c r="H42" i="7"/>
  <c r="G42" i="7"/>
  <c r="W41" i="7"/>
  <c r="R41" i="7"/>
  <c r="Q41" i="7"/>
  <c r="P41" i="7"/>
  <c r="O41" i="7"/>
  <c r="X41" i="7" s="1"/>
  <c r="N41" i="7"/>
  <c r="T41" i="7" s="1"/>
  <c r="M41" i="7"/>
  <c r="V41" i="7" s="1"/>
  <c r="E41" i="7"/>
  <c r="G41" i="7" s="1"/>
  <c r="X40" i="7"/>
  <c r="U40" i="7"/>
  <c r="T40" i="7"/>
  <c r="R40" i="7"/>
  <c r="Q40" i="7"/>
  <c r="P40" i="7"/>
  <c r="O40" i="7"/>
  <c r="N40" i="7"/>
  <c r="W40" i="7" s="1"/>
  <c r="M40" i="7"/>
  <c r="S40" i="7" s="1"/>
  <c r="G40" i="7"/>
  <c r="AQ39" i="7"/>
  <c r="W39" i="7"/>
  <c r="U39" i="7"/>
  <c r="T39" i="7"/>
  <c r="S39" i="7"/>
  <c r="R39" i="7"/>
  <c r="Q39" i="7"/>
  <c r="P39" i="7"/>
  <c r="O39" i="7"/>
  <c r="X39" i="7" s="1"/>
  <c r="N39" i="7"/>
  <c r="M39" i="7"/>
  <c r="V39" i="7" s="1"/>
  <c r="G39" i="7"/>
  <c r="U38" i="7"/>
  <c r="S38" i="7"/>
  <c r="R38" i="7"/>
  <c r="Q38" i="7"/>
  <c r="P38" i="7"/>
  <c r="O38" i="7"/>
  <c r="X38" i="7" s="1"/>
  <c r="N38" i="7"/>
  <c r="M38" i="7"/>
  <c r="V38" i="7" s="1"/>
  <c r="H38" i="7"/>
  <c r="G38" i="7"/>
  <c r="W37" i="7"/>
  <c r="U37" i="7"/>
  <c r="T37" i="7"/>
  <c r="S37" i="7"/>
  <c r="R37" i="7"/>
  <c r="Q37" i="7"/>
  <c r="P37" i="7"/>
  <c r="O37" i="7"/>
  <c r="X37" i="7" s="1"/>
  <c r="N37" i="7"/>
  <c r="M37" i="7"/>
  <c r="V37" i="7" s="1"/>
  <c r="G37" i="7"/>
  <c r="R36" i="7"/>
  <c r="Q36" i="7"/>
  <c r="P36" i="7"/>
  <c r="O36" i="7"/>
  <c r="X36" i="7" s="1"/>
  <c r="N36" i="7"/>
  <c r="T36" i="7" s="1"/>
  <c r="M36" i="7"/>
  <c r="H36" i="7" s="1"/>
  <c r="G36" i="7"/>
  <c r="AC35" i="7"/>
  <c r="N35" i="7" s="1"/>
  <c r="R35" i="7"/>
  <c r="P35" i="7"/>
  <c r="O35" i="7"/>
  <c r="U35" i="7" s="1"/>
  <c r="M35" i="7"/>
  <c r="J35" i="7"/>
  <c r="G35" i="7"/>
  <c r="X34" i="7"/>
  <c r="V34" i="7"/>
  <c r="U34" i="7"/>
  <c r="S34" i="7"/>
  <c r="R34" i="7"/>
  <c r="Q34" i="7"/>
  <c r="P34" i="7"/>
  <c r="O34" i="7"/>
  <c r="N34" i="7"/>
  <c r="T34" i="7" s="1"/>
  <c r="M34" i="7"/>
  <c r="H34" i="7" s="1"/>
  <c r="G34" i="7"/>
  <c r="V33" i="7"/>
  <c r="U33" i="7"/>
  <c r="R33" i="7"/>
  <c r="Q33" i="7"/>
  <c r="P33" i="7"/>
  <c r="O33" i="7"/>
  <c r="X33" i="7" s="1"/>
  <c r="N33" i="7"/>
  <c r="W33" i="7" s="1"/>
  <c r="M33" i="7"/>
  <c r="H33" i="7" s="1"/>
  <c r="G33" i="7"/>
  <c r="X32" i="7"/>
  <c r="V32" i="7"/>
  <c r="U32" i="7"/>
  <c r="S32" i="7"/>
  <c r="R32" i="7"/>
  <c r="Q32" i="7"/>
  <c r="P32" i="7"/>
  <c r="O32" i="7"/>
  <c r="N32" i="7"/>
  <c r="W32" i="7" s="1"/>
  <c r="M32" i="7"/>
  <c r="H32" i="7"/>
  <c r="G32" i="7"/>
  <c r="AQ31" i="7"/>
  <c r="X31" i="7"/>
  <c r="U31" i="7"/>
  <c r="R31" i="7"/>
  <c r="Q31" i="7"/>
  <c r="P31" i="7"/>
  <c r="O31" i="7"/>
  <c r="N31" i="7"/>
  <c r="M31" i="7"/>
  <c r="V31" i="7" s="1"/>
  <c r="J31" i="7"/>
  <c r="T31" i="7" s="1"/>
  <c r="I31" i="7"/>
  <c r="S31" i="7" s="1"/>
  <c r="X30" i="7"/>
  <c r="W30" i="7"/>
  <c r="U30" i="7"/>
  <c r="R30" i="7"/>
  <c r="Q30" i="7"/>
  <c r="P30" i="7"/>
  <c r="O30" i="7"/>
  <c r="N30" i="7"/>
  <c r="M30" i="7"/>
  <c r="V30" i="7" s="1"/>
  <c r="J30" i="7"/>
  <c r="T30" i="7" s="1"/>
  <c r="G30" i="7"/>
  <c r="W29" i="7"/>
  <c r="V29" i="7"/>
  <c r="T29" i="7"/>
  <c r="S29" i="7"/>
  <c r="R29" i="7"/>
  <c r="Q29" i="7"/>
  <c r="P29" i="7"/>
  <c r="O29" i="7"/>
  <c r="U29" i="7" s="1"/>
  <c r="N29" i="7"/>
  <c r="M29" i="7"/>
  <c r="H29" i="7"/>
  <c r="G29" i="7"/>
  <c r="X28" i="7"/>
  <c r="W28" i="7"/>
  <c r="T28" i="7"/>
  <c r="R28" i="7"/>
  <c r="Q28" i="7"/>
  <c r="P28" i="7"/>
  <c r="O28" i="7"/>
  <c r="U28" i="7" s="1"/>
  <c r="N28" i="7"/>
  <c r="M28" i="7"/>
  <c r="S28" i="7" s="1"/>
  <c r="G28" i="7"/>
  <c r="Z27" i="7"/>
  <c r="N27" i="7" s="1"/>
  <c r="V27" i="7"/>
  <c r="S27" i="7"/>
  <c r="R27" i="7"/>
  <c r="Q27" i="7"/>
  <c r="P27" i="7"/>
  <c r="O27" i="7"/>
  <c r="X27" i="7" s="1"/>
  <c r="M27" i="7"/>
  <c r="H27" i="7"/>
  <c r="G27" i="7"/>
  <c r="W26" i="7"/>
  <c r="T26" i="7"/>
  <c r="R26" i="7"/>
  <c r="Q26" i="7"/>
  <c r="P26" i="7"/>
  <c r="O26" i="7"/>
  <c r="X26" i="7" s="1"/>
  <c r="N26" i="7"/>
  <c r="M26" i="7"/>
  <c r="V26" i="7" s="1"/>
  <c r="G26" i="7"/>
  <c r="X25" i="7"/>
  <c r="W25" i="7"/>
  <c r="U25" i="7"/>
  <c r="T25" i="7"/>
  <c r="R25" i="7"/>
  <c r="Q25" i="7"/>
  <c r="P25" i="7"/>
  <c r="O25" i="7"/>
  <c r="N25" i="7"/>
  <c r="M25" i="7"/>
  <c r="V25" i="7" s="1"/>
  <c r="G25" i="7"/>
  <c r="X24" i="7"/>
  <c r="V24" i="7"/>
  <c r="U24" i="7"/>
  <c r="S24" i="7"/>
  <c r="R24" i="7"/>
  <c r="Q24" i="7"/>
  <c r="P24" i="7"/>
  <c r="O24" i="7"/>
  <c r="N24" i="7"/>
  <c r="T24" i="7" s="1"/>
  <c r="M24" i="7"/>
  <c r="G24" i="7"/>
  <c r="AI23" i="7"/>
  <c r="Q23" i="7" s="1"/>
  <c r="AF23" i="7"/>
  <c r="AC23" i="7"/>
  <c r="AC12" i="7" s="1"/>
  <c r="X23" i="7"/>
  <c r="V23" i="7"/>
  <c r="U23" i="7"/>
  <c r="S23" i="7"/>
  <c r="R23" i="7"/>
  <c r="P23" i="7"/>
  <c r="O23" i="7"/>
  <c r="M23" i="7"/>
  <c r="H23" i="7" s="1"/>
  <c r="G23" i="7"/>
  <c r="AF22" i="7"/>
  <c r="Z22" i="7"/>
  <c r="Z12" i="7" s="1"/>
  <c r="X22" i="7"/>
  <c r="V22" i="7"/>
  <c r="U22" i="7"/>
  <c r="S22" i="7"/>
  <c r="R22" i="7"/>
  <c r="Q22" i="7"/>
  <c r="P22" i="7"/>
  <c r="O22" i="7"/>
  <c r="M22" i="7"/>
  <c r="I22" i="7"/>
  <c r="H22" i="7"/>
  <c r="G22" i="7"/>
  <c r="X21" i="7"/>
  <c r="W21" i="7"/>
  <c r="T21" i="7"/>
  <c r="R21" i="7"/>
  <c r="Q21" i="7"/>
  <c r="P21" i="7"/>
  <c r="O21" i="7"/>
  <c r="U21" i="7" s="1"/>
  <c r="N21" i="7"/>
  <c r="M21" i="7"/>
  <c r="S21" i="7" s="1"/>
  <c r="G21" i="7"/>
  <c r="AF20" i="7"/>
  <c r="Q20" i="7" s="1"/>
  <c r="AC20" i="7"/>
  <c r="N20" i="7" s="1"/>
  <c r="X20" i="7"/>
  <c r="R20" i="7"/>
  <c r="P20" i="7"/>
  <c r="O20" i="7"/>
  <c r="U20" i="7" s="1"/>
  <c r="M20" i="7"/>
  <c r="S20" i="7" s="1"/>
  <c r="G20" i="7"/>
  <c r="AL19" i="7"/>
  <c r="Q19" i="7" s="1"/>
  <c r="AF19" i="7"/>
  <c r="N19" i="7" s="1"/>
  <c r="X19" i="7"/>
  <c r="R19" i="7"/>
  <c r="P19" i="7"/>
  <c r="O19" i="7"/>
  <c r="U19" i="7" s="1"/>
  <c r="M19" i="7"/>
  <c r="H19" i="7" s="1"/>
  <c r="I19" i="7"/>
  <c r="S19" i="7" s="1"/>
  <c r="G19" i="7"/>
  <c r="AC18" i="7"/>
  <c r="N18" i="7" s="1"/>
  <c r="X18" i="7"/>
  <c r="R18" i="7"/>
  <c r="Q18" i="7"/>
  <c r="P18" i="7"/>
  <c r="O18" i="7"/>
  <c r="U18" i="7" s="1"/>
  <c r="M18" i="7"/>
  <c r="S18" i="7" s="1"/>
  <c r="G18" i="7"/>
  <c r="X17" i="7"/>
  <c r="V17" i="7"/>
  <c r="U17" i="7"/>
  <c r="R17" i="7"/>
  <c r="Q17" i="7"/>
  <c r="P17" i="7"/>
  <c r="O17" i="7"/>
  <c r="N17" i="7"/>
  <c r="W17" i="7" s="1"/>
  <c r="M17" i="7"/>
  <c r="S17" i="7" s="1"/>
  <c r="J17" i="7"/>
  <c r="T17" i="7" s="1"/>
  <c r="G17" i="7"/>
  <c r="W16" i="7"/>
  <c r="U16" i="7"/>
  <c r="R16" i="7"/>
  <c r="Q16" i="7"/>
  <c r="P16" i="7"/>
  <c r="O16" i="7"/>
  <c r="X16" i="7" s="1"/>
  <c r="N16" i="7"/>
  <c r="M16" i="7"/>
  <c r="V16" i="7" s="1"/>
  <c r="J16" i="7"/>
  <c r="J12" i="7" s="1"/>
  <c r="J3" i="7" s="1"/>
  <c r="G16" i="7"/>
  <c r="AL15" i="7"/>
  <c r="N15" i="7" s="1"/>
  <c r="U15" i="7"/>
  <c r="R15" i="7"/>
  <c r="Q15" i="7"/>
  <c r="P15" i="7"/>
  <c r="O15" i="7"/>
  <c r="X15" i="7" s="1"/>
  <c r="M15" i="7"/>
  <c r="V15" i="7" s="1"/>
  <c r="I15" i="7"/>
  <c r="S15" i="7" s="1"/>
  <c r="X14" i="7"/>
  <c r="V14" i="7"/>
  <c r="U14" i="7"/>
  <c r="T14" i="7"/>
  <c r="S14" i="7"/>
  <c r="R14" i="7"/>
  <c r="Q14" i="7"/>
  <c r="P14" i="7"/>
  <c r="O14" i="7"/>
  <c r="N14" i="7"/>
  <c r="W14" i="7" s="1"/>
  <c r="M14" i="7"/>
  <c r="M12" i="7" s="1"/>
  <c r="H14" i="7"/>
  <c r="G14" i="7"/>
  <c r="W13" i="7"/>
  <c r="V13" i="7"/>
  <c r="T13" i="7"/>
  <c r="S13" i="7"/>
  <c r="R13" i="7"/>
  <c r="Q13" i="7"/>
  <c r="P13" i="7"/>
  <c r="O13" i="7"/>
  <c r="U13" i="7" s="1"/>
  <c r="N13" i="7"/>
  <c r="M13" i="7"/>
  <c r="H13" i="7"/>
  <c r="G13" i="7"/>
  <c r="BK12" i="7"/>
  <c r="R12" i="7" s="1"/>
  <c r="BJ12" i="7"/>
  <c r="BI12" i="7"/>
  <c r="BH12" i="7"/>
  <c r="BG12" i="7"/>
  <c r="BF12" i="7"/>
  <c r="BE12" i="7"/>
  <c r="BE3" i="7" s="1"/>
  <c r="BD12" i="7"/>
  <c r="BC12" i="7"/>
  <c r="BB12" i="7"/>
  <c r="BA12" i="7"/>
  <c r="AZ12" i="7"/>
  <c r="AY12" i="7"/>
  <c r="AX12" i="7"/>
  <c r="AW12" i="7"/>
  <c r="AW3" i="7" s="1"/>
  <c r="AV12" i="7"/>
  <c r="AU12" i="7"/>
  <c r="AT12" i="7"/>
  <c r="AS12" i="7"/>
  <c r="AR12" i="7"/>
  <c r="AQ12" i="7"/>
  <c r="AP12" i="7"/>
  <c r="AO12" i="7"/>
  <c r="AO3" i="7" s="1"/>
  <c r="AN12" i="7"/>
  <c r="AM12" i="7"/>
  <c r="AK12" i="7"/>
  <c r="AJ12" i="7"/>
  <c r="AH12" i="7"/>
  <c r="AG12" i="7"/>
  <c r="AG3" i="7" s="1"/>
  <c r="AE12" i="7"/>
  <c r="AD12" i="7"/>
  <c r="AB12" i="7"/>
  <c r="AA12" i="7"/>
  <c r="Y12" i="7"/>
  <c r="P12" i="7" s="1"/>
  <c r="O12" i="7"/>
  <c r="X12" i="7" s="1"/>
  <c r="L12" i="7"/>
  <c r="K12" i="7"/>
  <c r="I12" i="7"/>
  <c r="G12" i="7"/>
  <c r="F12" i="7"/>
  <c r="E12" i="7"/>
  <c r="X11" i="7"/>
  <c r="W11" i="7"/>
  <c r="U11" i="7"/>
  <c r="T11" i="7"/>
  <c r="S11" i="7"/>
  <c r="R11" i="7"/>
  <c r="Q11" i="7"/>
  <c r="P11" i="7"/>
  <c r="O11" i="7"/>
  <c r="N11" i="7"/>
  <c r="M11" i="7"/>
  <c r="V11" i="7" s="1"/>
  <c r="G11" i="7"/>
  <c r="X10" i="7"/>
  <c r="V10" i="7"/>
  <c r="U10" i="7"/>
  <c r="S10" i="7"/>
  <c r="R10" i="7"/>
  <c r="Q10" i="7"/>
  <c r="P10" i="7"/>
  <c r="O10" i="7"/>
  <c r="N10" i="7"/>
  <c r="T10" i="7" s="1"/>
  <c r="M10" i="7"/>
  <c r="I10" i="7"/>
  <c r="H10" i="7"/>
  <c r="G10" i="7"/>
  <c r="X9" i="7"/>
  <c r="W9" i="7"/>
  <c r="T9" i="7"/>
  <c r="R9" i="7"/>
  <c r="Q9" i="7"/>
  <c r="P9" i="7"/>
  <c r="O9" i="7"/>
  <c r="U9" i="7" s="1"/>
  <c r="N9" i="7"/>
  <c r="M9" i="7"/>
  <c r="S9" i="7" s="1"/>
  <c r="G9" i="7"/>
  <c r="X8" i="7"/>
  <c r="V8" i="7"/>
  <c r="U8" i="7"/>
  <c r="R8" i="7"/>
  <c r="Q8" i="7"/>
  <c r="P8" i="7"/>
  <c r="O8" i="7"/>
  <c r="N8" i="7"/>
  <c r="W8" i="7" s="1"/>
  <c r="M8" i="7"/>
  <c r="H8" i="7" s="1"/>
  <c r="G8" i="7"/>
  <c r="X7" i="7"/>
  <c r="V7" i="7"/>
  <c r="U7" i="7"/>
  <c r="T7" i="7"/>
  <c r="S7" i="7"/>
  <c r="R7" i="7"/>
  <c r="Q7" i="7"/>
  <c r="P7" i="7"/>
  <c r="O7" i="7"/>
  <c r="N7" i="7"/>
  <c r="W7" i="7" s="1"/>
  <c r="M7" i="7"/>
  <c r="H7" i="7"/>
  <c r="G7" i="7"/>
  <c r="W6" i="7"/>
  <c r="V6" i="7"/>
  <c r="T6" i="7"/>
  <c r="S6" i="7"/>
  <c r="R6" i="7"/>
  <c r="Q6" i="7"/>
  <c r="P6" i="7"/>
  <c r="O6" i="7"/>
  <c r="U6" i="7" s="1"/>
  <c r="N6" i="7"/>
  <c r="M6" i="7"/>
  <c r="H6" i="7"/>
  <c r="G6" i="7"/>
  <c r="S5" i="7"/>
  <c r="R5" i="7"/>
  <c r="Q5" i="7"/>
  <c r="P5" i="7"/>
  <c r="O5" i="7"/>
  <c r="N5" i="7"/>
  <c r="M5" i="7"/>
  <c r="M4" i="7" s="1"/>
  <c r="BK4" i="7"/>
  <c r="BJ4" i="7"/>
  <c r="Q4" i="7" s="1"/>
  <c r="BI4" i="7"/>
  <c r="BH4" i="7"/>
  <c r="BG4" i="7"/>
  <c r="BG3" i="7" s="1"/>
  <c r="BF4" i="7"/>
  <c r="BE4" i="7"/>
  <c r="BD4" i="7"/>
  <c r="BC4" i="7"/>
  <c r="BB4" i="7"/>
  <c r="BB3" i="7" s="1"/>
  <c r="BA4" i="7"/>
  <c r="AZ4" i="7"/>
  <c r="AY4" i="7"/>
  <c r="AY3" i="7" s="1"/>
  <c r="AX4" i="7"/>
  <c r="AW4" i="7"/>
  <c r="AV4" i="7"/>
  <c r="AU4" i="7"/>
  <c r="AT4" i="7"/>
  <c r="AT3" i="7" s="1"/>
  <c r="AS4" i="7"/>
  <c r="AR4" i="7"/>
  <c r="AQ4" i="7"/>
  <c r="AQ3" i="7" s="1"/>
  <c r="AP4" i="7"/>
  <c r="AO4" i="7"/>
  <c r="AN4" i="7"/>
  <c r="AM4" i="7"/>
  <c r="AL4" i="7"/>
  <c r="AK4" i="7"/>
  <c r="AJ4" i="7"/>
  <c r="AI4" i="7"/>
  <c r="AH4" i="7"/>
  <c r="AG4" i="7"/>
  <c r="AF4" i="7"/>
  <c r="AE4" i="7"/>
  <c r="AD4" i="7"/>
  <c r="AC4" i="7"/>
  <c r="AB4" i="7"/>
  <c r="AA4" i="7"/>
  <c r="Z4" i="7"/>
  <c r="Y4" i="7"/>
  <c r="X4" i="7"/>
  <c r="P4" i="7"/>
  <c r="O4" i="7"/>
  <c r="N4" i="7"/>
  <c r="L4" i="7"/>
  <c r="J4" i="7"/>
  <c r="I4" i="7"/>
  <c r="F4" i="7"/>
  <c r="F3" i="7" s="1"/>
  <c r="E4" i="7"/>
  <c r="E190" i="7" s="1"/>
  <c r="E195" i="7" s="1"/>
  <c r="G195" i="7" s="1"/>
  <c r="BH3" i="7"/>
  <c r="BD3" i="7"/>
  <c r="AZ3" i="7"/>
  <c r="AV3" i="7"/>
  <c r="AS3" i="7"/>
  <c r="AR3" i="7"/>
  <c r="AN3" i="7"/>
  <c r="AJ3" i="7"/>
  <c r="L3" i="7"/>
  <c r="AZ191" i="6"/>
  <c r="AL191" i="6"/>
  <c r="AH191" i="6"/>
  <c r="AF191" i="6"/>
  <c r="F191" i="6" s="1"/>
  <c r="Z191" i="6"/>
  <c r="E191" i="6"/>
  <c r="X187" i="6"/>
  <c r="V187" i="6"/>
  <c r="U187" i="6"/>
  <c r="S187" i="6"/>
  <c r="R187" i="6"/>
  <c r="Q187" i="6"/>
  <c r="P187" i="6"/>
  <c r="O187" i="6"/>
  <c r="N187" i="6"/>
  <c r="W187" i="6" s="1"/>
  <c r="M187" i="6"/>
  <c r="H187" i="6" s="1"/>
  <c r="G187" i="6"/>
  <c r="X186" i="6"/>
  <c r="V186" i="6"/>
  <c r="U186" i="6"/>
  <c r="T186" i="6"/>
  <c r="S186" i="6"/>
  <c r="R186" i="6"/>
  <c r="Q186" i="6"/>
  <c r="P186" i="6"/>
  <c r="O186" i="6"/>
  <c r="N186" i="6"/>
  <c r="W186" i="6" s="1"/>
  <c r="M186" i="6"/>
  <c r="H186" i="6"/>
  <c r="G186" i="6"/>
  <c r="W185" i="6"/>
  <c r="V185" i="6"/>
  <c r="T185" i="6"/>
  <c r="S185" i="6"/>
  <c r="R185" i="6"/>
  <c r="Q185" i="6"/>
  <c r="P185" i="6"/>
  <c r="O185" i="6"/>
  <c r="U185" i="6" s="1"/>
  <c r="U183" i="6" s="1"/>
  <c r="N185" i="6"/>
  <c r="M185" i="6"/>
  <c r="X184" i="6"/>
  <c r="V184" i="6"/>
  <c r="U184" i="6"/>
  <c r="S184" i="6"/>
  <c r="R184" i="6"/>
  <c r="Q184" i="6"/>
  <c r="P184" i="6"/>
  <c r="O184" i="6"/>
  <c r="N184" i="6"/>
  <c r="N183" i="6" s="1"/>
  <c r="W183" i="6" s="1"/>
  <c r="M184" i="6"/>
  <c r="H184" i="6" s="1"/>
  <c r="G184" i="6"/>
  <c r="BK183" i="6"/>
  <c r="BJ183" i="6"/>
  <c r="BI183" i="6"/>
  <c r="P183" i="6" s="1"/>
  <c r="BH183" i="6"/>
  <c r="BG183" i="6"/>
  <c r="BF183" i="6"/>
  <c r="BE183" i="6"/>
  <c r="BD183" i="6"/>
  <c r="BC183" i="6"/>
  <c r="BB183" i="6"/>
  <c r="BA183" i="6"/>
  <c r="AZ183" i="6"/>
  <c r="AY183" i="6"/>
  <c r="AX183" i="6"/>
  <c r="AW183" i="6"/>
  <c r="AV183" i="6"/>
  <c r="AU183" i="6"/>
  <c r="AT183" i="6"/>
  <c r="AS183" i="6"/>
  <c r="AR183" i="6"/>
  <c r="AQ183" i="6"/>
  <c r="AP183" i="6"/>
  <c r="AO183" i="6"/>
  <c r="AN183" i="6"/>
  <c r="AM183" i="6"/>
  <c r="AL183" i="6"/>
  <c r="AK183" i="6"/>
  <c r="AJ183" i="6"/>
  <c r="AI183" i="6"/>
  <c r="AH183" i="6"/>
  <c r="AG183" i="6"/>
  <c r="AF183" i="6"/>
  <c r="AE183" i="6"/>
  <c r="AD183" i="6"/>
  <c r="AC183" i="6"/>
  <c r="AB183" i="6"/>
  <c r="AA183" i="6"/>
  <c r="R183" i="6" s="1"/>
  <c r="Z183" i="6"/>
  <c r="Q183" i="6" s="1"/>
  <c r="Y183" i="6"/>
  <c r="S183" i="6"/>
  <c r="M183" i="6"/>
  <c r="V183" i="6" s="1"/>
  <c r="L183" i="6"/>
  <c r="K183" i="6"/>
  <c r="J183" i="6"/>
  <c r="I183" i="6"/>
  <c r="F183" i="6"/>
  <c r="E183" i="6"/>
  <c r="G183" i="6" s="1"/>
  <c r="W182" i="6"/>
  <c r="V182" i="6"/>
  <c r="S182" i="6"/>
  <c r="R182" i="6"/>
  <c r="Q182" i="6"/>
  <c r="P182" i="6"/>
  <c r="O182" i="6"/>
  <c r="X182" i="6" s="1"/>
  <c r="N182" i="6"/>
  <c r="T182" i="6" s="1"/>
  <c r="M182" i="6"/>
  <c r="H182" i="6"/>
  <c r="G182" i="6"/>
  <c r="W181" i="6"/>
  <c r="U181" i="6"/>
  <c r="T181" i="6"/>
  <c r="R181" i="6"/>
  <c r="Q181" i="6"/>
  <c r="P181" i="6"/>
  <c r="O181" i="6"/>
  <c r="X181" i="6" s="1"/>
  <c r="N181" i="6"/>
  <c r="M181" i="6"/>
  <c r="V181" i="6" s="1"/>
  <c r="X180" i="6"/>
  <c r="V180" i="6"/>
  <c r="U180" i="6"/>
  <c r="S180" i="6"/>
  <c r="R180" i="6"/>
  <c r="Q180" i="6"/>
  <c r="P180" i="6"/>
  <c r="O180" i="6"/>
  <c r="N180" i="6"/>
  <c r="T180" i="6" s="1"/>
  <c r="M180" i="6"/>
  <c r="W179" i="6"/>
  <c r="U179" i="6"/>
  <c r="T179" i="6"/>
  <c r="R179" i="6"/>
  <c r="Q179" i="6"/>
  <c r="P179" i="6"/>
  <c r="O179" i="6"/>
  <c r="X179" i="6" s="1"/>
  <c r="N179" i="6"/>
  <c r="M179" i="6"/>
  <c r="V179" i="6" s="1"/>
  <c r="X178" i="6"/>
  <c r="V178" i="6"/>
  <c r="U178" i="6"/>
  <c r="S178" i="6"/>
  <c r="R178" i="6"/>
  <c r="Q178" i="6"/>
  <c r="P178" i="6"/>
  <c r="O178" i="6"/>
  <c r="N178" i="6"/>
  <c r="T178" i="6" s="1"/>
  <c r="T176" i="6" s="1"/>
  <c r="M178" i="6"/>
  <c r="H178" i="6" s="1"/>
  <c r="G178" i="6"/>
  <c r="W177" i="6"/>
  <c r="V177" i="6"/>
  <c r="T177" i="6"/>
  <c r="S177" i="6"/>
  <c r="R177" i="6"/>
  <c r="Q177" i="6"/>
  <c r="P177" i="6"/>
  <c r="O177" i="6"/>
  <c r="O176" i="6" s="1"/>
  <c r="X176" i="6" s="1"/>
  <c r="N177" i="6"/>
  <c r="M177" i="6"/>
  <c r="H177" i="6"/>
  <c r="G177" i="6"/>
  <c r="BK176" i="6"/>
  <c r="BJ176" i="6"/>
  <c r="Q176" i="6" s="1"/>
  <c r="BI176" i="6"/>
  <c r="BH176" i="6"/>
  <c r="BG176" i="6"/>
  <c r="BG168" i="6" s="1"/>
  <c r="BF176" i="6"/>
  <c r="BE176" i="6"/>
  <c r="BD176" i="6"/>
  <c r="BC176" i="6"/>
  <c r="BB176" i="6"/>
  <c r="BA176" i="6"/>
  <c r="AZ176" i="6"/>
  <c r="AY176" i="6"/>
  <c r="AY168" i="6" s="1"/>
  <c r="AX176" i="6"/>
  <c r="AW176" i="6"/>
  <c r="AV176" i="6"/>
  <c r="AU176" i="6"/>
  <c r="AT176" i="6"/>
  <c r="AS176" i="6"/>
  <c r="AR176" i="6"/>
  <c r="AQ176" i="6"/>
  <c r="AQ168" i="6" s="1"/>
  <c r="AP176" i="6"/>
  <c r="AO176" i="6"/>
  <c r="AN176" i="6"/>
  <c r="AM176" i="6"/>
  <c r="AL176" i="6"/>
  <c r="AK176" i="6"/>
  <c r="AJ176" i="6"/>
  <c r="AI176" i="6"/>
  <c r="AI168" i="6" s="1"/>
  <c r="AH176" i="6"/>
  <c r="AG176" i="6"/>
  <c r="AF176" i="6"/>
  <c r="AE176" i="6"/>
  <c r="AD176" i="6"/>
  <c r="AC176" i="6"/>
  <c r="AB176" i="6"/>
  <c r="AA176" i="6"/>
  <c r="AA168" i="6" s="1"/>
  <c r="Z176" i="6"/>
  <c r="Y176" i="6"/>
  <c r="P176" i="6" s="1"/>
  <c r="N176" i="6"/>
  <c r="W176" i="6" s="1"/>
  <c r="L176" i="6"/>
  <c r="K176" i="6"/>
  <c r="K168" i="6" s="1"/>
  <c r="J176" i="6"/>
  <c r="I176" i="6"/>
  <c r="G176" i="6" s="1"/>
  <c r="F176" i="6"/>
  <c r="E176" i="6"/>
  <c r="X175" i="6"/>
  <c r="W175" i="6"/>
  <c r="U175" i="6"/>
  <c r="T175" i="6"/>
  <c r="R175" i="6"/>
  <c r="Q175" i="6"/>
  <c r="P175" i="6"/>
  <c r="O175" i="6"/>
  <c r="N175" i="6"/>
  <c r="M175" i="6"/>
  <c r="S175" i="6" s="1"/>
  <c r="G175" i="6"/>
  <c r="X174" i="6"/>
  <c r="V174" i="6"/>
  <c r="U174" i="6"/>
  <c r="S174" i="6"/>
  <c r="R174" i="6"/>
  <c r="Q174" i="6"/>
  <c r="P174" i="6"/>
  <c r="O174" i="6"/>
  <c r="N174" i="6"/>
  <c r="W174" i="6" s="1"/>
  <c r="M174" i="6"/>
  <c r="H174" i="6" s="1"/>
  <c r="G174" i="6"/>
  <c r="X173" i="6"/>
  <c r="V173" i="6"/>
  <c r="U173" i="6"/>
  <c r="T173" i="6"/>
  <c r="S173" i="6"/>
  <c r="R173" i="6"/>
  <c r="Q173" i="6"/>
  <c r="P173" i="6"/>
  <c r="O173" i="6"/>
  <c r="N173" i="6"/>
  <c r="W173" i="6" s="1"/>
  <c r="M173" i="6"/>
  <c r="H173" i="6"/>
  <c r="G173" i="6"/>
  <c r="W172" i="6"/>
  <c r="V172" i="6"/>
  <c r="T172" i="6"/>
  <c r="S172" i="6"/>
  <c r="R172" i="6"/>
  <c r="Q172" i="6"/>
  <c r="P172" i="6"/>
  <c r="O172" i="6"/>
  <c r="U172" i="6" s="1"/>
  <c r="U169" i="6" s="1"/>
  <c r="N172" i="6"/>
  <c r="M172" i="6"/>
  <c r="H172" i="6"/>
  <c r="G172" i="6"/>
  <c r="N171" i="6"/>
  <c r="H171" i="6"/>
  <c r="G171" i="6"/>
  <c r="N170" i="6"/>
  <c r="N169" i="6" s="1"/>
  <c r="H170" i="6"/>
  <c r="G170" i="6"/>
  <c r="BK169" i="6"/>
  <c r="BK168" i="6" s="1"/>
  <c r="BJ169" i="6"/>
  <c r="BJ168" i="6" s="1"/>
  <c r="BI169" i="6"/>
  <c r="P169" i="6" s="1"/>
  <c r="BH169" i="6"/>
  <c r="BH168" i="6" s="1"/>
  <c r="BG169" i="6"/>
  <c r="BF169" i="6"/>
  <c r="BE169" i="6"/>
  <c r="BE168" i="6" s="1"/>
  <c r="BE159" i="6" s="1"/>
  <c r="BD169" i="6"/>
  <c r="BC169" i="6"/>
  <c r="BC168" i="6" s="1"/>
  <c r="BB169" i="6"/>
  <c r="BB168" i="6" s="1"/>
  <c r="BA169" i="6"/>
  <c r="BA168" i="6" s="1"/>
  <c r="AZ169" i="6"/>
  <c r="AZ168" i="6" s="1"/>
  <c r="AY169" i="6"/>
  <c r="AX169" i="6"/>
  <c r="AW169" i="6"/>
  <c r="AW168" i="6" s="1"/>
  <c r="AW159" i="6" s="1"/>
  <c r="AV169" i="6"/>
  <c r="AU169" i="6"/>
  <c r="AU168" i="6" s="1"/>
  <c r="AT169" i="6"/>
  <c r="AT168" i="6" s="1"/>
  <c r="AS169" i="6"/>
  <c r="AS168" i="6" s="1"/>
  <c r="AR169" i="6"/>
  <c r="AR168" i="6" s="1"/>
  <c r="AQ169" i="6"/>
  <c r="AP169" i="6"/>
  <c r="AO169" i="6"/>
  <c r="AO168" i="6" s="1"/>
  <c r="AO159" i="6" s="1"/>
  <c r="AN169" i="6"/>
  <c r="AM169" i="6"/>
  <c r="AM168" i="6" s="1"/>
  <c r="AL169" i="6"/>
  <c r="AL168" i="6" s="1"/>
  <c r="AK169" i="6"/>
  <c r="AK168" i="6" s="1"/>
  <c r="AJ169" i="6"/>
  <c r="AJ168" i="6" s="1"/>
  <c r="AI169" i="6"/>
  <c r="AH169" i="6"/>
  <c r="AG169" i="6"/>
  <c r="AG168" i="6" s="1"/>
  <c r="AG159" i="6" s="1"/>
  <c r="AF169" i="6"/>
  <c r="AE169" i="6"/>
  <c r="AE168" i="6" s="1"/>
  <c r="AD169" i="6"/>
  <c r="AD168" i="6" s="1"/>
  <c r="AC169" i="6"/>
  <c r="AC168" i="6" s="1"/>
  <c r="AB169" i="6"/>
  <c r="AB168" i="6" s="1"/>
  <c r="AA169" i="6"/>
  <c r="Z169" i="6"/>
  <c r="Q169" i="6" s="1"/>
  <c r="Y169" i="6"/>
  <c r="Y168" i="6" s="1"/>
  <c r="Y159" i="6" s="1"/>
  <c r="O169" i="6"/>
  <c r="X169" i="6" s="1"/>
  <c r="M169" i="6"/>
  <c r="H169" i="6" s="1"/>
  <c r="L169" i="6"/>
  <c r="L168" i="6" s="1"/>
  <c r="K169" i="6"/>
  <c r="J169" i="6"/>
  <c r="I169" i="6"/>
  <c r="I168" i="6" s="1"/>
  <c r="F169" i="6"/>
  <c r="F168" i="6" s="1"/>
  <c r="E169" i="6"/>
  <c r="G169" i="6" s="1"/>
  <c r="BF168" i="6"/>
  <c r="BD168" i="6"/>
  <c r="AX168" i="6"/>
  <c r="AV168" i="6"/>
  <c r="AP168" i="6"/>
  <c r="AN168" i="6"/>
  <c r="AH168" i="6"/>
  <c r="AF168" i="6"/>
  <c r="Z168" i="6"/>
  <c r="J168" i="6"/>
  <c r="X167" i="6"/>
  <c r="V167" i="6"/>
  <c r="U167" i="6"/>
  <c r="T167" i="6"/>
  <c r="S167" i="6"/>
  <c r="R167" i="6"/>
  <c r="Q167" i="6"/>
  <c r="P167" i="6"/>
  <c r="O167" i="6"/>
  <c r="N167" i="6"/>
  <c r="W167" i="6" s="1"/>
  <c r="H167" i="6"/>
  <c r="G167" i="6"/>
  <c r="X166" i="6"/>
  <c r="V166" i="6"/>
  <c r="U166" i="6"/>
  <c r="S166" i="6"/>
  <c r="S165" i="6" s="1"/>
  <c r="R166" i="6"/>
  <c r="Q166" i="6"/>
  <c r="P166" i="6"/>
  <c r="O166" i="6"/>
  <c r="N166" i="6"/>
  <c r="T166" i="6" s="1"/>
  <c r="T165" i="6" s="1"/>
  <c r="M166" i="6"/>
  <c r="H166" i="6" s="1"/>
  <c r="G166" i="6"/>
  <c r="BK165" i="6"/>
  <c r="BJ165" i="6"/>
  <c r="Q165" i="6" s="1"/>
  <c r="BI165" i="6"/>
  <c r="BH165" i="6"/>
  <c r="BG165" i="6"/>
  <c r="BF165" i="6"/>
  <c r="BE165" i="6"/>
  <c r="BD165" i="6"/>
  <c r="BC165" i="6"/>
  <c r="BB165" i="6"/>
  <c r="BA165" i="6"/>
  <c r="AZ165" i="6"/>
  <c r="AY165" i="6"/>
  <c r="AX165" i="6"/>
  <c r="AW165" i="6"/>
  <c r="AV165" i="6"/>
  <c r="AU165" i="6"/>
  <c r="AT165" i="6"/>
  <c r="P165" i="6" s="1"/>
  <c r="AS165" i="6"/>
  <c r="AR165" i="6"/>
  <c r="AQ165" i="6"/>
  <c r="AP165" i="6"/>
  <c r="AO165" i="6"/>
  <c r="AN165" i="6"/>
  <c r="AM165" i="6"/>
  <c r="AL165" i="6"/>
  <c r="AK165" i="6"/>
  <c r="AJ165" i="6"/>
  <c r="AI165" i="6"/>
  <c r="AH165" i="6"/>
  <c r="AG165" i="6"/>
  <c r="AF165" i="6"/>
  <c r="AE165" i="6"/>
  <c r="AD165" i="6"/>
  <c r="AC165" i="6"/>
  <c r="AB165" i="6"/>
  <c r="AA165" i="6"/>
  <c r="R165" i="6" s="1"/>
  <c r="Z165" i="6"/>
  <c r="Y165" i="6"/>
  <c r="X165" i="6"/>
  <c r="V165" i="6"/>
  <c r="U165" i="6"/>
  <c r="O165" i="6"/>
  <c r="N165" i="6"/>
  <c r="W165" i="6" s="1"/>
  <c r="M165" i="6"/>
  <c r="L165" i="6"/>
  <c r="K165" i="6"/>
  <c r="J165" i="6"/>
  <c r="I165" i="6"/>
  <c r="H165" i="6"/>
  <c r="F165" i="6"/>
  <c r="E165" i="6"/>
  <c r="G165" i="6" s="1"/>
  <c r="W164" i="6"/>
  <c r="V164" i="6"/>
  <c r="T164" i="6"/>
  <c r="S164" i="6"/>
  <c r="R164" i="6"/>
  <c r="Q164" i="6"/>
  <c r="P164" i="6"/>
  <c r="O164" i="6"/>
  <c r="U164" i="6" s="1"/>
  <c r="U161" i="6" s="1"/>
  <c r="U160" i="6" s="1"/>
  <c r="N164" i="6"/>
  <c r="M164" i="6"/>
  <c r="H164" i="6"/>
  <c r="G164" i="6"/>
  <c r="X163" i="6"/>
  <c r="W163" i="6"/>
  <c r="U163" i="6"/>
  <c r="T163" i="6"/>
  <c r="R163" i="6"/>
  <c r="Q163" i="6"/>
  <c r="P163" i="6"/>
  <c r="O163" i="6"/>
  <c r="O161" i="6" s="1"/>
  <c r="N163" i="6"/>
  <c r="M163" i="6"/>
  <c r="S163" i="6" s="1"/>
  <c r="S161" i="6" s="1"/>
  <c r="G163" i="6"/>
  <c r="X162" i="6"/>
  <c r="V162" i="6"/>
  <c r="U162" i="6"/>
  <c r="S162" i="6"/>
  <c r="R162" i="6"/>
  <c r="Q162" i="6"/>
  <c r="P162" i="6"/>
  <c r="O162" i="6"/>
  <c r="N162" i="6"/>
  <c r="N161" i="6" s="1"/>
  <c r="M162" i="6"/>
  <c r="H162" i="6" s="1"/>
  <c r="G162" i="6"/>
  <c r="BK161" i="6"/>
  <c r="BK160" i="6" s="1"/>
  <c r="BJ161" i="6"/>
  <c r="BI161" i="6"/>
  <c r="BI160" i="6" s="1"/>
  <c r="BH161" i="6"/>
  <c r="BH160" i="6" s="1"/>
  <c r="BH159" i="6" s="1"/>
  <c r="BG161" i="6"/>
  <c r="BG160" i="6" s="1"/>
  <c r="BG159" i="6" s="1"/>
  <c r="BF161" i="6"/>
  <c r="BF160" i="6" s="1"/>
  <c r="BF159" i="6" s="1"/>
  <c r="BE161" i="6"/>
  <c r="BD161" i="6"/>
  <c r="BC161" i="6"/>
  <c r="BC160" i="6" s="1"/>
  <c r="BC159" i="6" s="1"/>
  <c r="BB161" i="6"/>
  <c r="BA161" i="6"/>
  <c r="BA160" i="6" s="1"/>
  <c r="BA159" i="6" s="1"/>
  <c r="AZ161" i="6"/>
  <c r="AZ160" i="6" s="1"/>
  <c r="AZ159" i="6" s="1"/>
  <c r="AY161" i="6"/>
  <c r="AY160" i="6" s="1"/>
  <c r="AY159" i="6" s="1"/>
  <c r="AX161" i="6"/>
  <c r="AX160" i="6" s="1"/>
  <c r="AX159" i="6" s="1"/>
  <c r="AW161" i="6"/>
  <c r="AV161" i="6"/>
  <c r="AU161" i="6"/>
  <c r="AU160" i="6" s="1"/>
  <c r="AU159" i="6" s="1"/>
  <c r="AT161" i="6"/>
  <c r="AS161" i="6"/>
  <c r="AS160" i="6" s="1"/>
  <c r="AS159" i="6" s="1"/>
  <c r="AR161" i="6"/>
  <c r="AR160" i="6" s="1"/>
  <c r="AR159" i="6" s="1"/>
  <c r="AQ161" i="6"/>
  <c r="AQ160" i="6" s="1"/>
  <c r="AQ159" i="6" s="1"/>
  <c r="AP161" i="6"/>
  <c r="AP160" i="6" s="1"/>
  <c r="AP159" i="6" s="1"/>
  <c r="AO161" i="6"/>
  <c r="AN161" i="6"/>
  <c r="AM161" i="6"/>
  <c r="AM160" i="6" s="1"/>
  <c r="AM159" i="6" s="1"/>
  <c r="AL161" i="6"/>
  <c r="AK161" i="6"/>
  <c r="AK160" i="6" s="1"/>
  <c r="AK159" i="6" s="1"/>
  <c r="AJ161" i="6"/>
  <c r="AJ160" i="6" s="1"/>
  <c r="AJ159" i="6" s="1"/>
  <c r="AI161" i="6"/>
  <c r="AI160" i="6" s="1"/>
  <c r="AI159" i="6" s="1"/>
  <c r="AH161" i="6"/>
  <c r="AH160" i="6" s="1"/>
  <c r="AH159" i="6" s="1"/>
  <c r="AG161" i="6"/>
  <c r="AF161" i="6"/>
  <c r="AE161" i="6"/>
  <c r="AE160" i="6" s="1"/>
  <c r="AE159" i="6" s="1"/>
  <c r="AD161" i="6"/>
  <c r="AC161" i="6"/>
  <c r="AC160" i="6" s="1"/>
  <c r="AC159" i="6" s="1"/>
  <c r="AB161" i="6"/>
  <c r="AB160" i="6" s="1"/>
  <c r="AB159" i="6" s="1"/>
  <c r="AA161" i="6"/>
  <c r="R161" i="6" s="1"/>
  <c r="Z161" i="6"/>
  <c r="Q161" i="6" s="1"/>
  <c r="Y161" i="6"/>
  <c r="M161" i="6"/>
  <c r="V161" i="6" s="1"/>
  <c r="L161" i="6"/>
  <c r="L160" i="6" s="1"/>
  <c r="L159" i="6" s="1"/>
  <c r="K161" i="6"/>
  <c r="K160" i="6" s="1"/>
  <c r="J161" i="6"/>
  <c r="J160" i="6" s="1"/>
  <c r="J159" i="6" s="1"/>
  <c r="I161" i="6"/>
  <c r="F161" i="6"/>
  <c r="E161" i="6"/>
  <c r="E160" i="6" s="1"/>
  <c r="BJ160" i="6"/>
  <c r="BE160" i="6"/>
  <c r="BD160" i="6"/>
  <c r="BD159" i="6" s="1"/>
  <c r="BB160" i="6"/>
  <c r="BB159" i="6" s="1"/>
  <c r="AW160" i="6"/>
  <c r="AV160" i="6"/>
  <c r="AV159" i="6" s="1"/>
  <c r="AT160" i="6"/>
  <c r="AT159" i="6" s="1"/>
  <c r="AO160" i="6"/>
  <c r="AN160" i="6"/>
  <c r="AN159" i="6" s="1"/>
  <c r="AL160" i="6"/>
  <c r="AL159" i="6" s="1"/>
  <c r="AG160" i="6"/>
  <c r="AF160" i="6"/>
  <c r="AF159" i="6" s="1"/>
  <c r="AD160" i="6"/>
  <c r="AD159" i="6" s="1"/>
  <c r="Y160" i="6"/>
  <c r="I160" i="6"/>
  <c r="F160" i="6"/>
  <c r="F159" i="6" s="1"/>
  <c r="X158" i="6"/>
  <c r="W158" i="6"/>
  <c r="U158" i="6"/>
  <c r="T158" i="6"/>
  <c r="Q158" i="6"/>
  <c r="P158" i="6"/>
  <c r="N158" i="6"/>
  <c r="M158" i="6"/>
  <c r="V158" i="6" s="1"/>
  <c r="G158" i="6"/>
  <c r="U157" i="6"/>
  <c r="S157" i="6"/>
  <c r="R157" i="6"/>
  <c r="Q157" i="6"/>
  <c r="P157" i="6"/>
  <c r="O157" i="6"/>
  <c r="N157" i="6"/>
  <c r="T157" i="6" s="1"/>
  <c r="M157" i="6"/>
  <c r="W156" i="6"/>
  <c r="V156" i="6"/>
  <c r="T156" i="6"/>
  <c r="S156" i="6"/>
  <c r="R156" i="6"/>
  <c r="Q156" i="6"/>
  <c r="P156" i="6"/>
  <c r="O156" i="6"/>
  <c r="U156" i="6" s="1"/>
  <c r="U154" i="6" s="1"/>
  <c r="N156" i="6"/>
  <c r="N154" i="6" s="1"/>
  <c r="W154" i="6" s="1"/>
  <c r="M156" i="6"/>
  <c r="H156" i="6"/>
  <c r="G156" i="6"/>
  <c r="X155" i="6"/>
  <c r="W155" i="6"/>
  <c r="U155" i="6"/>
  <c r="T155" i="6"/>
  <c r="R155" i="6"/>
  <c r="Q155" i="6"/>
  <c r="P155" i="6"/>
  <c r="O155" i="6"/>
  <c r="N155" i="6"/>
  <c r="M155" i="6"/>
  <c r="S155" i="6" s="1"/>
  <c r="G155" i="6"/>
  <c r="BK154" i="6"/>
  <c r="R154" i="6" s="1"/>
  <c r="BJ154" i="6"/>
  <c r="BI154" i="6"/>
  <c r="P154" i="6" s="1"/>
  <c r="BH154" i="6"/>
  <c r="BG154" i="6"/>
  <c r="BF154" i="6"/>
  <c r="BE154" i="6"/>
  <c r="BD154" i="6"/>
  <c r="BC154" i="6"/>
  <c r="BB154" i="6"/>
  <c r="BA154" i="6"/>
  <c r="AZ154" i="6"/>
  <c r="AY154" i="6"/>
  <c r="AX154" i="6"/>
  <c r="AW154" i="6"/>
  <c r="AV154" i="6"/>
  <c r="AU154" i="6"/>
  <c r="AT154" i="6"/>
  <c r="AS154" i="6"/>
  <c r="AR154" i="6"/>
  <c r="AQ154" i="6"/>
  <c r="AP154" i="6"/>
  <c r="AO154" i="6"/>
  <c r="AN154" i="6"/>
  <c r="AM154" i="6"/>
  <c r="AL154" i="6"/>
  <c r="AK154" i="6"/>
  <c r="AJ154" i="6"/>
  <c r="AI154" i="6"/>
  <c r="AH154" i="6"/>
  <c r="AG154" i="6"/>
  <c r="AF154" i="6"/>
  <c r="AE154" i="6"/>
  <c r="AD154" i="6"/>
  <c r="AC154" i="6"/>
  <c r="AB154" i="6"/>
  <c r="AA154" i="6"/>
  <c r="Z154" i="6"/>
  <c r="Q154" i="6" s="1"/>
  <c r="Y154" i="6"/>
  <c r="O154" i="6"/>
  <c r="X154" i="6" s="1"/>
  <c r="M154" i="6"/>
  <c r="H154" i="6" s="1"/>
  <c r="L154" i="6"/>
  <c r="K154" i="6"/>
  <c r="J154" i="6"/>
  <c r="I154" i="6"/>
  <c r="F154" i="6"/>
  <c r="E154" i="6"/>
  <c r="G154" i="6" s="1"/>
  <c r="X153" i="6"/>
  <c r="V153" i="6"/>
  <c r="U153" i="6"/>
  <c r="S153" i="6"/>
  <c r="R153" i="6"/>
  <c r="Q153" i="6"/>
  <c r="P153" i="6"/>
  <c r="O153" i="6"/>
  <c r="N153" i="6"/>
  <c r="T153" i="6" s="1"/>
  <c r="M153" i="6"/>
  <c r="H153" i="6" s="1"/>
  <c r="G153" i="6"/>
  <c r="W152" i="6"/>
  <c r="V152" i="6"/>
  <c r="T152" i="6"/>
  <c r="T150" i="6" s="1"/>
  <c r="S152" i="6"/>
  <c r="R152" i="6"/>
  <c r="Q152" i="6"/>
  <c r="P152" i="6"/>
  <c r="O152" i="6"/>
  <c r="N152" i="6"/>
  <c r="N150" i="6" s="1"/>
  <c r="W150" i="6" s="1"/>
  <c r="M152" i="6"/>
  <c r="X151" i="6"/>
  <c r="W151" i="6"/>
  <c r="U151" i="6"/>
  <c r="T151" i="6"/>
  <c r="S151" i="6"/>
  <c r="S150" i="6" s="1"/>
  <c r="R151" i="6"/>
  <c r="Q151" i="6"/>
  <c r="P151" i="6"/>
  <c r="O151" i="6"/>
  <c r="N151" i="6"/>
  <c r="M151" i="6"/>
  <c r="V151" i="6" s="1"/>
  <c r="G151" i="6"/>
  <c r="BK150" i="6"/>
  <c r="BJ150" i="6"/>
  <c r="BI150" i="6"/>
  <c r="BH150" i="6"/>
  <c r="BG150" i="6"/>
  <c r="BF150" i="6"/>
  <c r="BE150" i="6"/>
  <c r="BD150" i="6"/>
  <c r="BC150" i="6"/>
  <c r="BB150" i="6"/>
  <c r="BA150" i="6"/>
  <c r="AZ150" i="6"/>
  <c r="AY150" i="6"/>
  <c r="AX150" i="6"/>
  <c r="AW150" i="6"/>
  <c r="AV150" i="6"/>
  <c r="R150" i="6" s="1"/>
  <c r="AU150" i="6"/>
  <c r="AT150" i="6"/>
  <c r="AS150" i="6"/>
  <c r="AR150" i="6"/>
  <c r="AQ150" i="6"/>
  <c r="AP150" i="6"/>
  <c r="AO150" i="6"/>
  <c r="AN150" i="6"/>
  <c r="AM150" i="6"/>
  <c r="AL150" i="6"/>
  <c r="AK150" i="6"/>
  <c r="AJ150" i="6"/>
  <c r="AI150" i="6"/>
  <c r="AH150" i="6"/>
  <c r="P150" i="6" s="1"/>
  <c r="AG150" i="6"/>
  <c r="AF150" i="6"/>
  <c r="AE150" i="6"/>
  <c r="AD150" i="6"/>
  <c r="AC150" i="6"/>
  <c r="AB150" i="6"/>
  <c r="AA150" i="6"/>
  <c r="Z150" i="6"/>
  <c r="Y150" i="6"/>
  <c r="L150" i="6"/>
  <c r="K150" i="6"/>
  <c r="J150" i="6"/>
  <c r="I150" i="6"/>
  <c r="F150" i="6"/>
  <c r="E150" i="6"/>
  <c r="G150" i="6" s="1"/>
  <c r="X149" i="6"/>
  <c r="V149" i="6"/>
  <c r="U149" i="6"/>
  <c r="S149" i="6"/>
  <c r="R149" i="6"/>
  <c r="Q149" i="6"/>
  <c r="P149" i="6"/>
  <c r="O149" i="6"/>
  <c r="N149" i="6"/>
  <c r="W149" i="6" s="1"/>
  <c r="M149" i="6"/>
  <c r="H149" i="6"/>
  <c r="G149" i="6"/>
  <c r="R148" i="6"/>
  <c r="Q148" i="6"/>
  <c r="P148" i="6"/>
  <c r="O148" i="6"/>
  <c r="N148" i="6"/>
  <c r="N145" i="6" s="1"/>
  <c r="W145" i="6" s="1"/>
  <c r="W147" i="6"/>
  <c r="V147" i="6"/>
  <c r="T147" i="6"/>
  <c r="S147" i="6"/>
  <c r="R147" i="6"/>
  <c r="Q147" i="6"/>
  <c r="P147" i="6"/>
  <c r="O147" i="6"/>
  <c r="N147" i="6"/>
  <c r="M147" i="6"/>
  <c r="H147" i="6"/>
  <c r="G147" i="6"/>
  <c r="W146" i="6"/>
  <c r="T146" i="6"/>
  <c r="R146" i="6"/>
  <c r="Q146" i="6"/>
  <c r="P146" i="6"/>
  <c r="O146" i="6"/>
  <c r="U146" i="6" s="1"/>
  <c r="N146" i="6"/>
  <c r="M146" i="6"/>
  <c r="G146" i="6"/>
  <c r="BK145" i="6"/>
  <c r="BJ145" i="6"/>
  <c r="BI145" i="6"/>
  <c r="BH145" i="6"/>
  <c r="BG145" i="6"/>
  <c r="BF145" i="6"/>
  <c r="BE145" i="6"/>
  <c r="BD145" i="6"/>
  <c r="BC145" i="6"/>
  <c r="BB145" i="6"/>
  <c r="BA145" i="6"/>
  <c r="AZ145" i="6"/>
  <c r="AY145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R145" i="6" s="1"/>
  <c r="AI145" i="6"/>
  <c r="AH145" i="6"/>
  <c r="AG145" i="6"/>
  <c r="AF145" i="6"/>
  <c r="AE145" i="6"/>
  <c r="AD145" i="6"/>
  <c r="AC145" i="6"/>
  <c r="AB145" i="6"/>
  <c r="AA145" i="6"/>
  <c r="Z145" i="6"/>
  <c r="Y145" i="6"/>
  <c r="L145" i="6"/>
  <c r="K145" i="6"/>
  <c r="J145" i="6"/>
  <c r="I145" i="6"/>
  <c r="G145" i="6"/>
  <c r="F145" i="6"/>
  <c r="E145" i="6"/>
  <c r="AF144" i="6"/>
  <c r="P144" i="6"/>
  <c r="O144" i="6"/>
  <c r="X143" i="6"/>
  <c r="W143" i="6"/>
  <c r="U143" i="6"/>
  <c r="T143" i="6"/>
  <c r="R143" i="6"/>
  <c r="Q143" i="6"/>
  <c r="P143" i="6"/>
  <c r="O143" i="6"/>
  <c r="N143" i="6"/>
  <c r="M143" i="6"/>
  <c r="S143" i="6" s="1"/>
  <c r="G143" i="6"/>
  <c r="X142" i="6"/>
  <c r="V142" i="6"/>
  <c r="U142" i="6"/>
  <c r="S142" i="6"/>
  <c r="R142" i="6"/>
  <c r="Q142" i="6"/>
  <c r="P142" i="6"/>
  <c r="O142" i="6"/>
  <c r="N142" i="6"/>
  <c r="T142" i="6" s="1"/>
  <c r="M142" i="6"/>
  <c r="H142" i="6" s="1"/>
  <c r="G142" i="6"/>
  <c r="W141" i="6"/>
  <c r="W140" i="6" s="1"/>
  <c r="V141" i="6"/>
  <c r="T141" i="6"/>
  <c r="S141" i="6"/>
  <c r="R141" i="6"/>
  <c r="Q141" i="6"/>
  <c r="P141" i="6"/>
  <c r="O141" i="6"/>
  <c r="N141" i="6"/>
  <c r="M141" i="6"/>
  <c r="H141" i="6"/>
  <c r="G141" i="6"/>
  <c r="BK140" i="6"/>
  <c r="BJ140" i="6"/>
  <c r="BI140" i="6"/>
  <c r="BH140" i="6"/>
  <c r="BG140" i="6"/>
  <c r="BF140" i="6"/>
  <c r="BE140" i="6"/>
  <c r="BD140" i="6"/>
  <c r="BC140" i="6"/>
  <c r="BB140" i="6"/>
  <c r="BA140" i="6"/>
  <c r="AZ140" i="6"/>
  <c r="AY140" i="6"/>
  <c r="AX140" i="6"/>
  <c r="AW140" i="6"/>
  <c r="AV140" i="6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E140" i="6"/>
  <c r="AD140" i="6"/>
  <c r="AC140" i="6"/>
  <c r="AB140" i="6"/>
  <c r="AA140" i="6"/>
  <c r="R140" i="6" s="1"/>
  <c r="Z140" i="6"/>
  <c r="Y140" i="6"/>
  <c r="V140" i="6"/>
  <c r="T140" i="6"/>
  <c r="L140" i="6"/>
  <c r="K140" i="6"/>
  <c r="J140" i="6"/>
  <c r="I140" i="6"/>
  <c r="G140" i="6" s="1"/>
  <c r="F140" i="6"/>
  <c r="E140" i="6"/>
  <c r="X139" i="6"/>
  <c r="W139" i="6"/>
  <c r="U139" i="6"/>
  <c r="T139" i="6"/>
  <c r="R139" i="6"/>
  <c r="Q139" i="6"/>
  <c r="P139" i="6"/>
  <c r="O139" i="6"/>
  <c r="N139" i="6"/>
  <c r="M139" i="6"/>
  <c r="G139" i="6"/>
  <c r="X138" i="6"/>
  <c r="V138" i="6"/>
  <c r="U138" i="6"/>
  <c r="S138" i="6"/>
  <c r="R138" i="6"/>
  <c r="Q138" i="6"/>
  <c r="P138" i="6"/>
  <c r="O138" i="6"/>
  <c r="N138" i="6"/>
  <c r="M138" i="6"/>
  <c r="H138" i="6" s="1"/>
  <c r="G138" i="6"/>
  <c r="AI137" i="6"/>
  <c r="Q137" i="6" s="1"/>
  <c r="AF137" i="6"/>
  <c r="X137" i="6"/>
  <c r="X136" i="6" s="1"/>
  <c r="U137" i="6"/>
  <c r="S137" i="6"/>
  <c r="R137" i="6"/>
  <c r="P137" i="6"/>
  <c r="O137" i="6"/>
  <c r="N137" i="6"/>
  <c r="M137" i="6"/>
  <c r="H137" i="6" s="1"/>
  <c r="G137" i="6"/>
  <c r="BK136" i="6"/>
  <c r="BJ136" i="6"/>
  <c r="BI136" i="6"/>
  <c r="BH136" i="6"/>
  <c r="BG136" i="6"/>
  <c r="BF136" i="6"/>
  <c r="BE136" i="6"/>
  <c r="BD136" i="6"/>
  <c r="BC136" i="6"/>
  <c r="BB136" i="6"/>
  <c r="BA136" i="6"/>
  <c r="AZ136" i="6"/>
  <c r="AY136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F136" i="6"/>
  <c r="AE136" i="6"/>
  <c r="AD136" i="6"/>
  <c r="AC136" i="6"/>
  <c r="AB136" i="6"/>
  <c r="AA136" i="6"/>
  <c r="R136" i="6" s="1"/>
  <c r="R119" i="6" s="1"/>
  <c r="Z136" i="6"/>
  <c r="Y136" i="6"/>
  <c r="U136" i="6"/>
  <c r="P136" i="6"/>
  <c r="O136" i="6"/>
  <c r="L136" i="6"/>
  <c r="K136" i="6"/>
  <c r="J136" i="6"/>
  <c r="I136" i="6"/>
  <c r="F136" i="6"/>
  <c r="E136" i="6"/>
  <c r="G136" i="6" s="1"/>
  <c r="V135" i="6"/>
  <c r="S135" i="6"/>
  <c r="R135" i="6"/>
  <c r="Q135" i="6"/>
  <c r="P135" i="6"/>
  <c r="O135" i="6"/>
  <c r="N135" i="6"/>
  <c r="W135" i="6" s="1"/>
  <c r="M135" i="6"/>
  <c r="H135" i="6"/>
  <c r="G135" i="6"/>
  <c r="W134" i="6"/>
  <c r="T134" i="6"/>
  <c r="R134" i="6"/>
  <c r="Q134" i="6"/>
  <c r="P134" i="6"/>
  <c r="O134" i="6"/>
  <c r="X134" i="6" s="1"/>
  <c r="N134" i="6"/>
  <c r="M134" i="6"/>
  <c r="H134" i="6" s="1"/>
  <c r="G134" i="6"/>
  <c r="W133" i="6"/>
  <c r="U133" i="6"/>
  <c r="T133" i="6"/>
  <c r="R133" i="6"/>
  <c r="Q133" i="6"/>
  <c r="P133" i="6"/>
  <c r="O133" i="6"/>
  <c r="X133" i="6" s="1"/>
  <c r="N133" i="6"/>
  <c r="M133" i="6"/>
  <c r="S133" i="6" s="1"/>
  <c r="G133" i="6"/>
  <c r="X132" i="6"/>
  <c r="U132" i="6"/>
  <c r="R132" i="6"/>
  <c r="Q132" i="6"/>
  <c r="P132" i="6"/>
  <c r="O132" i="6"/>
  <c r="N132" i="6"/>
  <c r="M132" i="6"/>
  <c r="S132" i="6" s="1"/>
  <c r="G132" i="6"/>
  <c r="V131" i="6"/>
  <c r="S131" i="6"/>
  <c r="R131" i="6"/>
  <c r="Q131" i="6"/>
  <c r="P131" i="6"/>
  <c r="O131" i="6"/>
  <c r="N131" i="6"/>
  <c r="N130" i="6" s="1"/>
  <c r="M131" i="6"/>
  <c r="H131" i="6"/>
  <c r="G131" i="6"/>
  <c r="BK130" i="6"/>
  <c r="BJ130" i="6"/>
  <c r="BI130" i="6"/>
  <c r="BH130" i="6"/>
  <c r="BG130" i="6"/>
  <c r="BF130" i="6"/>
  <c r="BE130" i="6"/>
  <c r="BD130" i="6"/>
  <c r="BC130" i="6"/>
  <c r="BB130" i="6"/>
  <c r="BA130" i="6"/>
  <c r="AZ130" i="6"/>
  <c r="AY130" i="6"/>
  <c r="AY119" i="6" s="1"/>
  <c r="AY96" i="6" s="1"/>
  <c r="AX130" i="6"/>
  <c r="AW130" i="6"/>
  <c r="AV130" i="6"/>
  <c r="AU130" i="6"/>
  <c r="AT130" i="6"/>
  <c r="AS130" i="6"/>
  <c r="AR130" i="6"/>
  <c r="AQ130" i="6"/>
  <c r="AQ119" i="6" s="1"/>
  <c r="AQ96" i="6" s="1"/>
  <c r="AP130" i="6"/>
  <c r="AO130" i="6"/>
  <c r="AN130" i="6"/>
  <c r="AM130" i="6"/>
  <c r="AL130" i="6"/>
  <c r="AK130" i="6"/>
  <c r="AJ130" i="6"/>
  <c r="AI130" i="6"/>
  <c r="AI119" i="6" s="1"/>
  <c r="AI96" i="6" s="1"/>
  <c r="AH130" i="6"/>
  <c r="AG130" i="6"/>
  <c r="AF130" i="6"/>
  <c r="Q130" i="6" s="1"/>
  <c r="AE130" i="6"/>
  <c r="AD130" i="6"/>
  <c r="AC130" i="6"/>
  <c r="AB130" i="6"/>
  <c r="AA130" i="6"/>
  <c r="R130" i="6" s="1"/>
  <c r="Z130" i="6"/>
  <c r="Y130" i="6"/>
  <c r="V130" i="6"/>
  <c r="P130" i="6"/>
  <c r="L130" i="6"/>
  <c r="K130" i="6"/>
  <c r="J130" i="6"/>
  <c r="I130" i="6"/>
  <c r="G130" i="6" s="1"/>
  <c r="F130" i="6"/>
  <c r="E130" i="6"/>
  <c r="W129" i="6"/>
  <c r="T129" i="6"/>
  <c r="R129" i="6"/>
  <c r="Q129" i="6"/>
  <c r="P129" i="6"/>
  <c r="O129" i="6"/>
  <c r="X129" i="6" s="1"/>
  <c r="N129" i="6"/>
  <c r="M129" i="6"/>
  <c r="H129" i="6"/>
  <c r="G129" i="6"/>
  <c r="AI128" i="6"/>
  <c r="N128" i="6" s="1"/>
  <c r="AC128" i="6"/>
  <c r="T128" i="6"/>
  <c r="R128" i="6"/>
  <c r="Q128" i="6"/>
  <c r="P128" i="6"/>
  <c r="O128" i="6"/>
  <c r="U128" i="6" s="1"/>
  <c r="M128" i="6"/>
  <c r="S128" i="6" s="1"/>
  <c r="X127" i="6"/>
  <c r="U127" i="6"/>
  <c r="R127" i="6"/>
  <c r="Q127" i="6"/>
  <c r="P127" i="6"/>
  <c r="O127" i="6"/>
  <c r="N127" i="6"/>
  <c r="M127" i="6"/>
  <c r="H127" i="6" s="1"/>
  <c r="G127" i="6"/>
  <c r="V126" i="6"/>
  <c r="T126" i="6"/>
  <c r="S126" i="6"/>
  <c r="R126" i="6"/>
  <c r="Q126" i="6"/>
  <c r="P126" i="6"/>
  <c r="O126" i="6"/>
  <c r="N126" i="6"/>
  <c r="W126" i="6" s="1"/>
  <c r="M126" i="6"/>
  <c r="H126" i="6"/>
  <c r="G126" i="6"/>
  <c r="U125" i="6"/>
  <c r="R125" i="6"/>
  <c r="Q125" i="6"/>
  <c r="P125" i="6"/>
  <c r="O125" i="6"/>
  <c r="X125" i="6" s="1"/>
  <c r="N125" i="6"/>
  <c r="M125" i="6"/>
  <c r="J125" i="6"/>
  <c r="W125" i="6" s="1"/>
  <c r="G125" i="6"/>
  <c r="X124" i="6"/>
  <c r="V124" i="6"/>
  <c r="U124" i="6"/>
  <c r="T124" i="6"/>
  <c r="S124" i="6"/>
  <c r="R124" i="6"/>
  <c r="Q124" i="6"/>
  <c r="P124" i="6"/>
  <c r="O124" i="6"/>
  <c r="N124" i="6"/>
  <c r="W124" i="6" s="1"/>
  <c r="M124" i="6"/>
  <c r="H124" i="6"/>
  <c r="G124" i="6"/>
  <c r="V123" i="6"/>
  <c r="T123" i="6"/>
  <c r="S123" i="6"/>
  <c r="R123" i="6"/>
  <c r="Q123" i="6"/>
  <c r="P123" i="6"/>
  <c r="O123" i="6"/>
  <c r="N123" i="6"/>
  <c r="W123" i="6" s="1"/>
  <c r="M123" i="6"/>
  <c r="H123" i="6"/>
  <c r="G123" i="6"/>
  <c r="W122" i="6"/>
  <c r="T122" i="6"/>
  <c r="R122" i="6"/>
  <c r="Q122" i="6"/>
  <c r="P122" i="6"/>
  <c r="O122" i="6"/>
  <c r="X122" i="6" s="1"/>
  <c r="N122" i="6"/>
  <c r="M122" i="6"/>
  <c r="H122" i="6"/>
  <c r="G122" i="6"/>
  <c r="U121" i="6"/>
  <c r="R121" i="6"/>
  <c r="Q121" i="6"/>
  <c r="P121" i="6"/>
  <c r="O121" i="6"/>
  <c r="X121" i="6" s="1"/>
  <c r="N121" i="6"/>
  <c r="T121" i="6" s="1"/>
  <c r="M121" i="6"/>
  <c r="H121" i="6" s="1"/>
  <c r="G121" i="6"/>
  <c r="BK120" i="6"/>
  <c r="BJ120" i="6"/>
  <c r="BI120" i="6"/>
  <c r="BI119" i="6" s="1"/>
  <c r="BI96" i="6" s="1"/>
  <c r="BH120" i="6"/>
  <c r="BH119" i="6" s="1"/>
  <c r="BG120" i="6"/>
  <c r="BF120" i="6"/>
  <c r="BF119" i="6" s="1"/>
  <c r="BE120" i="6"/>
  <c r="BD120" i="6"/>
  <c r="BD119" i="6" s="1"/>
  <c r="BC120" i="6"/>
  <c r="BB120" i="6"/>
  <c r="BA120" i="6"/>
  <c r="BA119" i="6" s="1"/>
  <c r="BA96" i="6" s="1"/>
  <c r="BA3" i="6" s="1"/>
  <c r="AZ120" i="6"/>
  <c r="AZ119" i="6" s="1"/>
  <c r="AY120" i="6"/>
  <c r="AX120" i="6"/>
  <c r="AW120" i="6"/>
  <c r="AV120" i="6"/>
  <c r="AU120" i="6"/>
  <c r="AT120" i="6"/>
  <c r="AS120" i="6"/>
  <c r="AR120" i="6"/>
  <c r="AQ120" i="6"/>
  <c r="AP120" i="6"/>
  <c r="AO120" i="6"/>
  <c r="AN120" i="6"/>
  <c r="AM120" i="6"/>
  <c r="AL120" i="6"/>
  <c r="AK120" i="6"/>
  <c r="AJ120" i="6"/>
  <c r="AI120" i="6"/>
  <c r="AH120" i="6"/>
  <c r="AG120" i="6"/>
  <c r="AF120" i="6"/>
  <c r="AE120" i="6"/>
  <c r="AD120" i="6"/>
  <c r="AC120" i="6"/>
  <c r="AB120" i="6"/>
  <c r="AA120" i="6"/>
  <c r="Z120" i="6"/>
  <c r="Y120" i="6"/>
  <c r="R120" i="6"/>
  <c r="O120" i="6"/>
  <c r="M120" i="6"/>
  <c r="V120" i="6" s="1"/>
  <c r="L120" i="6"/>
  <c r="K120" i="6"/>
  <c r="K119" i="6" s="1"/>
  <c r="K96" i="6" s="1"/>
  <c r="I120" i="6"/>
  <c r="G120" i="6"/>
  <c r="G119" i="6" s="1"/>
  <c r="F120" i="6"/>
  <c r="E120" i="6"/>
  <c r="BK119" i="6"/>
  <c r="BJ119" i="6"/>
  <c r="BG119" i="6"/>
  <c r="BE119" i="6"/>
  <c r="BC119" i="6"/>
  <c r="BB119" i="6"/>
  <c r="AX119" i="6"/>
  <c r="AW119" i="6"/>
  <c r="AV119" i="6"/>
  <c r="AU119" i="6"/>
  <c r="AT119" i="6"/>
  <c r="AS119" i="6"/>
  <c r="AR119" i="6"/>
  <c r="AP119" i="6"/>
  <c r="AO119" i="6"/>
  <c r="AN119" i="6"/>
  <c r="AM119" i="6"/>
  <c r="AL119" i="6"/>
  <c r="AK119" i="6"/>
  <c r="AJ119" i="6"/>
  <c r="AH119" i="6"/>
  <c r="AG119" i="6"/>
  <c r="AE119" i="6"/>
  <c r="AD119" i="6"/>
  <c r="AC119" i="6"/>
  <c r="AB119" i="6"/>
  <c r="Z119" i="6"/>
  <c r="Y119" i="6"/>
  <c r="L119" i="6"/>
  <c r="I119" i="6"/>
  <c r="F119" i="6"/>
  <c r="E119" i="6"/>
  <c r="X118" i="6"/>
  <c r="V118" i="6"/>
  <c r="U118" i="6"/>
  <c r="R118" i="6"/>
  <c r="Q118" i="6"/>
  <c r="P118" i="6"/>
  <c r="O118" i="6"/>
  <c r="N118" i="6"/>
  <c r="W118" i="6" s="1"/>
  <c r="M118" i="6"/>
  <c r="S118" i="6" s="1"/>
  <c r="H118" i="6"/>
  <c r="G118" i="6"/>
  <c r="U117" i="6"/>
  <c r="R117" i="6"/>
  <c r="Q117" i="6"/>
  <c r="P117" i="6"/>
  <c r="O117" i="6"/>
  <c r="N117" i="6"/>
  <c r="T117" i="6" s="1"/>
  <c r="M117" i="6"/>
  <c r="V117" i="6" s="1"/>
  <c r="X116" i="6"/>
  <c r="V116" i="6"/>
  <c r="U116" i="6"/>
  <c r="R116" i="6"/>
  <c r="Q116" i="6"/>
  <c r="P116" i="6"/>
  <c r="O116" i="6"/>
  <c r="N116" i="6"/>
  <c r="W116" i="6" s="1"/>
  <c r="M116" i="6"/>
  <c r="S116" i="6" s="1"/>
  <c r="H116" i="6"/>
  <c r="G116" i="6"/>
  <c r="W115" i="6"/>
  <c r="V115" i="6"/>
  <c r="T115" i="6"/>
  <c r="S115" i="6"/>
  <c r="R115" i="6"/>
  <c r="Q115" i="6"/>
  <c r="P115" i="6"/>
  <c r="O115" i="6"/>
  <c r="X115" i="6" s="1"/>
  <c r="N115" i="6"/>
  <c r="N114" i="6" s="1"/>
  <c r="W114" i="6" s="1"/>
  <c r="M115" i="6"/>
  <c r="H115" i="6"/>
  <c r="G115" i="6"/>
  <c r="BK114" i="6"/>
  <c r="R114" i="6" s="1"/>
  <c r="BJ114" i="6"/>
  <c r="BI114" i="6"/>
  <c r="P114" i="6" s="1"/>
  <c r="BH114" i="6"/>
  <c r="BG114" i="6"/>
  <c r="BF114" i="6"/>
  <c r="BE114" i="6"/>
  <c r="BD114" i="6"/>
  <c r="BC114" i="6"/>
  <c r="BB114" i="6"/>
  <c r="BA114" i="6"/>
  <c r="AZ114" i="6"/>
  <c r="AY114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Q114" i="6"/>
  <c r="O114" i="6"/>
  <c r="X114" i="6" s="1"/>
  <c r="M114" i="6"/>
  <c r="V114" i="6" s="1"/>
  <c r="L114" i="6"/>
  <c r="J114" i="6"/>
  <c r="I114" i="6"/>
  <c r="H114" i="6"/>
  <c r="G114" i="6"/>
  <c r="F114" i="6"/>
  <c r="E114" i="6"/>
  <c r="W113" i="6"/>
  <c r="V113" i="6"/>
  <c r="T113" i="6"/>
  <c r="S113" i="6"/>
  <c r="R113" i="6"/>
  <c r="Q113" i="6"/>
  <c r="P113" i="6"/>
  <c r="O113" i="6"/>
  <c r="X113" i="6" s="1"/>
  <c r="N113" i="6"/>
  <c r="M113" i="6"/>
  <c r="H113" i="6"/>
  <c r="G113" i="6"/>
  <c r="X112" i="6"/>
  <c r="U112" i="6"/>
  <c r="R112" i="6"/>
  <c r="Q112" i="6"/>
  <c r="P112" i="6"/>
  <c r="O112" i="6"/>
  <c r="N112" i="6"/>
  <c r="W112" i="6" s="1"/>
  <c r="M112" i="6"/>
  <c r="V112" i="6" s="1"/>
  <c r="G112" i="6"/>
  <c r="X111" i="6"/>
  <c r="V111" i="6"/>
  <c r="S111" i="6"/>
  <c r="R111" i="6"/>
  <c r="Q111" i="6"/>
  <c r="P111" i="6"/>
  <c r="O111" i="6"/>
  <c r="U111" i="6" s="1"/>
  <c r="N111" i="6"/>
  <c r="T111" i="6" s="1"/>
  <c r="M111" i="6"/>
  <c r="H111" i="6"/>
  <c r="G111" i="6"/>
  <c r="X110" i="6"/>
  <c r="V110" i="6"/>
  <c r="U110" i="6"/>
  <c r="R110" i="6"/>
  <c r="Q110" i="6"/>
  <c r="P110" i="6"/>
  <c r="O110" i="6"/>
  <c r="N110" i="6"/>
  <c r="W110" i="6" s="1"/>
  <c r="M110" i="6"/>
  <c r="S110" i="6" s="1"/>
  <c r="H110" i="6"/>
  <c r="G110" i="6"/>
  <c r="W109" i="6"/>
  <c r="V109" i="6"/>
  <c r="T109" i="6"/>
  <c r="S109" i="6"/>
  <c r="R109" i="6"/>
  <c r="Q109" i="6"/>
  <c r="P109" i="6"/>
  <c r="O109" i="6"/>
  <c r="X109" i="6" s="1"/>
  <c r="N109" i="6"/>
  <c r="M109" i="6"/>
  <c r="H109" i="6"/>
  <c r="G109" i="6"/>
  <c r="X108" i="6"/>
  <c r="U108" i="6"/>
  <c r="R108" i="6"/>
  <c r="Q108" i="6"/>
  <c r="P108" i="6"/>
  <c r="O108" i="6"/>
  <c r="N108" i="6"/>
  <c r="W108" i="6" s="1"/>
  <c r="M108" i="6"/>
  <c r="V108" i="6" s="1"/>
  <c r="G108" i="6"/>
  <c r="X107" i="6"/>
  <c r="V107" i="6"/>
  <c r="S107" i="6"/>
  <c r="R107" i="6"/>
  <c r="Q107" i="6"/>
  <c r="P107" i="6"/>
  <c r="O107" i="6"/>
  <c r="U107" i="6" s="1"/>
  <c r="N107" i="6"/>
  <c r="T107" i="6" s="1"/>
  <c r="M107" i="6"/>
  <c r="H107" i="6"/>
  <c r="G107" i="6"/>
  <c r="X106" i="6"/>
  <c r="V106" i="6"/>
  <c r="U106" i="6"/>
  <c r="R106" i="6"/>
  <c r="Q106" i="6"/>
  <c r="P106" i="6"/>
  <c r="O106" i="6"/>
  <c r="N106" i="6"/>
  <c r="N97" i="6" s="1"/>
  <c r="M106" i="6"/>
  <c r="S106" i="6" s="1"/>
  <c r="H106" i="6"/>
  <c r="G106" i="6"/>
  <c r="V105" i="6"/>
  <c r="T105" i="6"/>
  <c r="S105" i="6"/>
  <c r="R105" i="6"/>
  <c r="Q105" i="6"/>
  <c r="P105" i="6"/>
  <c r="O105" i="6"/>
  <c r="X105" i="6" s="1"/>
  <c r="N105" i="6"/>
  <c r="W105" i="6" s="1"/>
  <c r="M105" i="6"/>
  <c r="H105" i="6"/>
  <c r="G105" i="6"/>
  <c r="X104" i="6"/>
  <c r="U104" i="6"/>
  <c r="T104" i="6"/>
  <c r="R104" i="6"/>
  <c r="Q104" i="6"/>
  <c r="P104" i="6"/>
  <c r="O104" i="6"/>
  <c r="N104" i="6"/>
  <c r="W104" i="6" s="1"/>
  <c r="M104" i="6"/>
  <c r="V104" i="6" s="1"/>
  <c r="H104" i="6"/>
  <c r="G104" i="6"/>
  <c r="W103" i="6"/>
  <c r="R103" i="6"/>
  <c r="Q103" i="6"/>
  <c r="P103" i="6"/>
  <c r="O103" i="6"/>
  <c r="U103" i="6" s="1"/>
  <c r="N103" i="6"/>
  <c r="T103" i="6" s="1"/>
  <c r="M103" i="6"/>
  <c r="H103" i="6" s="1"/>
  <c r="G103" i="6"/>
  <c r="W102" i="6"/>
  <c r="U102" i="6"/>
  <c r="T102" i="6"/>
  <c r="R102" i="6"/>
  <c r="Q102" i="6"/>
  <c r="P102" i="6"/>
  <c r="O102" i="6"/>
  <c r="X102" i="6" s="1"/>
  <c r="N102" i="6"/>
  <c r="M102" i="6"/>
  <c r="V102" i="6" s="1"/>
  <c r="G102" i="6"/>
  <c r="U101" i="6"/>
  <c r="S101" i="6"/>
  <c r="R101" i="6"/>
  <c r="Q101" i="6"/>
  <c r="P101" i="6"/>
  <c r="O101" i="6"/>
  <c r="X101" i="6" s="1"/>
  <c r="N101" i="6"/>
  <c r="W101" i="6" s="1"/>
  <c r="M101" i="6"/>
  <c r="V101" i="6" s="1"/>
  <c r="G101" i="6"/>
  <c r="W100" i="6"/>
  <c r="T100" i="6"/>
  <c r="S100" i="6"/>
  <c r="R100" i="6"/>
  <c r="Q100" i="6"/>
  <c r="P100" i="6"/>
  <c r="O100" i="6"/>
  <c r="U100" i="6" s="1"/>
  <c r="N100" i="6"/>
  <c r="M100" i="6"/>
  <c r="V100" i="6" s="1"/>
  <c r="H100" i="6"/>
  <c r="G100" i="6"/>
  <c r="W99" i="6"/>
  <c r="R99" i="6"/>
  <c r="Q99" i="6"/>
  <c r="P99" i="6"/>
  <c r="O99" i="6"/>
  <c r="X99" i="6" s="1"/>
  <c r="N99" i="6"/>
  <c r="T99" i="6" s="1"/>
  <c r="M99" i="6"/>
  <c r="H99" i="6" s="1"/>
  <c r="G99" i="6"/>
  <c r="W98" i="6"/>
  <c r="U98" i="6"/>
  <c r="T98" i="6"/>
  <c r="R98" i="6"/>
  <c r="Q98" i="6"/>
  <c r="P98" i="6"/>
  <c r="O98" i="6"/>
  <c r="O97" i="6" s="1"/>
  <c r="N98" i="6"/>
  <c r="M98" i="6"/>
  <c r="M97" i="6" s="1"/>
  <c r="G98" i="6"/>
  <c r="BK97" i="6"/>
  <c r="BJ97" i="6"/>
  <c r="BJ96" i="6" s="1"/>
  <c r="BI97" i="6"/>
  <c r="BH97" i="6"/>
  <c r="BH96" i="6" s="1"/>
  <c r="BG97" i="6"/>
  <c r="BF97" i="6"/>
  <c r="BF96" i="6" s="1"/>
  <c r="BE97" i="6"/>
  <c r="BD97" i="6"/>
  <c r="BD96" i="6" s="1"/>
  <c r="BC97" i="6"/>
  <c r="BB97" i="6"/>
  <c r="BB96" i="6" s="1"/>
  <c r="BA97" i="6"/>
  <c r="AZ97" i="6"/>
  <c r="AZ96" i="6" s="1"/>
  <c r="AY97" i="6"/>
  <c r="AX97" i="6"/>
  <c r="AX96" i="6" s="1"/>
  <c r="AW97" i="6"/>
  <c r="AV97" i="6"/>
  <c r="AV96" i="6" s="1"/>
  <c r="AU97" i="6"/>
  <c r="AT97" i="6"/>
  <c r="AT96" i="6" s="1"/>
  <c r="AS97" i="6"/>
  <c r="AR97" i="6"/>
  <c r="AR96" i="6" s="1"/>
  <c r="AQ97" i="6"/>
  <c r="AP97" i="6"/>
  <c r="AP96" i="6" s="1"/>
  <c r="AO97" i="6"/>
  <c r="AN97" i="6"/>
  <c r="AN96" i="6" s="1"/>
  <c r="AM97" i="6"/>
  <c r="AL97" i="6"/>
  <c r="AL96" i="6" s="1"/>
  <c r="AK97" i="6"/>
  <c r="AJ97" i="6"/>
  <c r="AJ96" i="6" s="1"/>
  <c r="AI97" i="6"/>
  <c r="AH97" i="6"/>
  <c r="AH96" i="6" s="1"/>
  <c r="AG97" i="6"/>
  <c r="AF97" i="6"/>
  <c r="AE97" i="6"/>
  <c r="AD97" i="6"/>
  <c r="AD96" i="6" s="1"/>
  <c r="AC97" i="6"/>
  <c r="AB97" i="6"/>
  <c r="AB96" i="6" s="1"/>
  <c r="AA97" i="6"/>
  <c r="Z97" i="6"/>
  <c r="Z96" i="6" s="1"/>
  <c r="Y97" i="6"/>
  <c r="R97" i="6"/>
  <c r="L97" i="6"/>
  <c r="L96" i="6" s="1"/>
  <c r="K97" i="6"/>
  <c r="J97" i="6"/>
  <c r="I97" i="6"/>
  <c r="G97" i="6" s="1"/>
  <c r="F97" i="6"/>
  <c r="F96" i="6" s="1"/>
  <c r="E97" i="6"/>
  <c r="BK96" i="6"/>
  <c r="BG96" i="6"/>
  <c r="BE96" i="6"/>
  <c r="BC96" i="6"/>
  <c r="AW96" i="6"/>
  <c r="AU96" i="6"/>
  <c r="AS96" i="6"/>
  <c r="AO96" i="6"/>
  <c r="AM96" i="6"/>
  <c r="AK96" i="6"/>
  <c r="AG96" i="6"/>
  <c r="AE96" i="6"/>
  <c r="AC96" i="6"/>
  <c r="Y96" i="6"/>
  <c r="I96" i="6"/>
  <c r="E96" i="6"/>
  <c r="G96" i="6" s="1"/>
  <c r="W95" i="6"/>
  <c r="T95" i="6"/>
  <c r="S95" i="6"/>
  <c r="R95" i="6"/>
  <c r="Q95" i="6"/>
  <c r="P95" i="6"/>
  <c r="O95" i="6"/>
  <c r="U95" i="6" s="1"/>
  <c r="N95" i="6"/>
  <c r="M95" i="6"/>
  <c r="V95" i="6" s="1"/>
  <c r="G95" i="6"/>
  <c r="W94" i="6"/>
  <c r="R94" i="6"/>
  <c r="Q94" i="6"/>
  <c r="P94" i="6"/>
  <c r="O94" i="6"/>
  <c r="X94" i="6" s="1"/>
  <c r="N94" i="6"/>
  <c r="T94" i="6" s="1"/>
  <c r="M94" i="6"/>
  <c r="H94" i="6" s="1"/>
  <c r="G94" i="6"/>
  <c r="Q93" i="6"/>
  <c r="P93" i="6"/>
  <c r="I93" i="6"/>
  <c r="Q92" i="6"/>
  <c r="P92" i="6"/>
  <c r="X91" i="6"/>
  <c r="U91" i="6"/>
  <c r="T91" i="6"/>
  <c r="R91" i="6"/>
  <c r="Q91" i="6"/>
  <c r="P91" i="6"/>
  <c r="O91" i="6"/>
  <c r="N91" i="6"/>
  <c r="W91" i="6" s="1"/>
  <c r="M91" i="6"/>
  <c r="M89" i="6" s="1"/>
  <c r="I91" i="6"/>
  <c r="S91" i="6" s="1"/>
  <c r="G91" i="6"/>
  <c r="BK89" i="6"/>
  <c r="BJ89" i="6"/>
  <c r="Q89" i="6" s="1"/>
  <c r="BI89" i="6"/>
  <c r="BH89" i="6"/>
  <c r="BG89" i="6"/>
  <c r="BF89" i="6"/>
  <c r="BE89" i="6"/>
  <c r="BD89" i="6"/>
  <c r="BC89" i="6"/>
  <c r="BB89" i="6"/>
  <c r="BA89" i="6"/>
  <c r="AZ89" i="6"/>
  <c r="AY89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R89" i="6" s="1"/>
  <c r="AC89" i="6"/>
  <c r="AB89" i="6"/>
  <c r="AA89" i="6"/>
  <c r="Z89" i="6"/>
  <c r="Y89" i="6"/>
  <c r="P89" i="6"/>
  <c r="N89" i="6"/>
  <c r="W89" i="6" s="1"/>
  <c r="L89" i="6"/>
  <c r="K89" i="6"/>
  <c r="J89" i="6"/>
  <c r="F89" i="6"/>
  <c r="E89" i="6"/>
  <c r="AI88" i="6"/>
  <c r="N88" i="6" s="1"/>
  <c r="U88" i="6"/>
  <c r="R88" i="6"/>
  <c r="Q88" i="6"/>
  <c r="P88" i="6"/>
  <c r="O88" i="6"/>
  <c r="X88" i="6" s="1"/>
  <c r="M88" i="6"/>
  <c r="V88" i="6" s="1"/>
  <c r="G88" i="6"/>
  <c r="AF87" i="6"/>
  <c r="AC87" i="6"/>
  <c r="Z87" i="6"/>
  <c r="X87" i="6"/>
  <c r="V87" i="6"/>
  <c r="U87" i="6"/>
  <c r="R87" i="6"/>
  <c r="Q87" i="6"/>
  <c r="P87" i="6"/>
  <c r="O87" i="6"/>
  <c r="N87" i="6"/>
  <c r="W87" i="6" s="1"/>
  <c r="M87" i="6"/>
  <c r="S87" i="6" s="1"/>
  <c r="H87" i="6"/>
  <c r="G87" i="6"/>
  <c r="V86" i="6"/>
  <c r="T86" i="6"/>
  <c r="S86" i="6"/>
  <c r="R86" i="6"/>
  <c r="Q86" i="6"/>
  <c r="P86" i="6"/>
  <c r="O86" i="6"/>
  <c r="X86" i="6" s="1"/>
  <c r="N86" i="6"/>
  <c r="W86" i="6" s="1"/>
  <c r="M86" i="6"/>
  <c r="H86" i="6"/>
  <c r="G86" i="6"/>
  <c r="X85" i="6"/>
  <c r="U85" i="6"/>
  <c r="T85" i="6"/>
  <c r="R85" i="6"/>
  <c r="Q85" i="6"/>
  <c r="P85" i="6"/>
  <c r="O85" i="6"/>
  <c r="N85" i="6"/>
  <c r="W85" i="6" s="1"/>
  <c r="M85" i="6"/>
  <c r="V85" i="6" s="1"/>
  <c r="H85" i="6"/>
  <c r="G85" i="6"/>
  <c r="BK84" i="6"/>
  <c r="R84" i="6" s="1"/>
  <c r="BJ84" i="6"/>
  <c r="BI84" i="6"/>
  <c r="P84" i="6" s="1"/>
  <c r="BH84" i="6"/>
  <c r="BG84" i="6"/>
  <c r="BF84" i="6"/>
  <c r="BE84" i="6"/>
  <c r="BD84" i="6"/>
  <c r="BC84" i="6"/>
  <c r="BB84" i="6"/>
  <c r="BA84" i="6"/>
  <c r="AZ84" i="6"/>
  <c r="AY84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Q84" i="6" s="1"/>
  <c r="AB84" i="6"/>
  <c r="AA84" i="6"/>
  <c r="Z84" i="6"/>
  <c r="Y84" i="6"/>
  <c r="O84" i="6"/>
  <c r="X84" i="6" s="1"/>
  <c r="M84" i="6"/>
  <c r="H84" i="6" s="1"/>
  <c r="L84" i="6"/>
  <c r="K84" i="6"/>
  <c r="J84" i="6"/>
  <c r="I84" i="6"/>
  <c r="G84" i="6"/>
  <c r="F84" i="6"/>
  <c r="E84" i="6"/>
  <c r="U83" i="6"/>
  <c r="S83" i="6"/>
  <c r="R83" i="6"/>
  <c r="Q83" i="6"/>
  <c r="P83" i="6"/>
  <c r="O83" i="6"/>
  <c r="X83" i="6" s="1"/>
  <c r="N83" i="6"/>
  <c r="W83" i="6" s="1"/>
  <c r="M83" i="6"/>
  <c r="V83" i="6" s="1"/>
  <c r="G83" i="6"/>
  <c r="W82" i="6"/>
  <c r="T82" i="6"/>
  <c r="S82" i="6"/>
  <c r="R82" i="6"/>
  <c r="Q82" i="6"/>
  <c r="P82" i="6"/>
  <c r="O82" i="6"/>
  <c r="U82" i="6" s="1"/>
  <c r="N82" i="6"/>
  <c r="M82" i="6"/>
  <c r="V82" i="6" s="1"/>
  <c r="G82" i="6"/>
  <c r="W81" i="6"/>
  <c r="R81" i="6"/>
  <c r="Q81" i="6"/>
  <c r="P81" i="6"/>
  <c r="O81" i="6"/>
  <c r="O80" i="6" s="1"/>
  <c r="X80" i="6" s="1"/>
  <c r="N81" i="6"/>
  <c r="T81" i="6" s="1"/>
  <c r="M81" i="6"/>
  <c r="H81" i="6" s="1"/>
  <c r="G81" i="6"/>
  <c r="BK80" i="6"/>
  <c r="BJ80" i="6"/>
  <c r="Q80" i="6" s="1"/>
  <c r="BI80" i="6"/>
  <c r="BH80" i="6"/>
  <c r="BG80" i="6"/>
  <c r="BF80" i="6"/>
  <c r="BE80" i="6"/>
  <c r="BD80" i="6"/>
  <c r="BC80" i="6"/>
  <c r="BB80" i="6"/>
  <c r="BA80" i="6"/>
  <c r="AZ80" i="6"/>
  <c r="AY80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R80" i="6" s="1"/>
  <c r="AI80" i="6"/>
  <c r="AH80" i="6"/>
  <c r="AG80" i="6"/>
  <c r="AF80" i="6"/>
  <c r="AE80" i="6"/>
  <c r="AD80" i="6"/>
  <c r="AC80" i="6"/>
  <c r="AB80" i="6"/>
  <c r="P80" i="6" s="1"/>
  <c r="AA80" i="6"/>
  <c r="Z80" i="6"/>
  <c r="Y80" i="6"/>
  <c r="N80" i="6"/>
  <c r="W80" i="6" s="1"/>
  <c r="L80" i="6"/>
  <c r="K80" i="6"/>
  <c r="J80" i="6"/>
  <c r="I80" i="6"/>
  <c r="G80" i="6"/>
  <c r="F80" i="6"/>
  <c r="E80" i="6"/>
  <c r="X79" i="6"/>
  <c r="V79" i="6"/>
  <c r="S79" i="6"/>
  <c r="R79" i="6"/>
  <c r="Q79" i="6"/>
  <c r="P79" i="6"/>
  <c r="O79" i="6"/>
  <c r="U79" i="6" s="1"/>
  <c r="U77" i="6" s="1"/>
  <c r="N79" i="6"/>
  <c r="T79" i="6" s="1"/>
  <c r="M79" i="6"/>
  <c r="H79" i="6"/>
  <c r="G79" i="6"/>
  <c r="X78" i="6"/>
  <c r="V78" i="6"/>
  <c r="U78" i="6"/>
  <c r="R78" i="6"/>
  <c r="Q78" i="6"/>
  <c r="P78" i="6"/>
  <c r="O78" i="6"/>
  <c r="N78" i="6"/>
  <c r="N77" i="6" s="1"/>
  <c r="W77" i="6" s="1"/>
  <c r="M78" i="6"/>
  <c r="S78" i="6" s="1"/>
  <c r="S77" i="6" s="1"/>
  <c r="H78" i="6"/>
  <c r="G78" i="6"/>
  <c r="BK77" i="6"/>
  <c r="R77" i="6" s="1"/>
  <c r="BJ77" i="6"/>
  <c r="BI77" i="6"/>
  <c r="P77" i="6" s="1"/>
  <c r="BH77" i="6"/>
  <c r="BG77" i="6"/>
  <c r="BF77" i="6"/>
  <c r="BE77" i="6"/>
  <c r="BD77" i="6"/>
  <c r="BC77" i="6"/>
  <c r="BB77" i="6"/>
  <c r="BA77" i="6"/>
  <c r="AZ77" i="6"/>
  <c r="AY77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Q77" i="6" s="1"/>
  <c r="AH77" i="6"/>
  <c r="AG77" i="6"/>
  <c r="AF77" i="6"/>
  <c r="AE77" i="6"/>
  <c r="AD77" i="6"/>
  <c r="AC77" i="6"/>
  <c r="AB77" i="6"/>
  <c r="AA77" i="6"/>
  <c r="Z77" i="6"/>
  <c r="Y77" i="6"/>
  <c r="O77" i="6"/>
  <c r="X77" i="6" s="1"/>
  <c r="M77" i="6"/>
  <c r="H77" i="6" s="1"/>
  <c r="L77" i="6"/>
  <c r="K77" i="6"/>
  <c r="J77" i="6"/>
  <c r="I77" i="6"/>
  <c r="G77" i="6" s="1"/>
  <c r="W76" i="6"/>
  <c r="U76" i="6"/>
  <c r="T76" i="6"/>
  <c r="R76" i="6"/>
  <c r="Q76" i="6"/>
  <c r="P76" i="6"/>
  <c r="O76" i="6"/>
  <c r="X76" i="6" s="1"/>
  <c r="N76" i="6"/>
  <c r="M76" i="6"/>
  <c r="V76" i="6" s="1"/>
  <c r="G76" i="6"/>
  <c r="U75" i="6"/>
  <c r="S75" i="6"/>
  <c r="R75" i="6"/>
  <c r="Q75" i="6"/>
  <c r="P75" i="6"/>
  <c r="O75" i="6"/>
  <c r="X75" i="6" s="1"/>
  <c r="N75" i="6"/>
  <c r="W75" i="6" s="1"/>
  <c r="M75" i="6"/>
  <c r="V75" i="6" s="1"/>
  <c r="G75" i="6"/>
  <c r="AF74" i="6"/>
  <c r="AC74" i="6"/>
  <c r="AC68" i="6" s="1"/>
  <c r="AC67" i="6" s="1"/>
  <c r="AC3" i="6" s="1"/>
  <c r="U74" i="6"/>
  <c r="S74" i="6"/>
  <c r="R74" i="6"/>
  <c r="Q74" i="6"/>
  <c r="P74" i="6"/>
  <c r="O74" i="6"/>
  <c r="X74" i="6" s="1"/>
  <c r="M74" i="6"/>
  <c r="V74" i="6" s="1"/>
  <c r="G74" i="6"/>
  <c r="W73" i="6"/>
  <c r="T73" i="6"/>
  <c r="S73" i="6"/>
  <c r="R73" i="6"/>
  <c r="Q73" i="6"/>
  <c r="P73" i="6"/>
  <c r="O73" i="6"/>
  <c r="U73" i="6" s="1"/>
  <c r="N73" i="6"/>
  <c r="M73" i="6"/>
  <c r="V73" i="6" s="1"/>
  <c r="G73" i="6"/>
  <c r="AC72" i="6"/>
  <c r="X72" i="6"/>
  <c r="V72" i="6"/>
  <c r="S72" i="6"/>
  <c r="R72" i="6"/>
  <c r="Q72" i="6"/>
  <c r="P72" i="6"/>
  <c r="O72" i="6"/>
  <c r="U72" i="6" s="1"/>
  <c r="N72" i="6"/>
  <c r="T72" i="6" s="1"/>
  <c r="M72" i="6"/>
  <c r="H72" i="6"/>
  <c r="G72" i="6"/>
  <c r="X71" i="6"/>
  <c r="V71" i="6"/>
  <c r="U71" i="6"/>
  <c r="R71" i="6"/>
  <c r="Q71" i="6"/>
  <c r="P71" i="6"/>
  <c r="O71" i="6"/>
  <c r="N71" i="6"/>
  <c r="W71" i="6" s="1"/>
  <c r="M71" i="6"/>
  <c r="S71" i="6" s="1"/>
  <c r="H71" i="6"/>
  <c r="G71" i="6"/>
  <c r="AI70" i="6"/>
  <c r="N70" i="6" s="1"/>
  <c r="U70" i="6"/>
  <c r="U68" i="6" s="1"/>
  <c r="R70" i="6"/>
  <c r="Q70" i="6"/>
  <c r="P70" i="6"/>
  <c r="O70" i="6"/>
  <c r="X70" i="6" s="1"/>
  <c r="M70" i="6"/>
  <c r="V70" i="6" s="1"/>
  <c r="G70" i="6"/>
  <c r="W69" i="6"/>
  <c r="U69" i="6"/>
  <c r="S69" i="6"/>
  <c r="R69" i="6"/>
  <c r="Q69" i="6"/>
  <c r="P69" i="6"/>
  <c r="O69" i="6"/>
  <c r="X69" i="6" s="1"/>
  <c r="N69" i="6"/>
  <c r="T69" i="6" s="1"/>
  <c r="M69" i="6"/>
  <c r="M68" i="6" s="1"/>
  <c r="G69" i="6"/>
  <c r="BK68" i="6"/>
  <c r="BJ68" i="6"/>
  <c r="BJ67" i="6" s="1"/>
  <c r="BI68" i="6"/>
  <c r="BH68" i="6"/>
  <c r="BH67" i="6" s="1"/>
  <c r="BH3" i="6" s="1"/>
  <c r="BG68" i="6"/>
  <c r="BF68" i="6"/>
  <c r="BF67" i="6" s="1"/>
  <c r="BF3" i="6" s="1"/>
  <c r="BE68" i="6"/>
  <c r="BD68" i="6"/>
  <c r="BD67" i="6" s="1"/>
  <c r="BC68" i="6"/>
  <c r="BB68" i="6"/>
  <c r="BB67" i="6" s="1"/>
  <c r="BA68" i="6"/>
  <c r="AZ68" i="6"/>
  <c r="AZ67" i="6" s="1"/>
  <c r="AZ3" i="6" s="1"/>
  <c r="AY68" i="6"/>
  <c r="AX68" i="6"/>
  <c r="AX67" i="6" s="1"/>
  <c r="AX3" i="6" s="1"/>
  <c r="AW68" i="6"/>
  <c r="AV68" i="6"/>
  <c r="AV67" i="6" s="1"/>
  <c r="AU68" i="6"/>
  <c r="AT68" i="6"/>
  <c r="AT67" i="6" s="1"/>
  <c r="AS68" i="6"/>
  <c r="AR68" i="6"/>
  <c r="AR67" i="6" s="1"/>
  <c r="AR3" i="6" s="1"/>
  <c r="AQ68" i="6"/>
  <c r="AP68" i="6"/>
  <c r="AP67" i="6" s="1"/>
  <c r="AP3" i="6" s="1"/>
  <c r="AO68" i="6"/>
  <c r="AN68" i="6"/>
  <c r="AN67" i="6" s="1"/>
  <c r="AM68" i="6"/>
  <c r="AL68" i="6"/>
  <c r="AL67" i="6" s="1"/>
  <c r="AK68" i="6"/>
  <c r="AJ68" i="6"/>
  <c r="AJ67" i="6" s="1"/>
  <c r="AJ3" i="6" s="1"/>
  <c r="AI68" i="6"/>
  <c r="AH68" i="6"/>
  <c r="AH67" i="6" s="1"/>
  <c r="AH3" i="6" s="1"/>
  <c r="AG68" i="6"/>
  <c r="AF68" i="6"/>
  <c r="AF67" i="6" s="1"/>
  <c r="AE68" i="6"/>
  <c r="AD68" i="6"/>
  <c r="AD67" i="6" s="1"/>
  <c r="AB68" i="6"/>
  <c r="AB67" i="6" s="1"/>
  <c r="AB3" i="6" s="1"/>
  <c r="AA68" i="6"/>
  <c r="Z68" i="6"/>
  <c r="Z67" i="6" s="1"/>
  <c r="Y68" i="6"/>
  <c r="P68" i="6"/>
  <c r="L68" i="6"/>
  <c r="L67" i="6" s="1"/>
  <c r="L3" i="6" s="1"/>
  <c r="K68" i="6"/>
  <c r="J68" i="6"/>
  <c r="J67" i="6" s="1"/>
  <c r="I68" i="6"/>
  <c r="G68" i="6"/>
  <c r="F68" i="6"/>
  <c r="F67" i="6" s="1"/>
  <c r="F3" i="6" s="1"/>
  <c r="E68" i="6"/>
  <c r="BK67" i="6"/>
  <c r="BI67" i="6"/>
  <c r="BG67" i="6"/>
  <c r="BE67" i="6"/>
  <c r="BC67" i="6"/>
  <c r="BA67" i="6"/>
  <c r="AY67" i="6"/>
  <c r="AW67" i="6"/>
  <c r="AU67" i="6"/>
  <c r="AS67" i="6"/>
  <c r="AQ67" i="6"/>
  <c r="AO67" i="6"/>
  <c r="AM67" i="6"/>
  <c r="AK67" i="6"/>
  <c r="AI67" i="6"/>
  <c r="AG67" i="6"/>
  <c r="AE67" i="6"/>
  <c r="AA67" i="6"/>
  <c r="Y67" i="6"/>
  <c r="K67" i="6"/>
  <c r="E67" i="6"/>
  <c r="W66" i="6"/>
  <c r="R66" i="6"/>
  <c r="Q66" i="6"/>
  <c r="P66" i="6"/>
  <c r="O66" i="6"/>
  <c r="X66" i="6" s="1"/>
  <c r="N66" i="6"/>
  <c r="T66" i="6" s="1"/>
  <c r="M66" i="6"/>
  <c r="H66" i="6" s="1"/>
  <c r="G66" i="6"/>
  <c r="W65" i="6"/>
  <c r="U65" i="6"/>
  <c r="T65" i="6"/>
  <c r="R65" i="6"/>
  <c r="Q65" i="6"/>
  <c r="P65" i="6"/>
  <c r="O65" i="6"/>
  <c r="X65" i="6" s="1"/>
  <c r="N65" i="6"/>
  <c r="M65" i="6"/>
  <c r="V65" i="6" s="1"/>
  <c r="G65" i="6"/>
  <c r="W64" i="6"/>
  <c r="U64" i="6"/>
  <c r="S64" i="6"/>
  <c r="R64" i="6"/>
  <c r="Q64" i="6"/>
  <c r="P64" i="6"/>
  <c r="O64" i="6"/>
  <c r="X64" i="6" s="1"/>
  <c r="N64" i="6"/>
  <c r="T64" i="6" s="1"/>
  <c r="M64" i="6"/>
  <c r="V64" i="6" s="1"/>
  <c r="G64" i="6"/>
  <c r="W63" i="6"/>
  <c r="T63" i="6"/>
  <c r="S63" i="6"/>
  <c r="R63" i="6"/>
  <c r="Q63" i="6"/>
  <c r="P63" i="6"/>
  <c r="O63" i="6"/>
  <c r="U63" i="6" s="1"/>
  <c r="N63" i="6"/>
  <c r="M63" i="6"/>
  <c r="V63" i="6" s="1"/>
  <c r="G63" i="6"/>
  <c r="W62" i="6"/>
  <c r="R62" i="6"/>
  <c r="Q62" i="6"/>
  <c r="P62" i="6"/>
  <c r="O62" i="6"/>
  <c r="X62" i="6" s="1"/>
  <c r="N62" i="6"/>
  <c r="T62" i="6" s="1"/>
  <c r="M62" i="6"/>
  <c r="S62" i="6" s="1"/>
  <c r="G62" i="6"/>
  <c r="X61" i="6"/>
  <c r="V61" i="6"/>
  <c r="T61" i="6"/>
  <c r="S61" i="6"/>
  <c r="R61" i="6"/>
  <c r="Q61" i="6"/>
  <c r="P61" i="6"/>
  <c r="O61" i="6"/>
  <c r="U61" i="6" s="1"/>
  <c r="N61" i="6"/>
  <c r="W61" i="6" s="1"/>
  <c r="M61" i="6"/>
  <c r="G61" i="6"/>
  <c r="W60" i="6"/>
  <c r="T60" i="6"/>
  <c r="S60" i="6"/>
  <c r="R60" i="6"/>
  <c r="Q60" i="6"/>
  <c r="P60" i="6"/>
  <c r="O60" i="6"/>
  <c r="U60" i="6" s="1"/>
  <c r="N60" i="6"/>
  <c r="M60" i="6"/>
  <c r="V60" i="6" s="1"/>
  <c r="G60" i="6"/>
  <c r="W59" i="6"/>
  <c r="R59" i="6"/>
  <c r="Q59" i="6"/>
  <c r="P59" i="6"/>
  <c r="O59" i="6"/>
  <c r="X59" i="6" s="1"/>
  <c r="N59" i="6"/>
  <c r="T59" i="6" s="1"/>
  <c r="M59" i="6"/>
  <c r="H59" i="6" s="1"/>
  <c r="G59" i="6"/>
  <c r="W58" i="6"/>
  <c r="U58" i="6"/>
  <c r="T58" i="6"/>
  <c r="R58" i="6"/>
  <c r="Q58" i="6"/>
  <c r="P58" i="6"/>
  <c r="O58" i="6"/>
  <c r="X58" i="6" s="1"/>
  <c r="N58" i="6"/>
  <c r="M58" i="6"/>
  <c r="V58" i="6" s="1"/>
  <c r="G58" i="6"/>
  <c r="W57" i="6"/>
  <c r="U57" i="6"/>
  <c r="S57" i="6"/>
  <c r="R57" i="6"/>
  <c r="Q57" i="6"/>
  <c r="P57" i="6"/>
  <c r="O57" i="6"/>
  <c r="X57" i="6" s="1"/>
  <c r="N57" i="6"/>
  <c r="T57" i="6" s="1"/>
  <c r="M57" i="6"/>
  <c r="V57" i="6" s="1"/>
  <c r="G57" i="6"/>
  <c r="AC56" i="6"/>
  <c r="X56" i="6"/>
  <c r="V56" i="6"/>
  <c r="U56" i="6"/>
  <c r="T56" i="6"/>
  <c r="R56" i="6"/>
  <c r="Q56" i="6"/>
  <c r="P56" i="6"/>
  <c r="O56" i="6"/>
  <c r="N56" i="6"/>
  <c r="W56" i="6" s="1"/>
  <c r="M56" i="6"/>
  <c r="S56" i="6" s="1"/>
  <c r="H56" i="6"/>
  <c r="G56" i="6"/>
  <c r="X55" i="6"/>
  <c r="V55" i="6"/>
  <c r="S55" i="6"/>
  <c r="R55" i="6"/>
  <c r="Q55" i="6"/>
  <c r="P55" i="6"/>
  <c r="O55" i="6"/>
  <c r="U55" i="6" s="1"/>
  <c r="N55" i="6"/>
  <c r="T55" i="6" s="1"/>
  <c r="M55" i="6"/>
  <c r="H55" i="6"/>
  <c r="G55" i="6"/>
  <c r="X54" i="6"/>
  <c r="V54" i="6"/>
  <c r="U54" i="6"/>
  <c r="R54" i="6"/>
  <c r="Q54" i="6"/>
  <c r="P54" i="6"/>
  <c r="O54" i="6"/>
  <c r="N54" i="6"/>
  <c r="W54" i="6" s="1"/>
  <c r="M54" i="6"/>
  <c r="S54" i="6" s="1"/>
  <c r="H54" i="6"/>
  <c r="G54" i="6"/>
  <c r="X53" i="6"/>
  <c r="V53" i="6"/>
  <c r="T53" i="6"/>
  <c r="S53" i="6"/>
  <c r="R53" i="6"/>
  <c r="Q53" i="6"/>
  <c r="P53" i="6"/>
  <c r="O53" i="6"/>
  <c r="U53" i="6" s="1"/>
  <c r="N53" i="6"/>
  <c r="W53" i="6" s="1"/>
  <c r="M53" i="6"/>
  <c r="H53" i="6"/>
  <c r="G53" i="6"/>
  <c r="AC52" i="6"/>
  <c r="Q52" i="6" s="1"/>
  <c r="Z52" i="6"/>
  <c r="X52" i="6"/>
  <c r="V52" i="6"/>
  <c r="S52" i="6"/>
  <c r="R52" i="6"/>
  <c r="P52" i="6"/>
  <c r="O52" i="6"/>
  <c r="U52" i="6" s="1"/>
  <c r="M52" i="6"/>
  <c r="J52" i="6"/>
  <c r="H52" i="6"/>
  <c r="G52" i="6"/>
  <c r="AC51" i="6"/>
  <c r="X51" i="6"/>
  <c r="V51" i="6"/>
  <c r="S51" i="6"/>
  <c r="R51" i="6"/>
  <c r="Q51" i="6"/>
  <c r="P51" i="6"/>
  <c r="O51" i="6"/>
  <c r="U51" i="6" s="1"/>
  <c r="N51" i="6"/>
  <c r="W51" i="6" s="1"/>
  <c r="M51" i="6"/>
  <c r="J51" i="6"/>
  <c r="T51" i="6" s="1"/>
  <c r="H51" i="6"/>
  <c r="G51" i="6"/>
  <c r="AF50" i="6"/>
  <c r="X50" i="6"/>
  <c r="V50" i="6"/>
  <c r="R50" i="6"/>
  <c r="Q50" i="6"/>
  <c r="P50" i="6"/>
  <c r="O50" i="6"/>
  <c r="U50" i="6" s="1"/>
  <c r="N50" i="6"/>
  <c r="W50" i="6" s="1"/>
  <c r="M50" i="6"/>
  <c r="J50" i="6"/>
  <c r="T50" i="6" s="1"/>
  <c r="I50" i="6"/>
  <c r="G50" i="6" s="1"/>
  <c r="H50" i="6"/>
  <c r="AF49" i="6"/>
  <c r="Q49" i="6" s="1"/>
  <c r="AC49" i="6"/>
  <c r="X49" i="6"/>
  <c r="V49" i="6"/>
  <c r="U49" i="6"/>
  <c r="R49" i="6"/>
  <c r="P49" i="6"/>
  <c r="O49" i="6"/>
  <c r="N49" i="6"/>
  <c r="W49" i="6" s="1"/>
  <c r="M49" i="6"/>
  <c r="S49" i="6" s="1"/>
  <c r="J49" i="6"/>
  <c r="T49" i="6" s="1"/>
  <c r="G49" i="6"/>
  <c r="AF48" i="6"/>
  <c r="X48" i="6"/>
  <c r="V48" i="6"/>
  <c r="U48" i="6"/>
  <c r="R48" i="6"/>
  <c r="Q48" i="6"/>
  <c r="P48" i="6"/>
  <c r="O48" i="6"/>
  <c r="N48" i="6"/>
  <c r="W48" i="6" s="1"/>
  <c r="M48" i="6"/>
  <c r="S48" i="6" s="1"/>
  <c r="H48" i="6"/>
  <c r="G48" i="6"/>
  <c r="AF47" i="6"/>
  <c r="N47" i="6" s="1"/>
  <c r="W47" i="6" s="1"/>
  <c r="U47" i="6"/>
  <c r="R47" i="6"/>
  <c r="Q47" i="6"/>
  <c r="P47" i="6"/>
  <c r="O47" i="6"/>
  <c r="X47" i="6" s="1"/>
  <c r="M47" i="6"/>
  <c r="V47" i="6" s="1"/>
  <c r="J47" i="6"/>
  <c r="T47" i="6" s="1"/>
  <c r="G47" i="6"/>
  <c r="X46" i="6"/>
  <c r="V46" i="6"/>
  <c r="T46" i="6"/>
  <c r="S46" i="6"/>
  <c r="R46" i="6"/>
  <c r="Q46" i="6"/>
  <c r="P46" i="6"/>
  <c r="O46" i="6"/>
  <c r="U46" i="6" s="1"/>
  <c r="N46" i="6"/>
  <c r="W46" i="6" s="1"/>
  <c r="M46" i="6"/>
  <c r="H46" i="6"/>
  <c r="G46" i="6"/>
  <c r="X45" i="6"/>
  <c r="U45" i="6"/>
  <c r="T45" i="6"/>
  <c r="R45" i="6"/>
  <c r="Q45" i="6"/>
  <c r="P45" i="6"/>
  <c r="O45" i="6"/>
  <c r="N45" i="6"/>
  <c r="W45" i="6" s="1"/>
  <c r="M45" i="6"/>
  <c r="H45" i="6" s="1"/>
  <c r="I45" i="6"/>
  <c r="V45" i="6" s="1"/>
  <c r="G45" i="6"/>
  <c r="AH44" i="6"/>
  <c r="X44" i="6"/>
  <c r="V44" i="6"/>
  <c r="U44" i="6"/>
  <c r="R44" i="6"/>
  <c r="Q44" i="6"/>
  <c r="P44" i="6"/>
  <c r="O44" i="6"/>
  <c r="N44" i="6"/>
  <c r="W44" i="6" s="1"/>
  <c r="M44" i="6"/>
  <c r="J44" i="6"/>
  <c r="T44" i="6" s="1"/>
  <c r="I44" i="6"/>
  <c r="S44" i="6" s="1"/>
  <c r="H44" i="6"/>
  <c r="G44" i="6"/>
  <c r="AF43" i="6"/>
  <c r="Q43" i="6" s="1"/>
  <c r="AC43" i="6"/>
  <c r="X43" i="6"/>
  <c r="V43" i="6"/>
  <c r="S43" i="6"/>
  <c r="R43" i="6"/>
  <c r="P43" i="6"/>
  <c r="O43" i="6"/>
  <c r="U43" i="6" s="1"/>
  <c r="M43" i="6"/>
  <c r="J43" i="6"/>
  <c r="H43" i="6"/>
  <c r="G43" i="6"/>
  <c r="W42" i="6"/>
  <c r="U42" i="6"/>
  <c r="S42" i="6"/>
  <c r="R42" i="6"/>
  <c r="Q42" i="6"/>
  <c r="P42" i="6"/>
  <c r="O42" i="6"/>
  <c r="X42" i="6" s="1"/>
  <c r="N42" i="6"/>
  <c r="T42" i="6" s="1"/>
  <c r="M42" i="6"/>
  <c r="V42" i="6" s="1"/>
  <c r="I42" i="6"/>
  <c r="H42" i="6"/>
  <c r="G42" i="6"/>
  <c r="X41" i="6"/>
  <c r="V41" i="6"/>
  <c r="U41" i="6"/>
  <c r="T41" i="6"/>
  <c r="R41" i="6"/>
  <c r="Q41" i="6"/>
  <c r="P41" i="6"/>
  <c r="O41" i="6"/>
  <c r="N41" i="6"/>
  <c r="W41" i="6" s="1"/>
  <c r="M41" i="6"/>
  <c r="S41" i="6" s="1"/>
  <c r="E41" i="6"/>
  <c r="H41" i="6" s="1"/>
  <c r="W40" i="6"/>
  <c r="T40" i="6"/>
  <c r="S40" i="6"/>
  <c r="R40" i="6"/>
  <c r="Q40" i="6"/>
  <c r="P40" i="6"/>
  <c r="O40" i="6"/>
  <c r="U40" i="6" s="1"/>
  <c r="N40" i="6"/>
  <c r="M40" i="6"/>
  <c r="V40" i="6" s="1"/>
  <c r="G40" i="6"/>
  <c r="W39" i="6"/>
  <c r="R39" i="6"/>
  <c r="Q39" i="6"/>
  <c r="P39" i="6"/>
  <c r="O39" i="6"/>
  <c r="X39" i="6" s="1"/>
  <c r="N39" i="6"/>
  <c r="T39" i="6" s="1"/>
  <c r="M39" i="6"/>
  <c r="H39" i="6" s="1"/>
  <c r="G39" i="6"/>
  <c r="W38" i="6"/>
  <c r="U38" i="6"/>
  <c r="T38" i="6"/>
  <c r="R38" i="6"/>
  <c r="Q38" i="6"/>
  <c r="P38" i="6"/>
  <c r="O38" i="6"/>
  <c r="X38" i="6" s="1"/>
  <c r="N38" i="6"/>
  <c r="M38" i="6"/>
  <c r="V38" i="6" s="1"/>
  <c r="G38" i="6"/>
  <c r="W37" i="6"/>
  <c r="U37" i="6"/>
  <c r="S37" i="6"/>
  <c r="R37" i="6"/>
  <c r="Q37" i="6"/>
  <c r="P37" i="6"/>
  <c r="O37" i="6"/>
  <c r="X37" i="6" s="1"/>
  <c r="N37" i="6"/>
  <c r="T37" i="6" s="1"/>
  <c r="M37" i="6"/>
  <c r="V37" i="6" s="1"/>
  <c r="G37" i="6"/>
  <c r="W36" i="6"/>
  <c r="T36" i="6"/>
  <c r="S36" i="6"/>
  <c r="R36" i="6"/>
  <c r="Q36" i="6"/>
  <c r="P36" i="6"/>
  <c r="O36" i="6"/>
  <c r="U36" i="6" s="1"/>
  <c r="N36" i="6"/>
  <c r="M36" i="6"/>
  <c r="V36" i="6" s="1"/>
  <c r="G36" i="6"/>
  <c r="AC35" i="6"/>
  <c r="X35" i="6"/>
  <c r="V35" i="6"/>
  <c r="S35" i="6"/>
  <c r="R35" i="6"/>
  <c r="Q35" i="6"/>
  <c r="P35" i="6"/>
  <c r="O35" i="6"/>
  <c r="U35" i="6" s="1"/>
  <c r="N35" i="6"/>
  <c r="W35" i="6" s="1"/>
  <c r="M35" i="6"/>
  <c r="J35" i="6"/>
  <c r="T35" i="6" s="1"/>
  <c r="H35" i="6"/>
  <c r="G35" i="6"/>
  <c r="W34" i="6"/>
  <c r="R34" i="6"/>
  <c r="Q34" i="6"/>
  <c r="P34" i="6"/>
  <c r="O34" i="6"/>
  <c r="X34" i="6" s="1"/>
  <c r="N34" i="6"/>
  <c r="T34" i="6" s="1"/>
  <c r="M34" i="6"/>
  <c r="H34" i="6" s="1"/>
  <c r="G34" i="6"/>
  <c r="W33" i="6"/>
  <c r="U33" i="6"/>
  <c r="T33" i="6"/>
  <c r="R33" i="6"/>
  <c r="Q33" i="6"/>
  <c r="P33" i="6"/>
  <c r="O33" i="6"/>
  <c r="X33" i="6" s="1"/>
  <c r="N33" i="6"/>
  <c r="M33" i="6"/>
  <c r="V33" i="6" s="1"/>
  <c r="G33" i="6"/>
  <c r="W32" i="6"/>
  <c r="U32" i="6"/>
  <c r="S32" i="6"/>
  <c r="R32" i="6"/>
  <c r="Q32" i="6"/>
  <c r="P32" i="6"/>
  <c r="O32" i="6"/>
  <c r="X32" i="6" s="1"/>
  <c r="N32" i="6"/>
  <c r="T32" i="6" s="1"/>
  <c r="M32" i="6"/>
  <c r="V32" i="6" s="1"/>
  <c r="G32" i="6"/>
  <c r="W31" i="6"/>
  <c r="S31" i="6"/>
  <c r="R31" i="6"/>
  <c r="Q31" i="6"/>
  <c r="P31" i="6"/>
  <c r="O31" i="6"/>
  <c r="U31" i="6" s="1"/>
  <c r="N31" i="6"/>
  <c r="M31" i="6"/>
  <c r="V31" i="6" s="1"/>
  <c r="J31" i="6"/>
  <c r="T31" i="6" s="1"/>
  <c r="H31" i="6"/>
  <c r="G31" i="6"/>
  <c r="X30" i="6"/>
  <c r="V30" i="6"/>
  <c r="S30" i="6"/>
  <c r="R30" i="6"/>
  <c r="Q30" i="6"/>
  <c r="P30" i="6"/>
  <c r="O30" i="6"/>
  <c r="U30" i="6" s="1"/>
  <c r="N30" i="6"/>
  <c r="W30" i="6" s="1"/>
  <c r="M30" i="6"/>
  <c r="J30" i="6"/>
  <c r="T30" i="6" s="1"/>
  <c r="H30" i="6"/>
  <c r="G30" i="6"/>
  <c r="W29" i="6"/>
  <c r="R29" i="6"/>
  <c r="Q29" i="6"/>
  <c r="P29" i="6"/>
  <c r="O29" i="6"/>
  <c r="X29" i="6" s="1"/>
  <c r="N29" i="6"/>
  <c r="T29" i="6" s="1"/>
  <c r="M29" i="6"/>
  <c r="H29" i="6" s="1"/>
  <c r="G29" i="6"/>
  <c r="W28" i="6"/>
  <c r="U28" i="6"/>
  <c r="T28" i="6"/>
  <c r="R28" i="6"/>
  <c r="Q28" i="6"/>
  <c r="P28" i="6"/>
  <c r="O28" i="6"/>
  <c r="X28" i="6" s="1"/>
  <c r="N28" i="6"/>
  <c r="M28" i="6"/>
  <c r="V28" i="6" s="1"/>
  <c r="G28" i="6"/>
  <c r="Z27" i="6"/>
  <c r="X27" i="6"/>
  <c r="V27" i="6"/>
  <c r="T27" i="6"/>
  <c r="S27" i="6"/>
  <c r="R27" i="6"/>
  <c r="Q27" i="6"/>
  <c r="P27" i="6"/>
  <c r="O27" i="6"/>
  <c r="U27" i="6" s="1"/>
  <c r="N27" i="6"/>
  <c r="W27" i="6" s="1"/>
  <c r="M27" i="6"/>
  <c r="H27" i="6"/>
  <c r="G27" i="6"/>
  <c r="X26" i="6"/>
  <c r="V26" i="6"/>
  <c r="U26" i="6"/>
  <c r="T26" i="6"/>
  <c r="R26" i="6"/>
  <c r="Q26" i="6"/>
  <c r="P26" i="6"/>
  <c r="O26" i="6"/>
  <c r="N26" i="6"/>
  <c r="W26" i="6" s="1"/>
  <c r="M26" i="6"/>
  <c r="S26" i="6" s="1"/>
  <c r="H26" i="6"/>
  <c r="G26" i="6"/>
  <c r="X25" i="6"/>
  <c r="V25" i="6"/>
  <c r="S25" i="6"/>
  <c r="R25" i="6"/>
  <c r="Q25" i="6"/>
  <c r="P25" i="6"/>
  <c r="O25" i="6"/>
  <c r="U25" i="6" s="1"/>
  <c r="N25" i="6"/>
  <c r="T25" i="6" s="1"/>
  <c r="M25" i="6"/>
  <c r="H25" i="6"/>
  <c r="G25" i="6"/>
  <c r="X24" i="6"/>
  <c r="V24" i="6"/>
  <c r="U24" i="6"/>
  <c r="R24" i="6"/>
  <c r="Q24" i="6"/>
  <c r="P24" i="6"/>
  <c r="O24" i="6"/>
  <c r="N24" i="6"/>
  <c r="W24" i="6" s="1"/>
  <c r="M24" i="6"/>
  <c r="S24" i="6" s="1"/>
  <c r="G24" i="6"/>
  <c r="AI23" i="6"/>
  <c r="AF23" i="6"/>
  <c r="Q23" i="6" s="1"/>
  <c r="AC23" i="6"/>
  <c r="X23" i="6"/>
  <c r="V23" i="6"/>
  <c r="U23" i="6"/>
  <c r="R23" i="6"/>
  <c r="P23" i="6"/>
  <c r="O23" i="6"/>
  <c r="N23" i="6"/>
  <c r="W23" i="6" s="1"/>
  <c r="M23" i="6"/>
  <c r="S23" i="6" s="1"/>
  <c r="H23" i="6"/>
  <c r="G23" i="6"/>
  <c r="AF22" i="6"/>
  <c r="Q22" i="6" s="1"/>
  <c r="Z22" i="6"/>
  <c r="X22" i="6"/>
  <c r="V22" i="6"/>
  <c r="U22" i="6"/>
  <c r="R22" i="6"/>
  <c r="P22" i="6"/>
  <c r="O22" i="6"/>
  <c r="N22" i="6"/>
  <c r="W22" i="6" s="1"/>
  <c r="M22" i="6"/>
  <c r="H22" i="6" s="1"/>
  <c r="I22" i="6"/>
  <c r="S22" i="6" s="1"/>
  <c r="W21" i="6"/>
  <c r="U21" i="6"/>
  <c r="T21" i="6"/>
  <c r="R21" i="6"/>
  <c r="Q21" i="6"/>
  <c r="P21" i="6"/>
  <c r="O21" i="6"/>
  <c r="X21" i="6" s="1"/>
  <c r="N21" i="6"/>
  <c r="M21" i="6"/>
  <c r="V21" i="6" s="1"/>
  <c r="G21" i="6"/>
  <c r="AF20" i="6"/>
  <c r="AC20" i="6"/>
  <c r="N20" i="6" s="1"/>
  <c r="U20" i="6"/>
  <c r="R20" i="6"/>
  <c r="Q20" i="6"/>
  <c r="P20" i="6"/>
  <c r="O20" i="6"/>
  <c r="X20" i="6" s="1"/>
  <c r="M20" i="6"/>
  <c r="V20" i="6" s="1"/>
  <c r="G20" i="6"/>
  <c r="AF19" i="6"/>
  <c r="X19" i="6"/>
  <c r="V19" i="6"/>
  <c r="T19" i="6"/>
  <c r="S19" i="6"/>
  <c r="R19" i="6"/>
  <c r="Q19" i="6"/>
  <c r="P19" i="6"/>
  <c r="O19" i="6"/>
  <c r="U19" i="6" s="1"/>
  <c r="N19" i="6"/>
  <c r="W19" i="6" s="1"/>
  <c r="M19" i="6"/>
  <c r="H19" i="6"/>
  <c r="G19" i="6"/>
  <c r="AC18" i="6"/>
  <c r="N18" i="6" s="1"/>
  <c r="U18" i="6"/>
  <c r="S18" i="6"/>
  <c r="R18" i="6"/>
  <c r="Q18" i="6"/>
  <c r="P18" i="6"/>
  <c r="O18" i="6"/>
  <c r="X18" i="6" s="1"/>
  <c r="M18" i="6"/>
  <c r="V18" i="6" s="1"/>
  <c r="G18" i="6"/>
  <c r="W17" i="6"/>
  <c r="S17" i="6"/>
  <c r="R17" i="6"/>
  <c r="Q17" i="6"/>
  <c r="P17" i="6"/>
  <c r="O17" i="6"/>
  <c r="U17" i="6" s="1"/>
  <c r="N17" i="6"/>
  <c r="M17" i="6"/>
  <c r="V17" i="6" s="1"/>
  <c r="J17" i="6"/>
  <c r="T17" i="6" s="1"/>
  <c r="H17" i="6"/>
  <c r="G17" i="6"/>
  <c r="X16" i="6"/>
  <c r="V16" i="6"/>
  <c r="S16" i="6"/>
  <c r="R16" i="6"/>
  <c r="Q16" i="6"/>
  <c r="P16" i="6"/>
  <c r="O16" i="6"/>
  <c r="U16" i="6" s="1"/>
  <c r="N16" i="6"/>
  <c r="W16" i="6" s="1"/>
  <c r="M16" i="6"/>
  <c r="J16" i="6"/>
  <c r="T16" i="6" s="1"/>
  <c r="H16" i="6"/>
  <c r="G16" i="6"/>
  <c r="W15" i="6"/>
  <c r="R15" i="6"/>
  <c r="Q15" i="6"/>
  <c r="P15" i="6"/>
  <c r="O15" i="6"/>
  <c r="X15" i="6" s="1"/>
  <c r="N15" i="6"/>
  <c r="T15" i="6" s="1"/>
  <c r="M15" i="6"/>
  <c r="S15" i="6" s="1"/>
  <c r="I15" i="6"/>
  <c r="G15" i="6"/>
  <c r="X14" i="6"/>
  <c r="V14" i="6"/>
  <c r="U14" i="6"/>
  <c r="R14" i="6"/>
  <c r="Q14" i="6"/>
  <c r="P14" i="6"/>
  <c r="O14" i="6"/>
  <c r="N14" i="6"/>
  <c r="W14" i="6" s="1"/>
  <c r="M14" i="6"/>
  <c r="S14" i="6" s="1"/>
  <c r="H14" i="6"/>
  <c r="G14" i="6"/>
  <c r="X13" i="6"/>
  <c r="V13" i="6"/>
  <c r="T13" i="6"/>
  <c r="S13" i="6"/>
  <c r="R13" i="6"/>
  <c r="Q13" i="6"/>
  <c r="P13" i="6"/>
  <c r="O13" i="6"/>
  <c r="U13" i="6" s="1"/>
  <c r="N13" i="6"/>
  <c r="M13" i="6"/>
  <c r="H13" i="6"/>
  <c r="G13" i="6"/>
  <c r="BK12" i="6"/>
  <c r="R12" i="6" s="1"/>
  <c r="BJ12" i="6"/>
  <c r="BI12" i="6"/>
  <c r="P12" i="6" s="1"/>
  <c r="BH12" i="6"/>
  <c r="BG12" i="6"/>
  <c r="BF12" i="6"/>
  <c r="BE12" i="6"/>
  <c r="BE3" i="6" s="1"/>
  <c r="BD12" i="6"/>
  <c r="BC12" i="6"/>
  <c r="BB12" i="6"/>
  <c r="BA12" i="6"/>
  <c r="AZ12" i="6"/>
  <c r="AY12" i="6"/>
  <c r="AX12" i="6"/>
  <c r="AW12" i="6"/>
  <c r="AW3" i="6" s="1"/>
  <c r="AV12" i="6"/>
  <c r="AU12" i="6"/>
  <c r="AT12" i="6"/>
  <c r="AS12" i="6"/>
  <c r="AR12" i="6"/>
  <c r="AQ12" i="6"/>
  <c r="AP12" i="6"/>
  <c r="AO12" i="6"/>
  <c r="AO3" i="6" s="1"/>
  <c r="AN12" i="6"/>
  <c r="AM12" i="6"/>
  <c r="AL12" i="6"/>
  <c r="AK12" i="6"/>
  <c r="AJ12" i="6"/>
  <c r="AI12" i="6"/>
  <c r="AH12" i="6"/>
  <c r="AG12" i="6"/>
  <c r="AG3" i="6" s="1"/>
  <c r="AF12" i="6"/>
  <c r="AE12" i="6"/>
  <c r="AD12" i="6"/>
  <c r="AC12" i="6"/>
  <c r="AB12" i="6"/>
  <c r="AA12" i="6"/>
  <c r="Z12" i="6"/>
  <c r="Y12" i="6"/>
  <c r="Y3" i="6" s="1"/>
  <c r="Q12" i="6"/>
  <c r="L12" i="6"/>
  <c r="K12" i="6"/>
  <c r="I12" i="6"/>
  <c r="G12" i="6" s="1"/>
  <c r="F12" i="6"/>
  <c r="E12" i="6"/>
  <c r="W11" i="6"/>
  <c r="U11" i="6"/>
  <c r="T11" i="6"/>
  <c r="R11" i="6"/>
  <c r="Q11" i="6"/>
  <c r="P11" i="6"/>
  <c r="O11" i="6"/>
  <c r="X11" i="6" s="1"/>
  <c r="N11" i="6"/>
  <c r="M11" i="6"/>
  <c r="V11" i="6" s="1"/>
  <c r="G11" i="6"/>
  <c r="W10" i="6"/>
  <c r="U10" i="6"/>
  <c r="S10" i="6"/>
  <c r="R10" i="6"/>
  <c r="Q10" i="6"/>
  <c r="P10" i="6"/>
  <c r="O10" i="6"/>
  <c r="X10" i="6" s="1"/>
  <c r="N10" i="6"/>
  <c r="T10" i="6" s="1"/>
  <c r="M10" i="6"/>
  <c r="V10" i="6" s="1"/>
  <c r="I10" i="6"/>
  <c r="H10" i="6"/>
  <c r="G10" i="6"/>
  <c r="X9" i="6"/>
  <c r="V9" i="6"/>
  <c r="U9" i="6"/>
  <c r="T9" i="6"/>
  <c r="R9" i="6"/>
  <c r="Q9" i="6"/>
  <c r="P9" i="6"/>
  <c r="O9" i="6"/>
  <c r="N9" i="6"/>
  <c r="W9" i="6" s="1"/>
  <c r="M9" i="6"/>
  <c r="S9" i="6" s="1"/>
  <c r="H9" i="6"/>
  <c r="G9" i="6"/>
  <c r="X8" i="6"/>
  <c r="V8" i="6"/>
  <c r="S8" i="6"/>
  <c r="R8" i="6"/>
  <c r="Q8" i="6"/>
  <c r="P8" i="6"/>
  <c r="O8" i="6"/>
  <c r="U8" i="6" s="1"/>
  <c r="N8" i="6"/>
  <c r="T8" i="6" s="1"/>
  <c r="M8" i="6"/>
  <c r="H8" i="6"/>
  <c r="G8" i="6"/>
  <c r="X7" i="6"/>
  <c r="V7" i="6"/>
  <c r="U7" i="6"/>
  <c r="R7" i="6"/>
  <c r="Q7" i="6"/>
  <c r="P7" i="6"/>
  <c r="O7" i="6"/>
  <c r="N7" i="6"/>
  <c r="W7" i="6" s="1"/>
  <c r="M7" i="6"/>
  <c r="S7" i="6" s="1"/>
  <c r="H7" i="6"/>
  <c r="G7" i="6"/>
  <c r="X6" i="6"/>
  <c r="V6" i="6"/>
  <c r="T6" i="6"/>
  <c r="S6" i="6"/>
  <c r="R6" i="6"/>
  <c r="Q6" i="6"/>
  <c r="P6" i="6"/>
  <c r="O6" i="6"/>
  <c r="U6" i="6" s="1"/>
  <c r="N6" i="6"/>
  <c r="W6" i="6" s="1"/>
  <c r="M6" i="6"/>
  <c r="H6" i="6"/>
  <c r="G6" i="6"/>
  <c r="R5" i="6"/>
  <c r="Q5" i="6"/>
  <c r="P5" i="6"/>
  <c r="O5" i="6"/>
  <c r="N5" i="6"/>
  <c r="M5" i="6"/>
  <c r="M4" i="6" s="1"/>
  <c r="BK4" i="6"/>
  <c r="BJ4" i="6"/>
  <c r="BI4" i="6"/>
  <c r="BH4" i="6"/>
  <c r="BG4" i="6"/>
  <c r="BG3" i="6" s="1"/>
  <c r="BF4" i="6"/>
  <c r="BE4" i="6"/>
  <c r="BD4" i="6"/>
  <c r="BD3" i="6" s="1"/>
  <c r="BC4" i="6"/>
  <c r="BC3" i="6" s="1"/>
  <c r="BB4" i="6"/>
  <c r="BB3" i="6" s="1"/>
  <c r="BA4" i="6"/>
  <c r="AZ4" i="6"/>
  <c r="AY4" i="6"/>
  <c r="AY3" i="6" s="1"/>
  <c r="AX4" i="6"/>
  <c r="AW4" i="6"/>
  <c r="AV4" i="6"/>
  <c r="R4" i="6" s="1"/>
  <c r="AU4" i="6"/>
  <c r="AU3" i="6" s="1"/>
  <c r="AT4" i="6"/>
  <c r="AT3" i="6" s="1"/>
  <c r="AS4" i="6"/>
  <c r="AR4" i="6"/>
  <c r="AQ4" i="6"/>
  <c r="AQ3" i="6" s="1"/>
  <c r="AP4" i="6"/>
  <c r="AO4" i="6"/>
  <c r="AN4" i="6"/>
  <c r="AN3" i="6" s="1"/>
  <c r="AM4" i="6"/>
  <c r="AM3" i="6" s="1"/>
  <c r="AL4" i="6"/>
  <c r="AL3" i="6" s="1"/>
  <c r="AK4" i="6"/>
  <c r="AJ4" i="6"/>
  <c r="AI4" i="6"/>
  <c r="AI3" i="6" s="1"/>
  <c r="AH4" i="6"/>
  <c r="AG4" i="6"/>
  <c r="AF4" i="6"/>
  <c r="AE4" i="6"/>
  <c r="AE3" i="6" s="1"/>
  <c r="AD4" i="6"/>
  <c r="AD3" i="6" s="1"/>
  <c r="AC4" i="6"/>
  <c r="AB4" i="6"/>
  <c r="AA4" i="6"/>
  <c r="Z4" i="6"/>
  <c r="Y4" i="6"/>
  <c r="X4" i="6"/>
  <c r="P4" i="6"/>
  <c r="O4" i="6"/>
  <c r="L4" i="6"/>
  <c r="J4" i="6"/>
  <c r="I4" i="6"/>
  <c r="G4" i="6"/>
  <c r="F4" i="6"/>
  <c r="E4" i="6"/>
  <c r="AS3" i="6"/>
  <c r="AK3" i="6"/>
  <c r="AL191" i="5"/>
  <c r="D5" i="14" s="1"/>
  <c r="F5" i="14" s="1"/>
  <c r="AF191" i="5"/>
  <c r="F191" i="5" s="1"/>
  <c r="Z191" i="5"/>
  <c r="E191" i="5" s="1"/>
  <c r="X187" i="5"/>
  <c r="V187" i="5"/>
  <c r="U187" i="5"/>
  <c r="R187" i="5"/>
  <c r="Q187" i="5"/>
  <c r="P187" i="5"/>
  <c r="O187" i="5"/>
  <c r="N187" i="5"/>
  <c r="W187" i="5" s="1"/>
  <c r="M187" i="5"/>
  <c r="S187" i="5" s="1"/>
  <c r="H187" i="5"/>
  <c r="G187" i="5"/>
  <c r="X186" i="5"/>
  <c r="V186" i="5"/>
  <c r="T186" i="5"/>
  <c r="S186" i="5"/>
  <c r="R186" i="5"/>
  <c r="Q186" i="5"/>
  <c r="P186" i="5"/>
  <c r="O186" i="5"/>
  <c r="U186" i="5" s="1"/>
  <c r="U183" i="5" s="1"/>
  <c r="N186" i="5"/>
  <c r="W186" i="5" s="1"/>
  <c r="M186" i="5"/>
  <c r="H186" i="5"/>
  <c r="G186" i="5"/>
  <c r="X185" i="5"/>
  <c r="V185" i="5"/>
  <c r="U185" i="5"/>
  <c r="T185" i="5"/>
  <c r="R185" i="5"/>
  <c r="Q185" i="5"/>
  <c r="P185" i="5"/>
  <c r="O185" i="5"/>
  <c r="N185" i="5"/>
  <c r="W185" i="5" s="1"/>
  <c r="M185" i="5"/>
  <c r="S185" i="5" s="1"/>
  <c r="X184" i="5"/>
  <c r="V184" i="5"/>
  <c r="U184" i="5"/>
  <c r="R184" i="5"/>
  <c r="Q184" i="5"/>
  <c r="P184" i="5"/>
  <c r="O184" i="5"/>
  <c r="N184" i="5"/>
  <c r="N183" i="5" s="1"/>
  <c r="W183" i="5" s="1"/>
  <c r="M184" i="5"/>
  <c r="S184" i="5" s="1"/>
  <c r="S183" i="5" s="1"/>
  <c r="H184" i="5"/>
  <c r="G184" i="5"/>
  <c r="BK183" i="5"/>
  <c r="R183" i="5" s="1"/>
  <c r="BJ183" i="5"/>
  <c r="BI183" i="5"/>
  <c r="P183" i="5" s="1"/>
  <c r="BH183" i="5"/>
  <c r="BG183" i="5"/>
  <c r="BF183" i="5"/>
  <c r="BE183" i="5"/>
  <c r="BD183" i="5"/>
  <c r="BC183" i="5"/>
  <c r="BB183" i="5"/>
  <c r="BA183" i="5"/>
  <c r="AZ183" i="5"/>
  <c r="AY183" i="5"/>
  <c r="AX183" i="5"/>
  <c r="AW183" i="5"/>
  <c r="AV183" i="5"/>
  <c r="AU183" i="5"/>
  <c r="AT183" i="5"/>
  <c r="AS183" i="5"/>
  <c r="AR183" i="5"/>
  <c r="AQ183" i="5"/>
  <c r="AP183" i="5"/>
  <c r="AO183" i="5"/>
  <c r="AN183" i="5"/>
  <c r="AM183" i="5"/>
  <c r="AL183" i="5"/>
  <c r="AK183" i="5"/>
  <c r="AJ183" i="5"/>
  <c r="AI183" i="5"/>
  <c r="AH183" i="5"/>
  <c r="AG183" i="5"/>
  <c r="AF183" i="5"/>
  <c r="AE183" i="5"/>
  <c r="AD183" i="5"/>
  <c r="AC183" i="5"/>
  <c r="Q183" i="5" s="1"/>
  <c r="AB183" i="5"/>
  <c r="AA183" i="5"/>
  <c r="Z183" i="5"/>
  <c r="Y183" i="5"/>
  <c r="O183" i="5"/>
  <c r="X183" i="5" s="1"/>
  <c r="M183" i="5"/>
  <c r="H183" i="5" s="1"/>
  <c r="L183" i="5"/>
  <c r="K183" i="5"/>
  <c r="J183" i="5"/>
  <c r="I183" i="5"/>
  <c r="G183" i="5" s="1"/>
  <c r="F183" i="5"/>
  <c r="E183" i="5"/>
  <c r="W182" i="5"/>
  <c r="R182" i="5"/>
  <c r="Q182" i="5"/>
  <c r="P182" i="5"/>
  <c r="O182" i="5"/>
  <c r="X182" i="5" s="1"/>
  <c r="N182" i="5"/>
  <c r="T182" i="5" s="1"/>
  <c r="M182" i="5"/>
  <c r="H182" i="5" s="1"/>
  <c r="G182" i="5"/>
  <c r="W181" i="5"/>
  <c r="U181" i="5"/>
  <c r="T181" i="5"/>
  <c r="R181" i="5"/>
  <c r="Q181" i="5"/>
  <c r="P181" i="5"/>
  <c r="O181" i="5"/>
  <c r="X181" i="5" s="1"/>
  <c r="N181" i="5"/>
  <c r="M181" i="5"/>
  <c r="V181" i="5" s="1"/>
  <c r="W180" i="5"/>
  <c r="T180" i="5"/>
  <c r="S180" i="5"/>
  <c r="R180" i="5"/>
  <c r="Q180" i="5"/>
  <c r="P180" i="5"/>
  <c r="O180" i="5"/>
  <c r="U180" i="5" s="1"/>
  <c r="N180" i="5"/>
  <c r="M180" i="5"/>
  <c r="V180" i="5" s="1"/>
  <c r="W179" i="5"/>
  <c r="U179" i="5"/>
  <c r="T179" i="5"/>
  <c r="R179" i="5"/>
  <c r="Q179" i="5"/>
  <c r="P179" i="5"/>
  <c r="O179" i="5"/>
  <c r="X179" i="5" s="1"/>
  <c r="N179" i="5"/>
  <c r="M179" i="5"/>
  <c r="V179" i="5" s="1"/>
  <c r="W178" i="5"/>
  <c r="T178" i="5"/>
  <c r="S178" i="5"/>
  <c r="R178" i="5"/>
  <c r="Q178" i="5"/>
  <c r="P178" i="5"/>
  <c r="O178" i="5"/>
  <c r="U178" i="5" s="1"/>
  <c r="N178" i="5"/>
  <c r="M178" i="5"/>
  <c r="V178" i="5" s="1"/>
  <c r="G178" i="5"/>
  <c r="W177" i="5"/>
  <c r="R177" i="5"/>
  <c r="Q177" i="5"/>
  <c r="P177" i="5"/>
  <c r="O177" i="5"/>
  <c r="O176" i="5" s="1"/>
  <c r="X176" i="5" s="1"/>
  <c r="N177" i="5"/>
  <c r="T177" i="5" s="1"/>
  <c r="T176" i="5" s="1"/>
  <c r="M177" i="5"/>
  <c r="H177" i="5" s="1"/>
  <c r="G177" i="5"/>
  <c r="BK176" i="5"/>
  <c r="BJ176" i="5"/>
  <c r="Q176" i="5" s="1"/>
  <c r="BI176" i="5"/>
  <c r="BH176" i="5"/>
  <c r="BH168" i="5" s="1"/>
  <c r="BG176" i="5"/>
  <c r="BF176" i="5"/>
  <c r="BF168" i="5" s="1"/>
  <c r="BE176" i="5"/>
  <c r="BD176" i="5"/>
  <c r="BC176" i="5"/>
  <c r="BB176" i="5"/>
  <c r="BA176" i="5"/>
  <c r="AZ176" i="5"/>
  <c r="AZ168" i="5" s="1"/>
  <c r="AY176" i="5"/>
  <c r="AX176" i="5"/>
  <c r="AX168" i="5" s="1"/>
  <c r="AW176" i="5"/>
  <c r="AV176" i="5"/>
  <c r="AU176" i="5"/>
  <c r="AT176" i="5"/>
  <c r="AS176" i="5"/>
  <c r="AR176" i="5"/>
  <c r="AR168" i="5" s="1"/>
  <c r="AQ176" i="5"/>
  <c r="AP176" i="5"/>
  <c r="AP168" i="5" s="1"/>
  <c r="AO176" i="5"/>
  <c r="AN176" i="5"/>
  <c r="AM176" i="5"/>
  <c r="AL176" i="5"/>
  <c r="AK176" i="5"/>
  <c r="AJ176" i="5"/>
  <c r="AJ168" i="5" s="1"/>
  <c r="AI176" i="5"/>
  <c r="AH176" i="5"/>
  <c r="AH168" i="5" s="1"/>
  <c r="AG176" i="5"/>
  <c r="AF176" i="5"/>
  <c r="AE176" i="5"/>
  <c r="AD176" i="5"/>
  <c r="R176" i="5" s="1"/>
  <c r="AC176" i="5"/>
  <c r="AB176" i="5"/>
  <c r="P176" i="5" s="1"/>
  <c r="AA176" i="5"/>
  <c r="Z176" i="5"/>
  <c r="Z168" i="5" s="1"/>
  <c r="Y176" i="5"/>
  <c r="N176" i="5"/>
  <c r="W176" i="5" s="1"/>
  <c r="L176" i="5"/>
  <c r="L168" i="5" s="1"/>
  <c r="K176" i="5"/>
  <c r="J176" i="5"/>
  <c r="J168" i="5" s="1"/>
  <c r="I176" i="5"/>
  <c r="G176" i="5"/>
  <c r="F176" i="5"/>
  <c r="E176" i="5"/>
  <c r="X175" i="5"/>
  <c r="V175" i="5"/>
  <c r="S175" i="5"/>
  <c r="R175" i="5"/>
  <c r="Q175" i="5"/>
  <c r="P175" i="5"/>
  <c r="O175" i="5"/>
  <c r="U175" i="5" s="1"/>
  <c r="N175" i="5"/>
  <c r="T175" i="5" s="1"/>
  <c r="M175" i="5"/>
  <c r="H175" i="5"/>
  <c r="G175" i="5"/>
  <c r="X174" i="5"/>
  <c r="V174" i="5"/>
  <c r="U174" i="5"/>
  <c r="R174" i="5"/>
  <c r="Q174" i="5"/>
  <c r="P174" i="5"/>
  <c r="O174" i="5"/>
  <c r="N174" i="5"/>
  <c r="W174" i="5" s="1"/>
  <c r="M174" i="5"/>
  <c r="S174" i="5" s="1"/>
  <c r="H174" i="5"/>
  <c r="G174" i="5"/>
  <c r="X173" i="5"/>
  <c r="V173" i="5"/>
  <c r="T173" i="5"/>
  <c r="S173" i="5"/>
  <c r="R173" i="5"/>
  <c r="Q173" i="5"/>
  <c r="P173" i="5"/>
  <c r="O173" i="5"/>
  <c r="U173" i="5" s="1"/>
  <c r="U169" i="5" s="1"/>
  <c r="N173" i="5"/>
  <c r="W173" i="5" s="1"/>
  <c r="M173" i="5"/>
  <c r="H173" i="5"/>
  <c r="G173" i="5"/>
  <c r="X172" i="5"/>
  <c r="V172" i="5"/>
  <c r="U172" i="5"/>
  <c r="T172" i="5"/>
  <c r="R172" i="5"/>
  <c r="Q172" i="5"/>
  <c r="P172" i="5"/>
  <c r="O172" i="5"/>
  <c r="N172" i="5"/>
  <c r="W172" i="5" s="1"/>
  <c r="M172" i="5"/>
  <c r="S172" i="5" s="1"/>
  <c r="S169" i="5" s="1"/>
  <c r="H172" i="5"/>
  <c r="G172" i="5"/>
  <c r="H171" i="5"/>
  <c r="G171" i="5"/>
  <c r="H170" i="5"/>
  <c r="G170" i="5"/>
  <c r="BK169" i="5"/>
  <c r="BK168" i="5" s="1"/>
  <c r="BJ169" i="5"/>
  <c r="BI169" i="5"/>
  <c r="P169" i="5" s="1"/>
  <c r="BH169" i="5"/>
  <c r="BG169" i="5"/>
  <c r="BG168" i="5" s="1"/>
  <c r="BF169" i="5"/>
  <c r="BE169" i="5"/>
  <c r="BE168" i="5" s="1"/>
  <c r="BD169" i="5"/>
  <c r="BC169" i="5"/>
  <c r="BC168" i="5" s="1"/>
  <c r="BB169" i="5"/>
  <c r="BA169" i="5"/>
  <c r="BA168" i="5" s="1"/>
  <c r="AZ169" i="5"/>
  <c r="AY169" i="5"/>
  <c r="AY168" i="5" s="1"/>
  <c r="AX169" i="5"/>
  <c r="AW169" i="5"/>
  <c r="AW168" i="5" s="1"/>
  <c r="AV169" i="5"/>
  <c r="AU169" i="5"/>
  <c r="AU168" i="5" s="1"/>
  <c r="AT169" i="5"/>
  <c r="AS169" i="5"/>
  <c r="AS168" i="5" s="1"/>
  <c r="AR169" i="5"/>
  <c r="AQ169" i="5"/>
  <c r="AQ168" i="5" s="1"/>
  <c r="AP169" i="5"/>
  <c r="AO169" i="5"/>
  <c r="AO168" i="5" s="1"/>
  <c r="AN169" i="5"/>
  <c r="AM169" i="5"/>
  <c r="AM168" i="5" s="1"/>
  <c r="AL169" i="5"/>
  <c r="AK169" i="5"/>
  <c r="AK168" i="5" s="1"/>
  <c r="AJ169" i="5"/>
  <c r="AI169" i="5"/>
  <c r="AI168" i="5" s="1"/>
  <c r="AH169" i="5"/>
  <c r="AG169" i="5"/>
  <c r="AG168" i="5" s="1"/>
  <c r="AF169" i="5"/>
  <c r="AE169" i="5"/>
  <c r="AE168" i="5" s="1"/>
  <c r="AD169" i="5"/>
  <c r="AC169" i="5"/>
  <c r="AC168" i="5" s="1"/>
  <c r="AB169" i="5"/>
  <c r="AA169" i="5"/>
  <c r="AA168" i="5" s="1"/>
  <c r="Z169" i="5"/>
  <c r="Y169" i="5"/>
  <c r="Y168" i="5" s="1"/>
  <c r="O169" i="5"/>
  <c r="X169" i="5" s="1"/>
  <c r="M169" i="5"/>
  <c r="H169" i="5" s="1"/>
  <c r="L169" i="5"/>
  <c r="K169" i="5"/>
  <c r="K168" i="5" s="1"/>
  <c r="J169" i="5"/>
  <c r="I169" i="5"/>
  <c r="G169" i="5" s="1"/>
  <c r="F169" i="5"/>
  <c r="E169" i="5"/>
  <c r="E168" i="5" s="1"/>
  <c r="BJ168" i="5"/>
  <c r="BD168" i="5"/>
  <c r="BB168" i="5"/>
  <c r="AV168" i="5"/>
  <c r="AT168" i="5"/>
  <c r="AN168" i="5"/>
  <c r="AL168" i="5"/>
  <c r="AF168" i="5"/>
  <c r="AD168" i="5"/>
  <c r="F168" i="5"/>
  <c r="X167" i="5"/>
  <c r="V167" i="5"/>
  <c r="U167" i="5"/>
  <c r="T167" i="5"/>
  <c r="S167" i="5"/>
  <c r="R167" i="5"/>
  <c r="Q167" i="5"/>
  <c r="P167" i="5"/>
  <c r="O167" i="5"/>
  <c r="N167" i="5"/>
  <c r="W167" i="5" s="1"/>
  <c r="H167" i="5"/>
  <c r="G167" i="5"/>
  <c r="W166" i="5"/>
  <c r="R166" i="5"/>
  <c r="Q166" i="5"/>
  <c r="P166" i="5"/>
  <c r="O166" i="5"/>
  <c r="O165" i="5" s="1"/>
  <c r="X165" i="5" s="1"/>
  <c r="N166" i="5"/>
  <c r="T166" i="5" s="1"/>
  <c r="T165" i="5" s="1"/>
  <c r="M166" i="5"/>
  <c r="H166" i="5" s="1"/>
  <c r="G166" i="5"/>
  <c r="BK165" i="5"/>
  <c r="BJ165" i="5"/>
  <c r="Q165" i="5" s="1"/>
  <c r="BI165" i="5"/>
  <c r="BH165" i="5"/>
  <c r="BG165" i="5"/>
  <c r="BF165" i="5"/>
  <c r="BE165" i="5"/>
  <c r="BD165" i="5"/>
  <c r="BC165" i="5"/>
  <c r="BB165" i="5"/>
  <c r="BA165" i="5"/>
  <c r="AZ165" i="5"/>
  <c r="AY165" i="5"/>
  <c r="AX165" i="5"/>
  <c r="AW165" i="5"/>
  <c r="AV165" i="5"/>
  <c r="AU165" i="5"/>
  <c r="AT165" i="5"/>
  <c r="AS165" i="5"/>
  <c r="AR165" i="5"/>
  <c r="AQ165" i="5"/>
  <c r="AP165" i="5"/>
  <c r="AO165" i="5"/>
  <c r="AN165" i="5"/>
  <c r="AM165" i="5"/>
  <c r="AL165" i="5"/>
  <c r="AK165" i="5"/>
  <c r="AJ165" i="5"/>
  <c r="R165" i="5" s="1"/>
  <c r="AI165" i="5"/>
  <c r="AH165" i="5"/>
  <c r="AG165" i="5"/>
  <c r="AF165" i="5"/>
  <c r="AE165" i="5"/>
  <c r="AD165" i="5"/>
  <c r="AC165" i="5"/>
  <c r="AB165" i="5"/>
  <c r="P165" i="5" s="1"/>
  <c r="AA165" i="5"/>
  <c r="Z165" i="5"/>
  <c r="Y165" i="5"/>
  <c r="N165" i="5"/>
  <c r="W165" i="5" s="1"/>
  <c r="L165" i="5"/>
  <c r="K165" i="5"/>
  <c r="J165" i="5"/>
  <c r="I165" i="5"/>
  <c r="G165" i="5"/>
  <c r="F165" i="5"/>
  <c r="E165" i="5"/>
  <c r="X164" i="5"/>
  <c r="V164" i="5"/>
  <c r="S164" i="5"/>
  <c r="R164" i="5"/>
  <c r="Q164" i="5"/>
  <c r="P164" i="5"/>
  <c r="O164" i="5"/>
  <c r="U164" i="5" s="1"/>
  <c r="N164" i="5"/>
  <c r="T164" i="5" s="1"/>
  <c r="M164" i="5"/>
  <c r="H164" i="5"/>
  <c r="G164" i="5"/>
  <c r="X163" i="5"/>
  <c r="V163" i="5"/>
  <c r="U163" i="5"/>
  <c r="R163" i="5"/>
  <c r="Q163" i="5"/>
  <c r="P163" i="5"/>
  <c r="O163" i="5"/>
  <c r="N163" i="5"/>
  <c r="W163" i="5" s="1"/>
  <c r="M163" i="5"/>
  <c r="S163" i="5" s="1"/>
  <c r="S161" i="5" s="1"/>
  <c r="H163" i="5"/>
  <c r="G163" i="5"/>
  <c r="X162" i="5"/>
  <c r="V162" i="5"/>
  <c r="T162" i="5"/>
  <c r="S162" i="5"/>
  <c r="R162" i="5"/>
  <c r="Q162" i="5"/>
  <c r="P162" i="5"/>
  <c r="O162" i="5"/>
  <c r="U162" i="5" s="1"/>
  <c r="U161" i="5" s="1"/>
  <c r="N162" i="5"/>
  <c r="N161" i="5" s="1"/>
  <c r="M162" i="5"/>
  <c r="H162" i="5"/>
  <c r="G162" i="5"/>
  <c r="BK161" i="5"/>
  <c r="BK160" i="5" s="1"/>
  <c r="BJ161" i="5"/>
  <c r="BI161" i="5"/>
  <c r="BI160" i="5" s="1"/>
  <c r="BH161" i="5"/>
  <c r="BG161" i="5"/>
  <c r="BG160" i="5" s="1"/>
  <c r="BG159" i="5" s="1"/>
  <c r="BF161" i="5"/>
  <c r="BE161" i="5"/>
  <c r="BE160" i="5" s="1"/>
  <c r="BE159" i="5" s="1"/>
  <c r="BD161" i="5"/>
  <c r="BC161" i="5"/>
  <c r="BC160" i="5" s="1"/>
  <c r="BB161" i="5"/>
  <c r="BA161" i="5"/>
  <c r="BA160" i="5" s="1"/>
  <c r="BA159" i="5" s="1"/>
  <c r="AZ161" i="5"/>
  <c r="AY161" i="5"/>
  <c r="AY160" i="5" s="1"/>
  <c r="AY159" i="5" s="1"/>
  <c r="AX161" i="5"/>
  <c r="AW161" i="5"/>
  <c r="AW160" i="5" s="1"/>
  <c r="AW159" i="5" s="1"/>
  <c r="AV161" i="5"/>
  <c r="AU161" i="5"/>
  <c r="AU160" i="5" s="1"/>
  <c r="AT161" i="5"/>
  <c r="AS161" i="5"/>
  <c r="AS160" i="5" s="1"/>
  <c r="AS159" i="5" s="1"/>
  <c r="AR161" i="5"/>
  <c r="AQ161" i="5"/>
  <c r="AQ160" i="5" s="1"/>
  <c r="AQ159" i="5" s="1"/>
  <c r="AP161" i="5"/>
  <c r="AO161" i="5"/>
  <c r="AO160" i="5" s="1"/>
  <c r="AO159" i="5" s="1"/>
  <c r="AN161" i="5"/>
  <c r="AM161" i="5"/>
  <c r="AM160" i="5" s="1"/>
  <c r="AL161" i="5"/>
  <c r="AK161" i="5"/>
  <c r="AK160" i="5" s="1"/>
  <c r="AK159" i="5" s="1"/>
  <c r="AJ161" i="5"/>
  <c r="AI161" i="5"/>
  <c r="AI160" i="5" s="1"/>
  <c r="AI159" i="5" s="1"/>
  <c r="AH161" i="5"/>
  <c r="AG161" i="5"/>
  <c r="AG160" i="5" s="1"/>
  <c r="AG159" i="5" s="1"/>
  <c r="AF161" i="5"/>
  <c r="AE161" i="5"/>
  <c r="AE160" i="5" s="1"/>
  <c r="AD161" i="5"/>
  <c r="AC161" i="5"/>
  <c r="AC160" i="5" s="1"/>
  <c r="AC159" i="5" s="1"/>
  <c r="AB161" i="5"/>
  <c r="AA161" i="5"/>
  <c r="AA160" i="5" s="1"/>
  <c r="AA159" i="5" s="1"/>
  <c r="Z161" i="5"/>
  <c r="Y161" i="5"/>
  <c r="Y160" i="5" s="1"/>
  <c r="Y159" i="5" s="1"/>
  <c r="Q161" i="5"/>
  <c r="O161" i="5"/>
  <c r="M161" i="5"/>
  <c r="V161" i="5" s="1"/>
  <c r="L161" i="5"/>
  <c r="K161" i="5"/>
  <c r="K160" i="5" s="1"/>
  <c r="K159" i="5" s="1"/>
  <c r="J161" i="5"/>
  <c r="I161" i="5"/>
  <c r="I160" i="5" s="1"/>
  <c r="F161" i="5"/>
  <c r="E161" i="5"/>
  <c r="E160" i="5" s="1"/>
  <c r="E159" i="5" s="1"/>
  <c r="BJ160" i="5"/>
  <c r="BH160" i="5"/>
  <c r="BF160" i="5"/>
  <c r="BF159" i="5" s="1"/>
  <c r="BD160" i="5"/>
  <c r="BD159" i="5" s="1"/>
  <c r="BB160" i="5"/>
  <c r="BB159" i="5" s="1"/>
  <c r="AZ160" i="5"/>
  <c r="AZ159" i="5" s="1"/>
  <c r="AX160" i="5"/>
  <c r="AX159" i="5" s="1"/>
  <c r="AV160" i="5"/>
  <c r="AV159" i="5" s="1"/>
  <c r="AT160" i="5"/>
  <c r="AT159" i="5" s="1"/>
  <c r="AR160" i="5"/>
  <c r="AP160" i="5"/>
  <c r="AP159" i="5" s="1"/>
  <c r="AN160" i="5"/>
  <c r="AN159" i="5" s="1"/>
  <c r="AL160" i="5"/>
  <c r="AL159" i="5" s="1"/>
  <c r="AJ160" i="5"/>
  <c r="AJ159" i="5" s="1"/>
  <c r="AH160" i="5"/>
  <c r="AH159" i="5" s="1"/>
  <c r="AF160" i="5"/>
  <c r="AF159" i="5" s="1"/>
  <c r="AD160" i="5"/>
  <c r="AD159" i="5" s="1"/>
  <c r="AB160" i="5"/>
  <c r="Z160" i="5"/>
  <c r="Z159" i="5" s="1"/>
  <c r="L160" i="5"/>
  <c r="L159" i="5" s="1"/>
  <c r="J160" i="5"/>
  <c r="F160" i="5"/>
  <c r="F159" i="5" s="1"/>
  <c r="X158" i="5"/>
  <c r="W158" i="5"/>
  <c r="U158" i="5"/>
  <c r="S158" i="5"/>
  <c r="Q158" i="5"/>
  <c r="P158" i="5"/>
  <c r="N158" i="5"/>
  <c r="T158" i="5" s="1"/>
  <c r="M158" i="5"/>
  <c r="V158" i="5" s="1"/>
  <c r="G158" i="5"/>
  <c r="T157" i="5"/>
  <c r="S157" i="5"/>
  <c r="R157" i="5"/>
  <c r="Q157" i="5"/>
  <c r="P157" i="5"/>
  <c r="O157" i="5"/>
  <c r="U157" i="5" s="1"/>
  <c r="N157" i="5"/>
  <c r="M157" i="5"/>
  <c r="X156" i="5"/>
  <c r="V156" i="5"/>
  <c r="S156" i="5"/>
  <c r="R156" i="5"/>
  <c r="Q156" i="5"/>
  <c r="P156" i="5"/>
  <c r="O156" i="5"/>
  <c r="U156" i="5" s="1"/>
  <c r="U154" i="5" s="1"/>
  <c r="N156" i="5"/>
  <c r="T156" i="5" s="1"/>
  <c r="M156" i="5"/>
  <c r="H156" i="5"/>
  <c r="G156" i="5"/>
  <c r="X155" i="5"/>
  <c r="V155" i="5"/>
  <c r="U155" i="5"/>
  <c r="R155" i="5"/>
  <c r="Q155" i="5"/>
  <c r="P155" i="5"/>
  <c r="O155" i="5"/>
  <c r="N155" i="5"/>
  <c r="M155" i="5"/>
  <c r="S155" i="5" s="1"/>
  <c r="S154" i="5" s="1"/>
  <c r="H155" i="5"/>
  <c r="G155" i="5"/>
  <c r="BK154" i="5"/>
  <c r="R154" i="5" s="1"/>
  <c r="BJ154" i="5"/>
  <c r="BI154" i="5"/>
  <c r="P154" i="5" s="1"/>
  <c r="BH154" i="5"/>
  <c r="BG154" i="5"/>
  <c r="BF154" i="5"/>
  <c r="BE154" i="5"/>
  <c r="BD154" i="5"/>
  <c r="BC154" i="5"/>
  <c r="BB154" i="5"/>
  <c r="BA154" i="5"/>
  <c r="AZ154" i="5"/>
  <c r="AY154" i="5"/>
  <c r="AX154" i="5"/>
  <c r="AW154" i="5"/>
  <c r="AV154" i="5"/>
  <c r="AU154" i="5"/>
  <c r="AT154" i="5"/>
  <c r="AS154" i="5"/>
  <c r="AR154" i="5"/>
  <c r="AQ154" i="5"/>
  <c r="AP154" i="5"/>
  <c r="AO154" i="5"/>
  <c r="AN154" i="5"/>
  <c r="AM154" i="5"/>
  <c r="AL154" i="5"/>
  <c r="AK154" i="5"/>
  <c r="AJ154" i="5"/>
  <c r="AI154" i="5"/>
  <c r="Q154" i="5" s="1"/>
  <c r="AH154" i="5"/>
  <c r="AG154" i="5"/>
  <c r="AF154" i="5"/>
  <c r="AE154" i="5"/>
  <c r="AD154" i="5"/>
  <c r="AC154" i="5"/>
  <c r="AB154" i="5"/>
  <c r="AA154" i="5"/>
  <c r="Z154" i="5"/>
  <c r="Y154" i="5"/>
  <c r="O154" i="5"/>
  <c r="X154" i="5" s="1"/>
  <c r="M154" i="5"/>
  <c r="H154" i="5" s="1"/>
  <c r="L154" i="5"/>
  <c r="K154" i="5"/>
  <c r="J154" i="5"/>
  <c r="I154" i="5"/>
  <c r="G154" i="5" s="1"/>
  <c r="F154" i="5"/>
  <c r="E154" i="5"/>
  <c r="W153" i="5"/>
  <c r="R153" i="5"/>
  <c r="Q153" i="5"/>
  <c r="P153" i="5"/>
  <c r="O153" i="5"/>
  <c r="N153" i="5"/>
  <c r="T153" i="5" s="1"/>
  <c r="T150" i="5" s="1"/>
  <c r="M153" i="5"/>
  <c r="H153" i="5" s="1"/>
  <c r="G153" i="5"/>
  <c r="W152" i="5"/>
  <c r="U152" i="5"/>
  <c r="T152" i="5"/>
  <c r="R152" i="5"/>
  <c r="Q152" i="5"/>
  <c r="P152" i="5"/>
  <c r="O152" i="5"/>
  <c r="X152" i="5" s="1"/>
  <c r="N152" i="5"/>
  <c r="M152" i="5"/>
  <c r="W151" i="5"/>
  <c r="T151" i="5"/>
  <c r="S151" i="5"/>
  <c r="R151" i="5"/>
  <c r="Q151" i="5"/>
  <c r="P151" i="5"/>
  <c r="O151" i="5"/>
  <c r="U151" i="5" s="1"/>
  <c r="N151" i="5"/>
  <c r="M151" i="5"/>
  <c r="V151" i="5" s="1"/>
  <c r="G151" i="5"/>
  <c r="BK150" i="5"/>
  <c r="BJ150" i="5"/>
  <c r="BI150" i="5"/>
  <c r="BH150" i="5"/>
  <c r="BG150" i="5"/>
  <c r="BF150" i="5"/>
  <c r="BE150" i="5"/>
  <c r="BD150" i="5"/>
  <c r="BC150" i="5"/>
  <c r="BB150" i="5"/>
  <c r="BA150" i="5"/>
  <c r="AZ150" i="5"/>
  <c r="AY150" i="5"/>
  <c r="AX150" i="5"/>
  <c r="AW150" i="5"/>
  <c r="AV150" i="5"/>
  <c r="AU150" i="5"/>
  <c r="AT150" i="5"/>
  <c r="AS150" i="5"/>
  <c r="AR150" i="5"/>
  <c r="AQ150" i="5"/>
  <c r="AP150" i="5"/>
  <c r="AO150" i="5"/>
  <c r="AN150" i="5"/>
  <c r="AM150" i="5"/>
  <c r="AL150" i="5"/>
  <c r="AK150" i="5"/>
  <c r="AJ150" i="5"/>
  <c r="AI150" i="5"/>
  <c r="AH150" i="5"/>
  <c r="AG150" i="5"/>
  <c r="AF150" i="5"/>
  <c r="AE150" i="5"/>
  <c r="AD150" i="5"/>
  <c r="AC150" i="5"/>
  <c r="AB150" i="5"/>
  <c r="P150" i="5" s="1"/>
  <c r="AA150" i="5"/>
  <c r="Z150" i="5"/>
  <c r="Y150" i="5"/>
  <c r="N150" i="5"/>
  <c r="W150" i="5" s="1"/>
  <c r="L150" i="5"/>
  <c r="K150" i="5"/>
  <c r="J150" i="5"/>
  <c r="I150" i="5"/>
  <c r="G150" i="5" s="1"/>
  <c r="F150" i="5"/>
  <c r="E150" i="5"/>
  <c r="X149" i="5"/>
  <c r="V149" i="5"/>
  <c r="U149" i="5"/>
  <c r="T149" i="5"/>
  <c r="R149" i="5"/>
  <c r="Q149" i="5"/>
  <c r="P149" i="5"/>
  <c r="O149" i="5"/>
  <c r="N149" i="5"/>
  <c r="W149" i="5" s="1"/>
  <c r="M149" i="5"/>
  <c r="S149" i="5" s="1"/>
  <c r="H149" i="5"/>
  <c r="G149" i="5"/>
  <c r="P148" i="5"/>
  <c r="W147" i="5"/>
  <c r="T147" i="5"/>
  <c r="S147" i="5"/>
  <c r="R147" i="5"/>
  <c r="Q147" i="5"/>
  <c r="P147" i="5"/>
  <c r="O147" i="5"/>
  <c r="N147" i="5"/>
  <c r="M147" i="5"/>
  <c r="V147" i="5" s="1"/>
  <c r="G147" i="5"/>
  <c r="W146" i="5"/>
  <c r="U146" i="5"/>
  <c r="R146" i="5"/>
  <c r="Q146" i="5"/>
  <c r="P146" i="5"/>
  <c r="O146" i="5"/>
  <c r="N146" i="5"/>
  <c r="T146" i="5" s="1"/>
  <c r="M146" i="5"/>
  <c r="G146" i="5"/>
  <c r="BK145" i="5"/>
  <c r="BJ145" i="5"/>
  <c r="BI145" i="5"/>
  <c r="BH145" i="5"/>
  <c r="BG145" i="5"/>
  <c r="BF145" i="5"/>
  <c r="BE145" i="5"/>
  <c r="BD145" i="5"/>
  <c r="BC145" i="5"/>
  <c r="BB145" i="5"/>
  <c r="BA145" i="5"/>
  <c r="AZ145" i="5"/>
  <c r="AY145" i="5"/>
  <c r="AX145" i="5"/>
  <c r="AW145" i="5"/>
  <c r="AV145" i="5"/>
  <c r="AU145" i="5"/>
  <c r="AT145" i="5"/>
  <c r="AS145" i="5"/>
  <c r="AR145" i="5"/>
  <c r="AQ145" i="5"/>
  <c r="AP145" i="5"/>
  <c r="AO145" i="5"/>
  <c r="AN145" i="5"/>
  <c r="AM145" i="5"/>
  <c r="AL145" i="5"/>
  <c r="AK145" i="5"/>
  <c r="AJ145" i="5"/>
  <c r="AI145" i="5"/>
  <c r="AH145" i="5"/>
  <c r="AG145" i="5"/>
  <c r="AF145" i="5"/>
  <c r="AE145" i="5"/>
  <c r="AD145" i="5"/>
  <c r="AC145" i="5"/>
  <c r="AB145" i="5"/>
  <c r="AA145" i="5"/>
  <c r="Z145" i="5"/>
  <c r="Y145" i="5"/>
  <c r="T145" i="5"/>
  <c r="R145" i="5"/>
  <c r="N145" i="5"/>
  <c r="W145" i="5" s="1"/>
  <c r="L145" i="5"/>
  <c r="K145" i="5"/>
  <c r="J145" i="5"/>
  <c r="I145" i="5"/>
  <c r="G145" i="5"/>
  <c r="F145" i="5"/>
  <c r="E145" i="5"/>
  <c r="AF144" i="5"/>
  <c r="AF140" i="5" s="1"/>
  <c r="P144" i="5"/>
  <c r="X143" i="5"/>
  <c r="V143" i="5"/>
  <c r="U143" i="5"/>
  <c r="T143" i="5"/>
  <c r="R143" i="5"/>
  <c r="Q143" i="5"/>
  <c r="P143" i="5"/>
  <c r="O143" i="5"/>
  <c r="N143" i="5"/>
  <c r="W143" i="5" s="1"/>
  <c r="M143" i="5"/>
  <c r="S143" i="5" s="1"/>
  <c r="H143" i="5"/>
  <c r="G143" i="5"/>
  <c r="X142" i="5"/>
  <c r="V142" i="5"/>
  <c r="S142" i="5"/>
  <c r="R142" i="5"/>
  <c r="Q142" i="5"/>
  <c r="P142" i="5"/>
  <c r="O142" i="5"/>
  <c r="U142" i="5" s="1"/>
  <c r="N142" i="5"/>
  <c r="M142" i="5"/>
  <c r="H142" i="5"/>
  <c r="G142" i="5"/>
  <c r="X141" i="5"/>
  <c r="X140" i="5" s="1"/>
  <c r="V141" i="5"/>
  <c r="V140" i="5" s="1"/>
  <c r="U141" i="5"/>
  <c r="R141" i="5"/>
  <c r="Q141" i="5"/>
  <c r="P141" i="5"/>
  <c r="O141" i="5"/>
  <c r="N141" i="5"/>
  <c r="M141" i="5"/>
  <c r="S141" i="5" s="1"/>
  <c r="H141" i="5"/>
  <c r="G141" i="5"/>
  <c r="BK140" i="5"/>
  <c r="BJ140" i="5"/>
  <c r="BI140" i="5"/>
  <c r="BH140" i="5"/>
  <c r="BG140" i="5"/>
  <c r="BF140" i="5"/>
  <c r="BE140" i="5"/>
  <c r="BD140" i="5"/>
  <c r="BC140" i="5"/>
  <c r="BB140" i="5"/>
  <c r="BA140" i="5"/>
  <c r="AZ140" i="5"/>
  <c r="AY140" i="5"/>
  <c r="AX140" i="5"/>
  <c r="AW140" i="5"/>
  <c r="AV140" i="5"/>
  <c r="AU140" i="5"/>
  <c r="AT140" i="5"/>
  <c r="AS140" i="5"/>
  <c r="AR140" i="5"/>
  <c r="AQ140" i="5"/>
  <c r="AP140" i="5"/>
  <c r="AO140" i="5"/>
  <c r="AN140" i="5"/>
  <c r="AM140" i="5"/>
  <c r="AL140" i="5"/>
  <c r="AK140" i="5"/>
  <c r="AJ140" i="5"/>
  <c r="AI140" i="5"/>
  <c r="AH140" i="5"/>
  <c r="AG140" i="5"/>
  <c r="AE140" i="5"/>
  <c r="AD140" i="5"/>
  <c r="AC140" i="5"/>
  <c r="AB140" i="5"/>
  <c r="AA140" i="5"/>
  <c r="Z140" i="5"/>
  <c r="Y140" i="5"/>
  <c r="U140" i="5"/>
  <c r="S140" i="5"/>
  <c r="Q140" i="5"/>
  <c r="O140" i="5"/>
  <c r="M140" i="5"/>
  <c r="H140" i="5" s="1"/>
  <c r="L140" i="5"/>
  <c r="K140" i="5"/>
  <c r="J140" i="5"/>
  <c r="I140" i="5"/>
  <c r="G140" i="5"/>
  <c r="F140" i="5"/>
  <c r="E140" i="5"/>
  <c r="W139" i="5"/>
  <c r="R139" i="5"/>
  <c r="Q139" i="5"/>
  <c r="P139" i="5"/>
  <c r="O139" i="5"/>
  <c r="X139" i="5" s="1"/>
  <c r="N139" i="5"/>
  <c r="T139" i="5" s="1"/>
  <c r="M139" i="5"/>
  <c r="S139" i="5" s="1"/>
  <c r="G139" i="5"/>
  <c r="W138" i="5"/>
  <c r="T138" i="5"/>
  <c r="S138" i="5"/>
  <c r="R138" i="5"/>
  <c r="Q138" i="5"/>
  <c r="P138" i="5"/>
  <c r="O138" i="5"/>
  <c r="X138" i="5" s="1"/>
  <c r="N138" i="5"/>
  <c r="M138" i="5"/>
  <c r="G138" i="5"/>
  <c r="AF137" i="5"/>
  <c r="X137" i="5"/>
  <c r="X136" i="5" s="1"/>
  <c r="V137" i="5"/>
  <c r="V136" i="5" s="1"/>
  <c r="S137" i="5"/>
  <c r="R137" i="5"/>
  <c r="Q137" i="5"/>
  <c r="P137" i="5"/>
  <c r="O137" i="5"/>
  <c r="U137" i="5" s="1"/>
  <c r="N137" i="5"/>
  <c r="T137" i="5" s="1"/>
  <c r="T136" i="5" s="1"/>
  <c r="M137" i="5"/>
  <c r="H137" i="5"/>
  <c r="G137" i="5"/>
  <c r="BK136" i="5"/>
  <c r="BJ136" i="5"/>
  <c r="BI136" i="5"/>
  <c r="BH136" i="5"/>
  <c r="BG136" i="5"/>
  <c r="BF136" i="5"/>
  <c r="BE136" i="5"/>
  <c r="BD136" i="5"/>
  <c r="BC136" i="5"/>
  <c r="BB136" i="5"/>
  <c r="BA136" i="5"/>
  <c r="AZ136" i="5"/>
  <c r="AY136" i="5"/>
  <c r="AX136" i="5"/>
  <c r="AW136" i="5"/>
  <c r="AV136" i="5"/>
  <c r="AU136" i="5"/>
  <c r="AT136" i="5"/>
  <c r="AS136" i="5"/>
  <c r="AR136" i="5"/>
  <c r="AQ136" i="5"/>
  <c r="AP136" i="5"/>
  <c r="AO136" i="5"/>
  <c r="AN136" i="5"/>
  <c r="AM136" i="5"/>
  <c r="AL136" i="5"/>
  <c r="AK136" i="5"/>
  <c r="AJ136" i="5"/>
  <c r="AI136" i="5"/>
  <c r="Q136" i="5" s="1"/>
  <c r="AH136" i="5"/>
  <c r="AG136" i="5"/>
  <c r="AF136" i="5"/>
  <c r="AE136" i="5"/>
  <c r="AD136" i="5"/>
  <c r="AC136" i="5"/>
  <c r="AB136" i="5"/>
  <c r="AA136" i="5"/>
  <c r="Z136" i="5"/>
  <c r="Y136" i="5"/>
  <c r="M136" i="5"/>
  <c r="H136" i="5" s="1"/>
  <c r="L136" i="5"/>
  <c r="K136" i="5"/>
  <c r="J136" i="5"/>
  <c r="I136" i="5"/>
  <c r="G136" i="5" s="1"/>
  <c r="F136" i="5"/>
  <c r="E136" i="5"/>
  <c r="W135" i="5"/>
  <c r="T135" i="5"/>
  <c r="R135" i="5"/>
  <c r="Q135" i="5"/>
  <c r="P135" i="5"/>
  <c r="O135" i="5"/>
  <c r="X135" i="5" s="1"/>
  <c r="N135" i="5"/>
  <c r="M135" i="5"/>
  <c r="S135" i="5" s="1"/>
  <c r="G135" i="5"/>
  <c r="W134" i="5"/>
  <c r="U134" i="5"/>
  <c r="R134" i="5"/>
  <c r="Q134" i="5"/>
  <c r="P134" i="5"/>
  <c r="O134" i="5"/>
  <c r="X134" i="5" s="1"/>
  <c r="N134" i="5"/>
  <c r="T134" i="5" s="1"/>
  <c r="M134" i="5"/>
  <c r="S134" i="5" s="1"/>
  <c r="G134" i="5"/>
  <c r="W133" i="5"/>
  <c r="T133" i="5"/>
  <c r="S133" i="5"/>
  <c r="R133" i="5"/>
  <c r="Q133" i="5"/>
  <c r="P133" i="5"/>
  <c r="O133" i="5"/>
  <c r="X133" i="5" s="1"/>
  <c r="N133" i="5"/>
  <c r="M133" i="5"/>
  <c r="G133" i="5"/>
  <c r="W132" i="5"/>
  <c r="U132" i="5"/>
  <c r="R132" i="5"/>
  <c r="Q132" i="5"/>
  <c r="P132" i="5"/>
  <c r="O132" i="5"/>
  <c r="X132" i="5" s="1"/>
  <c r="N132" i="5"/>
  <c r="T132" i="5" s="1"/>
  <c r="T130" i="5" s="1"/>
  <c r="M132" i="5"/>
  <c r="S132" i="5" s="1"/>
  <c r="G132" i="5"/>
  <c r="W131" i="5"/>
  <c r="W130" i="5" s="1"/>
  <c r="T131" i="5"/>
  <c r="R131" i="5"/>
  <c r="Q131" i="5"/>
  <c r="P131" i="5"/>
  <c r="O131" i="5"/>
  <c r="U131" i="5" s="1"/>
  <c r="N131" i="5"/>
  <c r="M131" i="5"/>
  <c r="S131" i="5" s="1"/>
  <c r="S130" i="5" s="1"/>
  <c r="G131" i="5"/>
  <c r="BK130" i="5"/>
  <c r="BJ130" i="5"/>
  <c r="BI130" i="5"/>
  <c r="BH130" i="5"/>
  <c r="BG130" i="5"/>
  <c r="BF130" i="5"/>
  <c r="BE130" i="5"/>
  <c r="BD130" i="5"/>
  <c r="BC130" i="5"/>
  <c r="BB130" i="5"/>
  <c r="BA130" i="5"/>
  <c r="AZ130" i="5"/>
  <c r="AY130" i="5"/>
  <c r="AX130" i="5"/>
  <c r="AW130" i="5"/>
  <c r="AV130" i="5"/>
  <c r="AU130" i="5"/>
  <c r="AT130" i="5"/>
  <c r="AS130" i="5"/>
  <c r="AR130" i="5"/>
  <c r="AQ130" i="5"/>
  <c r="AP130" i="5"/>
  <c r="AO130" i="5"/>
  <c r="AN130" i="5"/>
  <c r="AM130" i="5"/>
  <c r="AL130" i="5"/>
  <c r="AK130" i="5"/>
  <c r="AJ130" i="5"/>
  <c r="R130" i="5" s="1"/>
  <c r="AI130" i="5"/>
  <c r="AH130" i="5"/>
  <c r="AG130" i="5"/>
  <c r="AF130" i="5"/>
  <c r="AE130" i="5"/>
  <c r="AD130" i="5"/>
  <c r="AC130" i="5"/>
  <c r="AB130" i="5"/>
  <c r="AA130" i="5"/>
  <c r="Z130" i="5"/>
  <c r="Y130" i="5"/>
  <c r="P130" i="5"/>
  <c r="N130" i="5"/>
  <c r="L130" i="5"/>
  <c r="K130" i="5"/>
  <c r="J130" i="5"/>
  <c r="I130" i="5"/>
  <c r="G130" i="5" s="1"/>
  <c r="F130" i="5"/>
  <c r="E130" i="5"/>
  <c r="X129" i="5"/>
  <c r="V129" i="5"/>
  <c r="U129" i="5"/>
  <c r="T129" i="5"/>
  <c r="R129" i="5"/>
  <c r="Q129" i="5"/>
  <c r="P129" i="5"/>
  <c r="O129" i="5"/>
  <c r="N129" i="5"/>
  <c r="W129" i="5" s="1"/>
  <c r="M129" i="5"/>
  <c r="S129" i="5" s="1"/>
  <c r="H129" i="5"/>
  <c r="G129" i="5"/>
  <c r="AC128" i="5"/>
  <c r="Q128" i="5" s="1"/>
  <c r="U128" i="5"/>
  <c r="T128" i="5"/>
  <c r="R128" i="5"/>
  <c r="P128" i="5"/>
  <c r="O128" i="5"/>
  <c r="N128" i="5"/>
  <c r="M128" i="5"/>
  <c r="S128" i="5" s="1"/>
  <c r="X127" i="5"/>
  <c r="U127" i="5"/>
  <c r="T127" i="5"/>
  <c r="R127" i="5"/>
  <c r="Q127" i="5"/>
  <c r="P127" i="5"/>
  <c r="O127" i="5"/>
  <c r="N127" i="5"/>
  <c r="W127" i="5" s="1"/>
  <c r="M127" i="5"/>
  <c r="S127" i="5" s="1"/>
  <c r="H127" i="5"/>
  <c r="G127" i="5"/>
  <c r="X126" i="5"/>
  <c r="V126" i="5"/>
  <c r="S126" i="5"/>
  <c r="R126" i="5"/>
  <c r="Q126" i="5"/>
  <c r="P126" i="5"/>
  <c r="O126" i="5"/>
  <c r="U126" i="5" s="1"/>
  <c r="N126" i="5"/>
  <c r="W126" i="5" s="1"/>
  <c r="M126" i="5"/>
  <c r="H126" i="5"/>
  <c r="G126" i="5"/>
  <c r="X125" i="5"/>
  <c r="V125" i="5"/>
  <c r="U125" i="5"/>
  <c r="T125" i="5"/>
  <c r="R125" i="5"/>
  <c r="Q125" i="5"/>
  <c r="P125" i="5"/>
  <c r="O125" i="5"/>
  <c r="N125" i="5"/>
  <c r="M125" i="5"/>
  <c r="S125" i="5" s="1"/>
  <c r="J125" i="5"/>
  <c r="J120" i="5" s="1"/>
  <c r="J119" i="5" s="1"/>
  <c r="J96" i="5" s="1"/>
  <c r="G125" i="5"/>
  <c r="W124" i="5"/>
  <c r="T124" i="5"/>
  <c r="R124" i="5"/>
  <c r="Q124" i="5"/>
  <c r="P124" i="5"/>
  <c r="O124" i="5"/>
  <c r="X124" i="5" s="1"/>
  <c r="N124" i="5"/>
  <c r="M124" i="5"/>
  <c r="V124" i="5" s="1"/>
  <c r="H124" i="5"/>
  <c r="G124" i="5"/>
  <c r="U123" i="5"/>
  <c r="R123" i="5"/>
  <c r="Q123" i="5"/>
  <c r="P123" i="5"/>
  <c r="O123" i="5"/>
  <c r="X123" i="5" s="1"/>
  <c r="N123" i="5"/>
  <c r="T123" i="5" s="1"/>
  <c r="M123" i="5"/>
  <c r="H123" i="5" s="1"/>
  <c r="G123" i="5"/>
  <c r="W122" i="5"/>
  <c r="T122" i="5"/>
  <c r="R122" i="5"/>
  <c r="Q122" i="5"/>
  <c r="P122" i="5"/>
  <c r="O122" i="5"/>
  <c r="X122" i="5" s="1"/>
  <c r="N122" i="5"/>
  <c r="M122" i="5"/>
  <c r="V122" i="5" s="1"/>
  <c r="H122" i="5"/>
  <c r="G122" i="5"/>
  <c r="U121" i="5"/>
  <c r="R121" i="5"/>
  <c r="Q121" i="5"/>
  <c r="P121" i="5"/>
  <c r="O121" i="5"/>
  <c r="X121" i="5" s="1"/>
  <c r="N121" i="5"/>
  <c r="T121" i="5" s="1"/>
  <c r="M121" i="5"/>
  <c r="H121" i="5" s="1"/>
  <c r="G121" i="5"/>
  <c r="BK120" i="5"/>
  <c r="R120" i="5" s="1"/>
  <c r="BJ120" i="5"/>
  <c r="BJ119" i="5" s="1"/>
  <c r="BJ96" i="5" s="1"/>
  <c r="BI120" i="5"/>
  <c r="BH120" i="5"/>
  <c r="BG120" i="5"/>
  <c r="BF120" i="5"/>
  <c r="BE120" i="5"/>
  <c r="BD120" i="5"/>
  <c r="BD119" i="5" s="1"/>
  <c r="BC120" i="5"/>
  <c r="BB120" i="5"/>
  <c r="BB119" i="5" s="1"/>
  <c r="BB96" i="5" s="1"/>
  <c r="BA120" i="5"/>
  <c r="AZ120" i="5"/>
  <c r="AY120" i="5"/>
  <c r="AX120" i="5"/>
  <c r="AW120" i="5"/>
  <c r="AV120" i="5"/>
  <c r="AV119" i="5" s="1"/>
  <c r="AU120" i="5"/>
  <c r="AT120" i="5"/>
  <c r="AT119" i="5" s="1"/>
  <c r="AT96" i="5" s="1"/>
  <c r="AS120" i="5"/>
  <c r="AS119" i="5" s="1"/>
  <c r="AS96" i="5" s="1"/>
  <c r="AR120" i="5"/>
  <c r="AQ120" i="5"/>
  <c r="AP120" i="5"/>
  <c r="AO120" i="5"/>
  <c r="AN120" i="5"/>
  <c r="AN119" i="5" s="1"/>
  <c r="AM120" i="5"/>
  <c r="AL120" i="5"/>
  <c r="AL119" i="5" s="1"/>
  <c r="AL96" i="5" s="1"/>
  <c r="AK120" i="5"/>
  <c r="AK119" i="5" s="1"/>
  <c r="AK96" i="5" s="1"/>
  <c r="AJ120" i="5"/>
  <c r="AI120" i="5"/>
  <c r="AH120" i="5"/>
  <c r="AG120" i="5"/>
  <c r="AF120" i="5"/>
  <c r="Q120" i="5" s="1"/>
  <c r="AE120" i="5"/>
  <c r="AD120" i="5"/>
  <c r="AD119" i="5" s="1"/>
  <c r="AD96" i="5" s="1"/>
  <c r="AC120" i="5"/>
  <c r="AC119" i="5" s="1"/>
  <c r="AC96" i="5" s="1"/>
  <c r="AB120" i="5"/>
  <c r="AA120" i="5"/>
  <c r="Z120" i="5"/>
  <c r="Y120" i="5"/>
  <c r="X120" i="5"/>
  <c r="P120" i="5"/>
  <c r="O120" i="5"/>
  <c r="N120" i="5"/>
  <c r="W120" i="5" s="1"/>
  <c r="L120" i="5"/>
  <c r="K120" i="5"/>
  <c r="I120" i="5"/>
  <c r="G120" i="5" s="1"/>
  <c r="F120" i="5"/>
  <c r="F119" i="5" s="1"/>
  <c r="F96" i="5" s="1"/>
  <c r="E120" i="5"/>
  <c r="E119" i="5" s="1"/>
  <c r="E96" i="5" s="1"/>
  <c r="E3" i="5" s="1"/>
  <c r="BK119" i="5"/>
  <c r="BI119" i="5"/>
  <c r="BH119" i="5"/>
  <c r="BG119" i="5"/>
  <c r="BF119" i="5"/>
  <c r="BE119" i="5"/>
  <c r="BC119" i="5"/>
  <c r="BA119" i="5"/>
  <c r="AZ119" i="5"/>
  <c r="AY119" i="5"/>
  <c r="AX119" i="5"/>
  <c r="AW119" i="5"/>
  <c r="AU119" i="5"/>
  <c r="AR119" i="5"/>
  <c r="AQ119" i="5"/>
  <c r="AP119" i="5"/>
  <c r="AO119" i="5"/>
  <c r="AM119" i="5"/>
  <c r="AJ119" i="5"/>
  <c r="AI119" i="5"/>
  <c r="AH119" i="5"/>
  <c r="AG119" i="5"/>
  <c r="AE119" i="5"/>
  <c r="AB119" i="5"/>
  <c r="AA119" i="5"/>
  <c r="Z119" i="5"/>
  <c r="Y119" i="5"/>
  <c r="L119" i="5"/>
  <c r="K119" i="5"/>
  <c r="I119" i="5"/>
  <c r="W118" i="5"/>
  <c r="R118" i="5"/>
  <c r="Q118" i="5"/>
  <c r="P118" i="5"/>
  <c r="O118" i="5"/>
  <c r="X118" i="5" s="1"/>
  <c r="N118" i="5"/>
  <c r="T118" i="5" s="1"/>
  <c r="M118" i="5"/>
  <c r="V118" i="5" s="1"/>
  <c r="G118" i="5"/>
  <c r="V117" i="5"/>
  <c r="T117" i="5"/>
  <c r="S117" i="5"/>
  <c r="R117" i="5"/>
  <c r="Q117" i="5"/>
  <c r="P117" i="5"/>
  <c r="O117" i="5"/>
  <c r="U117" i="5" s="1"/>
  <c r="N117" i="5"/>
  <c r="M117" i="5"/>
  <c r="W116" i="5"/>
  <c r="R116" i="5"/>
  <c r="Q116" i="5"/>
  <c r="P116" i="5"/>
  <c r="O116" i="5"/>
  <c r="X116" i="5" s="1"/>
  <c r="N116" i="5"/>
  <c r="T116" i="5" s="1"/>
  <c r="M116" i="5"/>
  <c r="V116" i="5" s="1"/>
  <c r="G116" i="5"/>
  <c r="X115" i="5"/>
  <c r="U115" i="5"/>
  <c r="R115" i="5"/>
  <c r="Q115" i="5"/>
  <c r="P115" i="5"/>
  <c r="O115" i="5"/>
  <c r="N115" i="5"/>
  <c r="W115" i="5" s="1"/>
  <c r="M115" i="5"/>
  <c r="V115" i="5" s="1"/>
  <c r="G115" i="5"/>
  <c r="BK114" i="5"/>
  <c r="BJ114" i="5"/>
  <c r="BI114" i="5"/>
  <c r="BH114" i="5"/>
  <c r="BG114" i="5"/>
  <c r="BF114" i="5"/>
  <c r="BE114" i="5"/>
  <c r="BD114" i="5"/>
  <c r="BC114" i="5"/>
  <c r="BB114" i="5"/>
  <c r="BA114" i="5"/>
  <c r="AZ114" i="5"/>
  <c r="AY114" i="5"/>
  <c r="AX114" i="5"/>
  <c r="AW114" i="5"/>
  <c r="AV114" i="5"/>
  <c r="AU114" i="5"/>
  <c r="AT114" i="5"/>
  <c r="AS114" i="5"/>
  <c r="AR114" i="5"/>
  <c r="AQ114" i="5"/>
  <c r="AP114" i="5"/>
  <c r="AO114" i="5"/>
  <c r="AN114" i="5"/>
  <c r="AM114" i="5"/>
  <c r="AL114" i="5"/>
  <c r="AK114" i="5"/>
  <c r="AJ114" i="5"/>
  <c r="AI114" i="5"/>
  <c r="AH114" i="5"/>
  <c r="P114" i="5" s="1"/>
  <c r="AG114" i="5"/>
  <c r="AF114" i="5"/>
  <c r="AE114" i="5"/>
  <c r="AD114" i="5"/>
  <c r="AC114" i="5"/>
  <c r="AB114" i="5"/>
  <c r="AA114" i="5"/>
  <c r="Z114" i="5"/>
  <c r="Q114" i="5" s="1"/>
  <c r="Y114" i="5"/>
  <c r="R114" i="5"/>
  <c r="L114" i="5"/>
  <c r="J114" i="5"/>
  <c r="I114" i="5"/>
  <c r="G114" i="5" s="1"/>
  <c r="F114" i="5"/>
  <c r="E114" i="5"/>
  <c r="X113" i="5"/>
  <c r="U113" i="5"/>
  <c r="R113" i="5"/>
  <c r="Q113" i="5"/>
  <c r="P113" i="5"/>
  <c r="O113" i="5"/>
  <c r="N113" i="5"/>
  <c r="W113" i="5" s="1"/>
  <c r="M113" i="5"/>
  <c r="V113" i="5" s="1"/>
  <c r="G113" i="5"/>
  <c r="W112" i="5"/>
  <c r="V112" i="5"/>
  <c r="T112" i="5"/>
  <c r="S112" i="5"/>
  <c r="R112" i="5"/>
  <c r="Q112" i="5"/>
  <c r="P112" i="5"/>
  <c r="O112" i="5"/>
  <c r="U112" i="5" s="1"/>
  <c r="N112" i="5"/>
  <c r="M112" i="5"/>
  <c r="H112" i="5"/>
  <c r="G112" i="5"/>
  <c r="W111" i="5"/>
  <c r="T111" i="5"/>
  <c r="R111" i="5"/>
  <c r="Q111" i="5"/>
  <c r="P111" i="5"/>
  <c r="O111" i="5"/>
  <c r="X111" i="5" s="1"/>
  <c r="N111" i="5"/>
  <c r="M111" i="5"/>
  <c r="S111" i="5" s="1"/>
  <c r="G111" i="5"/>
  <c r="W110" i="5"/>
  <c r="R110" i="5"/>
  <c r="Q110" i="5"/>
  <c r="P110" i="5"/>
  <c r="O110" i="5"/>
  <c r="X110" i="5" s="1"/>
  <c r="N110" i="5"/>
  <c r="T110" i="5" s="1"/>
  <c r="M110" i="5"/>
  <c r="V110" i="5" s="1"/>
  <c r="G110" i="5"/>
  <c r="X109" i="5"/>
  <c r="U109" i="5"/>
  <c r="R109" i="5"/>
  <c r="Q109" i="5"/>
  <c r="P109" i="5"/>
  <c r="O109" i="5"/>
  <c r="N109" i="5"/>
  <c r="W109" i="5" s="1"/>
  <c r="M109" i="5"/>
  <c r="V109" i="5" s="1"/>
  <c r="G109" i="5"/>
  <c r="W108" i="5"/>
  <c r="V108" i="5"/>
  <c r="T108" i="5"/>
  <c r="S108" i="5"/>
  <c r="R108" i="5"/>
  <c r="Q108" i="5"/>
  <c r="P108" i="5"/>
  <c r="O108" i="5"/>
  <c r="U108" i="5" s="1"/>
  <c r="N108" i="5"/>
  <c r="M108" i="5"/>
  <c r="H108" i="5"/>
  <c r="G108" i="5"/>
  <c r="W107" i="5"/>
  <c r="T107" i="5"/>
  <c r="R107" i="5"/>
  <c r="Q107" i="5"/>
  <c r="P107" i="5"/>
  <c r="O107" i="5"/>
  <c r="X107" i="5" s="1"/>
  <c r="N107" i="5"/>
  <c r="M107" i="5"/>
  <c r="S107" i="5" s="1"/>
  <c r="G107" i="5"/>
  <c r="W106" i="5"/>
  <c r="R106" i="5"/>
  <c r="Q106" i="5"/>
  <c r="P106" i="5"/>
  <c r="O106" i="5"/>
  <c r="X106" i="5" s="1"/>
  <c r="N106" i="5"/>
  <c r="T106" i="5" s="1"/>
  <c r="M106" i="5"/>
  <c r="V106" i="5" s="1"/>
  <c r="G106" i="5"/>
  <c r="X105" i="5"/>
  <c r="U105" i="5"/>
  <c r="R105" i="5"/>
  <c r="Q105" i="5"/>
  <c r="P105" i="5"/>
  <c r="O105" i="5"/>
  <c r="N105" i="5"/>
  <c r="W105" i="5" s="1"/>
  <c r="M105" i="5"/>
  <c r="V105" i="5" s="1"/>
  <c r="G105" i="5"/>
  <c r="W104" i="5"/>
  <c r="V104" i="5"/>
  <c r="T104" i="5"/>
  <c r="S104" i="5"/>
  <c r="R104" i="5"/>
  <c r="Q104" i="5"/>
  <c r="P104" i="5"/>
  <c r="O104" i="5"/>
  <c r="U104" i="5" s="1"/>
  <c r="N104" i="5"/>
  <c r="M104" i="5"/>
  <c r="H104" i="5"/>
  <c r="G104" i="5"/>
  <c r="V103" i="5"/>
  <c r="S103" i="5"/>
  <c r="R103" i="5"/>
  <c r="Q103" i="5"/>
  <c r="P103" i="5"/>
  <c r="O103" i="5"/>
  <c r="U103" i="5" s="1"/>
  <c r="N103" i="5"/>
  <c r="W103" i="5" s="1"/>
  <c r="M103" i="5"/>
  <c r="H103" i="5"/>
  <c r="G103" i="5"/>
  <c r="V102" i="5"/>
  <c r="R102" i="5"/>
  <c r="Q102" i="5"/>
  <c r="P102" i="5"/>
  <c r="O102" i="5"/>
  <c r="X102" i="5" s="1"/>
  <c r="N102" i="5"/>
  <c r="W102" i="5" s="1"/>
  <c r="M102" i="5"/>
  <c r="S102" i="5" s="1"/>
  <c r="H102" i="5"/>
  <c r="G102" i="5"/>
  <c r="X101" i="5"/>
  <c r="W101" i="5"/>
  <c r="U101" i="5"/>
  <c r="T101" i="5"/>
  <c r="R101" i="5"/>
  <c r="Q101" i="5"/>
  <c r="P101" i="5"/>
  <c r="O101" i="5"/>
  <c r="N101" i="5"/>
  <c r="M101" i="5"/>
  <c r="V101" i="5" s="1"/>
  <c r="H101" i="5"/>
  <c r="G101" i="5"/>
  <c r="X100" i="5"/>
  <c r="V100" i="5"/>
  <c r="U100" i="5"/>
  <c r="S100" i="5"/>
  <c r="R100" i="5"/>
  <c r="Q100" i="5"/>
  <c r="P100" i="5"/>
  <c r="O100" i="5"/>
  <c r="N100" i="5"/>
  <c r="T100" i="5" s="1"/>
  <c r="M100" i="5"/>
  <c r="H100" i="5" s="1"/>
  <c r="G100" i="5"/>
  <c r="X99" i="5"/>
  <c r="V99" i="5"/>
  <c r="S99" i="5"/>
  <c r="R99" i="5"/>
  <c r="Q99" i="5"/>
  <c r="P99" i="5"/>
  <c r="O99" i="5"/>
  <c r="U99" i="5" s="1"/>
  <c r="N99" i="5"/>
  <c r="W99" i="5" s="1"/>
  <c r="M99" i="5"/>
  <c r="H99" i="5"/>
  <c r="G99" i="5"/>
  <c r="V98" i="5"/>
  <c r="R98" i="5"/>
  <c r="Q98" i="5"/>
  <c r="P98" i="5"/>
  <c r="O98" i="5"/>
  <c r="X98" i="5" s="1"/>
  <c r="N98" i="5"/>
  <c r="W98" i="5" s="1"/>
  <c r="M98" i="5"/>
  <c r="M97" i="5" s="1"/>
  <c r="H98" i="5"/>
  <c r="G98" i="5"/>
  <c r="BK97" i="5"/>
  <c r="BJ97" i="5"/>
  <c r="BI97" i="5"/>
  <c r="BH97" i="5"/>
  <c r="BG97" i="5"/>
  <c r="BG96" i="5" s="1"/>
  <c r="BF97" i="5"/>
  <c r="BE97" i="5"/>
  <c r="BE96" i="5" s="1"/>
  <c r="BE3" i="5" s="1"/>
  <c r="BD97" i="5"/>
  <c r="BD96" i="5" s="1"/>
  <c r="BC97" i="5"/>
  <c r="BB97" i="5"/>
  <c r="BA97" i="5"/>
  <c r="AZ97" i="5"/>
  <c r="AY97" i="5"/>
  <c r="AY96" i="5" s="1"/>
  <c r="AX97" i="5"/>
  <c r="AW97" i="5"/>
  <c r="AW96" i="5" s="1"/>
  <c r="AW3" i="5" s="1"/>
  <c r="AV97" i="5"/>
  <c r="AV96" i="5" s="1"/>
  <c r="AU97" i="5"/>
  <c r="AT97" i="5"/>
  <c r="AS97" i="5"/>
  <c r="AR97" i="5"/>
  <c r="AQ97" i="5"/>
  <c r="AQ96" i="5" s="1"/>
  <c r="AP97" i="5"/>
  <c r="AO97" i="5"/>
  <c r="AO96" i="5" s="1"/>
  <c r="AO3" i="5" s="1"/>
  <c r="AN97" i="5"/>
  <c r="AN96" i="5" s="1"/>
  <c r="AM97" i="5"/>
  <c r="AL97" i="5"/>
  <c r="AK97" i="5"/>
  <c r="AJ97" i="5"/>
  <c r="AI97" i="5"/>
  <c r="Q97" i="5" s="1"/>
  <c r="AH97" i="5"/>
  <c r="AG97" i="5"/>
  <c r="AG96" i="5" s="1"/>
  <c r="AG3" i="5" s="1"/>
  <c r="AF97" i="5"/>
  <c r="AE97" i="5"/>
  <c r="AD97" i="5"/>
  <c r="AC97" i="5"/>
  <c r="AB97" i="5"/>
  <c r="AA97" i="5"/>
  <c r="R97" i="5" s="1"/>
  <c r="Z97" i="5"/>
  <c r="Y97" i="5"/>
  <c r="P97" i="5" s="1"/>
  <c r="L97" i="5"/>
  <c r="K97" i="5"/>
  <c r="K96" i="5" s="1"/>
  <c r="J97" i="5"/>
  <c r="I97" i="5"/>
  <c r="G97" i="5" s="1"/>
  <c r="F97" i="5"/>
  <c r="E97" i="5"/>
  <c r="BK96" i="5"/>
  <c r="BI96" i="5"/>
  <c r="BH96" i="5"/>
  <c r="BF96" i="5"/>
  <c r="BC96" i="5"/>
  <c r="BA96" i="5"/>
  <c r="AZ96" i="5"/>
  <c r="AX96" i="5"/>
  <c r="AU96" i="5"/>
  <c r="AR96" i="5"/>
  <c r="AP96" i="5"/>
  <c r="AM96" i="5"/>
  <c r="AJ96" i="5"/>
  <c r="AH96" i="5"/>
  <c r="AE96" i="5"/>
  <c r="AB96" i="5"/>
  <c r="Z96" i="5"/>
  <c r="L96" i="5"/>
  <c r="X95" i="5"/>
  <c r="V95" i="5"/>
  <c r="U95" i="5"/>
  <c r="S95" i="5"/>
  <c r="R95" i="5"/>
  <c r="Q95" i="5"/>
  <c r="P95" i="5"/>
  <c r="O95" i="5"/>
  <c r="N95" i="5"/>
  <c r="T95" i="5" s="1"/>
  <c r="M95" i="5"/>
  <c r="H95" i="5" s="1"/>
  <c r="G95" i="5"/>
  <c r="X94" i="5"/>
  <c r="V94" i="5"/>
  <c r="S94" i="5"/>
  <c r="R94" i="5"/>
  <c r="Q94" i="5"/>
  <c r="P94" i="5"/>
  <c r="O94" i="5"/>
  <c r="U94" i="5" s="1"/>
  <c r="N94" i="5"/>
  <c r="W94" i="5" s="1"/>
  <c r="M94" i="5"/>
  <c r="H94" i="5"/>
  <c r="G94" i="5"/>
  <c r="Q93" i="5"/>
  <c r="P93" i="5"/>
  <c r="I93" i="5"/>
  <c r="I89" i="5" s="1"/>
  <c r="Q92" i="5"/>
  <c r="P92" i="5"/>
  <c r="W91" i="5"/>
  <c r="V91" i="5"/>
  <c r="T91" i="5"/>
  <c r="S91" i="5"/>
  <c r="S89" i="5" s="1"/>
  <c r="R91" i="5"/>
  <c r="Q91" i="5"/>
  <c r="P91" i="5"/>
  <c r="O91" i="5"/>
  <c r="U91" i="5" s="1"/>
  <c r="U89" i="5" s="1"/>
  <c r="N91" i="5"/>
  <c r="M91" i="5"/>
  <c r="H91" i="5"/>
  <c r="G91" i="5"/>
  <c r="BK89" i="5"/>
  <c r="R89" i="5" s="1"/>
  <c r="BJ89" i="5"/>
  <c r="Q89" i="5" s="1"/>
  <c r="BI89" i="5"/>
  <c r="BH89" i="5"/>
  <c r="BG89" i="5"/>
  <c r="BF89" i="5"/>
  <c r="BE89" i="5"/>
  <c r="BD89" i="5"/>
  <c r="BC89" i="5"/>
  <c r="BB89" i="5"/>
  <c r="BA89" i="5"/>
  <c r="AZ89" i="5"/>
  <c r="AY89" i="5"/>
  <c r="AX89" i="5"/>
  <c r="AW89" i="5"/>
  <c r="AV89" i="5"/>
  <c r="AU89" i="5"/>
  <c r="AT89" i="5"/>
  <c r="AS89" i="5"/>
  <c r="AR89" i="5"/>
  <c r="AQ89" i="5"/>
  <c r="AP89" i="5"/>
  <c r="AO89" i="5"/>
  <c r="AN89" i="5"/>
  <c r="AM89" i="5"/>
  <c r="AL89" i="5"/>
  <c r="AK89" i="5"/>
  <c r="AJ89" i="5"/>
  <c r="AI89" i="5"/>
  <c r="AH89" i="5"/>
  <c r="AG89" i="5"/>
  <c r="AF89" i="5"/>
  <c r="AE89" i="5"/>
  <c r="AD89" i="5"/>
  <c r="AC89" i="5"/>
  <c r="AB89" i="5"/>
  <c r="AA89" i="5"/>
  <c r="Z89" i="5"/>
  <c r="Y89" i="5"/>
  <c r="X89" i="5"/>
  <c r="P89" i="5"/>
  <c r="O89" i="5"/>
  <c r="N89" i="5"/>
  <c r="W89" i="5" s="1"/>
  <c r="M89" i="5"/>
  <c r="L89" i="5"/>
  <c r="K89" i="5"/>
  <c r="J89" i="5"/>
  <c r="H89" i="5"/>
  <c r="F89" i="5"/>
  <c r="E89" i="5"/>
  <c r="X88" i="5"/>
  <c r="W88" i="5"/>
  <c r="U88" i="5"/>
  <c r="T88" i="5"/>
  <c r="R88" i="5"/>
  <c r="Q88" i="5"/>
  <c r="P88" i="5"/>
  <c r="O88" i="5"/>
  <c r="N88" i="5"/>
  <c r="M88" i="5"/>
  <c r="V88" i="5" s="1"/>
  <c r="H88" i="5"/>
  <c r="G88" i="5"/>
  <c r="AF87" i="5"/>
  <c r="AF84" i="5" s="1"/>
  <c r="AC87" i="5"/>
  <c r="Z87" i="5"/>
  <c r="X87" i="5"/>
  <c r="U87" i="5"/>
  <c r="R87" i="5"/>
  <c r="P87" i="5"/>
  <c r="O87" i="5"/>
  <c r="M87" i="5"/>
  <c r="V87" i="5" s="1"/>
  <c r="G87" i="5"/>
  <c r="W86" i="5"/>
  <c r="V86" i="5"/>
  <c r="T86" i="5"/>
  <c r="S86" i="5"/>
  <c r="R86" i="5"/>
  <c r="Q86" i="5"/>
  <c r="P86" i="5"/>
  <c r="O86" i="5"/>
  <c r="U86" i="5" s="1"/>
  <c r="N86" i="5"/>
  <c r="M86" i="5"/>
  <c r="H86" i="5"/>
  <c r="G86" i="5"/>
  <c r="W85" i="5"/>
  <c r="T85" i="5"/>
  <c r="R85" i="5"/>
  <c r="Q85" i="5"/>
  <c r="P85" i="5"/>
  <c r="O85" i="5"/>
  <c r="O84" i="5" s="1"/>
  <c r="X84" i="5" s="1"/>
  <c r="N85" i="5"/>
  <c r="M85" i="5"/>
  <c r="S85" i="5" s="1"/>
  <c r="G85" i="5"/>
  <c r="BK84" i="5"/>
  <c r="BJ84" i="5"/>
  <c r="Q84" i="5" s="1"/>
  <c r="BI84" i="5"/>
  <c r="P84" i="5" s="1"/>
  <c r="BH84" i="5"/>
  <c r="BG84" i="5"/>
  <c r="BF84" i="5"/>
  <c r="BE84" i="5"/>
  <c r="BD84" i="5"/>
  <c r="BC84" i="5"/>
  <c r="BB84" i="5"/>
  <c r="BA84" i="5"/>
  <c r="AZ84" i="5"/>
  <c r="AY84" i="5"/>
  <c r="AX84" i="5"/>
  <c r="AW84" i="5"/>
  <c r="AV84" i="5"/>
  <c r="AU84" i="5"/>
  <c r="AT84" i="5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E84" i="5"/>
  <c r="AD84" i="5"/>
  <c r="R84" i="5" s="1"/>
  <c r="AC84" i="5"/>
  <c r="AB84" i="5"/>
  <c r="AA84" i="5"/>
  <c r="Z84" i="5"/>
  <c r="Y84" i="5"/>
  <c r="L84" i="5"/>
  <c r="K84" i="5"/>
  <c r="J84" i="5"/>
  <c r="I84" i="5"/>
  <c r="G84" i="5"/>
  <c r="F84" i="5"/>
  <c r="E84" i="5"/>
  <c r="X83" i="5"/>
  <c r="V83" i="5"/>
  <c r="U83" i="5"/>
  <c r="S83" i="5"/>
  <c r="R83" i="5"/>
  <c r="Q83" i="5"/>
  <c r="P83" i="5"/>
  <c r="O83" i="5"/>
  <c r="N83" i="5"/>
  <c r="T83" i="5" s="1"/>
  <c r="M83" i="5"/>
  <c r="H83" i="5" s="1"/>
  <c r="G83" i="5"/>
  <c r="X82" i="5"/>
  <c r="V82" i="5"/>
  <c r="S82" i="5"/>
  <c r="R82" i="5"/>
  <c r="Q82" i="5"/>
  <c r="P82" i="5"/>
  <c r="O82" i="5"/>
  <c r="U82" i="5" s="1"/>
  <c r="N82" i="5"/>
  <c r="W82" i="5" s="1"/>
  <c r="M82" i="5"/>
  <c r="H82" i="5"/>
  <c r="G82" i="5"/>
  <c r="V81" i="5"/>
  <c r="R81" i="5"/>
  <c r="Q81" i="5"/>
  <c r="P81" i="5"/>
  <c r="O81" i="5"/>
  <c r="X81" i="5" s="1"/>
  <c r="N81" i="5"/>
  <c r="W81" i="5" s="1"/>
  <c r="M81" i="5"/>
  <c r="M80" i="5" s="1"/>
  <c r="H81" i="5"/>
  <c r="G81" i="5"/>
  <c r="BK80" i="5"/>
  <c r="R80" i="5" s="1"/>
  <c r="BJ80" i="5"/>
  <c r="BI80" i="5"/>
  <c r="BH80" i="5"/>
  <c r="BG80" i="5"/>
  <c r="BF80" i="5"/>
  <c r="BE80" i="5"/>
  <c r="BD80" i="5"/>
  <c r="BC80" i="5"/>
  <c r="BB80" i="5"/>
  <c r="BA80" i="5"/>
  <c r="AZ80" i="5"/>
  <c r="AY80" i="5"/>
  <c r="AX80" i="5"/>
  <c r="AW80" i="5"/>
  <c r="AV80" i="5"/>
  <c r="AU80" i="5"/>
  <c r="AT80" i="5"/>
  <c r="AS80" i="5"/>
  <c r="AR80" i="5"/>
  <c r="AQ80" i="5"/>
  <c r="AP80" i="5"/>
  <c r="AO80" i="5"/>
  <c r="AN80" i="5"/>
  <c r="AM80" i="5"/>
  <c r="AL80" i="5"/>
  <c r="AK80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P80" i="5" s="1"/>
  <c r="Q80" i="5"/>
  <c r="O80" i="5"/>
  <c r="X80" i="5" s="1"/>
  <c r="L80" i="5"/>
  <c r="K80" i="5"/>
  <c r="J80" i="5"/>
  <c r="I80" i="5"/>
  <c r="G80" i="5" s="1"/>
  <c r="F80" i="5"/>
  <c r="E80" i="5"/>
  <c r="W79" i="5"/>
  <c r="R79" i="5"/>
  <c r="Q79" i="5"/>
  <c r="P79" i="5"/>
  <c r="O79" i="5"/>
  <c r="X79" i="5" s="1"/>
  <c r="N79" i="5"/>
  <c r="T79" i="5" s="1"/>
  <c r="M79" i="5"/>
  <c r="V79" i="5" s="1"/>
  <c r="G79" i="5"/>
  <c r="X78" i="5"/>
  <c r="U78" i="5"/>
  <c r="R78" i="5"/>
  <c r="Q78" i="5"/>
  <c r="P78" i="5"/>
  <c r="O78" i="5"/>
  <c r="N78" i="5"/>
  <c r="W78" i="5" s="1"/>
  <c r="M78" i="5"/>
  <c r="V78" i="5" s="1"/>
  <c r="G78" i="5"/>
  <c r="BK77" i="5"/>
  <c r="BJ77" i="5"/>
  <c r="Q77" i="5" s="1"/>
  <c r="BI77" i="5"/>
  <c r="BH77" i="5"/>
  <c r="BG77" i="5"/>
  <c r="BF77" i="5"/>
  <c r="BE77" i="5"/>
  <c r="BD77" i="5"/>
  <c r="BC77" i="5"/>
  <c r="BB77" i="5"/>
  <c r="BA77" i="5"/>
  <c r="AZ77" i="5"/>
  <c r="AY77" i="5"/>
  <c r="AX77" i="5"/>
  <c r="AW77" i="5"/>
  <c r="AV77" i="5"/>
  <c r="AU77" i="5"/>
  <c r="AT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P77" i="5" s="1"/>
  <c r="AG77" i="5"/>
  <c r="AF77" i="5"/>
  <c r="AE77" i="5"/>
  <c r="AD77" i="5"/>
  <c r="AC77" i="5"/>
  <c r="AB77" i="5"/>
  <c r="AA77" i="5"/>
  <c r="Z77" i="5"/>
  <c r="Y77" i="5"/>
  <c r="R77" i="5"/>
  <c r="N77" i="5"/>
  <c r="W77" i="5" s="1"/>
  <c r="L77" i="5"/>
  <c r="K77" i="5"/>
  <c r="J77" i="5"/>
  <c r="I77" i="5"/>
  <c r="G77" i="5" s="1"/>
  <c r="X76" i="5"/>
  <c r="W76" i="5"/>
  <c r="U76" i="5"/>
  <c r="T76" i="5"/>
  <c r="R76" i="5"/>
  <c r="Q76" i="5"/>
  <c r="P76" i="5"/>
  <c r="O76" i="5"/>
  <c r="N76" i="5"/>
  <c r="M76" i="5"/>
  <c r="V76" i="5" s="1"/>
  <c r="H76" i="5"/>
  <c r="G76" i="5"/>
  <c r="X75" i="5"/>
  <c r="V75" i="5"/>
  <c r="U75" i="5"/>
  <c r="S75" i="5"/>
  <c r="R75" i="5"/>
  <c r="Q75" i="5"/>
  <c r="P75" i="5"/>
  <c r="O75" i="5"/>
  <c r="N75" i="5"/>
  <c r="T75" i="5" s="1"/>
  <c r="M75" i="5"/>
  <c r="H75" i="5" s="1"/>
  <c r="G75" i="5"/>
  <c r="AF74" i="5"/>
  <c r="AF68" i="5" s="1"/>
  <c r="AF67" i="5" s="1"/>
  <c r="AC74" i="5"/>
  <c r="X74" i="5"/>
  <c r="V74" i="5"/>
  <c r="U74" i="5"/>
  <c r="S74" i="5"/>
  <c r="R74" i="5"/>
  <c r="P74" i="5"/>
  <c r="O74" i="5"/>
  <c r="M74" i="5"/>
  <c r="H74" i="5" s="1"/>
  <c r="G74" i="5"/>
  <c r="X73" i="5"/>
  <c r="V73" i="5"/>
  <c r="S73" i="5"/>
  <c r="R73" i="5"/>
  <c r="Q73" i="5"/>
  <c r="P73" i="5"/>
  <c r="O73" i="5"/>
  <c r="U73" i="5" s="1"/>
  <c r="N73" i="5"/>
  <c r="W73" i="5" s="1"/>
  <c r="M73" i="5"/>
  <c r="H73" i="5"/>
  <c r="G73" i="5"/>
  <c r="AC72" i="5"/>
  <c r="W72" i="5"/>
  <c r="U72" i="5"/>
  <c r="R72" i="5"/>
  <c r="Q72" i="5"/>
  <c r="P72" i="5"/>
  <c r="O72" i="5"/>
  <c r="X72" i="5" s="1"/>
  <c r="N72" i="5"/>
  <c r="T72" i="5" s="1"/>
  <c r="M72" i="5"/>
  <c r="V72" i="5" s="1"/>
  <c r="G72" i="5"/>
  <c r="X71" i="5"/>
  <c r="U71" i="5"/>
  <c r="S71" i="5"/>
  <c r="R71" i="5"/>
  <c r="Q71" i="5"/>
  <c r="P71" i="5"/>
  <c r="O71" i="5"/>
  <c r="N71" i="5"/>
  <c r="W71" i="5" s="1"/>
  <c r="M71" i="5"/>
  <c r="V71" i="5" s="1"/>
  <c r="G71" i="5"/>
  <c r="W70" i="5"/>
  <c r="V70" i="5"/>
  <c r="T70" i="5"/>
  <c r="S70" i="5"/>
  <c r="R70" i="5"/>
  <c r="Q70" i="5"/>
  <c r="P70" i="5"/>
  <c r="O70" i="5"/>
  <c r="U70" i="5" s="1"/>
  <c r="U68" i="5" s="1"/>
  <c r="N70" i="5"/>
  <c r="M70" i="5"/>
  <c r="H70" i="5"/>
  <c r="G70" i="5"/>
  <c r="W69" i="5"/>
  <c r="T69" i="5"/>
  <c r="R69" i="5"/>
  <c r="Q69" i="5"/>
  <c r="P69" i="5"/>
  <c r="O69" i="5"/>
  <c r="O68" i="5" s="1"/>
  <c r="N69" i="5"/>
  <c r="M69" i="5"/>
  <c r="S69" i="5" s="1"/>
  <c r="G69" i="5"/>
  <c r="BK68" i="5"/>
  <c r="BJ68" i="5"/>
  <c r="BJ67" i="5" s="1"/>
  <c r="BI68" i="5"/>
  <c r="P68" i="5" s="1"/>
  <c r="BH68" i="5"/>
  <c r="BH67" i="5" s="1"/>
  <c r="BG68" i="5"/>
  <c r="BG67" i="5" s="1"/>
  <c r="BF68" i="5"/>
  <c r="BE68" i="5"/>
  <c r="BD68" i="5"/>
  <c r="BC68" i="5"/>
  <c r="BB68" i="5"/>
  <c r="BB67" i="5" s="1"/>
  <c r="BB3" i="5" s="1"/>
  <c r="BA68" i="5"/>
  <c r="AZ68" i="5"/>
  <c r="AZ67" i="5" s="1"/>
  <c r="AZ3" i="5" s="1"/>
  <c r="AY68" i="5"/>
  <c r="AY67" i="5" s="1"/>
  <c r="AX68" i="5"/>
  <c r="AW68" i="5"/>
  <c r="AV68" i="5"/>
  <c r="AU68" i="5"/>
  <c r="AT68" i="5"/>
  <c r="AT67" i="5" s="1"/>
  <c r="AT3" i="5" s="1"/>
  <c r="AS68" i="5"/>
  <c r="AR68" i="5"/>
  <c r="AR67" i="5" s="1"/>
  <c r="AQ68" i="5"/>
  <c r="AQ67" i="5" s="1"/>
  <c r="AP68" i="5"/>
  <c r="AO68" i="5"/>
  <c r="AN68" i="5"/>
  <c r="AM68" i="5"/>
  <c r="AL68" i="5"/>
  <c r="AL67" i="5" s="1"/>
  <c r="AL3" i="5" s="1"/>
  <c r="AK68" i="5"/>
  <c r="AJ68" i="5"/>
  <c r="AJ67" i="5" s="1"/>
  <c r="AJ3" i="5" s="1"/>
  <c r="AI68" i="5"/>
  <c r="AI67" i="5" s="1"/>
  <c r="AH68" i="5"/>
  <c r="AG68" i="5"/>
  <c r="AE68" i="5"/>
  <c r="AD68" i="5"/>
  <c r="AD67" i="5" s="1"/>
  <c r="AD3" i="5" s="1"/>
  <c r="AC68" i="5"/>
  <c r="AB68" i="5"/>
  <c r="AB67" i="5" s="1"/>
  <c r="AA68" i="5"/>
  <c r="AA67" i="5" s="1"/>
  <c r="Z68" i="5"/>
  <c r="Y68" i="5"/>
  <c r="L68" i="5"/>
  <c r="L67" i="5" s="1"/>
  <c r="L3" i="5" s="1"/>
  <c r="K68" i="5"/>
  <c r="K67" i="5" s="1"/>
  <c r="K3" i="5" s="1"/>
  <c r="D64" i="14" s="1"/>
  <c r="J68" i="5"/>
  <c r="I68" i="5"/>
  <c r="G68" i="5"/>
  <c r="F68" i="5"/>
  <c r="F67" i="5" s="1"/>
  <c r="E68" i="5"/>
  <c r="BK67" i="5"/>
  <c r="BI67" i="5"/>
  <c r="BF67" i="5"/>
  <c r="BE67" i="5"/>
  <c r="BD67" i="5"/>
  <c r="BC67" i="5"/>
  <c r="BA67" i="5"/>
  <c r="AX67" i="5"/>
  <c r="AW67" i="5"/>
  <c r="AV67" i="5"/>
  <c r="AU67" i="5"/>
  <c r="AS67" i="5"/>
  <c r="AP67" i="5"/>
  <c r="AO67" i="5"/>
  <c r="AN67" i="5"/>
  <c r="AM67" i="5"/>
  <c r="AK67" i="5"/>
  <c r="AH67" i="5"/>
  <c r="AG67" i="5"/>
  <c r="AE67" i="5"/>
  <c r="AC67" i="5"/>
  <c r="Z67" i="5"/>
  <c r="Y67" i="5"/>
  <c r="J67" i="5"/>
  <c r="E67" i="5"/>
  <c r="X66" i="5"/>
  <c r="U66" i="5"/>
  <c r="S66" i="5"/>
  <c r="R66" i="5"/>
  <c r="Q66" i="5"/>
  <c r="P66" i="5"/>
  <c r="O66" i="5"/>
  <c r="N66" i="5"/>
  <c r="W66" i="5" s="1"/>
  <c r="M66" i="5"/>
  <c r="V66" i="5" s="1"/>
  <c r="G66" i="5"/>
  <c r="W65" i="5"/>
  <c r="V65" i="5"/>
  <c r="T65" i="5"/>
  <c r="S65" i="5"/>
  <c r="R65" i="5"/>
  <c r="Q65" i="5"/>
  <c r="P65" i="5"/>
  <c r="O65" i="5"/>
  <c r="U65" i="5" s="1"/>
  <c r="N65" i="5"/>
  <c r="M65" i="5"/>
  <c r="H65" i="5"/>
  <c r="G65" i="5"/>
  <c r="W64" i="5"/>
  <c r="T64" i="5"/>
  <c r="R64" i="5"/>
  <c r="Q64" i="5"/>
  <c r="P64" i="5"/>
  <c r="O64" i="5"/>
  <c r="X64" i="5" s="1"/>
  <c r="N64" i="5"/>
  <c r="M64" i="5"/>
  <c r="S64" i="5" s="1"/>
  <c r="G64" i="5"/>
  <c r="W63" i="5"/>
  <c r="U63" i="5"/>
  <c r="R63" i="5"/>
  <c r="Q63" i="5"/>
  <c r="P63" i="5"/>
  <c r="O63" i="5"/>
  <c r="X63" i="5" s="1"/>
  <c r="N63" i="5"/>
  <c r="T63" i="5" s="1"/>
  <c r="M63" i="5"/>
  <c r="V63" i="5" s="1"/>
  <c r="G63" i="5"/>
  <c r="X62" i="5"/>
  <c r="U62" i="5"/>
  <c r="S62" i="5"/>
  <c r="R62" i="5"/>
  <c r="Q62" i="5"/>
  <c r="P62" i="5"/>
  <c r="O62" i="5"/>
  <c r="N62" i="5"/>
  <c r="W62" i="5" s="1"/>
  <c r="M62" i="5"/>
  <c r="V62" i="5" s="1"/>
  <c r="G62" i="5"/>
  <c r="X61" i="5"/>
  <c r="V61" i="5"/>
  <c r="U61" i="5"/>
  <c r="S61" i="5"/>
  <c r="R61" i="5"/>
  <c r="Q61" i="5"/>
  <c r="P61" i="5"/>
  <c r="O61" i="5"/>
  <c r="N61" i="5"/>
  <c r="T61" i="5" s="1"/>
  <c r="M61" i="5"/>
  <c r="G61" i="5"/>
  <c r="W60" i="5"/>
  <c r="U60" i="5"/>
  <c r="R60" i="5"/>
  <c r="Q60" i="5"/>
  <c r="P60" i="5"/>
  <c r="O60" i="5"/>
  <c r="X60" i="5" s="1"/>
  <c r="N60" i="5"/>
  <c r="T60" i="5" s="1"/>
  <c r="M60" i="5"/>
  <c r="V60" i="5" s="1"/>
  <c r="G60" i="5"/>
  <c r="X59" i="5"/>
  <c r="U59" i="5"/>
  <c r="S59" i="5"/>
  <c r="R59" i="5"/>
  <c r="Q59" i="5"/>
  <c r="P59" i="5"/>
  <c r="O59" i="5"/>
  <c r="N59" i="5"/>
  <c r="W59" i="5" s="1"/>
  <c r="M59" i="5"/>
  <c r="V59" i="5" s="1"/>
  <c r="G59" i="5"/>
  <c r="W58" i="5"/>
  <c r="V58" i="5"/>
  <c r="T58" i="5"/>
  <c r="S58" i="5"/>
  <c r="R58" i="5"/>
  <c r="Q58" i="5"/>
  <c r="P58" i="5"/>
  <c r="O58" i="5"/>
  <c r="U58" i="5" s="1"/>
  <c r="N58" i="5"/>
  <c r="M58" i="5"/>
  <c r="H58" i="5"/>
  <c r="G58" i="5"/>
  <c r="W57" i="5"/>
  <c r="T57" i="5"/>
  <c r="R57" i="5"/>
  <c r="Q57" i="5"/>
  <c r="P57" i="5"/>
  <c r="O57" i="5"/>
  <c r="X57" i="5" s="1"/>
  <c r="N57" i="5"/>
  <c r="M57" i="5"/>
  <c r="S57" i="5" s="1"/>
  <c r="G57" i="5"/>
  <c r="AC56" i="5"/>
  <c r="X56" i="5"/>
  <c r="V56" i="5"/>
  <c r="S56" i="5"/>
  <c r="R56" i="5"/>
  <c r="Q56" i="5"/>
  <c r="P56" i="5"/>
  <c r="O56" i="5"/>
  <c r="U56" i="5" s="1"/>
  <c r="N56" i="5"/>
  <c r="W56" i="5" s="1"/>
  <c r="M56" i="5"/>
  <c r="H56" i="5"/>
  <c r="G56" i="5"/>
  <c r="V55" i="5"/>
  <c r="T55" i="5"/>
  <c r="R55" i="5"/>
  <c r="Q55" i="5"/>
  <c r="P55" i="5"/>
  <c r="O55" i="5"/>
  <c r="X55" i="5" s="1"/>
  <c r="N55" i="5"/>
  <c r="W55" i="5" s="1"/>
  <c r="M55" i="5"/>
  <c r="S55" i="5" s="1"/>
  <c r="H55" i="5"/>
  <c r="G55" i="5"/>
  <c r="X54" i="5"/>
  <c r="W54" i="5"/>
  <c r="U54" i="5"/>
  <c r="T54" i="5"/>
  <c r="R54" i="5"/>
  <c r="Q54" i="5"/>
  <c r="P54" i="5"/>
  <c r="O54" i="5"/>
  <c r="N54" i="5"/>
  <c r="M54" i="5"/>
  <c r="V54" i="5" s="1"/>
  <c r="H54" i="5"/>
  <c r="G54" i="5"/>
  <c r="X53" i="5"/>
  <c r="V53" i="5"/>
  <c r="U53" i="5"/>
  <c r="S53" i="5"/>
  <c r="R53" i="5"/>
  <c r="Q53" i="5"/>
  <c r="P53" i="5"/>
  <c r="O53" i="5"/>
  <c r="N53" i="5"/>
  <c r="T53" i="5" s="1"/>
  <c r="M53" i="5"/>
  <c r="H53" i="5" s="1"/>
  <c r="G53" i="5"/>
  <c r="AC52" i="5"/>
  <c r="Q52" i="5" s="1"/>
  <c r="Z52" i="5"/>
  <c r="X52" i="5"/>
  <c r="V52" i="5"/>
  <c r="U52" i="5"/>
  <c r="S52" i="5"/>
  <c r="R52" i="5"/>
  <c r="P52" i="5"/>
  <c r="O52" i="5"/>
  <c r="M52" i="5"/>
  <c r="J52" i="5"/>
  <c r="H52" i="5"/>
  <c r="G52" i="5"/>
  <c r="AC51" i="5"/>
  <c r="X51" i="5"/>
  <c r="V51" i="5"/>
  <c r="U51" i="5"/>
  <c r="S51" i="5"/>
  <c r="R51" i="5"/>
  <c r="Q51" i="5"/>
  <c r="P51" i="5"/>
  <c r="O51" i="5"/>
  <c r="N51" i="5"/>
  <c r="W51" i="5" s="1"/>
  <c r="M51" i="5"/>
  <c r="J51" i="5"/>
  <c r="T51" i="5" s="1"/>
  <c r="H51" i="5"/>
  <c r="G51" i="5"/>
  <c r="AF50" i="5"/>
  <c r="X50" i="5"/>
  <c r="V50" i="5"/>
  <c r="U50" i="5"/>
  <c r="S50" i="5"/>
  <c r="R50" i="5"/>
  <c r="Q50" i="5"/>
  <c r="P50" i="5"/>
  <c r="O50" i="5"/>
  <c r="N50" i="5"/>
  <c r="W50" i="5" s="1"/>
  <c r="M50" i="5"/>
  <c r="J50" i="5"/>
  <c r="T50" i="5" s="1"/>
  <c r="H50" i="5"/>
  <c r="G50" i="5"/>
  <c r="AF49" i="5"/>
  <c r="AC49" i="5"/>
  <c r="N49" i="5" s="1"/>
  <c r="W49" i="5" s="1"/>
  <c r="V49" i="5"/>
  <c r="S49" i="5"/>
  <c r="R49" i="5"/>
  <c r="Q49" i="5"/>
  <c r="P49" i="5"/>
  <c r="O49" i="5"/>
  <c r="U49" i="5" s="1"/>
  <c r="M49" i="5"/>
  <c r="J49" i="5"/>
  <c r="T49" i="5" s="1"/>
  <c r="H49" i="5"/>
  <c r="G49" i="5"/>
  <c r="AF48" i="5"/>
  <c r="N48" i="5" s="1"/>
  <c r="V48" i="5"/>
  <c r="S48" i="5"/>
  <c r="R48" i="5"/>
  <c r="Q48" i="5"/>
  <c r="P48" i="5"/>
  <c r="O48" i="5"/>
  <c r="U48" i="5" s="1"/>
  <c r="M48" i="5"/>
  <c r="H48" i="5"/>
  <c r="G48" i="5"/>
  <c r="AF47" i="5"/>
  <c r="X47" i="5"/>
  <c r="V47" i="5"/>
  <c r="U47" i="5"/>
  <c r="S47" i="5"/>
  <c r="R47" i="5"/>
  <c r="Q47" i="5"/>
  <c r="P47" i="5"/>
  <c r="O47" i="5"/>
  <c r="N47" i="5"/>
  <c r="W47" i="5" s="1"/>
  <c r="M47" i="5"/>
  <c r="J47" i="5"/>
  <c r="T47" i="5" s="1"/>
  <c r="H47" i="5"/>
  <c r="G47" i="5"/>
  <c r="W46" i="5"/>
  <c r="T46" i="5"/>
  <c r="R46" i="5"/>
  <c r="Q46" i="5"/>
  <c r="P46" i="5"/>
  <c r="O46" i="5"/>
  <c r="X46" i="5" s="1"/>
  <c r="N46" i="5"/>
  <c r="M46" i="5"/>
  <c r="S46" i="5" s="1"/>
  <c r="G46" i="5"/>
  <c r="W45" i="5"/>
  <c r="U45" i="5"/>
  <c r="R45" i="5"/>
  <c r="Q45" i="5"/>
  <c r="P45" i="5"/>
  <c r="O45" i="5"/>
  <c r="X45" i="5" s="1"/>
  <c r="N45" i="5"/>
  <c r="T45" i="5" s="1"/>
  <c r="M45" i="5"/>
  <c r="V45" i="5" s="1"/>
  <c r="G45" i="5"/>
  <c r="X44" i="5"/>
  <c r="U44" i="5"/>
  <c r="R44" i="5"/>
  <c r="Q44" i="5"/>
  <c r="P44" i="5"/>
  <c r="O44" i="5"/>
  <c r="N44" i="5"/>
  <c r="W44" i="5" s="1"/>
  <c r="M44" i="5"/>
  <c r="V44" i="5" s="1"/>
  <c r="J44" i="5"/>
  <c r="T44" i="5" s="1"/>
  <c r="I44" i="5"/>
  <c r="S44" i="5" s="1"/>
  <c r="AF43" i="5"/>
  <c r="Q43" i="5" s="1"/>
  <c r="AC43" i="5"/>
  <c r="U43" i="5"/>
  <c r="R43" i="5"/>
  <c r="P43" i="5"/>
  <c r="O43" i="5"/>
  <c r="X43" i="5" s="1"/>
  <c r="M43" i="5"/>
  <c r="V43" i="5" s="1"/>
  <c r="J43" i="5"/>
  <c r="G43" i="5"/>
  <c r="T42" i="5"/>
  <c r="R42" i="5"/>
  <c r="Q42" i="5"/>
  <c r="P42" i="5"/>
  <c r="O42" i="5"/>
  <c r="X42" i="5" s="1"/>
  <c r="N42" i="5"/>
  <c r="W42" i="5" s="1"/>
  <c r="M42" i="5"/>
  <c r="H42" i="5" s="1"/>
  <c r="I42" i="5"/>
  <c r="V42" i="5" s="1"/>
  <c r="X41" i="5"/>
  <c r="U41" i="5"/>
  <c r="S41" i="5"/>
  <c r="R41" i="5"/>
  <c r="Q41" i="5"/>
  <c r="P41" i="5"/>
  <c r="O41" i="5"/>
  <c r="N41" i="5"/>
  <c r="W41" i="5" s="1"/>
  <c r="M41" i="5"/>
  <c r="V41" i="5" s="1"/>
  <c r="G41" i="5"/>
  <c r="E41" i="5"/>
  <c r="X40" i="5"/>
  <c r="W40" i="5"/>
  <c r="U40" i="5"/>
  <c r="T40" i="5"/>
  <c r="R40" i="5"/>
  <c r="Q40" i="5"/>
  <c r="P40" i="5"/>
  <c r="O40" i="5"/>
  <c r="N40" i="5"/>
  <c r="M40" i="5"/>
  <c r="V40" i="5" s="1"/>
  <c r="H40" i="5"/>
  <c r="G40" i="5"/>
  <c r="X39" i="5"/>
  <c r="V39" i="5"/>
  <c r="U39" i="5"/>
  <c r="S39" i="5"/>
  <c r="R39" i="5"/>
  <c r="Q39" i="5"/>
  <c r="P39" i="5"/>
  <c r="O39" i="5"/>
  <c r="N39" i="5"/>
  <c r="T39" i="5" s="1"/>
  <c r="M39" i="5"/>
  <c r="H39" i="5" s="1"/>
  <c r="G39" i="5"/>
  <c r="X38" i="5"/>
  <c r="V38" i="5"/>
  <c r="S38" i="5"/>
  <c r="R38" i="5"/>
  <c r="Q38" i="5"/>
  <c r="P38" i="5"/>
  <c r="O38" i="5"/>
  <c r="U38" i="5" s="1"/>
  <c r="N38" i="5"/>
  <c r="W38" i="5" s="1"/>
  <c r="M38" i="5"/>
  <c r="H38" i="5"/>
  <c r="G38" i="5"/>
  <c r="V37" i="5"/>
  <c r="T37" i="5"/>
  <c r="R37" i="5"/>
  <c r="Q37" i="5"/>
  <c r="P37" i="5"/>
  <c r="O37" i="5"/>
  <c r="X37" i="5" s="1"/>
  <c r="N37" i="5"/>
  <c r="W37" i="5" s="1"/>
  <c r="M37" i="5"/>
  <c r="S37" i="5" s="1"/>
  <c r="H37" i="5"/>
  <c r="G37" i="5"/>
  <c r="X36" i="5"/>
  <c r="W36" i="5"/>
  <c r="U36" i="5"/>
  <c r="T36" i="5"/>
  <c r="R36" i="5"/>
  <c r="Q36" i="5"/>
  <c r="P36" i="5"/>
  <c r="O36" i="5"/>
  <c r="N36" i="5"/>
  <c r="M36" i="5"/>
  <c r="V36" i="5" s="1"/>
  <c r="H36" i="5"/>
  <c r="G36" i="5"/>
  <c r="AC35" i="5"/>
  <c r="N35" i="5" s="1"/>
  <c r="W35" i="5" s="1"/>
  <c r="V35" i="5"/>
  <c r="S35" i="5"/>
  <c r="R35" i="5"/>
  <c r="Q35" i="5"/>
  <c r="P35" i="5"/>
  <c r="O35" i="5"/>
  <c r="U35" i="5" s="1"/>
  <c r="M35" i="5"/>
  <c r="J35" i="5"/>
  <c r="T35" i="5" s="1"/>
  <c r="H35" i="5"/>
  <c r="G35" i="5"/>
  <c r="X34" i="5"/>
  <c r="V34" i="5"/>
  <c r="U34" i="5"/>
  <c r="S34" i="5"/>
  <c r="R34" i="5"/>
  <c r="Q34" i="5"/>
  <c r="P34" i="5"/>
  <c r="O34" i="5"/>
  <c r="N34" i="5"/>
  <c r="T34" i="5" s="1"/>
  <c r="M34" i="5"/>
  <c r="H34" i="5" s="1"/>
  <c r="G34" i="5"/>
  <c r="X33" i="5"/>
  <c r="V33" i="5"/>
  <c r="S33" i="5"/>
  <c r="R33" i="5"/>
  <c r="Q33" i="5"/>
  <c r="P33" i="5"/>
  <c r="O33" i="5"/>
  <c r="U33" i="5" s="1"/>
  <c r="N33" i="5"/>
  <c r="W33" i="5" s="1"/>
  <c r="M33" i="5"/>
  <c r="H33" i="5"/>
  <c r="G33" i="5"/>
  <c r="V32" i="5"/>
  <c r="T32" i="5"/>
  <c r="R32" i="5"/>
  <c r="Q32" i="5"/>
  <c r="P32" i="5"/>
  <c r="O32" i="5"/>
  <c r="X32" i="5" s="1"/>
  <c r="N32" i="5"/>
  <c r="W32" i="5" s="1"/>
  <c r="M32" i="5"/>
  <c r="S32" i="5" s="1"/>
  <c r="H32" i="5"/>
  <c r="G32" i="5"/>
  <c r="X31" i="5"/>
  <c r="U31" i="5"/>
  <c r="R31" i="5"/>
  <c r="Q31" i="5"/>
  <c r="P31" i="5"/>
  <c r="O31" i="5"/>
  <c r="N31" i="5"/>
  <c r="M31" i="5"/>
  <c r="V31" i="5" s="1"/>
  <c r="J31" i="5"/>
  <c r="T31" i="5" s="1"/>
  <c r="G31" i="5"/>
  <c r="W30" i="5"/>
  <c r="V30" i="5"/>
  <c r="S30" i="5"/>
  <c r="R30" i="5"/>
  <c r="Q30" i="5"/>
  <c r="P30" i="5"/>
  <c r="O30" i="5"/>
  <c r="U30" i="5" s="1"/>
  <c r="N30" i="5"/>
  <c r="M30" i="5"/>
  <c r="J30" i="5"/>
  <c r="T30" i="5" s="1"/>
  <c r="H30" i="5"/>
  <c r="G30" i="5"/>
  <c r="X29" i="5"/>
  <c r="V29" i="5"/>
  <c r="U29" i="5"/>
  <c r="S29" i="5"/>
  <c r="R29" i="5"/>
  <c r="Q29" i="5"/>
  <c r="P29" i="5"/>
  <c r="O29" i="5"/>
  <c r="N29" i="5"/>
  <c r="T29" i="5" s="1"/>
  <c r="M29" i="5"/>
  <c r="H29" i="5" s="1"/>
  <c r="G29" i="5"/>
  <c r="X28" i="5"/>
  <c r="V28" i="5"/>
  <c r="S28" i="5"/>
  <c r="R28" i="5"/>
  <c r="Q28" i="5"/>
  <c r="P28" i="5"/>
  <c r="O28" i="5"/>
  <c r="U28" i="5" s="1"/>
  <c r="N28" i="5"/>
  <c r="W28" i="5" s="1"/>
  <c r="M28" i="5"/>
  <c r="H28" i="5"/>
  <c r="G28" i="5"/>
  <c r="Z27" i="5"/>
  <c r="W27" i="5"/>
  <c r="U27" i="5"/>
  <c r="R27" i="5"/>
  <c r="Q27" i="5"/>
  <c r="P27" i="5"/>
  <c r="O27" i="5"/>
  <c r="X27" i="5" s="1"/>
  <c r="N27" i="5"/>
  <c r="T27" i="5" s="1"/>
  <c r="M27" i="5"/>
  <c r="V27" i="5" s="1"/>
  <c r="G27" i="5"/>
  <c r="X26" i="5"/>
  <c r="U26" i="5"/>
  <c r="S26" i="5"/>
  <c r="R26" i="5"/>
  <c r="Q26" i="5"/>
  <c r="P26" i="5"/>
  <c r="O26" i="5"/>
  <c r="N26" i="5"/>
  <c r="W26" i="5" s="1"/>
  <c r="M26" i="5"/>
  <c r="V26" i="5" s="1"/>
  <c r="G26" i="5"/>
  <c r="W25" i="5"/>
  <c r="V25" i="5"/>
  <c r="T25" i="5"/>
  <c r="S25" i="5"/>
  <c r="R25" i="5"/>
  <c r="Q25" i="5"/>
  <c r="P25" i="5"/>
  <c r="O25" i="5"/>
  <c r="U25" i="5" s="1"/>
  <c r="N25" i="5"/>
  <c r="M25" i="5"/>
  <c r="H25" i="5"/>
  <c r="G25" i="5"/>
  <c r="W24" i="5"/>
  <c r="T24" i="5"/>
  <c r="R24" i="5"/>
  <c r="Q24" i="5"/>
  <c r="P24" i="5"/>
  <c r="O24" i="5"/>
  <c r="X24" i="5" s="1"/>
  <c r="N24" i="5"/>
  <c r="M24" i="5"/>
  <c r="S24" i="5" s="1"/>
  <c r="G24" i="5"/>
  <c r="AF23" i="5"/>
  <c r="AC23" i="5"/>
  <c r="X23" i="5"/>
  <c r="V23" i="5"/>
  <c r="S23" i="5"/>
  <c r="R23" i="5"/>
  <c r="Q23" i="5"/>
  <c r="P23" i="5"/>
  <c r="O23" i="5"/>
  <c r="U23" i="5" s="1"/>
  <c r="N23" i="5"/>
  <c r="W23" i="5" s="1"/>
  <c r="M23" i="5"/>
  <c r="H23" i="5"/>
  <c r="G23" i="5"/>
  <c r="AF22" i="5"/>
  <c r="Z22" i="5"/>
  <c r="X22" i="5"/>
  <c r="V22" i="5"/>
  <c r="S22" i="5"/>
  <c r="R22" i="5"/>
  <c r="Q22" i="5"/>
  <c r="P22" i="5"/>
  <c r="O22" i="5"/>
  <c r="U22" i="5" s="1"/>
  <c r="N22" i="5"/>
  <c r="W22" i="5" s="1"/>
  <c r="M22" i="5"/>
  <c r="H22" i="5"/>
  <c r="G22" i="5"/>
  <c r="V21" i="5"/>
  <c r="T21" i="5"/>
  <c r="R21" i="5"/>
  <c r="Q21" i="5"/>
  <c r="P21" i="5"/>
  <c r="O21" i="5"/>
  <c r="X21" i="5" s="1"/>
  <c r="N21" i="5"/>
  <c r="W21" i="5" s="1"/>
  <c r="M21" i="5"/>
  <c r="S21" i="5" s="1"/>
  <c r="H21" i="5"/>
  <c r="G21" i="5"/>
  <c r="AF20" i="5"/>
  <c r="Q20" i="5" s="1"/>
  <c r="AC20" i="5"/>
  <c r="V20" i="5"/>
  <c r="T20" i="5"/>
  <c r="R20" i="5"/>
  <c r="P20" i="5"/>
  <c r="O20" i="5"/>
  <c r="X20" i="5" s="1"/>
  <c r="N20" i="5"/>
  <c r="W20" i="5" s="1"/>
  <c r="M20" i="5"/>
  <c r="S20" i="5" s="1"/>
  <c r="H20" i="5"/>
  <c r="G20" i="5"/>
  <c r="AF19" i="5"/>
  <c r="AF12" i="5" s="1"/>
  <c r="Q12" i="5" s="1"/>
  <c r="X19" i="5"/>
  <c r="U19" i="5"/>
  <c r="S19" i="5"/>
  <c r="R19" i="5"/>
  <c r="Q19" i="5"/>
  <c r="P19" i="5"/>
  <c r="O19" i="5"/>
  <c r="N19" i="5"/>
  <c r="W19" i="5" s="1"/>
  <c r="M19" i="5"/>
  <c r="V19" i="5" s="1"/>
  <c r="G19" i="5"/>
  <c r="AC18" i="5"/>
  <c r="T18" i="5"/>
  <c r="S18" i="5"/>
  <c r="Q18" i="5"/>
  <c r="P18" i="5"/>
  <c r="O18" i="5"/>
  <c r="U18" i="5" s="1"/>
  <c r="N18" i="5"/>
  <c r="W18" i="5" s="1"/>
  <c r="M18" i="5"/>
  <c r="V18" i="5" s="1"/>
  <c r="H18" i="5"/>
  <c r="G18" i="5"/>
  <c r="W17" i="5"/>
  <c r="R17" i="5"/>
  <c r="Q17" i="5"/>
  <c r="P17" i="5"/>
  <c r="O17" i="5"/>
  <c r="X17" i="5" s="1"/>
  <c r="N17" i="5"/>
  <c r="M17" i="5"/>
  <c r="S17" i="5" s="1"/>
  <c r="J17" i="5"/>
  <c r="T17" i="5" s="1"/>
  <c r="G17" i="5"/>
  <c r="X16" i="5"/>
  <c r="V16" i="5"/>
  <c r="S16" i="5"/>
  <c r="R16" i="5"/>
  <c r="Q16" i="5"/>
  <c r="P16" i="5"/>
  <c r="O16" i="5"/>
  <c r="U16" i="5" s="1"/>
  <c r="N16" i="5"/>
  <c r="W16" i="5" s="1"/>
  <c r="M16" i="5"/>
  <c r="J16" i="5"/>
  <c r="T16" i="5" s="1"/>
  <c r="H16" i="5"/>
  <c r="G16" i="5"/>
  <c r="W15" i="5"/>
  <c r="U15" i="5"/>
  <c r="R15" i="5"/>
  <c r="Q15" i="5"/>
  <c r="P15" i="5"/>
  <c r="O15" i="5"/>
  <c r="X15" i="5" s="1"/>
  <c r="N15" i="5"/>
  <c r="T15" i="5" s="1"/>
  <c r="M15" i="5"/>
  <c r="V15" i="5" s="1"/>
  <c r="I15" i="5"/>
  <c r="G15" i="5"/>
  <c r="V14" i="5"/>
  <c r="T14" i="5"/>
  <c r="R14" i="5"/>
  <c r="Q14" i="5"/>
  <c r="P14" i="5"/>
  <c r="O14" i="5"/>
  <c r="X14" i="5" s="1"/>
  <c r="N14" i="5"/>
  <c r="W14" i="5" s="1"/>
  <c r="M14" i="5"/>
  <c r="S14" i="5" s="1"/>
  <c r="S4" i="5" s="1"/>
  <c r="H14" i="5"/>
  <c r="G14" i="5"/>
  <c r="X13" i="5"/>
  <c r="W13" i="5"/>
  <c r="U13" i="5"/>
  <c r="T13" i="5"/>
  <c r="R13" i="5"/>
  <c r="Q13" i="5"/>
  <c r="P13" i="5"/>
  <c r="O13" i="5"/>
  <c r="N13" i="5"/>
  <c r="M13" i="5"/>
  <c r="V13" i="5" s="1"/>
  <c r="H13" i="5"/>
  <c r="G13" i="5"/>
  <c r="BK12" i="5"/>
  <c r="R12" i="5" s="1"/>
  <c r="BJ12" i="5"/>
  <c r="BI12" i="5"/>
  <c r="P12" i="5" s="1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E12" i="5"/>
  <c r="AD12" i="5"/>
  <c r="AC12" i="5"/>
  <c r="AB12" i="5"/>
  <c r="AA12" i="5"/>
  <c r="Z12" i="5"/>
  <c r="Y12" i="5"/>
  <c r="O12" i="5"/>
  <c r="X12" i="5" s="1"/>
  <c r="L12" i="5"/>
  <c r="K12" i="5"/>
  <c r="J12" i="5"/>
  <c r="I12" i="5"/>
  <c r="G12" i="5"/>
  <c r="F12" i="5"/>
  <c r="E12" i="5"/>
  <c r="U11" i="5"/>
  <c r="S11" i="5"/>
  <c r="R11" i="5"/>
  <c r="Q11" i="5"/>
  <c r="P11" i="5"/>
  <c r="O11" i="5"/>
  <c r="X11" i="5" s="1"/>
  <c r="N11" i="5"/>
  <c r="W11" i="5" s="1"/>
  <c r="M11" i="5"/>
  <c r="V11" i="5" s="1"/>
  <c r="G11" i="5"/>
  <c r="W10" i="5"/>
  <c r="T10" i="5"/>
  <c r="S10" i="5"/>
  <c r="R10" i="5"/>
  <c r="Q10" i="5"/>
  <c r="P10" i="5"/>
  <c r="O10" i="5"/>
  <c r="U10" i="5" s="1"/>
  <c r="N10" i="5"/>
  <c r="M10" i="5"/>
  <c r="V10" i="5" s="1"/>
  <c r="I10" i="5"/>
  <c r="G10" i="5" s="1"/>
  <c r="H10" i="5"/>
  <c r="X9" i="5"/>
  <c r="V9" i="5"/>
  <c r="S9" i="5"/>
  <c r="R9" i="5"/>
  <c r="Q9" i="5"/>
  <c r="P9" i="5"/>
  <c r="O9" i="5"/>
  <c r="U9" i="5" s="1"/>
  <c r="N9" i="5"/>
  <c r="T9" i="5" s="1"/>
  <c r="M9" i="5"/>
  <c r="H9" i="5" s="1"/>
  <c r="G9" i="5"/>
  <c r="X8" i="5"/>
  <c r="V8" i="5"/>
  <c r="U8" i="5"/>
  <c r="R8" i="5"/>
  <c r="Q8" i="5"/>
  <c r="P8" i="5"/>
  <c r="O8" i="5"/>
  <c r="N8" i="5"/>
  <c r="W8" i="5" s="1"/>
  <c r="M8" i="5"/>
  <c r="S8" i="5" s="1"/>
  <c r="H8" i="5"/>
  <c r="G8" i="5"/>
  <c r="V7" i="5"/>
  <c r="T7" i="5"/>
  <c r="S7" i="5"/>
  <c r="R7" i="5"/>
  <c r="Q7" i="5"/>
  <c r="P7" i="5"/>
  <c r="O7" i="5"/>
  <c r="X7" i="5" s="1"/>
  <c r="N7" i="5"/>
  <c r="W7" i="5" s="1"/>
  <c r="M7" i="5"/>
  <c r="H7" i="5"/>
  <c r="G7" i="5"/>
  <c r="X6" i="5"/>
  <c r="U6" i="5"/>
  <c r="T6" i="5"/>
  <c r="R6" i="5"/>
  <c r="Q6" i="5"/>
  <c r="P6" i="5"/>
  <c r="O6" i="5"/>
  <c r="N6" i="5"/>
  <c r="W6" i="5" s="1"/>
  <c r="M6" i="5"/>
  <c r="V6" i="5" s="1"/>
  <c r="H6" i="5"/>
  <c r="G6" i="5"/>
  <c r="R5" i="5"/>
  <c r="Q5" i="5"/>
  <c r="P5" i="5"/>
  <c r="O5" i="5"/>
  <c r="N5" i="5"/>
  <c r="M5" i="5"/>
  <c r="BK4" i="5"/>
  <c r="R4" i="5" s="1"/>
  <c r="BJ4" i="5"/>
  <c r="BI4" i="5"/>
  <c r="P4" i="5" s="1"/>
  <c r="BH4" i="5"/>
  <c r="BG4" i="5"/>
  <c r="BG3" i="5" s="1"/>
  <c r="BF4" i="5"/>
  <c r="BE4" i="5"/>
  <c r="BD4" i="5"/>
  <c r="BD3" i="5" s="1"/>
  <c r="BC4" i="5"/>
  <c r="BB4" i="5"/>
  <c r="BA4" i="5"/>
  <c r="BA3" i="5" s="1"/>
  <c r="AZ4" i="5"/>
  <c r="AY4" i="5"/>
  <c r="AY3" i="5" s="1"/>
  <c r="AX4" i="5"/>
  <c r="AW4" i="5"/>
  <c r="AV4" i="5"/>
  <c r="AV3" i="5" s="1"/>
  <c r="AU4" i="5"/>
  <c r="AT4" i="5"/>
  <c r="AS4" i="5"/>
  <c r="AS3" i="5" s="1"/>
  <c r="AR4" i="5"/>
  <c r="AQ4" i="5"/>
  <c r="AQ3" i="5" s="1"/>
  <c r="AP4" i="5"/>
  <c r="AO4" i="5"/>
  <c r="AN4" i="5"/>
  <c r="AN3" i="5" s="1"/>
  <c r="AM4" i="5"/>
  <c r="AL4" i="5"/>
  <c r="AK4" i="5"/>
  <c r="AK3" i="5" s="1"/>
  <c r="AJ4" i="5"/>
  <c r="AI4" i="5"/>
  <c r="AH4" i="5"/>
  <c r="AG4" i="5"/>
  <c r="AF4" i="5"/>
  <c r="AE4" i="5"/>
  <c r="AD4" i="5"/>
  <c r="AC4" i="5"/>
  <c r="Q4" i="5" s="1"/>
  <c r="AB4" i="5"/>
  <c r="AA4" i="5"/>
  <c r="Z4" i="5"/>
  <c r="Y4" i="5"/>
  <c r="O4" i="5"/>
  <c r="M4" i="5"/>
  <c r="L4" i="5"/>
  <c r="J4" i="5"/>
  <c r="I4" i="5"/>
  <c r="G4" i="5"/>
  <c r="F4" i="5"/>
  <c r="E4" i="5"/>
  <c r="BF3" i="5"/>
  <c r="AX3" i="5"/>
  <c r="AP3" i="5"/>
  <c r="AH3" i="5"/>
  <c r="Z3" i="5"/>
  <c r="F191" i="4"/>
  <c r="E191" i="4"/>
  <c r="X187" i="4"/>
  <c r="V187" i="4"/>
  <c r="S187" i="4"/>
  <c r="R187" i="4"/>
  <c r="Q187" i="4"/>
  <c r="P187" i="4"/>
  <c r="O187" i="4"/>
  <c r="U187" i="4" s="1"/>
  <c r="N187" i="4"/>
  <c r="T187" i="4" s="1"/>
  <c r="M187" i="4"/>
  <c r="H187" i="4" s="1"/>
  <c r="G187" i="4"/>
  <c r="X186" i="4"/>
  <c r="V186" i="4"/>
  <c r="U186" i="4"/>
  <c r="R186" i="4"/>
  <c r="Q186" i="4"/>
  <c r="P186" i="4"/>
  <c r="O186" i="4"/>
  <c r="N186" i="4"/>
  <c r="W186" i="4" s="1"/>
  <c r="M186" i="4"/>
  <c r="S186" i="4" s="1"/>
  <c r="S183" i="4" s="1"/>
  <c r="H186" i="4"/>
  <c r="G186" i="4"/>
  <c r="V185" i="4"/>
  <c r="T185" i="4"/>
  <c r="S185" i="4"/>
  <c r="R185" i="4"/>
  <c r="Q185" i="4"/>
  <c r="P185" i="4"/>
  <c r="O185" i="4"/>
  <c r="X185" i="4" s="1"/>
  <c r="N185" i="4"/>
  <c r="W185" i="4" s="1"/>
  <c r="M185" i="4"/>
  <c r="X184" i="4"/>
  <c r="V184" i="4"/>
  <c r="S184" i="4"/>
  <c r="R184" i="4"/>
  <c r="Q184" i="4"/>
  <c r="P184" i="4"/>
  <c r="O184" i="4"/>
  <c r="U184" i="4" s="1"/>
  <c r="N184" i="4"/>
  <c r="T184" i="4" s="1"/>
  <c r="M184" i="4"/>
  <c r="H184" i="4" s="1"/>
  <c r="G184" i="4"/>
  <c r="BK183" i="4"/>
  <c r="BJ183" i="4"/>
  <c r="BI183" i="4"/>
  <c r="BH183" i="4"/>
  <c r="BG183" i="4"/>
  <c r="BF183" i="4"/>
  <c r="BE183" i="4"/>
  <c r="BD183" i="4"/>
  <c r="BC183" i="4"/>
  <c r="BB183" i="4"/>
  <c r="BA183" i="4"/>
  <c r="AZ183" i="4"/>
  <c r="AY183" i="4"/>
  <c r="AX183" i="4"/>
  <c r="AW183" i="4"/>
  <c r="AV183" i="4"/>
  <c r="AU183" i="4"/>
  <c r="AT183" i="4"/>
  <c r="AS183" i="4"/>
  <c r="AR183" i="4"/>
  <c r="AQ183" i="4"/>
  <c r="AP183" i="4"/>
  <c r="AO183" i="4"/>
  <c r="AN183" i="4"/>
  <c r="AM183" i="4"/>
  <c r="AL183" i="4"/>
  <c r="AK183" i="4"/>
  <c r="AJ183" i="4"/>
  <c r="AI183" i="4"/>
  <c r="AH183" i="4"/>
  <c r="AG183" i="4"/>
  <c r="AF183" i="4"/>
  <c r="AE183" i="4"/>
  <c r="AD183" i="4"/>
  <c r="AC183" i="4"/>
  <c r="Q183" i="4" s="1"/>
  <c r="AB183" i="4"/>
  <c r="AA183" i="4"/>
  <c r="Z183" i="4"/>
  <c r="Y183" i="4"/>
  <c r="O183" i="4"/>
  <c r="X183" i="4" s="1"/>
  <c r="M183" i="4"/>
  <c r="L183" i="4"/>
  <c r="K183" i="4"/>
  <c r="J183" i="4"/>
  <c r="I183" i="4"/>
  <c r="G183" i="4"/>
  <c r="F183" i="4"/>
  <c r="E183" i="4"/>
  <c r="W182" i="4"/>
  <c r="T182" i="4"/>
  <c r="S182" i="4"/>
  <c r="R182" i="4"/>
  <c r="Q182" i="4"/>
  <c r="P182" i="4"/>
  <c r="O182" i="4"/>
  <c r="U182" i="4" s="1"/>
  <c r="N182" i="4"/>
  <c r="M182" i="4"/>
  <c r="V182" i="4" s="1"/>
  <c r="H182" i="4"/>
  <c r="G182" i="4"/>
  <c r="W181" i="4"/>
  <c r="R181" i="4"/>
  <c r="Q181" i="4"/>
  <c r="P181" i="4"/>
  <c r="O181" i="4"/>
  <c r="N181" i="4"/>
  <c r="T181" i="4" s="1"/>
  <c r="M181" i="4"/>
  <c r="S181" i="4" s="1"/>
  <c r="U180" i="4"/>
  <c r="R180" i="4"/>
  <c r="Q180" i="4"/>
  <c r="P180" i="4"/>
  <c r="O180" i="4"/>
  <c r="X180" i="4" s="1"/>
  <c r="N180" i="4"/>
  <c r="W180" i="4" s="1"/>
  <c r="M180" i="4"/>
  <c r="V180" i="4" s="1"/>
  <c r="W179" i="4"/>
  <c r="R179" i="4"/>
  <c r="Q179" i="4"/>
  <c r="P179" i="4"/>
  <c r="O179" i="4"/>
  <c r="N179" i="4"/>
  <c r="T179" i="4" s="1"/>
  <c r="M179" i="4"/>
  <c r="S179" i="4" s="1"/>
  <c r="U178" i="4"/>
  <c r="R178" i="4"/>
  <c r="Q178" i="4"/>
  <c r="P178" i="4"/>
  <c r="O178" i="4"/>
  <c r="X178" i="4" s="1"/>
  <c r="N178" i="4"/>
  <c r="W178" i="4" s="1"/>
  <c r="M178" i="4"/>
  <c r="S178" i="4" s="1"/>
  <c r="G178" i="4"/>
  <c r="W177" i="4"/>
  <c r="T177" i="4"/>
  <c r="S177" i="4"/>
  <c r="R177" i="4"/>
  <c r="Q177" i="4"/>
  <c r="P177" i="4"/>
  <c r="O177" i="4"/>
  <c r="U177" i="4" s="1"/>
  <c r="N177" i="4"/>
  <c r="M177" i="4"/>
  <c r="V177" i="4" s="1"/>
  <c r="H177" i="4"/>
  <c r="G177" i="4"/>
  <c r="BK176" i="4"/>
  <c r="BJ176" i="4"/>
  <c r="BI176" i="4"/>
  <c r="BH176" i="4"/>
  <c r="BH168" i="4" s="1"/>
  <c r="BG176" i="4"/>
  <c r="BF176" i="4"/>
  <c r="BE176" i="4"/>
  <c r="BD176" i="4"/>
  <c r="BD168" i="4" s="1"/>
  <c r="BC176" i="4"/>
  <c r="BB176" i="4"/>
  <c r="BA176" i="4"/>
  <c r="AZ176" i="4"/>
  <c r="AZ168" i="4" s="1"/>
  <c r="AY176" i="4"/>
  <c r="AX176" i="4"/>
  <c r="AW176" i="4"/>
  <c r="AV176" i="4"/>
  <c r="AU176" i="4"/>
  <c r="AT176" i="4"/>
  <c r="AS176" i="4"/>
  <c r="AR176" i="4"/>
  <c r="AR168" i="4" s="1"/>
  <c r="AQ176" i="4"/>
  <c r="AP176" i="4"/>
  <c r="AO176" i="4"/>
  <c r="AN176" i="4"/>
  <c r="AN168" i="4" s="1"/>
  <c r="AM176" i="4"/>
  <c r="AL176" i="4"/>
  <c r="AK176" i="4"/>
  <c r="AJ176" i="4"/>
  <c r="AJ168" i="4" s="1"/>
  <c r="AI176" i="4"/>
  <c r="AH176" i="4"/>
  <c r="AG176" i="4"/>
  <c r="AF176" i="4"/>
  <c r="AE176" i="4"/>
  <c r="AD176" i="4"/>
  <c r="AC176" i="4"/>
  <c r="AB176" i="4"/>
  <c r="AB168" i="4" s="1"/>
  <c r="AA176" i="4"/>
  <c r="Z176" i="4"/>
  <c r="Y176" i="4"/>
  <c r="N176" i="4"/>
  <c r="W176" i="4" s="1"/>
  <c r="L176" i="4"/>
  <c r="L168" i="4" s="1"/>
  <c r="K176" i="4"/>
  <c r="J176" i="4"/>
  <c r="I176" i="4"/>
  <c r="G176" i="4" s="1"/>
  <c r="F176" i="4"/>
  <c r="E176" i="4"/>
  <c r="X175" i="4"/>
  <c r="U175" i="4"/>
  <c r="T175" i="4"/>
  <c r="R175" i="4"/>
  <c r="Q175" i="4"/>
  <c r="P175" i="4"/>
  <c r="O175" i="4"/>
  <c r="N175" i="4"/>
  <c r="W175" i="4" s="1"/>
  <c r="M175" i="4"/>
  <c r="V175" i="4" s="1"/>
  <c r="H175" i="4"/>
  <c r="G175" i="4"/>
  <c r="X174" i="4"/>
  <c r="V174" i="4"/>
  <c r="S174" i="4"/>
  <c r="R174" i="4"/>
  <c r="Q174" i="4"/>
  <c r="P174" i="4"/>
  <c r="O174" i="4"/>
  <c r="U174" i="4" s="1"/>
  <c r="N174" i="4"/>
  <c r="M174" i="4"/>
  <c r="H174" i="4"/>
  <c r="G174" i="4"/>
  <c r="X173" i="4"/>
  <c r="V173" i="4"/>
  <c r="U173" i="4"/>
  <c r="T173" i="4"/>
  <c r="R173" i="4"/>
  <c r="Q173" i="4"/>
  <c r="P173" i="4"/>
  <c r="O173" i="4"/>
  <c r="N173" i="4"/>
  <c r="W173" i="4" s="1"/>
  <c r="M173" i="4"/>
  <c r="S173" i="4" s="1"/>
  <c r="H173" i="4"/>
  <c r="G173" i="4"/>
  <c r="V172" i="4"/>
  <c r="S172" i="4"/>
  <c r="R172" i="4"/>
  <c r="Q172" i="4"/>
  <c r="P172" i="4"/>
  <c r="O172" i="4"/>
  <c r="X172" i="4" s="1"/>
  <c r="N172" i="4"/>
  <c r="T172" i="4" s="1"/>
  <c r="M172" i="4"/>
  <c r="H172" i="4"/>
  <c r="G172" i="4"/>
  <c r="H171" i="4"/>
  <c r="G171" i="4"/>
  <c r="H170" i="4"/>
  <c r="G170" i="4"/>
  <c r="BK169" i="4"/>
  <c r="BJ169" i="4"/>
  <c r="BI169" i="4"/>
  <c r="BH169" i="4"/>
  <c r="BG169" i="4"/>
  <c r="BG168" i="4" s="1"/>
  <c r="BF169" i="4"/>
  <c r="BE169" i="4"/>
  <c r="BD169" i="4"/>
  <c r="BC169" i="4"/>
  <c r="BC168" i="4" s="1"/>
  <c r="BB169" i="4"/>
  <c r="BA169" i="4"/>
  <c r="BA168" i="4" s="1"/>
  <c r="AZ169" i="4"/>
  <c r="AY169" i="4"/>
  <c r="AY168" i="4" s="1"/>
  <c r="AX169" i="4"/>
  <c r="AW169" i="4"/>
  <c r="AV169" i="4"/>
  <c r="AU169" i="4"/>
  <c r="AU168" i="4" s="1"/>
  <c r="AT169" i="4"/>
  <c r="AS169" i="4"/>
  <c r="AS168" i="4" s="1"/>
  <c r="AR169" i="4"/>
  <c r="AQ169" i="4"/>
  <c r="AQ168" i="4" s="1"/>
  <c r="AP169" i="4"/>
  <c r="AO169" i="4"/>
  <c r="AN169" i="4"/>
  <c r="AM169" i="4"/>
  <c r="AM168" i="4" s="1"/>
  <c r="AL169" i="4"/>
  <c r="AK169" i="4"/>
  <c r="AK168" i="4" s="1"/>
  <c r="AJ169" i="4"/>
  <c r="AI169" i="4"/>
  <c r="AI168" i="4" s="1"/>
  <c r="AH169" i="4"/>
  <c r="AG169" i="4"/>
  <c r="AF169" i="4"/>
  <c r="AE169" i="4"/>
  <c r="AE168" i="4" s="1"/>
  <c r="AD169" i="4"/>
  <c r="AC169" i="4"/>
  <c r="AB169" i="4"/>
  <c r="AA169" i="4"/>
  <c r="AA168" i="4" s="1"/>
  <c r="Z169" i="4"/>
  <c r="Y169" i="4"/>
  <c r="O169" i="4"/>
  <c r="M169" i="4"/>
  <c r="L169" i="4"/>
  <c r="K169" i="4"/>
  <c r="K168" i="4" s="1"/>
  <c r="J169" i="4"/>
  <c r="I169" i="4"/>
  <c r="G169" i="4"/>
  <c r="F169" i="4"/>
  <c r="E169" i="4"/>
  <c r="E168" i="4" s="1"/>
  <c r="G168" i="4" s="1"/>
  <c r="BJ168" i="4"/>
  <c r="BF168" i="4"/>
  <c r="BE168" i="4"/>
  <c r="BB168" i="4"/>
  <c r="AX168" i="4"/>
  <c r="AW168" i="4"/>
  <c r="AV168" i="4"/>
  <c r="AT168" i="4"/>
  <c r="AP168" i="4"/>
  <c r="AO168" i="4"/>
  <c r="AL168" i="4"/>
  <c r="AH168" i="4"/>
  <c r="AG168" i="4"/>
  <c r="AF168" i="4"/>
  <c r="AD168" i="4"/>
  <c r="Z168" i="4"/>
  <c r="Y168" i="4"/>
  <c r="J168" i="4"/>
  <c r="I168" i="4"/>
  <c r="F168" i="4"/>
  <c r="V167" i="4"/>
  <c r="T167" i="4"/>
  <c r="S167" i="4"/>
  <c r="R167" i="4"/>
  <c r="Q167" i="4"/>
  <c r="P167" i="4"/>
  <c r="O167" i="4"/>
  <c r="X167" i="4" s="1"/>
  <c r="N167" i="4"/>
  <c r="W167" i="4" s="1"/>
  <c r="H167" i="4"/>
  <c r="G167" i="4"/>
  <c r="W166" i="4"/>
  <c r="T166" i="4"/>
  <c r="T165" i="4" s="1"/>
  <c r="S166" i="4"/>
  <c r="S165" i="4" s="1"/>
  <c r="R166" i="4"/>
  <c r="Q166" i="4"/>
  <c r="P166" i="4"/>
  <c r="O166" i="4"/>
  <c r="N166" i="4"/>
  <c r="M166" i="4"/>
  <c r="V166" i="4" s="1"/>
  <c r="H166" i="4"/>
  <c r="G166" i="4"/>
  <c r="BK165" i="4"/>
  <c r="BJ165" i="4"/>
  <c r="BI165" i="4"/>
  <c r="P165" i="4" s="1"/>
  <c r="BH165" i="4"/>
  <c r="BG165" i="4"/>
  <c r="BF165" i="4"/>
  <c r="BE165" i="4"/>
  <c r="BD165" i="4"/>
  <c r="BC165" i="4"/>
  <c r="BB165" i="4"/>
  <c r="BA165" i="4"/>
  <c r="AZ165" i="4"/>
  <c r="AY165" i="4"/>
  <c r="AX165" i="4"/>
  <c r="AW165" i="4"/>
  <c r="AV165" i="4"/>
  <c r="AU165" i="4"/>
  <c r="AT165" i="4"/>
  <c r="AS165" i="4"/>
  <c r="AR165" i="4"/>
  <c r="AQ165" i="4"/>
  <c r="AP165" i="4"/>
  <c r="AO165" i="4"/>
  <c r="AN165" i="4"/>
  <c r="AM165" i="4"/>
  <c r="AL165" i="4"/>
  <c r="AK165" i="4"/>
  <c r="AJ165" i="4"/>
  <c r="AI165" i="4"/>
  <c r="AH165" i="4"/>
  <c r="AG165" i="4"/>
  <c r="AF165" i="4"/>
  <c r="AE165" i="4"/>
  <c r="AD165" i="4"/>
  <c r="AC165" i="4"/>
  <c r="AB165" i="4"/>
  <c r="AA165" i="4"/>
  <c r="Z165" i="4"/>
  <c r="Y165" i="4"/>
  <c r="V165" i="4"/>
  <c r="R165" i="4"/>
  <c r="Q165" i="4"/>
  <c r="N165" i="4"/>
  <c r="W165" i="4" s="1"/>
  <c r="M165" i="4"/>
  <c r="L165" i="4"/>
  <c r="K165" i="4"/>
  <c r="J165" i="4"/>
  <c r="I165" i="4"/>
  <c r="G165" i="4" s="1"/>
  <c r="H165" i="4"/>
  <c r="F165" i="4"/>
  <c r="E165" i="4"/>
  <c r="V164" i="4"/>
  <c r="S164" i="4"/>
  <c r="R164" i="4"/>
  <c r="Q164" i="4"/>
  <c r="P164" i="4"/>
  <c r="O164" i="4"/>
  <c r="X164" i="4" s="1"/>
  <c r="N164" i="4"/>
  <c r="W164" i="4" s="1"/>
  <c r="M164" i="4"/>
  <c r="H164" i="4"/>
  <c r="G164" i="4"/>
  <c r="X163" i="4"/>
  <c r="U163" i="4"/>
  <c r="T163" i="4"/>
  <c r="R163" i="4"/>
  <c r="Q163" i="4"/>
  <c r="P163" i="4"/>
  <c r="O163" i="4"/>
  <c r="N163" i="4"/>
  <c r="W163" i="4" s="1"/>
  <c r="M163" i="4"/>
  <c r="S163" i="4" s="1"/>
  <c r="S161" i="4" s="1"/>
  <c r="S160" i="4" s="1"/>
  <c r="H163" i="4"/>
  <c r="G163" i="4"/>
  <c r="V162" i="4"/>
  <c r="S162" i="4"/>
  <c r="R162" i="4"/>
  <c r="Q162" i="4"/>
  <c r="P162" i="4"/>
  <c r="O162" i="4"/>
  <c r="X162" i="4" s="1"/>
  <c r="N162" i="4"/>
  <c r="N161" i="4" s="1"/>
  <c r="M162" i="4"/>
  <c r="H162" i="4"/>
  <c r="G162" i="4"/>
  <c r="BK161" i="4"/>
  <c r="BK160" i="4" s="1"/>
  <c r="BJ161" i="4"/>
  <c r="BI161" i="4"/>
  <c r="BI160" i="4" s="1"/>
  <c r="BH161" i="4"/>
  <c r="BH160" i="4" s="1"/>
  <c r="BH159" i="4" s="1"/>
  <c r="BG161" i="4"/>
  <c r="BG160" i="4" s="1"/>
  <c r="BG159" i="4" s="1"/>
  <c r="BF161" i="4"/>
  <c r="BE161" i="4"/>
  <c r="BE160" i="4" s="1"/>
  <c r="BE159" i="4" s="1"/>
  <c r="BD161" i="4"/>
  <c r="BD160" i="4" s="1"/>
  <c r="BD159" i="4" s="1"/>
  <c r="BC161" i="4"/>
  <c r="BC160" i="4" s="1"/>
  <c r="BC159" i="4" s="1"/>
  <c r="BB161" i="4"/>
  <c r="BA161" i="4"/>
  <c r="BA160" i="4" s="1"/>
  <c r="BA159" i="4" s="1"/>
  <c r="AZ161" i="4"/>
  <c r="AZ160" i="4" s="1"/>
  <c r="AZ159" i="4" s="1"/>
  <c r="AY161" i="4"/>
  <c r="AY160" i="4" s="1"/>
  <c r="AY159" i="4" s="1"/>
  <c r="AX161" i="4"/>
  <c r="AW161" i="4"/>
  <c r="AW160" i="4" s="1"/>
  <c r="AW159" i="4" s="1"/>
  <c r="AV161" i="4"/>
  <c r="AV160" i="4" s="1"/>
  <c r="AV159" i="4" s="1"/>
  <c r="AU161" i="4"/>
  <c r="AU160" i="4" s="1"/>
  <c r="AU159" i="4" s="1"/>
  <c r="AT161" i="4"/>
  <c r="AS161" i="4"/>
  <c r="AS160" i="4" s="1"/>
  <c r="AS159" i="4" s="1"/>
  <c r="AR161" i="4"/>
  <c r="AR160" i="4" s="1"/>
  <c r="AR159" i="4" s="1"/>
  <c r="AQ161" i="4"/>
  <c r="AQ160" i="4" s="1"/>
  <c r="AQ159" i="4" s="1"/>
  <c r="AP161" i="4"/>
  <c r="AO161" i="4"/>
  <c r="AO160" i="4" s="1"/>
  <c r="AO159" i="4" s="1"/>
  <c r="AN161" i="4"/>
  <c r="AN160" i="4" s="1"/>
  <c r="AN159" i="4" s="1"/>
  <c r="AM161" i="4"/>
  <c r="AM160" i="4" s="1"/>
  <c r="AM159" i="4" s="1"/>
  <c r="AL161" i="4"/>
  <c r="AK161" i="4"/>
  <c r="AK160" i="4" s="1"/>
  <c r="AK159" i="4" s="1"/>
  <c r="AJ161" i="4"/>
  <c r="AJ160" i="4" s="1"/>
  <c r="AJ159" i="4" s="1"/>
  <c r="AI161" i="4"/>
  <c r="AI160" i="4" s="1"/>
  <c r="AI159" i="4" s="1"/>
  <c r="AH161" i="4"/>
  <c r="AG161" i="4"/>
  <c r="AG160" i="4" s="1"/>
  <c r="AG159" i="4" s="1"/>
  <c r="AF161" i="4"/>
  <c r="AF160" i="4" s="1"/>
  <c r="AF159" i="4" s="1"/>
  <c r="AE161" i="4"/>
  <c r="AE160" i="4" s="1"/>
  <c r="AE159" i="4" s="1"/>
  <c r="AD161" i="4"/>
  <c r="AC161" i="4"/>
  <c r="AC160" i="4" s="1"/>
  <c r="AB161" i="4"/>
  <c r="P161" i="4" s="1"/>
  <c r="AA161" i="4"/>
  <c r="AA160" i="4" s="1"/>
  <c r="AA159" i="4" s="1"/>
  <c r="Z161" i="4"/>
  <c r="Y161" i="4"/>
  <c r="Y160" i="4" s="1"/>
  <c r="Y159" i="4" s="1"/>
  <c r="O161" i="4"/>
  <c r="X161" i="4" s="1"/>
  <c r="L161" i="4"/>
  <c r="L160" i="4" s="1"/>
  <c r="L159" i="4" s="1"/>
  <c r="K161" i="4"/>
  <c r="K160" i="4" s="1"/>
  <c r="K159" i="4" s="1"/>
  <c r="J161" i="4"/>
  <c r="I161" i="4"/>
  <c r="I160" i="4" s="1"/>
  <c r="G161" i="4"/>
  <c r="F161" i="4"/>
  <c r="E161" i="4"/>
  <c r="E160" i="4" s="1"/>
  <c r="E159" i="4" s="1"/>
  <c r="BJ160" i="4"/>
  <c r="BJ159" i="4" s="1"/>
  <c r="BF160" i="4"/>
  <c r="BF159" i="4" s="1"/>
  <c r="BB160" i="4"/>
  <c r="BB159" i="4" s="1"/>
  <c r="AX160" i="4"/>
  <c r="AX159" i="4" s="1"/>
  <c r="AT160" i="4"/>
  <c r="AT159" i="4" s="1"/>
  <c r="AP160" i="4"/>
  <c r="AP159" i="4" s="1"/>
  <c r="AL160" i="4"/>
  <c r="AL159" i="4" s="1"/>
  <c r="AH160" i="4"/>
  <c r="AH159" i="4" s="1"/>
  <c r="AD160" i="4"/>
  <c r="AD159" i="4" s="1"/>
  <c r="Z160" i="4"/>
  <c r="Z159" i="4" s="1"/>
  <c r="J160" i="4"/>
  <c r="J159" i="4" s="1"/>
  <c r="F160" i="4"/>
  <c r="F159" i="4" s="1"/>
  <c r="X158" i="4"/>
  <c r="W158" i="4"/>
  <c r="V158" i="4"/>
  <c r="U158" i="4"/>
  <c r="S158" i="4"/>
  <c r="Q158" i="4"/>
  <c r="P158" i="4"/>
  <c r="N158" i="4"/>
  <c r="T158" i="4" s="1"/>
  <c r="M158" i="4"/>
  <c r="H158" i="4"/>
  <c r="G158" i="4"/>
  <c r="S157" i="4"/>
  <c r="R157" i="4"/>
  <c r="Q157" i="4"/>
  <c r="P157" i="4"/>
  <c r="O157" i="4"/>
  <c r="O154" i="4" s="1"/>
  <c r="X154" i="4" s="1"/>
  <c r="N157" i="4"/>
  <c r="T157" i="4" s="1"/>
  <c r="M157" i="4"/>
  <c r="V156" i="4"/>
  <c r="S156" i="4"/>
  <c r="R156" i="4"/>
  <c r="Q156" i="4"/>
  <c r="P156" i="4"/>
  <c r="O156" i="4"/>
  <c r="U156" i="4" s="1"/>
  <c r="N156" i="4"/>
  <c r="W156" i="4" s="1"/>
  <c r="M156" i="4"/>
  <c r="H156" i="4"/>
  <c r="G156" i="4"/>
  <c r="X155" i="4"/>
  <c r="U155" i="4"/>
  <c r="T155" i="4"/>
  <c r="R155" i="4"/>
  <c r="Q155" i="4"/>
  <c r="P155" i="4"/>
  <c r="O155" i="4"/>
  <c r="N155" i="4"/>
  <c r="W155" i="4" s="1"/>
  <c r="M155" i="4"/>
  <c r="S155" i="4" s="1"/>
  <c r="S154" i="4" s="1"/>
  <c r="H155" i="4"/>
  <c r="G155" i="4"/>
  <c r="BK154" i="4"/>
  <c r="BJ154" i="4"/>
  <c r="BI154" i="4"/>
  <c r="P154" i="4" s="1"/>
  <c r="BH154" i="4"/>
  <c r="BG154" i="4"/>
  <c r="BF154" i="4"/>
  <c r="BE154" i="4"/>
  <c r="BD154" i="4"/>
  <c r="BC154" i="4"/>
  <c r="BB154" i="4"/>
  <c r="BA154" i="4"/>
  <c r="AZ154" i="4"/>
  <c r="AY154" i="4"/>
  <c r="AX154" i="4"/>
  <c r="AW154" i="4"/>
  <c r="AV154" i="4"/>
  <c r="AU154" i="4"/>
  <c r="AT154" i="4"/>
  <c r="AS154" i="4"/>
  <c r="AR154" i="4"/>
  <c r="AQ154" i="4"/>
  <c r="AP154" i="4"/>
  <c r="AO154" i="4"/>
  <c r="AN154" i="4"/>
  <c r="AM154" i="4"/>
  <c r="AL154" i="4"/>
  <c r="AK154" i="4"/>
  <c r="AJ154" i="4"/>
  <c r="AI154" i="4"/>
  <c r="AH154" i="4"/>
  <c r="AG154" i="4"/>
  <c r="AF154" i="4"/>
  <c r="AE154" i="4"/>
  <c r="AD154" i="4"/>
  <c r="R154" i="4" s="1"/>
  <c r="AC154" i="4"/>
  <c r="Q154" i="4" s="1"/>
  <c r="AB154" i="4"/>
  <c r="AA154" i="4"/>
  <c r="Z154" i="4"/>
  <c r="Y154" i="4"/>
  <c r="M154" i="4"/>
  <c r="H154" i="4" s="1"/>
  <c r="L154" i="4"/>
  <c r="K154" i="4"/>
  <c r="J154" i="4"/>
  <c r="I154" i="4"/>
  <c r="G154" i="4" s="1"/>
  <c r="F154" i="4"/>
  <c r="E154" i="4"/>
  <c r="U153" i="4"/>
  <c r="R153" i="4"/>
  <c r="Q153" i="4"/>
  <c r="P153" i="4"/>
  <c r="O153" i="4"/>
  <c r="X153" i="4" s="1"/>
  <c r="N153" i="4"/>
  <c r="T153" i="4" s="1"/>
  <c r="T150" i="4" s="1"/>
  <c r="M153" i="4"/>
  <c r="V153" i="4" s="1"/>
  <c r="G153" i="4"/>
  <c r="W152" i="4"/>
  <c r="T152" i="4"/>
  <c r="S152" i="4"/>
  <c r="R152" i="4"/>
  <c r="Q152" i="4"/>
  <c r="P152" i="4"/>
  <c r="O152" i="4"/>
  <c r="X152" i="4" s="1"/>
  <c r="N152" i="4"/>
  <c r="M152" i="4"/>
  <c r="V152" i="4" s="1"/>
  <c r="W151" i="4"/>
  <c r="T151" i="4"/>
  <c r="S151" i="4"/>
  <c r="R151" i="4"/>
  <c r="Q151" i="4"/>
  <c r="P151" i="4"/>
  <c r="O151" i="4"/>
  <c r="X151" i="4" s="1"/>
  <c r="N151" i="4"/>
  <c r="M151" i="4"/>
  <c r="V151" i="4" s="1"/>
  <c r="H151" i="4"/>
  <c r="G151" i="4"/>
  <c r="BK150" i="4"/>
  <c r="BJ150" i="4"/>
  <c r="BI150" i="4"/>
  <c r="BH150" i="4"/>
  <c r="BG150" i="4"/>
  <c r="BF150" i="4"/>
  <c r="BE150" i="4"/>
  <c r="BD150" i="4"/>
  <c r="BC150" i="4"/>
  <c r="BB150" i="4"/>
  <c r="BA150" i="4"/>
  <c r="AZ150" i="4"/>
  <c r="AY150" i="4"/>
  <c r="AX150" i="4"/>
  <c r="AW150" i="4"/>
  <c r="AV150" i="4"/>
  <c r="AU150" i="4"/>
  <c r="AT150" i="4"/>
  <c r="AS150" i="4"/>
  <c r="AR150" i="4"/>
  <c r="AQ150" i="4"/>
  <c r="AP150" i="4"/>
  <c r="AO150" i="4"/>
  <c r="AN150" i="4"/>
  <c r="AM150" i="4"/>
  <c r="AL150" i="4"/>
  <c r="AK150" i="4"/>
  <c r="AJ150" i="4"/>
  <c r="AI150" i="4"/>
  <c r="AH150" i="4"/>
  <c r="AG150" i="4"/>
  <c r="AF150" i="4"/>
  <c r="Q150" i="4" s="1"/>
  <c r="AE150" i="4"/>
  <c r="AD150" i="4"/>
  <c r="R150" i="4" s="1"/>
  <c r="AC150" i="4"/>
  <c r="AB150" i="4"/>
  <c r="AA150" i="4"/>
  <c r="Z150" i="4"/>
  <c r="Y150" i="4"/>
  <c r="P150" i="4"/>
  <c r="N150" i="4"/>
  <c r="W150" i="4" s="1"/>
  <c r="L150" i="4"/>
  <c r="K150" i="4"/>
  <c r="J150" i="4"/>
  <c r="I150" i="4"/>
  <c r="G150" i="4" s="1"/>
  <c r="F150" i="4"/>
  <c r="E150" i="4"/>
  <c r="X149" i="4"/>
  <c r="U149" i="4"/>
  <c r="T149" i="4"/>
  <c r="R149" i="4"/>
  <c r="Q149" i="4"/>
  <c r="P149" i="4"/>
  <c r="O149" i="4"/>
  <c r="N149" i="4"/>
  <c r="W149" i="4" s="1"/>
  <c r="M149" i="4"/>
  <c r="V149" i="4" s="1"/>
  <c r="H149" i="4"/>
  <c r="G149" i="4"/>
  <c r="P148" i="4"/>
  <c r="W147" i="4"/>
  <c r="T147" i="4"/>
  <c r="S147" i="4"/>
  <c r="R147" i="4"/>
  <c r="Q147" i="4"/>
  <c r="P147" i="4"/>
  <c r="O147" i="4"/>
  <c r="X147" i="4" s="1"/>
  <c r="N147" i="4"/>
  <c r="M147" i="4"/>
  <c r="V147" i="4" s="1"/>
  <c r="H147" i="4"/>
  <c r="G147" i="4"/>
  <c r="U146" i="4"/>
  <c r="R146" i="4"/>
  <c r="Q146" i="4"/>
  <c r="P146" i="4"/>
  <c r="O146" i="4"/>
  <c r="X146" i="4" s="1"/>
  <c r="N146" i="4"/>
  <c r="T146" i="4" s="1"/>
  <c r="T145" i="4" s="1"/>
  <c r="M146" i="4"/>
  <c r="V146" i="4" s="1"/>
  <c r="G146" i="4"/>
  <c r="BK145" i="4"/>
  <c r="BJ145" i="4"/>
  <c r="Q145" i="4" s="1"/>
  <c r="BI145" i="4"/>
  <c r="BH145" i="4"/>
  <c r="BG145" i="4"/>
  <c r="BF145" i="4"/>
  <c r="BE145" i="4"/>
  <c r="BD145" i="4"/>
  <c r="BC145" i="4"/>
  <c r="BB145" i="4"/>
  <c r="BA145" i="4"/>
  <c r="AZ145" i="4"/>
  <c r="AY145" i="4"/>
  <c r="AX145" i="4"/>
  <c r="AW145" i="4"/>
  <c r="AV145" i="4"/>
  <c r="AU145" i="4"/>
  <c r="AT145" i="4"/>
  <c r="AS145" i="4"/>
  <c r="AR145" i="4"/>
  <c r="AQ145" i="4"/>
  <c r="AP145" i="4"/>
  <c r="AO145" i="4"/>
  <c r="AN145" i="4"/>
  <c r="AM145" i="4"/>
  <c r="AL145" i="4"/>
  <c r="AK145" i="4"/>
  <c r="AJ145" i="4"/>
  <c r="AI145" i="4"/>
  <c r="AH145" i="4"/>
  <c r="AG145" i="4"/>
  <c r="AF145" i="4"/>
  <c r="AE145" i="4"/>
  <c r="AD145" i="4"/>
  <c r="R145" i="4" s="1"/>
  <c r="AC145" i="4"/>
  <c r="AB145" i="4"/>
  <c r="P145" i="4" s="1"/>
  <c r="AA145" i="4"/>
  <c r="Z145" i="4"/>
  <c r="Y145" i="4"/>
  <c r="N145" i="4"/>
  <c r="W145" i="4" s="1"/>
  <c r="L145" i="4"/>
  <c r="K145" i="4"/>
  <c r="J145" i="4"/>
  <c r="I145" i="4"/>
  <c r="G145" i="4"/>
  <c r="F145" i="4"/>
  <c r="E145" i="4"/>
  <c r="P144" i="4"/>
  <c r="W143" i="4"/>
  <c r="T143" i="4"/>
  <c r="S143" i="4"/>
  <c r="R143" i="4"/>
  <c r="Q143" i="4"/>
  <c r="P143" i="4"/>
  <c r="O143" i="4"/>
  <c r="X143" i="4" s="1"/>
  <c r="N143" i="4"/>
  <c r="M143" i="4"/>
  <c r="V143" i="4" s="1"/>
  <c r="H143" i="4"/>
  <c r="G143" i="4"/>
  <c r="U142" i="4"/>
  <c r="R142" i="4"/>
  <c r="Q142" i="4"/>
  <c r="P142" i="4"/>
  <c r="O142" i="4"/>
  <c r="X142" i="4" s="1"/>
  <c r="N142" i="4"/>
  <c r="T142" i="4" s="1"/>
  <c r="T140" i="4" s="1"/>
  <c r="M142" i="4"/>
  <c r="V142" i="4" s="1"/>
  <c r="G142" i="4"/>
  <c r="W141" i="4"/>
  <c r="W140" i="4" s="1"/>
  <c r="T141" i="4"/>
  <c r="S141" i="4"/>
  <c r="R141" i="4"/>
  <c r="Q141" i="4"/>
  <c r="P141" i="4"/>
  <c r="O141" i="4"/>
  <c r="O140" i="4" s="1"/>
  <c r="N141" i="4"/>
  <c r="M141" i="4"/>
  <c r="H141" i="4" s="1"/>
  <c r="G141" i="4"/>
  <c r="BK140" i="4"/>
  <c r="BJ140" i="4"/>
  <c r="BI140" i="4"/>
  <c r="BH140" i="4"/>
  <c r="BG140" i="4"/>
  <c r="BF140" i="4"/>
  <c r="BE140" i="4"/>
  <c r="BD140" i="4"/>
  <c r="BC140" i="4"/>
  <c r="BB140" i="4"/>
  <c r="BA140" i="4"/>
  <c r="AZ140" i="4"/>
  <c r="AY140" i="4"/>
  <c r="AX140" i="4"/>
  <c r="AW140" i="4"/>
  <c r="AV140" i="4"/>
  <c r="AU140" i="4"/>
  <c r="AT140" i="4"/>
  <c r="AS140" i="4"/>
  <c r="AR140" i="4"/>
  <c r="AQ140" i="4"/>
  <c r="AP140" i="4"/>
  <c r="AO140" i="4"/>
  <c r="AN140" i="4"/>
  <c r="AM140" i="4"/>
  <c r="AL140" i="4"/>
  <c r="AK140" i="4"/>
  <c r="AJ140" i="4"/>
  <c r="R140" i="4" s="1"/>
  <c r="AI140" i="4"/>
  <c r="AH140" i="4"/>
  <c r="AG140" i="4"/>
  <c r="AF140" i="4"/>
  <c r="AE140" i="4"/>
  <c r="AD140" i="4"/>
  <c r="AC140" i="4"/>
  <c r="Q140" i="4" s="1"/>
  <c r="AB140" i="4"/>
  <c r="P140" i="4" s="1"/>
  <c r="AA140" i="4"/>
  <c r="Z140" i="4"/>
  <c r="Y140" i="4"/>
  <c r="N140" i="4"/>
  <c r="L140" i="4"/>
  <c r="K140" i="4"/>
  <c r="J140" i="4"/>
  <c r="I140" i="4"/>
  <c r="G140" i="4" s="1"/>
  <c r="F140" i="4"/>
  <c r="E140" i="4"/>
  <c r="X139" i="4"/>
  <c r="U139" i="4"/>
  <c r="T139" i="4"/>
  <c r="R139" i="4"/>
  <c r="Q139" i="4"/>
  <c r="P139" i="4"/>
  <c r="O139" i="4"/>
  <c r="N139" i="4"/>
  <c r="W139" i="4" s="1"/>
  <c r="M139" i="4"/>
  <c r="S139" i="4" s="1"/>
  <c r="H139" i="4"/>
  <c r="G139" i="4"/>
  <c r="V138" i="4"/>
  <c r="S138" i="4"/>
  <c r="R138" i="4"/>
  <c r="Q138" i="4"/>
  <c r="P138" i="4"/>
  <c r="O138" i="4"/>
  <c r="X138" i="4" s="1"/>
  <c r="N138" i="4"/>
  <c r="N136" i="4" s="1"/>
  <c r="M138" i="4"/>
  <c r="H138" i="4"/>
  <c r="G138" i="4"/>
  <c r="X137" i="4"/>
  <c r="X136" i="4" s="1"/>
  <c r="U137" i="4"/>
  <c r="T137" i="4"/>
  <c r="R137" i="4"/>
  <c r="Q137" i="4"/>
  <c r="P137" i="4"/>
  <c r="O137" i="4"/>
  <c r="N137" i="4"/>
  <c r="W137" i="4" s="1"/>
  <c r="M137" i="4"/>
  <c r="V137" i="4" s="1"/>
  <c r="V136" i="4" s="1"/>
  <c r="H137" i="4"/>
  <c r="G137" i="4"/>
  <c r="BK136" i="4"/>
  <c r="BJ136" i="4"/>
  <c r="BI136" i="4"/>
  <c r="BI119" i="4" s="1"/>
  <c r="BH136" i="4"/>
  <c r="BG136" i="4"/>
  <c r="BF136" i="4"/>
  <c r="BE136" i="4"/>
  <c r="BD136" i="4"/>
  <c r="BC136" i="4"/>
  <c r="BB136" i="4"/>
  <c r="BA136" i="4"/>
  <c r="BA119" i="4" s="1"/>
  <c r="AZ136" i="4"/>
  <c r="AY136" i="4"/>
  <c r="AX136" i="4"/>
  <c r="AW136" i="4"/>
  <c r="AV136" i="4"/>
  <c r="AU136" i="4"/>
  <c r="AT136" i="4"/>
  <c r="AS136" i="4"/>
  <c r="AS119" i="4" s="1"/>
  <c r="AR136" i="4"/>
  <c r="AQ136" i="4"/>
  <c r="AP136" i="4"/>
  <c r="AO136" i="4"/>
  <c r="AN136" i="4"/>
  <c r="AM136" i="4"/>
  <c r="AL136" i="4"/>
  <c r="AK136" i="4"/>
  <c r="AK119" i="4" s="1"/>
  <c r="AJ136" i="4"/>
  <c r="AI136" i="4"/>
  <c r="AH136" i="4"/>
  <c r="AG136" i="4"/>
  <c r="R136" i="4" s="1"/>
  <c r="AF136" i="4"/>
  <c r="AE136" i="4"/>
  <c r="AD136" i="4"/>
  <c r="AC136" i="4"/>
  <c r="AB136" i="4"/>
  <c r="AA136" i="4"/>
  <c r="Z136" i="4"/>
  <c r="Y136" i="4"/>
  <c r="Q136" i="4"/>
  <c r="M136" i="4"/>
  <c r="H136" i="4" s="1"/>
  <c r="L136" i="4"/>
  <c r="K136" i="4"/>
  <c r="J136" i="4"/>
  <c r="I136" i="4"/>
  <c r="G136" i="4" s="1"/>
  <c r="F136" i="4"/>
  <c r="E136" i="4"/>
  <c r="U135" i="4"/>
  <c r="R135" i="4"/>
  <c r="Q135" i="4"/>
  <c r="P135" i="4"/>
  <c r="O135" i="4"/>
  <c r="X135" i="4" s="1"/>
  <c r="N135" i="4"/>
  <c r="W135" i="4" s="1"/>
  <c r="M135" i="4"/>
  <c r="V135" i="4" s="1"/>
  <c r="G135" i="4"/>
  <c r="W134" i="4"/>
  <c r="T134" i="4"/>
  <c r="S134" i="4"/>
  <c r="R134" i="4"/>
  <c r="Q134" i="4"/>
  <c r="P134" i="4"/>
  <c r="O134" i="4"/>
  <c r="X134" i="4" s="1"/>
  <c r="N134" i="4"/>
  <c r="M134" i="4"/>
  <c r="V134" i="4" s="1"/>
  <c r="H134" i="4"/>
  <c r="G134" i="4"/>
  <c r="U133" i="4"/>
  <c r="R133" i="4"/>
  <c r="Q133" i="4"/>
  <c r="P133" i="4"/>
  <c r="O133" i="4"/>
  <c r="X133" i="4" s="1"/>
  <c r="N133" i="4"/>
  <c r="T133" i="4" s="1"/>
  <c r="M133" i="4"/>
  <c r="V133" i="4" s="1"/>
  <c r="G133" i="4"/>
  <c r="W132" i="4"/>
  <c r="T132" i="4"/>
  <c r="S132" i="4"/>
  <c r="R132" i="4"/>
  <c r="Q132" i="4"/>
  <c r="P132" i="4"/>
  <c r="O132" i="4"/>
  <c r="O130" i="4" s="1"/>
  <c r="N132" i="4"/>
  <c r="M132" i="4"/>
  <c r="H132" i="4" s="1"/>
  <c r="G132" i="4"/>
  <c r="U131" i="4"/>
  <c r="R131" i="4"/>
  <c r="Q131" i="4"/>
  <c r="P131" i="4"/>
  <c r="O131" i="4"/>
  <c r="X131" i="4" s="1"/>
  <c r="X130" i="4" s="1"/>
  <c r="N131" i="4"/>
  <c r="W131" i="4" s="1"/>
  <c r="W130" i="4" s="1"/>
  <c r="M131" i="4"/>
  <c r="M130" i="4" s="1"/>
  <c r="H130" i="4" s="1"/>
  <c r="G131" i="4"/>
  <c r="BK130" i="4"/>
  <c r="BJ130" i="4"/>
  <c r="Q130" i="4" s="1"/>
  <c r="BI130" i="4"/>
  <c r="BH130" i="4"/>
  <c r="BG130" i="4"/>
  <c r="BF130" i="4"/>
  <c r="BE130" i="4"/>
  <c r="BD130" i="4"/>
  <c r="BC130" i="4"/>
  <c r="BB130" i="4"/>
  <c r="BA130" i="4"/>
  <c r="AZ130" i="4"/>
  <c r="AY130" i="4"/>
  <c r="AX130" i="4"/>
  <c r="AW130" i="4"/>
  <c r="AV130" i="4"/>
  <c r="AU130" i="4"/>
  <c r="AT130" i="4"/>
  <c r="AS130" i="4"/>
  <c r="AR130" i="4"/>
  <c r="AQ130" i="4"/>
  <c r="AP130" i="4"/>
  <c r="AO130" i="4"/>
  <c r="AN130" i="4"/>
  <c r="AM130" i="4"/>
  <c r="AL130" i="4"/>
  <c r="AK130" i="4"/>
  <c r="AJ130" i="4"/>
  <c r="AI130" i="4"/>
  <c r="AH130" i="4"/>
  <c r="P130" i="4" s="1"/>
  <c r="AG130" i="4"/>
  <c r="AF130" i="4"/>
  <c r="AE130" i="4"/>
  <c r="AD130" i="4"/>
  <c r="AC130" i="4"/>
  <c r="AB130" i="4"/>
  <c r="AA130" i="4"/>
  <c r="Z130" i="4"/>
  <c r="Y130" i="4"/>
  <c r="R130" i="4"/>
  <c r="N130" i="4"/>
  <c r="L130" i="4"/>
  <c r="K130" i="4"/>
  <c r="J130" i="4"/>
  <c r="I130" i="4"/>
  <c r="G130" i="4"/>
  <c r="F130" i="4"/>
  <c r="E130" i="4"/>
  <c r="V129" i="4"/>
  <c r="S129" i="4"/>
  <c r="R129" i="4"/>
  <c r="Q129" i="4"/>
  <c r="P129" i="4"/>
  <c r="O129" i="4"/>
  <c r="X129" i="4" s="1"/>
  <c r="N129" i="4"/>
  <c r="W129" i="4" s="1"/>
  <c r="M129" i="4"/>
  <c r="H129" i="4"/>
  <c r="G129" i="4"/>
  <c r="AC128" i="4"/>
  <c r="AC120" i="4" s="1"/>
  <c r="S128" i="4"/>
  <c r="R128" i="4"/>
  <c r="P128" i="4"/>
  <c r="O128" i="4"/>
  <c r="U128" i="4" s="1"/>
  <c r="N128" i="4"/>
  <c r="T128" i="4" s="1"/>
  <c r="M128" i="4"/>
  <c r="V127" i="4"/>
  <c r="S127" i="4"/>
  <c r="R127" i="4"/>
  <c r="Q127" i="4"/>
  <c r="P127" i="4"/>
  <c r="O127" i="4"/>
  <c r="X127" i="4" s="1"/>
  <c r="N127" i="4"/>
  <c r="W127" i="4" s="1"/>
  <c r="M127" i="4"/>
  <c r="H127" i="4"/>
  <c r="G127" i="4"/>
  <c r="X126" i="4"/>
  <c r="U126" i="4"/>
  <c r="T126" i="4"/>
  <c r="R126" i="4"/>
  <c r="Q126" i="4"/>
  <c r="P126" i="4"/>
  <c r="O126" i="4"/>
  <c r="N126" i="4"/>
  <c r="W126" i="4" s="1"/>
  <c r="M126" i="4"/>
  <c r="V126" i="4" s="1"/>
  <c r="H126" i="4"/>
  <c r="G126" i="4"/>
  <c r="V125" i="4"/>
  <c r="S125" i="4"/>
  <c r="R125" i="4"/>
  <c r="Q125" i="4"/>
  <c r="P125" i="4"/>
  <c r="O125" i="4"/>
  <c r="U125" i="4" s="1"/>
  <c r="N125" i="4"/>
  <c r="W125" i="4" s="1"/>
  <c r="M125" i="4"/>
  <c r="J125" i="4"/>
  <c r="T125" i="4" s="1"/>
  <c r="H125" i="4"/>
  <c r="G125" i="4"/>
  <c r="U124" i="4"/>
  <c r="R124" i="4"/>
  <c r="Q124" i="4"/>
  <c r="P124" i="4"/>
  <c r="O124" i="4"/>
  <c r="X124" i="4" s="1"/>
  <c r="N124" i="4"/>
  <c r="T124" i="4" s="1"/>
  <c r="M124" i="4"/>
  <c r="V124" i="4" s="1"/>
  <c r="G124" i="4"/>
  <c r="W123" i="4"/>
  <c r="T123" i="4"/>
  <c r="S123" i="4"/>
  <c r="R123" i="4"/>
  <c r="Q123" i="4"/>
  <c r="P123" i="4"/>
  <c r="O123" i="4"/>
  <c r="X123" i="4" s="1"/>
  <c r="N123" i="4"/>
  <c r="M123" i="4"/>
  <c r="H123" i="4" s="1"/>
  <c r="G123" i="4"/>
  <c r="U122" i="4"/>
  <c r="R122" i="4"/>
  <c r="Q122" i="4"/>
  <c r="P122" i="4"/>
  <c r="O122" i="4"/>
  <c r="X122" i="4" s="1"/>
  <c r="N122" i="4"/>
  <c r="W122" i="4" s="1"/>
  <c r="M122" i="4"/>
  <c r="M120" i="4" s="1"/>
  <c r="G122" i="4"/>
  <c r="W121" i="4"/>
  <c r="T121" i="4"/>
  <c r="S121" i="4"/>
  <c r="R121" i="4"/>
  <c r="Q121" i="4"/>
  <c r="P121" i="4"/>
  <c r="O121" i="4"/>
  <c r="X121" i="4" s="1"/>
  <c r="N121" i="4"/>
  <c r="M121" i="4"/>
  <c r="V121" i="4" s="1"/>
  <c r="H121" i="4"/>
  <c r="G121" i="4"/>
  <c r="BK120" i="4"/>
  <c r="BJ120" i="4"/>
  <c r="BJ119" i="4" s="1"/>
  <c r="BJ96" i="4" s="1"/>
  <c r="BI120" i="4"/>
  <c r="BH120" i="4"/>
  <c r="BH119" i="4" s="1"/>
  <c r="BG120" i="4"/>
  <c r="BF120" i="4"/>
  <c r="BF119" i="4" s="1"/>
  <c r="BF96" i="4" s="1"/>
  <c r="BE120" i="4"/>
  <c r="BE119" i="4" s="1"/>
  <c r="BD120" i="4"/>
  <c r="BD119" i="4" s="1"/>
  <c r="BC120" i="4"/>
  <c r="BB120" i="4"/>
  <c r="BB119" i="4" s="1"/>
  <c r="BB96" i="4" s="1"/>
  <c r="BA120" i="4"/>
  <c r="AZ120" i="4"/>
  <c r="AZ119" i="4" s="1"/>
  <c r="AY120" i="4"/>
  <c r="AX120" i="4"/>
  <c r="AX119" i="4" s="1"/>
  <c r="AX96" i="4" s="1"/>
  <c r="AW120" i="4"/>
  <c r="AW119" i="4" s="1"/>
  <c r="AV120" i="4"/>
  <c r="AV119" i="4" s="1"/>
  <c r="AU120" i="4"/>
  <c r="AT120" i="4"/>
  <c r="AT119" i="4" s="1"/>
  <c r="AT96" i="4" s="1"/>
  <c r="AS120" i="4"/>
  <c r="AR120" i="4"/>
  <c r="AR119" i="4" s="1"/>
  <c r="AQ120" i="4"/>
  <c r="AP120" i="4"/>
  <c r="AP119" i="4" s="1"/>
  <c r="AP96" i="4" s="1"/>
  <c r="AO120" i="4"/>
  <c r="AO119" i="4" s="1"/>
  <c r="AN120" i="4"/>
  <c r="AN119" i="4" s="1"/>
  <c r="AM120" i="4"/>
  <c r="AL120" i="4"/>
  <c r="AL119" i="4" s="1"/>
  <c r="AL96" i="4" s="1"/>
  <c r="AK120" i="4"/>
  <c r="AJ120" i="4"/>
  <c r="AJ119" i="4" s="1"/>
  <c r="AI120" i="4"/>
  <c r="AH120" i="4"/>
  <c r="AH119" i="4" s="1"/>
  <c r="AH96" i="4" s="1"/>
  <c r="AG120" i="4"/>
  <c r="AG119" i="4" s="1"/>
  <c r="AF120" i="4"/>
  <c r="AF119" i="4" s="1"/>
  <c r="AE120" i="4"/>
  <c r="AD120" i="4"/>
  <c r="AD119" i="4" s="1"/>
  <c r="AD96" i="4" s="1"/>
  <c r="AB120" i="4"/>
  <c r="AB119" i="4" s="1"/>
  <c r="AA120" i="4"/>
  <c r="Z120" i="4"/>
  <c r="Z119" i="4" s="1"/>
  <c r="Z96" i="4" s="1"/>
  <c r="Y120" i="4"/>
  <c r="Y119" i="4" s="1"/>
  <c r="P120" i="4"/>
  <c r="L120" i="4"/>
  <c r="L119" i="4" s="1"/>
  <c r="K120" i="4"/>
  <c r="J120" i="4"/>
  <c r="J119" i="4" s="1"/>
  <c r="J96" i="4" s="1"/>
  <c r="I120" i="4"/>
  <c r="G120" i="4" s="1"/>
  <c r="G119" i="4" s="1"/>
  <c r="F120" i="4"/>
  <c r="F119" i="4" s="1"/>
  <c r="F96" i="4" s="1"/>
  <c r="E120" i="4"/>
  <c r="E119" i="4" s="1"/>
  <c r="BK119" i="4"/>
  <c r="BG119" i="4"/>
  <c r="BC119" i="4"/>
  <c r="AY119" i="4"/>
  <c r="AU119" i="4"/>
  <c r="AQ119" i="4"/>
  <c r="AM119" i="4"/>
  <c r="AI119" i="4"/>
  <c r="AE119" i="4"/>
  <c r="AA119" i="4"/>
  <c r="K119" i="4"/>
  <c r="W118" i="4"/>
  <c r="T118" i="4"/>
  <c r="S118" i="4"/>
  <c r="R118" i="4"/>
  <c r="Q118" i="4"/>
  <c r="P118" i="4"/>
  <c r="O118" i="4"/>
  <c r="X118" i="4" s="1"/>
  <c r="N118" i="4"/>
  <c r="M118" i="4"/>
  <c r="V118" i="4" s="1"/>
  <c r="H118" i="4"/>
  <c r="G118" i="4"/>
  <c r="T117" i="4"/>
  <c r="S117" i="4"/>
  <c r="R117" i="4"/>
  <c r="Q117" i="4"/>
  <c r="P117" i="4"/>
  <c r="O117" i="4"/>
  <c r="U117" i="4" s="1"/>
  <c r="N117" i="4"/>
  <c r="M117" i="4"/>
  <c r="V117" i="4" s="1"/>
  <c r="W116" i="4"/>
  <c r="T116" i="4"/>
  <c r="S116" i="4"/>
  <c r="R116" i="4"/>
  <c r="Q116" i="4"/>
  <c r="P116" i="4"/>
  <c r="O116" i="4"/>
  <c r="O114" i="4" s="1"/>
  <c r="X114" i="4" s="1"/>
  <c r="N116" i="4"/>
  <c r="M116" i="4"/>
  <c r="V116" i="4" s="1"/>
  <c r="H116" i="4"/>
  <c r="G116" i="4"/>
  <c r="U115" i="4"/>
  <c r="R115" i="4"/>
  <c r="Q115" i="4"/>
  <c r="P115" i="4"/>
  <c r="O115" i="4"/>
  <c r="X115" i="4" s="1"/>
  <c r="N115" i="4"/>
  <c r="W115" i="4" s="1"/>
  <c r="M115" i="4"/>
  <c r="M114" i="4" s="1"/>
  <c r="G115" i="4"/>
  <c r="BK114" i="4"/>
  <c r="BJ114" i="4"/>
  <c r="Q114" i="4" s="1"/>
  <c r="BI114" i="4"/>
  <c r="BH114" i="4"/>
  <c r="BG114" i="4"/>
  <c r="BF114" i="4"/>
  <c r="BE114" i="4"/>
  <c r="BD114" i="4"/>
  <c r="BC114" i="4"/>
  <c r="BB114" i="4"/>
  <c r="BA114" i="4"/>
  <c r="AZ114" i="4"/>
  <c r="AY114" i="4"/>
  <c r="AX114" i="4"/>
  <c r="AW114" i="4"/>
  <c r="AV114" i="4"/>
  <c r="AU114" i="4"/>
  <c r="AT114" i="4"/>
  <c r="AS114" i="4"/>
  <c r="AR114" i="4"/>
  <c r="AQ114" i="4"/>
  <c r="AP114" i="4"/>
  <c r="AO114" i="4"/>
  <c r="AN114" i="4"/>
  <c r="AM114" i="4"/>
  <c r="AL114" i="4"/>
  <c r="AK114" i="4"/>
  <c r="AJ114" i="4"/>
  <c r="AI114" i="4"/>
  <c r="AH114" i="4"/>
  <c r="AG114" i="4"/>
  <c r="AF114" i="4"/>
  <c r="AE114" i="4"/>
  <c r="P114" i="4" s="1"/>
  <c r="AD114" i="4"/>
  <c r="AC114" i="4"/>
  <c r="AB114" i="4"/>
  <c r="AA114" i="4"/>
  <c r="Z114" i="4"/>
  <c r="Y114" i="4"/>
  <c r="R114" i="4"/>
  <c r="N114" i="4"/>
  <c r="W114" i="4" s="1"/>
  <c r="L114" i="4"/>
  <c r="J114" i="4"/>
  <c r="I114" i="4"/>
  <c r="G114" i="4" s="1"/>
  <c r="F114" i="4"/>
  <c r="E114" i="4"/>
  <c r="U113" i="4"/>
  <c r="R113" i="4"/>
  <c r="Q113" i="4"/>
  <c r="P113" i="4"/>
  <c r="O113" i="4"/>
  <c r="X113" i="4" s="1"/>
  <c r="N113" i="4"/>
  <c r="W113" i="4" s="1"/>
  <c r="M113" i="4"/>
  <c r="V113" i="4" s="1"/>
  <c r="G113" i="4"/>
  <c r="W112" i="4"/>
  <c r="T112" i="4"/>
  <c r="S112" i="4"/>
  <c r="R112" i="4"/>
  <c r="Q112" i="4"/>
  <c r="P112" i="4"/>
  <c r="O112" i="4"/>
  <c r="X112" i="4" s="1"/>
  <c r="N112" i="4"/>
  <c r="M112" i="4"/>
  <c r="V112" i="4" s="1"/>
  <c r="H112" i="4"/>
  <c r="G112" i="4"/>
  <c r="U111" i="4"/>
  <c r="R111" i="4"/>
  <c r="Q111" i="4"/>
  <c r="P111" i="4"/>
  <c r="O111" i="4"/>
  <c r="X111" i="4" s="1"/>
  <c r="N111" i="4"/>
  <c r="T111" i="4" s="1"/>
  <c r="M111" i="4"/>
  <c r="V111" i="4" s="1"/>
  <c r="G111" i="4"/>
  <c r="W110" i="4"/>
  <c r="T110" i="4"/>
  <c r="S110" i="4"/>
  <c r="R110" i="4"/>
  <c r="Q110" i="4"/>
  <c r="P110" i="4"/>
  <c r="O110" i="4"/>
  <c r="X110" i="4" s="1"/>
  <c r="N110" i="4"/>
  <c r="M110" i="4"/>
  <c r="V110" i="4" s="1"/>
  <c r="H110" i="4"/>
  <c r="G110" i="4"/>
  <c r="U109" i="4"/>
  <c r="R109" i="4"/>
  <c r="Q109" i="4"/>
  <c r="P109" i="4"/>
  <c r="O109" i="4"/>
  <c r="X109" i="4" s="1"/>
  <c r="N109" i="4"/>
  <c r="W109" i="4" s="1"/>
  <c r="M109" i="4"/>
  <c r="V109" i="4" s="1"/>
  <c r="G109" i="4"/>
  <c r="W108" i="4"/>
  <c r="T108" i="4"/>
  <c r="S108" i="4"/>
  <c r="R108" i="4"/>
  <c r="Q108" i="4"/>
  <c r="P108" i="4"/>
  <c r="O108" i="4"/>
  <c r="X108" i="4" s="1"/>
  <c r="N108" i="4"/>
  <c r="M108" i="4"/>
  <c r="V108" i="4" s="1"/>
  <c r="H108" i="4"/>
  <c r="G108" i="4"/>
  <c r="U107" i="4"/>
  <c r="R107" i="4"/>
  <c r="Q107" i="4"/>
  <c r="P107" i="4"/>
  <c r="O107" i="4"/>
  <c r="X107" i="4" s="1"/>
  <c r="N107" i="4"/>
  <c r="T107" i="4" s="1"/>
  <c r="M107" i="4"/>
  <c r="V107" i="4" s="1"/>
  <c r="G107" i="4"/>
  <c r="W106" i="4"/>
  <c r="T106" i="4"/>
  <c r="S106" i="4"/>
  <c r="R106" i="4"/>
  <c r="Q106" i="4"/>
  <c r="P106" i="4"/>
  <c r="O106" i="4"/>
  <c r="X106" i="4" s="1"/>
  <c r="N106" i="4"/>
  <c r="M106" i="4"/>
  <c r="V106" i="4" s="1"/>
  <c r="H106" i="4"/>
  <c r="G106" i="4"/>
  <c r="U105" i="4"/>
  <c r="R105" i="4"/>
  <c r="Q105" i="4"/>
  <c r="P105" i="4"/>
  <c r="O105" i="4"/>
  <c r="X105" i="4" s="1"/>
  <c r="N105" i="4"/>
  <c r="W105" i="4" s="1"/>
  <c r="M105" i="4"/>
  <c r="V105" i="4" s="1"/>
  <c r="G105" i="4"/>
  <c r="W104" i="4"/>
  <c r="T104" i="4"/>
  <c r="S104" i="4"/>
  <c r="R104" i="4"/>
  <c r="Q104" i="4"/>
  <c r="P104" i="4"/>
  <c r="O104" i="4"/>
  <c r="X104" i="4" s="1"/>
  <c r="N104" i="4"/>
  <c r="M104" i="4"/>
  <c r="V104" i="4" s="1"/>
  <c r="H104" i="4"/>
  <c r="G104" i="4"/>
  <c r="U103" i="4"/>
  <c r="T103" i="4"/>
  <c r="R103" i="4"/>
  <c r="Q103" i="4"/>
  <c r="P103" i="4"/>
  <c r="O103" i="4"/>
  <c r="N103" i="4"/>
  <c r="W103" i="4" s="1"/>
  <c r="M103" i="4"/>
  <c r="S103" i="4" s="1"/>
  <c r="H103" i="4"/>
  <c r="G103" i="4"/>
  <c r="V102" i="4"/>
  <c r="S102" i="4"/>
  <c r="R102" i="4"/>
  <c r="Q102" i="4"/>
  <c r="P102" i="4"/>
  <c r="O102" i="4"/>
  <c r="X102" i="4" s="1"/>
  <c r="N102" i="4"/>
  <c r="W102" i="4" s="1"/>
  <c r="M102" i="4"/>
  <c r="H102" i="4"/>
  <c r="G102" i="4"/>
  <c r="X101" i="4"/>
  <c r="U101" i="4"/>
  <c r="T101" i="4"/>
  <c r="R101" i="4"/>
  <c r="Q101" i="4"/>
  <c r="P101" i="4"/>
  <c r="O101" i="4"/>
  <c r="N101" i="4"/>
  <c r="W101" i="4" s="1"/>
  <c r="M101" i="4"/>
  <c r="V101" i="4" s="1"/>
  <c r="H101" i="4"/>
  <c r="G101" i="4"/>
  <c r="V100" i="4"/>
  <c r="S100" i="4"/>
  <c r="R100" i="4"/>
  <c r="Q100" i="4"/>
  <c r="P100" i="4"/>
  <c r="O100" i="4"/>
  <c r="U100" i="4" s="1"/>
  <c r="N100" i="4"/>
  <c r="W100" i="4" s="1"/>
  <c r="M100" i="4"/>
  <c r="H100" i="4"/>
  <c r="G100" i="4"/>
  <c r="X99" i="4"/>
  <c r="U99" i="4"/>
  <c r="T99" i="4"/>
  <c r="R99" i="4"/>
  <c r="Q99" i="4"/>
  <c r="P99" i="4"/>
  <c r="O99" i="4"/>
  <c r="N99" i="4"/>
  <c r="W99" i="4" s="1"/>
  <c r="M99" i="4"/>
  <c r="S99" i="4" s="1"/>
  <c r="H99" i="4"/>
  <c r="G99" i="4"/>
  <c r="V98" i="4"/>
  <c r="S98" i="4"/>
  <c r="R98" i="4"/>
  <c r="Q98" i="4"/>
  <c r="P98" i="4"/>
  <c r="O98" i="4"/>
  <c r="X98" i="4" s="1"/>
  <c r="N98" i="4"/>
  <c r="N97" i="4" s="1"/>
  <c r="M98" i="4"/>
  <c r="H98" i="4"/>
  <c r="G98" i="4"/>
  <c r="BK97" i="4"/>
  <c r="BK96" i="4" s="1"/>
  <c r="BJ97" i="4"/>
  <c r="BI97" i="4"/>
  <c r="BI96" i="4" s="1"/>
  <c r="BH97" i="4"/>
  <c r="BH96" i="4" s="1"/>
  <c r="BG97" i="4"/>
  <c r="BG96" i="4" s="1"/>
  <c r="BF97" i="4"/>
  <c r="BE97" i="4"/>
  <c r="BD97" i="4"/>
  <c r="BD96" i="4" s="1"/>
  <c r="BC97" i="4"/>
  <c r="BC96" i="4" s="1"/>
  <c r="BB97" i="4"/>
  <c r="BA97" i="4"/>
  <c r="BA96" i="4" s="1"/>
  <c r="AZ97" i="4"/>
  <c r="AZ96" i="4" s="1"/>
  <c r="AY97" i="4"/>
  <c r="AY96" i="4" s="1"/>
  <c r="AX97" i="4"/>
  <c r="AW97" i="4"/>
  <c r="AV97" i="4"/>
  <c r="AV96" i="4" s="1"/>
  <c r="AU97" i="4"/>
  <c r="AU96" i="4" s="1"/>
  <c r="AT97" i="4"/>
  <c r="AS97" i="4"/>
  <c r="AS96" i="4" s="1"/>
  <c r="AR97" i="4"/>
  <c r="AR96" i="4" s="1"/>
  <c r="AQ97" i="4"/>
  <c r="AQ96" i="4" s="1"/>
  <c r="AP97" i="4"/>
  <c r="AO97" i="4"/>
  <c r="AN97" i="4"/>
  <c r="AN96" i="4" s="1"/>
  <c r="AM97" i="4"/>
  <c r="AM96" i="4" s="1"/>
  <c r="AL97" i="4"/>
  <c r="AK97" i="4"/>
  <c r="AK96" i="4" s="1"/>
  <c r="AJ97" i="4"/>
  <c r="AJ96" i="4" s="1"/>
  <c r="AI97" i="4"/>
  <c r="AI96" i="4" s="1"/>
  <c r="AH97" i="4"/>
  <c r="AG97" i="4"/>
  <c r="AF97" i="4"/>
  <c r="AF96" i="4" s="1"/>
  <c r="AE97" i="4"/>
  <c r="AE96" i="4" s="1"/>
  <c r="AD97" i="4"/>
  <c r="AC97" i="4"/>
  <c r="AB97" i="4"/>
  <c r="P97" i="4" s="1"/>
  <c r="AA97" i="4"/>
  <c r="AA96" i="4" s="1"/>
  <c r="Z97" i="4"/>
  <c r="Y97" i="4"/>
  <c r="Y96" i="4" s="1"/>
  <c r="O97" i="4"/>
  <c r="X97" i="4" s="1"/>
  <c r="L97" i="4"/>
  <c r="L96" i="4" s="1"/>
  <c r="K97" i="4"/>
  <c r="K96" i="4" s="1"/>
  <c r="J97" i="4"/>
  <c r="I97" i="4"/>
  <c r="G97" i="4"/>
  <c r="F97" i="4"/>
  <c r="E97" i="4"/>
  <c r="E96" i="4" s="1"/>
  <c r="V95" i="4"/>
  <c r="S95" i="4"/>
  <c r="R95" i="4"/>
  <c r="Q95" i="4"/>
  <c r="P95" i="4"/>
  <c r="O95" i="4"/>
  <c r="U95" i="4" s="1"/>
  <c r="N95" i="4"/>
  <c r="W95" i="4" s="1"/>
  <c r="M95" i="4"/>
  <c r="H95" i="4"/>
  <c r="G95" i="4"/>
  <c r="X94" i="4"/>
  <c r="U94" i="4"/>
  <c r="T94" i="4"/>
  <c r="R94" i="4"/>
  <c r="Q94" i="4"/>
  <c r="P94" i="4"/>
  <c r="O94" i="4"/>
  <c r="N94" i="4"/>
  <c r="W94" i="4" s="1"/>
  <c r="M94" i="4"/>
  <c r="S94" i="4" s="1"/>
  <c r="S89" i="4" s="1"/>
  <c r="H94" i="4"/>
  <c r="G94" i="4"/>
  <c r="Q93" i="4"/>
  <c r="P93" i="4"/>
  <c r="Q92" i="4"/>
  <c r="P92" i="4"/>
  <c r="V91" i="4"/>
  <c r="S91" i="4"/>
  <c r="R91" i="4"/>
  <c r="Q91" i="4"/>
  <c r="P91" i="4"/>
  <c r="O91" i="4"/>
  <c r="U91" i="4" s="1"/>
  <c r="U89" i="4" s="1"/>
  <c r="N91" i="4"/>
  <c r="W91" i="4" s="1"/>
  <c r="M91" i="4"/>
  <c r="H91" i="4"/>
  <c r="G91" i="4"/>
  <c r="BK89" i="4"/>
  <c r="R89" i="4" s="1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Q89" i="4" s="1"/>
  <c r="AE89" i="4"/>
  <c r="P89" i="4" s="1"/>
  <c r="AD89" i="4"/>
  <c r="AC89" i="4"/>
  <c r="AB89" i="4"/>
  <c r="AA89" i="4"/>
  <c r="Z89" i="4"/>
  <c r="Y89" i="4"/>
  <c r="O89" i="4"/>
  <c r="X89" i="4" s="1"/>
  <c r="L89" i="4"/>
  <c r="K89" i="4"/>
  <c r="J89" i="4"/>
  <c r="I89" i="4"/>
  <c r="G89" i="4"/>
  <c r="F89" i="4"/>
  <c r="E89" i="4"/>
  <c r="W88" i="4"/>
  <c r="T88" i="4"/>
  <c r="S88" i="4"/>
  <c r="R88" i="4"/>
  <c r="Q88" i="4"/>
  <c r="P88" i="4"/>
  <c r="O88" i="4"/>
  <c r="X88" i="4" s="1"/>
  <c r="N88" i="4"/>
  <c r="M88" i="4"/>
  <c r="V88" i="4" s="1"/>
  <c r="H88" i="4"/>
  <c r="G88" i="4"/>
  <c r="AC87" i="4"/>
  <c r="Z87" i="4"/>
  <c r="N87" i="4" s="1"/>
  <c r="S87" i="4"/>
  <c r="R87" i="4"/>
  <c r="Q87" i="4"/>
  <c r="P87" i="4"/>
  <c r="O87" i="4"/>
  <c r="X87" i="4" s="1"/>
  <c r="M87" i="4"/>
  <c r="V87" i="4" s="1"/>
  <c r="H87" i="4"/>
  <c r="G87" i="4"/>
  <c r="U86" i="4"/>
  <c r="R86" i="4"/>
  <c r="Q86" i="4"/>
  <c r="P86" i="4"/>
  <c r="O86" i="4"/>
  <c r="X86" i="4" s="1"/>
  <c r="N86" i="4"/>
  <c r="T86" i="4" s="1"/>
  <c r="M86" i="4"/>
  <c r="V86" i="4" s="1"/>
  <c r="G86" i="4"/>
  <c r="W85" i="4"/>
  <c r="T85" i="4"/>
  <c r="S85" i="4"/>
  <c r="R85" i="4"/>
  <c r="Q85" i="4"/>
  <c r="P85" i="4"/>
  <c r="O85" i="4"/>
  <c r="O84" i="4" s="1"/>
  <c r="X84" i="4" s="1"/>
  <c r="N85" i="4"/>
  <c r="M85" i="4"/>
  <c r="V85" i="4" s="1"/>
  <c r="H85" i="4"/>
  <c r="G85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R84" i="4" s="1"/>
  <c r="AF84" i="4"/>
  <c r="AE84" i="4"/>
  <c r="AD84" i="4"/>
  <c r="AC84" i="4"/>
  <c r="Q84" i="4" s="1"/>
  <c r="AB84" i="4"/>
  <c r="P84" i="4" s="1"/>
  <c r="AA84" i="4"/>
  <c r="Z84" i="4"/>
  <c r="Y84" i="4"/>
  <c r="L84" i="4"/>
  <c r="K84" i="4"/>
  <c r="J84" i="4"/>
  <c r="I84" i="4"/>
  <c r="G84" i="4" s="1"/>
  <c r="F84" i="4"/>
  <c r="E84" i="4"/>
  <c r="X83" i="4"/>
  <c r="U83" i="4"/>
  <c r="T83" i="4"/>
  <c r="R83" i="4"/>
  <c r="Q83" i="4"/>
  <c r="P83" i="4"/>
  <c r="O83" i="4"/>
  <c r="N83" i="4"/>
  <c r="W83" i="4" s="1"/>
  <c r="M83" i="4"/>
  <c r="S83" i="4" s="1"/>
  <c r="H83" i="4"/>
  <c r="G83" i="4"/>
  <c r="V82" i="4"/>
  <c r="S82" i="4"/>
  <c r="R82" i="4"/>
  <c r="Q82" i="4"/>
  <c r="P82" i="4"/>
  <c r="O82" i="4"/>
  <c r="X82" i="4" s="1"/>
  <c r="N82" i="4"/>
  <c r="N80" i="4" s="1"/>
  <c r="W80" i="4" s="1"/>
  <c r="M82" i="4"/>
  <c r="H82" i="4"/>
  <c r="G82" i="4"/>
  <c r="X81" i="4"/>
  <c r="U81" i="4"/>
  <c r="T81" i="4"/>
  <c r="R81" i="4"/>
  <c r="Q81" i="4"/>
  <c r="P81" i="4"/>
  <c r="O81" i="4"/>
  <c r="N81" i="4"/>
  <c r="W81" i="4" s="1"/>
  <c r="M81" i="4"/>
  <c r="V81" i="4" s="1"/>
  <c r="H81" i="4"/>
  <c r="G81" i="4"/>
  <c r="BK80" i="4"/>
  <c r="BJ80" i="4"/>
  <c r="BI80" i="4"/>
  <c r="P80" i="4" s="1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R80" i="4" s="1"/>
  <c r="AF80" i="4"/>
  <c r="AE80" i="4"/>
  <c r="AD80" i="4"/>
  <c r="AC80" i="4"/>
  <c r="AB80" i="4"/>
  <c r="AA80" i="4"/>
  <c r="Z80" i="4"/>
  <c r="Y80" i="4"/>
  <c r="Q80" i="4"/>
  <c r="M80" i="4"/>
  <c r="V80" i="4" s="1"/>
  <c r="L80" i="4"/>
  <c r="K80" i="4"/>
  <c r="J80" i="4"/>
  <c r="I80" i="4"/>
  <c r="G80" i="4" s="1"/>
  <c r="F80" i="4"/>
  <c r="E80" i="4"/>
  <c r="U79" i="4"/>
  <c r="R79" i="4"/>
  <c r="Q79" i="4"/>
  <c r="P79" i="4"/>
  <c r="O79" i="4"/>
  <c r="X79" i="4" s="1"/>
  <c r="N79" i="4"/>
  <c r="W79" i="4" s="1"/>
  <c r="M79" i="4"/>
  <c r="M77" i="4" s="1"/>
  <c r="G79" i="4"/>
  <c r="W78" i="4"/>
  <c r="T78" i="4"/>
  <c r="S78" i="4"/>
  <c r="R78" i="4"/>
  <c r="Q78" i="4"/>
  <c r="P78" i="4"/>
  <c r="O78" i="4"/>
  <c r="X78" i="4" s="1"/>
  <c r="N78" i="4"/>
  <c r="M78" i="4"/>
  <c r="V78" i="4" s="1"/>
  <c r="H78" i="4"/>
  <c r="G78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R77" i="4" s="1"/>
  <c r="AF77" i="4"/>
  <c r="Q77" i="4" s="1"/>
  <c r="AE77" i="4"/>
  <c r="AD77" i="4"/>
  <c r="AC77" i="4"/>
  <c r="AB77" i="4"/>
  <c r="AA77" i="4"/>
  <c r="Z77" i="4"/>
  <c r="Y77" i="4"/>
  <c r="P77" i="4"/>
  <c r="L77" i="4"/>
  <c r="K77" i="4"/>
  <c r="J77" i="4"/>
  <c r="I77" i="4"/>
  <c r="G77" i="4" s="1"/>
  <c r="V76" i="4"/>
  <c r="S76" i="4"/>
  <c r="R76" i="4"/>
  <c r="Q76" i="4"/>
  <c r="P76" i="4"/>
  <c r="O76" i="4"/>
  <c r="U76" i="4" s="1"/>
  <c r="N76" i="4"/>
  <c r="W76" i="4" s="1"/>
  <c r="M76" i="4"/>
  <c r="H76" i="4"/>
  <c r="G76" i="4"/>
  <c r="X75" i="4"/>
  <c r="U75" i="4"/>
  <c r="T75" i="4"/>
  <c r="R75" i="4"/>
  <c r="Q75" i="4"/>
  <c r="P75" i="4"/>
  <c r="O75" i="4"/>
  <c r="N75" i="4"/>
  <c r="W75" i="4" s="1"/>
  <c r="M75" i="4"/>
  <c r="S75" i="4" s="1"/>
  <c r="H75" i="4"/>
  <c r="G75" i="4"/>
  <c r="AC74" i="4"/>
  <c r="N74" i="4" s="1"/>
  <c r="S74" i="4"/>
  <c r="R74" i="4"/>
  <c r="Q74" i="4"/>
  <c r="P74" i="4"/>
  <c r="O74" i="4"/>
  <c r="O68" i="4" s="1"/>
  <c r="M74" i="4"/>
  <c r="V74" i="4" s="1"/>
  <c r="H74" i="4"/>
  <c r="G74" i="4"/>
  <c r="U73" i="4"/>
  <c r="R73" i="4"/>
  <c r="Q73" i="4"/>
  <c r="P73" i="4"/>
  <c r="O73" i="4"/>
  <c r="X73" i="4" s="1"/>
  <c r="N73" i="4"/>
  <c r="W73" i="4" s="1"/>
  <c r="M73" i="4"/>
  <c r="V73" i="4" s="1"/>
  <c r="G73" i="4"/>
  <c r="AC72" i="4"/>
  <c r="N72" i="4" s="1"/>
  <c r="X72" i="4"/>
  <c r="U72" i="4"/>
  <c r="R72" i="4"/>
  <c r="Q72" i="4"/>
  <c r="P72" i="4"/>
  <c r="O72" i="4"/>
  <c r="M72" i="4"/>
  <c r="V72" i="4" s="1"/>
  <c r="H72" i="4"/>
  <c r="G72" i="4"/>
  <c r="V71" i="4"/>
  <c r="S71" i="4"/>
  <c r="R71" i="4"/>
  <c r="Q71" i="4"/>
  <c r="P71" i="4"/>
  <c r="O71" i="4"/>
  <c r="U71" i="4" s="1"/>
  <c r="N71" i="4"/>
  <c r="W71" i="4" s="1"/>
  <c r="M71" i="4"/>
  <c r="H71" i="4"/>
  <c r="G71" i="4"/>
  <c r="X70" i="4"/>
  <c r="U70" i="4"/>
  <c r="T70" i="4"/>
  <c r="R70" i="4"/>
  <c r="Q70" i="4"/>
  <c r="P70" i="4"/>
  <c r="O70" i="4"/>
  <c r="N70" i="4"/>
  <c r="N68" i="4" s="1"/>
  <c r="M70" i="4"/>
  <c r="S70" i="4" s="1"/>
  <c r="H70" i="4"/>
  <c r="G70" i="4"/>
  <c r="V69" i="4"/>
  <c r="S69" i="4"/>
  <c r="R69" i="4"/>
  <c r="Q69" i="4"/>
  <c r="P69" i="4"/>
  <c r="O69" i="4"/>
  <c r="X69" i="4" s="1"/>
  <c r="N69" i="4"/>
  <c r="W69" i="4" s="1"/>
  <c r="M69" i="4"/>
  <c r="H69" i="4"/>
  <c r="G69" i="4"/>
  <c r="BK68" i="4"/>
  <c r="BK67" i="4" s="1"/>
  <c r="BJ68" i="4"/>
  <c r="BI68" i="4"/>
  <c r="BI67" i="4" s="1"/>
  <c r="BH68" i="4"/>
  <c r="BH67" i="4" s="1"/>
  <c r="BG68" i="4"/>
  <c r="BG67" i="4" s="1"/>
  <c r="BG3" i="4" s="1"/>
  <c r="BF68" i="4"/>
  <c r="BE68" i="4"/>
  <c r="BE67" i="4" s="1"/>
  <c r="BD68" i="4"/>
  <c r="BD67" i="4" s="1"/>
  <c r="BC68" i="4"/>
  <c r="BC67" i="4" s="1"/>
  <c r="BC3" i="4" s="1"/>
  <c r="BB68" i="4"/>
  <c r="BA68" i="4"/>
  <c r="BA67" i="4" s="1"/>
  <c r="AZ68" i="4"/>
  <c r="AZ67" i="4" s="1"/>
  <c r="AY68" i="4"/>
  <c r="AY67" i="4" s="1"/>
  <c r="AY3" i="4" s="1"/>
  <c r="AX68" i="4"/>
  <c r="AW68" i="4"/>
  <c r="AW67" i="4" s="1"/>
  <c r="AV68" i="4"/>
  <c r="AV67" i="4" s="1"/>
  <c r="AU68" i="4"/>
  <c r="AU67" i="4" s="1"/>
  <c r="AU3" i="4" s="1"/>
  <c r="AT68" i="4"/>
  <c r="AS68" i="4"/>
  <c r="AS67" i="4" s="1"/>
  <c r="AR68" i="4"/>
  <c r="AR67" i="4" s="1"/>
  <c r="AQ68" i="4"/>
  <c r="AQ67" i="4" s="1"/>
  <c r="AQ3" i="4" s="1"/>
  <c r="AP68" i="4"/>
  <c r="AO68" i="4"/>
  <c r="AO67" i="4" s="1"/>
  <c r="AN68" i="4"/>
  <c r="AN67" i="4" s="1"/>
  <c r="AM68" i="4"/>
  <c r="AM67" i="4" s="1"/>
  <c r="AM3" i="4" s="1"/>
  <c r="AL68" i="4"/>
  <c r="AK68" i="4"/>
  <c r="AK67" i="4" s="1"/>
  <c r="AJ68" i="4"/>
  <c r="AJ67" i="4" s="1"/>
  <c r="AI68" i="4"/>
  <c r="AI67" i="4" s="1"/>
  <c r="AI3" i="4" s="1"/>
  <c r="AH68" i="4"/>
  <c r="AG68" i="4"/>
  <c r="AG67" i="4" s="1"/>
  <c r="AF68" i="4"/>
  <c r="AF67" i="4" s="1"/>
  <c r="AE68" i="4"/>
  <c r="AE67" i="4" s="1"/>
  <c r="AE3" i="4" s="1"/>
  <c r="AD68" i="4"/>
  <c r="AB68" i="4"/>
  <c r="P68" i="4" s="1"/>
  <c r="P67" i="4" s="1"/>
  <c r="AA68" i="4"/>
  <c r="AA67" i="4" s="1"/>
  <c r="AA3" i="4" s="1"/>
  <c r="Z68" i="4"/>
  <c r="Y68" i="4"/>
  <c r="Y67" i="4" s="1"/>
  <c r="L68" i="4"/>
  <c r="L67" i="4" s="1"/>
  <c r="K68" i="4"/>
  <c r="K67" i="4" s="1"/>
  <c r="K3" i="4" s="1"/>
  <c r="J68" i="4"/>
  <c r="I68" i="4"/>
  <c r="I67" i="4" s="1"/>
  <c r="G68" i="4"/>
  <c r="F68" i="4"/>
  <c r="E68" i="4"/>
  <c r="E67" i="4" s="1"/>
  <c r="BJ67" i="4"/>
  <c r="BF67" i="4"/>
  <c r="BB67" i="4"/>
  <c r="AX67" i="4"/>
  <c r="AT67" i="4"/>
  <c r="AP67" i="4"/>
  <c r="AL67" i="4"/>
  <c r="AH67" i="4"/>
  <c r="AD67" i="4"/>
  <c r="Z67" i="4"/>
  <c r="J67" i="4"/>
  <c r="F67" i="4"/>
  <c r="V66" i="4"/>
  <c r="S66" i="4"/>
  <c r="R66" i="4"/>
  <c r="Q66" i="4"/>
  <c r="P66" i="4"/>
  <c r="O66" i="4"/>
  <c r="U66" i="4" s="1"/>
  <c r="N66" i="4"/>
  <c r="W66" i="4" s="1"/>
  <c r="M66" i="4"/>
  <c r="H66" i="4"/>
  <c r="G66" i="4"/>
  <c r="X65" i="4"/>
  <c r="U65" i="4"/>
  <c r="T65" i="4"/>
  <c r="R65" i="4"/>
  <c r="Q65" i="4"/>
  <c r="P65" i="4"/>
  <c r="O65" i="4"/>
  <c r="N65" i="4"/>
  <c r="W65" i="4" s="1"/>
  <c r="M65" i="4"/>
  <c r="S65" i="4" s="1"/>
  <c r="H65" i="4"/>
  <c r="G65" i="4"/>
  <c r="V64" i="4"/>
  <c r="S64" i="4"/>
  <c r="R64" i="4"/>
  <c r="Q64" i="4"/>
  <c r="P64" i="4"/>
  <c r="O64" i="4"/>
  <c r="X64" i="4" s="1"/>
  <c r="N64" i="4"/>
  <c r="W64" i="4" s="1"/>
  <c r="M64" i="4"/>
  <c r="H64" i="4"/>
  <c r="G64" i="4"/>
  <c r="X63" i="4"/>
  <c r="U63" i="4"/>
  <c r="T63" i="4"/>
  <c r="R63" i="4"/>
  <c r="Q63" i="4"/>
  <c r="P63" i="4"/>
  <c r="O63" i="4"/>
  <c r="N63" i="4"/>
  <c r="W63" i="4" s="1"/>
  <c r="M63" i="4"/>
  <c r="V63" i="4" s="1"/>
  <c r="H63" i="4"/>
  <c r="G63" i="4"/>
  <c r="V62" i="4"/>
  <c r="S62" i="4"/>
  <c r="R62" i="4"/>
  <c r="Q62" i="4"/>
  <c r="P62" i="4"/>
  <c r="O62" i="4"/>
  <c r="U62" i="4" s="1"/>
  <c r="N62" i="4"/>
  <c r="W62" i="4" s="1"/>
  <c r="M62" i="4"/>
  <c r="G62" i="4"/>
  <c r="W61" i="4"/>
  <c r="T61" i="4"/>
  <c r="S61" i="4"/>
  <c r="R61" i="4"/>
  <c r="Q61" i="4"/>
  <c r="P61" i="4"/>
  <c r="O61" i="4"/>
  <c r="X61" i="4" s="1"/>
  <c r="N61" i="4"/>
  <c r="M61" i="4"/>
  <c r="V61" i="4" s="1"/>
  <c r="G61" i="4"/>
  <c r="X60" i="4"/>
  <c r="U60" i="4"/>
  <c r="T60" i="4"/>
  <c r="R60" i="4"/>
  <c r="Q60" i="4"/>
  <c r="P60" i="4"/>
  <c r="O60" i="4"/>
  <c r="N60" i="4"/>
  <c r="W60" i="4" s="1"/>
  <c r="M60" i="4"/>
  <c r="V60" i="4" s="1"/>
  <c r="H60" i="4"/>
  <c r="G60" i="4"/>
  <c r="V59" i="4"/>
  <c r="S59" i="4"/>
  <c r="R59" i="4"/>
  <c r="Q59" i="4"/>
  <c r="P59" i="4"/>
  <c r="O59" i="4"/>
  <c r="U59" i="4" s="1"/>
  <c r="N59" i="4"/>
  <c r="W59" i="4" s="1"/>
  <c r="M59" i="4"/>
  <c r="H59" i="4"/>
  <c r="G59" i="4"/>
  <c r="X58" i="4"/>
  <c r="U58" i="4"/>
  <c r="T58" i="4"/>
  <c r="R58" i="4"/>
  <c r="Q58" i="4"/>
  <c r="P58" i="4"/>
  <c r="O58" i="4"/>
  <c r="N58" i="4"/>
  <c r="W58" i="4" s="1"/>
  <c r="M58" i="4"/>
  <c r="S58" i="4" s="1"/>
  <c r="H58" i="4"/>
  <c r="G58" i="4"/>
  <c r="V57" i="4"/>
  <c r="S57" i="4"/>
  <c r="R57" i="4"/>
  <c r="Q57" i="4"/>
  <c r="P57" i="4"/>
  <c r="O57" i="4"/>
  <c r="X57" i="4" s="1"/>
  <c r="N57" i="4"/>
  <c r="W57" i="4" s="1"/>
  <c r="M57" i="4"/>
  <c r="H57" i="4"/>
  <c r="G57" i="4"/>
  <c r="AC56" i="4"/>
  <c r="N56" i="4" s="1"/>
  <c r="U56" i="4"/>
  <c r="R56" i="4"/>
  <c r="Q56" i="4"/>
  <c r="P56" i="4"/>
  <c r="O56" i="4"/>
  <c r="X56" i="4" s="1"/>
  <c r="M56" i="4"/>
  <c r="V56" i="4" s="1"/>
  <c r="G56" i="4"/>
  <c r="W55" i="4"/>
  <c r="T55" i="4"/>
  <c r="S55" i="4"/>
  <c r="R55" i="4"/>
  <c r="Q55" i="4"/>
  <c r="P55" i="4"/>
  <c r="O55" i="4"/>
  <c r="X55" i="4" s="1"/>
  <c r="N55" i="4"/>
  <c r="M55" i="4"/>
  <c r="V55" i="4" s="1"/>
  <c r="H55" i="4"/>
  <c r="G55" i="4"/>
  <c r="U54" i="4"/>
  <c r="R54" i="4"/>
  <c r="Q54" i="4"/>
  <c r="P54" i="4"/>
  <c r="O54" i="4"/>
  <c r="X54" i="4" s="1"/>
  <c r="N54" i="4"/>
  <c r="T54" i="4" s="1"/>
  <c r="M54" i="4"/>
  <c r="V54" i="4" s="1"/>
  <c r="G54" i="4"/>
  <c r="W53" i="4"/>
  <c r="T53" i="4"/>
  <c r="S53" i="4"/>
  <c r="R53" i="4"/>
  <c r="Q53" i="4"/>
  <c r="P53" i="4"/>
  <c r="O53" i="4"/>
  <c r="X53" i="4" s="1"/>
  <c r="N53" i="4"/>
  <c r="M53" i="4"/>
  <c r="V53" i="4" s="1"/>
  <c r="H53" i="4"/>
  <c r="G53" i="4"/>
  <c r="AC52" i="4"/>
  <c r="Z52" i="4"/>
  <c r="N52" i="4" s="1"/>
  <c r="W52" i="4" s="1"/>
  <c r="S52" i="4"/>
  <c r="R52" i="4"/>
  <c r="Q52" i="4"/>
  <c r="P52" i="4"/>
  <c r="O52" i="4"/>
  <c r="X52" i="4" s="1"/>
  <c r="M52" i="4"/>
  <c r="V52" i="4" s="1"/>
  <c r="J52" i="4"/>
  <c r="T52" i="4" s="1"/>
  <c r="H52" i="4"/>
  <c r="G52" i="4"/>
  <c r="AC51" i="4"/>
  <c r="N51" i="4" s="1"/>
  <c r="W51" i="4" s="1"/>
  <c r="S51" i="4"/>
  <c r="R51" i="4"/>
  <c r="Q51" i="4"/>
  <c r="P51" i="4"/>
  <c r="O51" i="4"/>
  <c r="X51" i="4" s="1"/>
  <c r="M51" i="4"/>
  <c r="V51" i="4" s="1"/>
  <c r="J51" i="4"/>
  <c r="T51" i="4" s="1"/>
  <c r="H51" i="4"/>
  <c r="G51" i="4"/>
  <c r="V50" i="4"/>
  <c r="S50" i="4"/>
  <c r="R50" i="4"/>
  <c r="Q50" i="4"/>
  <c r="P50" i="4"/>
  <c r="O50" i="4"/>
  <c r="X50" i="4" s="1"/>
  <c r="N50" i="4"/>
  <c r="W50" i="4" s="1"/>
  <c r="M50" i="4"/>
  <c r="J50" i="4"/>
  <c r="T50" i="4" s="1"/>
  <c r="H50" i="4"/>
  <c r="G50" i="4"/>
  <c r="AC49" i="4"/>
  <c r="V49" i="4"/>
  <c r="S49" i="4"/>
  <c r="R49" i="4"/>
  <c r="Q49" i="4"/>
  <c r="P49" i="4"/>
  <c r="O49" i="4"/>
  <c r="X49" i="4" s="1"/>
  <c r="N49" i="4"/>
  <c r="W49" i="4" s="1"/>
  <c r="M49" i="4"/>
  <c r="J49" i="4"/>
  <c r="T49" i="4" s="1"/>
  <c r="H49" i="4"/>
  <c r="G49" i="4"/>
  <c r="U48" i="4"/>
  <c r="R48" i="4"/>
  <c r="Q48" i="4"/>
  <c r="P48" i="4"/>
  <c r="O48" i="4"/>
  <c r="X48" i="4" s="1"/>
  <c r="N48" i="4"/>
  <c r="W48" i="4" s="1"/>
  <c r="M48" i="4"/>
  <c r="V48" i="4" s="1"/>
  <c r="G48" i="4"/>
  <c r="W47" i="4"/>
  <c r="S47" i="4"/>
  <c r="R47" i="4"/>
  <c r="Q47" i="4"/>
  <c r="P47" i="4"/>
  <c r="O47" i="4"/>
  <c r="X47" i="4" s="1"/>
  <c r="N47" i="4"/>
  <c r="M47" i="4"/>
  <c r="V47" i="4" s="1"/>
  <c r="J47" i="4"/>
  <c r="T47" i="4" s="1"/>
  <c r="H47" i="4"/>
  <c r="G47" i="4"/>
  <c r="V46" i="4"/>
  <c r="S46" i="4"/>
  <c r="R46" i="4"/>
  <c r="Q46" i="4"/>
  <c r="P46" i="4"/>
  <c r="O46" i="4"/>
  <c r="U46" i="4" s="1"/>
  <c r="N46" i="4"/>
  <c r="W46" i="4" s="1"/>
  <c r="M46" i="4"/>
  <c r="H46" i="4"/>
  <c r="G46" i="4"/>
  <c r="X45" i="4"/>
  <c r="U45" i="4"/>
  <c r="T45" i="4"/>
  <c r="R45" i="4"/>
  <c r="Q45" i="4"/>
  <c r="P45" i="4"/>
  <c r="O45" i="4"/>
  <c r="N45" i="4"/>
  <c r="W45" i="4" s="1"/>
  <c r="M45" i="4"/>
  <c r="S45" i="4" s="1"/>
  <c r="H45" i="4"/>
  <c r="G45" i="4"/>
  <c r="V44" i="4"/>
  <c r="R44" i="4"/>
  <c r="Q44" i="4"/>
  <c r="P44" i="4"/>
  <c r="O44" i="4"/>
  <c r="X44" i="4" s="1"/>
  <c r="N44" i="4"/>
  <c r="W44" i="4" s="1"/>
  <c r="M44" i="4"/>
  <c r="J44" i="4"/>
  <c r="T44" i="4" s="1"/>
  <c r="I44" i="4"/>
  <c r="S44" i="4" s="1"/>
  <c r="H44" i="4"/>
  <c r="AC43" i="4"/>
  <c r="N43" i="4" s="1"/>
  <c r="W43" i="4" s="1"/>
  <c r="S43" i="4"/>
  <c r="R43" i="4"/>
  <c r="Q43" i="4"/>
  <c r="P43" i="4"/>
  <c r="O43" i="4"/>
  <c r="X43" i="4" s="1"/>
  <c r="M43" i="4"/>
  <c r="V43" i="4" s="1"/>
  <c r="J43" i="4"/>
  <c r="H43" i="4"/>
  <c r="G43" i="4"/>
  <c r="V42" i="4"/>
  <c r="S42" i="4"/>
  <c r="R42" i="4"/>
  <c r="Q42" i="4"/>
  <c r="P42" i="4"/>
  <c r="O42" i="4"/>
  <c r="X42" i="4" s="1"/>
  <c r="N42" i="4"/>
  <c r="W42" i="4" s="1"/>
  <c r="M42" i="4"/>
  <c r="I42" i="4"/>
  <c r="H42" i="4"/>
  <c r="G42" i="4"/>
  <c r="U41" i="4"/>
  <c r="R41" i="4"/>
  <c r="Q41" i="4"/>
  <c r="P41" i="4"/>
  <c r="O41" i="4"/>
  <c r="X41" i="4" s="1"/>
  <c r="N41" i="4"/>
  <c r="W41" i="4" s="1"/>
  <c r="M41" i="4"/>
  <c r="V41" i="4" s="1"/>
  <c r="E41" i="4"/>
  <c r="G41" i="4" s="1"/>
  <c r="X40" i="4"/>
  <c r="U40" i="4"/>
  <c r="T40" i="4"/>
  <c r="R40" i="4"/>
  <c r="Q40" i="4"/>
  <c r="P40" i="4"/>
  <c r="O40" i="4"/>
  <c r="N40" i="4"/>
  <c r="W40" i="4" s="1"/>
  <c r="M40" i="4"/>
  <c r="V40" i="4" s="1"/>
  <c r="H40" i="4"/>
  <c r="G40" i="4"/>
  <c r="V39" i="4"/>
  <c r="S39" i="4"/>
  <c r="R39" i="4"/>
  <c r="Q39" i="4"/>
  <c r="P39" i="4"/>
  <c r="O39" i="4"/>
  <c r="U39" i="4" s="1"/>
  <c r="N39" i="4"/>
  <c r="W39" i="4" s="1"/>
  <c r="M39" i="4"/>
  <c r="H39" i="4"/>
  <c r="G39" i="4"/>
  <c r="X38" i="4"/>
  <c r="U38" i="4"/>
  <c r="T38" i="4"/>
  <c r="R38" i="4"/>
  <c r="Q38" i="4"/>
  <c r="P38" i="4"/>
  <c r="O38" i="4"/>
  <c r="N38" i="4"/>
  <c r="W38" i="4" s="1"/>
  <c r="M38" i="4"/>
  <c r="S38" i="4" s="1"/>
  <c r="H38" i="4"/>
  <c r="G38" i="4"/>
  <c r="V37" i="4"/>
  <c r="S37" i="4"/>
  <c r="R37" i="4"/>
  <c r="Q37" i="4"/>
  <c r="P37" i="4"/>
  <c r="O37" i="4"/>
  <c r="X37" i="4" s="1"/>
  <c r="N37" i="4"/>
  <c r="W37" i="4" s="1"/>
  <c r="M37" i="4"/>
  <c r="H37" i="4"/>
  <c r="G37" i="4"/>
  <c r="X36" i="4"/>
  <c r="U36" i="4"/>
  <c r="T36" i="4"/>
  <c r="R36" i="4"/>
  <c r="Q36" i="4"/>
  <c r="P36" i="4"/>
  <c r="O36" i="4"/>
  <c r="N36" i="4"/>
  <c r="W36" i="4" s="1"/>
  <c r="M36" i="4"/>
  <c r="V36" i="4" s="1"/>
  <c r="H36" i="4"/>
  <c r="G36" i="4"/>
  <c r="AC35" i="4"/>
  <c r="N35" i="4" s="1"/>
  <c r="W35" i="4" s="1"/>
  <c r="S35" i="4"/>
  <c r="R35" i="4"/>
  <c r="Q35" i="4"/>
  <c r="P35" i="4"/>
  <c r="O35" i="4"/>
  <c r="X35" i="4" s="1"/>
  <c r="M35" i="4"/>
  <c r="V35" i="4" s="1"/>
  <c r="J35" i="4"/>
  <c r="H35" i="4"/>
  <c r="G35" i="4"/>
  <c r="V34" i="4"/>
  <c r="S34" i="4"/>
  <c r="R34" i="4"/>
  <c r="Q34" i="4"/>
  <c r="P34" i="4"/>
  <c r="O34" i="4"/>
  <c r="U34" i="4" s="1"/>
  <c r="N34" i="4"/>
  <c r="W34" i="4" s="1"/>
  <c r="M34" i="4"/>
  <c r="H34" i="4"/>
  <c r="G34" i="4"/>
  <c r="X33" i="4"/>
  <c r="U33" i="4"/>
  <c r="T33" i="4"/>
  <c r="R33" i="4"/>
  <c r="Q33" i="4"/>
  <c r="P33" i="4"/>
  <c r="O33" i="4"/>
  <c r="N33" i="4"/>
  <c r="W33" i="4" s="1"/>
  <c r="M33" i="4"/>
  <c r="S33" i="4" s="1"/>
  <c r="H33" i="4"/>
  <c r="G33" i="4"/>
  <c r="V32" i="4"/>
  <c r="S32" i="4"/>
  <c r="R32" i="4"/>
  <c r="Q32" i="4"/>
  <c r="P32" i="4"/>
  <c r="O32" i="4"/>
  <c r="X32" i="4" s="1"/>
  <c r="N32" i="4"/>
  <c r="W32" i="4" s="1"/>
  <c r="M32" i="4"/>
  <c r="H32" i="4"/>
  <c r="G32" i="4"/>
  <c r="X31" i="4"/>
  <c r="U31" i="4"/>
  <c r="R31" i="4"/>
  <c r="Q31" i="4"/>
  <c r="P31" i="4"/>
  <c r="O31" i="4"/>
  <c r="N31" i="4"/>
  <c r="W31" i="4" s="1"/>
  <c r="M31" i="4"/>
  <c r="V31" i="4" s="1"/>
  <c r="J31" i="4"/>
  <c r="T31" i="4" s="1"/>
  <c r="G31" i="4"/>
  <c r="W30" i="4"/>
  <c r="S30" i="4"/>
  <c r="R30" i="4"/>
  <c r="Q30" i="4"/>
  <c r="P30" i="4"/>
  <c r="O30" i="4"/>
  <c r="X30" i="4" s="1"/>
  <c r="N30" i="4"/>
  <c r="M30" i="4"/>
  <c r="V30" i="4" s="1"/>
  <c r="J30" i="4"/>
  <c r="T30" i="4" s="1"/>
  <c r="H30" i="4"/>
  <c r="G30" i="4"/>
  <c r="V29" i="4"/>
  <c r="S29" i="4"/>
  <c r="R29" i="4"/>
  <c r="Q29" i="4"/>
  <c r="P29" i="4"/>
  <c r="O29" i="4"/>
  <c r="U29" i="4" s="1"/>
  <c r="N29" i="4"/>
  <c r="W29" i="4" s="1"/>
  <c r="M29" i="4"/>
  <c r="H29" i="4"/>
  <c r="G29" i="4"/>
  <c r="X28" i="4"/>
  <c r="U28" i="4"/>
  <c r="T28" i="4"/>
  <c r="R28" i="4"/>
  <c r="Q28" i="4"/>
  <c r="P28" i="4"/>
  <c r="O28" i="4"/>
  <c r="N28" i="4"/>
  <c r="W28" i="4" s="1"/>
  <c r="M28" i="4"/>
  <c r="S28" i="4" s="1"/>
  <c r="H28" i="4"/>
  <c r="G28" i="4"/>
  <c r="Z27" i="4"/>
  <c r="N27" i="4" s="1"/>
  <c r="S27" i="4"/>
  <c r="R27" i="4"/>
  <c r="Q27" i="4"/>
  <c r="P27" i="4"/>
  <c r="O27" i="4"/>
  <c r="X27" i="4" s="1"/>
  <c r="M27" i="4"/>
  <c r="V27" i="4" s="1"/>
  <c r="H27" i="4"/>
  <c r="G27" i="4"/>
  <c r="U26" i="4"/>
  <c r="R26" i="4"/>
  <c r="Q26" i="4"/>
  <c r="P26" i="4"/>
  <c r="O26" i="4"/>
  <c r="X26" i="4" s="1"/>
  <c r="N26" i="4"/>
  <c r="W26" i="4" s="1"/>
  <c r="M26" i="4"/>
  <c r="V26" i="4" s="1"/>
  <c r="G26" i="4"/>
  <c r="W25" i="4"/>
  <c r="T25" i="4"/>
  <c r="S25" i="4"/>
  <c r="R25" i="4"/>
  <c r="Q25" i="4"/>
  <c r="P25" i="4"/>
  <c r="O25" i="4"/>
  <c r="X25" i="4" s="1"/>
  <c r="N25" i="4"/>
  <c r="M25" i="4"/>
  <c r="V25" i="4" s="1"/>
  <c r="H25" i="4"/>
  <c r="G25" i="4"/>
  <c r="U24" i="4"/>
  <c r="R24" i="4"/>
  <c r="Q24" i="4"/>
  <c r="P24" i="4"/>
  <c r="O24" i="4"/>
  <c r="X24" i="4" s="1"/>
  <c r="N24" i="4"/>
  <c r="T24" i="4" s="1"/>
  <c r="M24" i="4"/>
  <c r="V24" i="4" s="1"/>
  <c r="G24" i="4"/>
  <c r="AC23" i="4"/>
  <c r="N23" i="4" s="1"/>
  <c r="S23" i="4"/>
  <c r="R23" i="4"/>
  <c r="Q23" i="4"/>
  <c r="P23" i="4"/>
  <c r="O23" i="4"/>
  <c r="X23" i="4" s="1"/>
  <c r="M23" i="4"/>
  <c r="V23" i="4" s="1"/>
  <c r="H23" i="4"/>
  <c r="G23" i="4"/>
  <c r="Z22" i="4"/>
  <c r="V22" i="4"/>
  <c r="S22" i="4"/>
  <c r="R22" i="4"/>
  <c r="Q22" i="4"/>
  <c r="P22" i="4"/>
  <c r="O22" i="4"/>
  <c r="X22" i="4" s="1"/>
  <c r="N22" i="4"/>
  <c r="W22" i="4" s="1"/>
  <c r="M22" i="4"/>
  <c r="H22" i="4"/>
  <c r="G22" i="4"/>
  <c r="X21" i="4"/>
  <c r="U21" i="4"/>
  <c r="T21" i="4"/>
  <c r="R21" i="4"/>
  <c r="Q21" i="4"/>
  <c r="P21" i="4"/>
  <c r="O21" i="4"/>
  <c r="N21" i="4"/>
  <c r="W21" i="4" s="1"/>
  <c r="M21" i="4"/>
  <c r="V21" i="4" s="1"/>
  <c r="H21" i="4"/>
  <c r="G21" i="4"/>
  <c r="AC20" i="4"/>
  <c r="N20" i="4" s="1"/>
  <c r="S20" i="4"/>
  <c r="R20" i="4"/>
  <c r="Q20" i="4"/>
  <c r="P20" i="4"/>
  <c r="O20" i="4"/>
  <c r="X20" i="4" s="1"/>
  <c r="M20" i="4"/>
  <c r="V20" i="4" s="1"/>
  <c r="H20" i="4"/>
  <c r="G20" i="4"/>
  <c r="U19" i="4"/>
  <c r="R19" i="4"/>
  <c r="Q19" i="4"/>
  <c r="P19" i="4"/>
  <c r="O19" i="4"/>
  <c r="X19" i="4" s="1"/>
  <c r="N19" i="4"/>
  <c r="T19" i="4" s="1"/>
  <c r="M19" i="4"/>
  <c r="V19" i="4" s="1"/>
  <c r="G19" i="4"/>
  <c r="AC18" i="4"/>
  <c r="Q18" i="4" s="1"/>
  <c r="P18" i="4"/>
  <c r="O18" i="4"/>
  <c r="U18" i="4" s="1"/>
  <c r="M18" i="4"/>
  <c r="S18" i="4" s="1"/>
  <c r="H18" i="4"/>
  <c r="G18" i="4"/>
  <c r="U17" i="4"/>
  <c r="R17" i="4"/>
  <c r="Q17" i="4"/>
  <c r="P17" i="4"/>
  <c r="O17" i="4"/>
  <c r="X17" i="4" s="1"/>
  <c r="N17" i="4"/>
  <c r="W17" i="4" s="1"/>
  <c r="M17" i="4"/>
  <c r="V17" i="4" s="1"/>
  <c r="J17" i="4"/>
  <c r="T17" i="4" s="1"/>
  <c r="G17" i="4"/>
  <c r="X16" i="4"/>
  <c r="U16" i="4"/>
  <c r="R16" i="4"/>
  <c r="Q16" i="4"/>
  <c r="P16" i="4"/>
  <c r="O16" i="4"/>
  <c r="N16" i="4"/>
  <c r="W16" i="4" s="1"/>
  <c r="M16" i="4"/>
  <c r="V16" i="4" s="1"/>
  <c r="J16" i="4"/>
  <c r="T16" i="4" s="1"/>
  <c r="G16" i="4"/>
  <c r="W15" i="4"/>
  <c r="T15" i="4"/>
  <c r="S15" i="4"/>
  <c r="R15" i="4"/>
  <c r="Q15" i="4"/>
  <c r="P15" i="4"/>
  <c r="O15" i="4"/>
  <c r="X15" i="4" s="1"/>
  <c r="N15" i="4"/>
  <c r="M15" i="4"/>
  <c r="V15" i="4" s="1"/>
  <c r="H15" i="4"/>
  <c r="G15" i="4"/>
  <c r="U14" i="4"/>
  <c r="R14" i="4"/>
  <c r="Q14" i="4"/>
  <c r="P14" i="4"/>
  <c r="O14" i="4"/>
  <c r="X14" i="4" s="1"/>
  <c r="N14" i="4"/>
  <c r="T14" i="4" s="1"/>
  <c r="T4" i="4" s="1"/>
  <c r="M14" i="4"/>
  <c r="V14" i="4" s="1"/>
  <c r="G14" i="4"/>
  <c r="W13" i="4"/>
  <c r="T13" i="4"/>
  <c r="S13" i="4"/>
  <c r="R13" i="4"/>
  <c r="Q13" i="4"/>
  <c r="P13" i="4"/>
  <c r="O13" i="4"/>
  <c r="X13" i="4" s="1"/>
  <c r="N13" i="4"/>
  <c r="M13" i="4"/>
  <c r="V13" i="4" s="1"/>
  <c r="H13" i="4"/>
  <c r="G13" i="4"/>
  <c r="BK12" i="4"/>
  <c r="BJ12" i="4"/>
  <c r="BI12" i="4"/>
  <c r="BH12" i="4"/>
  <c r="BH3" i="4" s="1"/>
  <c r="BG12" i="4"/>
  <c r="BF12" i="4"/>
  <c r="BE12" i="4"/>
  <c r="BD12" i="4"/>
  <c r="BD3" i="4" s="1"/>
  <c r="BC12" i="4"/>
  <c r="BB12" i="4"/>
  <c r="BA12" i="4"/>
  <c r="AZ12" i="4"/>
  <c r="AZ3" i="4" s="1"/>
  <c r="AY12" i="4"/>
  <c r="AX12" i="4"/>
  <c r="AW12" i="4"/>
  <c r="AV12" i="4"/>
  <c r="AV3" i="4" s="1"/>
  <c r="AU12" i="4"/>
  <c r="AT12" i="4"/>
  <c r="AS12" i="4"/>
  <c r="AR12" i="4"/>
  <c r="AR3" i="4" s="1"/>
  <c r="AQ12" i="4"/>
  <c r="AP12" i="4"/>
  <c r="AO12" i="4"/>
  <c r="AN12" i="4"/>
  <c r="AN3" i="4" s="1"/>
  <c r="AM12" i="4"/>
  <c r="AL12" i="4"/>
  <c r="AK12" i="4"/>
  <c r="AJ12" i="4"/>
  <c r="AJ3" i="4" s="1"/>
  <c r="AI12" i="4"/>
  <c r="AH12" i="4"/>
  <c r="AG12" i="4"/>
  <c r="R12" i="4" s="1"/>
  <c r="AF12" i="4"/>
  <c r="AF3" i="4" s="1"/>
  <c r="AE12" i="4"/>
  <c r="AD12" i="4"/>
  <c r="AC12" i="4"/>
  <c r="Q12" i="4" s="1"/>
  <c r="AB12" i="4"/>
  <c r="P12" i="4" s="1"/>
  <c r="AA12" i="4"/>
  <c r="Z12" i="4"/>
  <c r="Y12" i="4"/>
  <c r="L12" i="4"/>
  <c r="L3" i="4" s="1"/>
  <c r="K12" i="4"/>
  <c r="I12" i="4"/>
  <c r="G12" i="4" s="1"/>
  <c r="F12" i="4"/>
  <c r="E12" i="4"/>
  <c r="X11" i="4"/>
  <c r="U11" i="4"/>
  <c r="T11" i="4"/>
  <c r="R11" i="4"/>
  <c r="Q11" i="4"/>
  <c r="P11" i="4"/>
  <c r="O11" i="4"/>
  <c r="N11" i="4"/>
  <c r="W11" i="4" s="1"/>
  <c r="M11" i="4"/>
  <c r="S11" i="4" s="1"/>
  <c r="H11" i="4"/>
  <c r="G11" i="4"/>
  <c r="V10" i="4"/>
  <c r="S10" i="4"/>
  <c r="R10" i="4"/>
  <c r="Q10" i="4"/>
  <c r="P10" i="4"/>
  <c r="O10" i="4"/>
  <c r="X10" i="4" s="1"/>
  <c r="N10" i="4"/>
  <c r="W10" i="4" s="1"/>
  <c r="M10" i="4"/>
  <c r="H10" i="4"/>
  <c r="G10" i="4"/>
  <c r="X9" i="4"/>
  <c r="U9" i="4"/>
  <c r="T9" i="4"/>
  <c r="R9" i="4"/>
  <c r="Q9" i="4"/>
  <c r="P9" i="4"/>
  <c r="O9" i="4"/>
  <c r="N9" i="4"/>
  <c r="W9" i="4" s="1"/>
  <c r="M9" i="4"/>
  <c r="V9" i="4" s="1"/>
  <c r="H9" i="4"/>
  <c r="G9" i="4"/>
  <c r="V8" i="4"/>
  <c r="S8" i="4"/>
  <c r="R8" i="4"/>
  <c r="Q8" i="4"/>
  <c r="P8" i="4"/>
  <c r="O8" i="4"/>
  <c r="U8" i="4" s="1"/>
  <c r="N8" i="4"/>
  <c r="W8" i="4" s="1"/>
  <c r="M8" i="4"/>
  <c r="H8" i="4"/>
  <c r="G8" i="4"/>
  <c r="X7" i="4"/>
  <c r="U7" i="4"/>
  <c r="T7" i="4"/>
  <c r="R7" i="4"/>
  <c r="Q7" i="4"/>
  <c r="P7" i="4"/>
  <c r="O7" i="4"/>
  <c r="N7" i="4"/>
  <c r="W7" i="4" s="1"/>
  <c r="M7" i="4"/>
  <c r="S7" i="4" s="1"/>
  <c r="H7" i="4"/>
  <c r="G7" i="4"/>
  <c r="V6" i="4"/>
  <c r="S6" i="4"/>
  <c r="R6" i="4"/>
  <c r="Q6" i="4"/>
  <c r="P6" i="4"/>
  <c r="O6" i="4"/>
  <c r="X6" i="4" s="1"/>
  <c r="N6" i="4"/>
  <c r="W6" i="4" s="1"/>
  <c r="M6" i="4"/>
  <c r="H6" i="4"/>
  <c r="G6" i="4"/>
  <c r="R5" i="4"/>
  <c r="Q5" i="4"/>
  <c r="P5" i="4"/>
  <c r="O5" i="4"/>
  <c r="N5" i="4"/>
  <c r="M5" i="4"/>
  <c r="BK4" i="4"/>
  <c r="BJ4" i="4"/>
  <c r="BJ3" i="4" s="1"/>
  <c r="BI4" i="4"/>
  <c r="BH4" i="4"/>
  <c r="BG4" i="4"/>
  <c r="BF4" i="4"/>
  <c r="BF3" i="4" s="1"/>
  <c r="BE4" i="4"/>
  <c r="BD4" i="4"/>
  <c r="BC4" i="4"/>
  <c r="BB4" i="4"/>
  <c r="BB3" i="4" s="1"/>
  <c r="BA4" i="4"/>
  <c r="BA3" i="4" s="1"/>
  <c r="AZ4" i="4"/>
  <c r="AY4" i="4"/>
  <c r="AX4" i="4"/>
  <c r="AX3" i="4" s="1"/>
  <c r="AW4" i="4"/>
  <c r="AV4" i="4"/>
  <c r="AU4" i="4"/>
  <c r="AT4" i="4"/>
  <c r="AT3" i="4" s="1"/>
  <c r="AS4" i="4"/>
  <c r="AS3" i="4" s="1"/>
  <c r="AR4" i="4"/>
  <c r="AQ4" i="4"/>
  <c r="AP4" i="4"/>
  <c r="AP3" i="4" s="1"/>
  <c r="AO4" i="4"/>
  <c r="AN4" i="4"/>
  <c r="AM4" i="4"/>
  <c r="AL4" i="4"/>
  <c r="AL3" i="4" s="1"/>
  <c r="AK4" i="4"/>
  <c r="AK3" i="4" s="1"/>
  <c r="AJ4" i="4"/>
  <c r="AI4" i="4"/>
  <c r="AH4" i="4"/>
  <c r="AH3" i="4" s="1"/>
  <c r="AG4" i="4"/>
  <c r="R4" i="4" s="1"/>
  <c r="AF4" i="4"/>
  <c r="AE4" i="4"/>
  <c r="AD4" i="4"/>
  <c r="AD3" i="4" s="1"/>
  <c r="AC4" i="4"/>
  <c r="AB4" i="4"/>
  <c r="AA4" i="4"/>
  <c r="Z4" i="4"/>
  <c r="Z3" i="4" s="1"/>
  <c r="Y4" i="4"/>
  <c r="Y3" i="4" s="1"/>
  <c r="U4" i="4"/>
  <c r="Q4" i="4"/>
  <c r="O4" i="4"/>
  <c r="N4" i="4"/>
  <c r="M4" i="4"/>
  <c r="L4" i="4"/>
  <c r="J4" i="4"/>
  <c r="I4" i="4"/>
  <c r="G4" i="4" s="1"/>
  <c r="H4" i="4"/>
  <c r="F4" i="4"/>
  <c r="E4" i="4"/>
  <c r="E3" i="4" s="1"/>
  <c r="Z196" i="3"/>
  <c r="F191" i="3"/>
  <c r="E191" i="3"/>
  <c r="H64" i="13" s="1"/>
  <c r="U187" i="3"/>
  <c r="R187" i="3"/>
  <c r="Q187" i="3"/>
  <c r="P187" i="3"/>
  <c r="O187" i="3"/>
  <c r="X187" i="3" s="1"/>
  <c r="N187" i="3"/>
  <c r="W187" i="3" s="1"/>
  <c r="M187" i="3"/>
  <c r="V187" i="3" s="1"/>
  <c r="G187" i="3"/>
  <c r="W186" i="3"/>
  <c r="T186" i="3"/>
  <c r="S186" i="3"/>
  <c r="R186" i="3"/>
  <c r="Q186" i="3"/>
  <c r="P186" i="3"/>
  <c r="O186" i="3"/>
  <c r="X186" i="3" s="1"/>
  <c r="N186" i="3"/>
  <c r="M186" i="3"/>
  <c r="V186" i="3" s="1"/>
  <c r="H186" i="3"/>
  <c r="G186" i="3"/>
  <c r="U185" i="3"/>
  <c r="R185" i="3"/>
  <c r="Q185" i="3"/>
  <c r="P185" i="3"/>
  <c r="O185" i="3"/>
  <c r="X185" i="3" s="1"/>
  <c r="N185" i="3"/>
  <c r="T185" i="3" s="1"/>
  <c r="M185" i="3"/>
  <c r="V185" i="3" s="1"/>
  <c r="U184" i="3"/>
  <c r="R184" i="3"/>
  <c r="Q184" i="3"/>
  <c r="P184" i="3"/>
  <c r="O184" i="3"/>
  <c r="X184" i="3" s="1"/>
  <c r="N184" i="3"/>
  <c r="W184" i="3" s="1"/>
  <c r="M184" i="3"/>
  <c r="M183" i="3" s="1"/>
  <c r="G184" i="3"/>
  <c r="BK183" i="3"/>
  <c r="BJ183" i="3"/>
  <c r="Q183" i="3" s="1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P183" i="3" s="1"/>
  <c r="AD183" i="3"/>
  <c r="AC183" i="3"/>
  <c r="AB183" i="3"/>
  <c r="AA183" i="3"/>
  <c r="Z183" i="3"/>
  <c r="Y183" i="3"/>
  <c r="R183" i="3"/>
  <c r="N183" i="3"/>
  <c r="W183" i="3" s="1"/>
  <c r="L183" i="3"/>
  <c r="K183" i="3"/>
  <c r="J183" i="3"/>
  <c r="I183" i="3"/>
  <c r="G183" i="3"/>
  <c r="F183" i="3"/>
  <c r="E183" i="3"/>
  <c r="V182" i="3"/>
  <c r="S182" i="3"/>
  <c r="R182" i="3"/>
  <c r="Q182" i="3"/>
  <c r="P182" i="3"/>
  <c r="O182" i="3"/>
  <c r="X182" i="3" s="1"/>
  <c r="N182" i="3"/>
  <c r="W182" i="3" s="1"/>
  <c r="M182" i="3"/>
  <c r="H182" i="3"/>
  <c r="G182" i="3"/>
  <c r="X181" i="3"/>
  <c r="U181" i="3"/>
  <c r="T181" i="3"/>
  <c r="R181" i="3"/>
  <c r="Q181" i="3"/>
  <c r="P181" i="3"/>
  <c r="O181" i="3"/>
  <c r="N181" i="3"/>
  <c r="W181" i="3" s="1"/>
  <c r="M181" i="3"/>
  <c r="V181" i="3" s="1"/>
  <c r="X180" i="3"/>
  <c r="U180" i="3"/>
  <c r="T180" i="3"/>
  <c r="R180" i="3"/>
  <c r="Q180" i="3"/>
  <c r="P180" i="3"/>
  <c r="O180" i="3"/>
  <c r="N180" i="3"/>
  <c r="W180" i="3" s="1"/>
  <c r="M180" i="3"/>
  <c r="S180" i="3" s="1"/>
  <c r="X179" i="3"/>
  <c r="U179" i="3"/>
  <c r="T179" i="3"/>
  <c r="R179" i="3"/>
  <c r="Q179" i="3"/>
  <c r="P179" i="3"/>
  <c r="O179" i="3"/>
  <c r="N179" i="3"/>
  <c r="W179" i="3" s="1"/>
  <c r="M179" i="3"/>
  <c r="V179" i="3" s="1"/>
  <c r="X178" i="3"/>
  <c r="U178" i="3"/>
  <c r="T178" i="3"/>
  <c r="R178" i="3"/>
  <c r="Q178" i="3"/>
  <c r="P178" i="3"/>
  <c r="O178" i="3"/>
  <c r="N178" i="3"/>
  <c r="W178" i="3" s="1"/>
  <c r="M178" i="3"/>
  <c r="S178" i="3" s="1"/>
  <c r="H178" i="3"/>
  <c r="G178" i="3"/>
  <c r="V177" i="3"/>
  <c r="S177" i="3"/>
  <c r="R177" i="3"/>
  <c r="Q177" i="3"/>
  <c r="P177" i="3"/>
  <c r="O177" i="3"/>
  <c r="X177" i="3" s="1"/>
  <c r="N177" i="3"/>
  <c r="N176" i="3" s="1"/>
  <c r="W176" i="3" s="1"/>
  <c r="M177" i="3"/>
  <c r="H177" i="3"/>
  <c r="G177" i="3"/>
  <c r="BK176" i="3"/>
  <c r="R176" i="3" s="1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Q176" i="3" s="1"/>
  <c r="AE176" i="3"/>
  <c r="AD176" i="3"/>
  <c r="AC176" i="3"/>
  <c r="AB176" i="3"/>
  <c r="P176" i="3" s="1"/>
  <c r="AA176" i="3"/>
  <c r="Z176" i="3"/>
  <c r="Y176" i="3"/>
  <c r="O176" i="3"/>
  <c r="X176" i="3" s="1"/>
  <c r="L176" i="3"/>
  <c r="K176" i="3"/>
  <c r="J176" i="3"/>
  <c r="I176" i="3"/>
  <c r="G176" i="3"/>
  <c r="F176" i="3"/>
  <c r="E176" i="3"/>
  <c r="W175" i="3"/>
  <c r="T175" i="3"/>
  <c r="S175" i="3"/>
  <c r="R175" i="3"/>
  <c r="Q175" i="3"/>
  <c r="P175" i="3"/>
  <c r="O175" i="3"/>
  <c r="X175" i="3" s="1"/>
  <c r="N175" i="3"/>
  <c r="M175" i="3"/>
  <c r="V175" i="3" s="1"/>
  <c r="H175" i="3"/>
  <c r="G175" i="3"/>
  <c r="U174" i="3"/>
  <c r="R174" i="3"/>
  <c r="Q174" i="3"/>
  <c r="P174" i="3"/>
  <c r="O174" i="3"/>
  <c r="X174" i="3" s="1"/>
  <c r="N174" i="3"/>
  <c r="W174" i="3" s="1"/>
  <c r="M174" i="3"/>
  <c r="V174" i="3" s="1"/>
  <c r="G174" i="3"/>
  <c r="W173" i="3"/>
  <c r="T173" i="3"/>
  <c r="S173" i="3"/>
  <c r="R173" i="3"/>
  <c r="Q173" i="3"/>
  <c r="P173" i="3"/>
  <c r="O173" i="3"/>
  <c r="X173" i="3" s="1"/>
  <c r="N173" i="3"/>
  <c r="M173" i="3"/>
  <c r="V173" i="3" s="1"/>
  <c r="H173" i="3"/>
  <c r="G173" i="3"/>
  <c r="U172" i="3"/>
  <c r="R172" i="3"/>
  <c r="Q172" i="3"/>
  <c r="P172" i="3"/>
  <c r="O172" i="3"/>
  <c r="X172" i="3" s="1"/>
  <c r="N172" i="3"/>
  <c r="T172" i="3" s="1"/>
  <c r="M172" i="3"/>
  <c r="V172" i="3" s="1"/>
  <c r="G172" i="3"/>
  <c r="H171" i="3"/>
  <c r="G171" i="3"/>
  <c r="H170" i="3"/>
  <c r="G170" i="3"/>
  <c r="BK169" i="3"/>
  <c r="BK168" i="3" s="1"/>
  <c r="BJ169" i="3"/>
  <c r="BJ168" i="3" s="1"/>
  <c r="BI169" i="3"/>
  <c r="BH169" i="3"/>
  <c r="BH168" i="3" s="1"/>
  <c r="BG169" i="3"/>
  <c r="BG168" i="3" s="1"/>
  <c r="BF169" i="3"/>
  <c r="BF168" i="3" s="1"/>
  <c r="BE169" i="3"/>
  <c r="BD169" i="3"/>
  <c r="BD168" i="3" s="1"/>
  <c r="BC169" i="3"/>
  <c r="BC168" i="3" s="1"/>
  <c r="BB169" i="3"/>
  <c r="BB168" i="3" s="1"/>
  <c r="BA169" i="3"/>
  <c r="AZ169" i="3"/>
  <c r="AZ168" i="3" s="1"/>
  <c r="AY169" i="3"/>
  <c r="AY168" i="3" s="1"/>
  <c r="AX169" i="3"/>
  <c r="AX168" i="3" s="1"/>
  <c r="AW169" i="3"/>
  <c r="AV169" i="3"/>
  <c r="AV168" i="3" s="1"/>
  <c r="AU169" i="3"/>
  <c r="AU168" i="3" s="1"/>
  <c r="AT169" i="3"/>
  <c r="AT168" i="3" s="1"/>
  <c r="AS169" i="3"/>
  <c r="AR169" i="3"/>
  <c r="AR168" i="3" s="1"/>
  <c r="AQ169" i="3"/>
  <c r="AQ168" i="3" s="1"/>
  <c r="AP169" i="3"/>
  <c r="AP168" i="3" s="1"/>
  <c r="AO169" i="3"/>
  <c r="AN169" i="3"/>
  <c r="AN168" i="3" s="1"/>
  <c r="AM169" i="3"/>
  <c r="AM168" i="3" s="1"/>
  <c r="AL169" i="3"/>
  <c r="AL168" i="3" s="1"/>
  <c r="AK169" i="3"/>
  <c r="AJ169" i="3"/>
  <c r="AJ168" i="3" s="1"/>
  <c r="AI169" i="3"/>
  <c r="AI168" i="3" s="1"/>
  <c r="AH169" i="3"/>
  <c r="AH168" i="3" s="1"/>
  <c r="AG169" i="3"/>
  <c r="AF169" i="3"/>
  <c r="AF168" i="3" s="1"/>
  <c r="AE169" i="3"/>
  <c r="AE168" i="3" s="1"/>
  <c r="AD169" i="3"/>
  <c r="AD168" i="3" s="1"/>
  <c r="AC169" i="3"/>
  <c r="AB169" i="3"/>
  <c r="AB168" i="3" s="1"/>
  <c r="AA169" i="3"/>
  <c r="AA168" i="3" s="1"/>
  <c r="Z169" i="3"/>
  <c r="Z168" i="3" s="1"/>
  <c r="Y169" i="3"/>
  <c r="R169" i="3"/>
  <c r="N169" i="3"/>
  <c r="W169" i="3" s="1"/>
  <c r="L169" i="3"/>
  <c r="L168" i="3" s="1"/>
  <c r="K169" i="3"/>
  <c r="K168" i="3" s="1"/>
  <c r="J169" i="3"/>
  <c r="J168" i="3" s="1"/>
  <c r="I169" i="3"/>
  <c r="Z36" i="13" s="1"/>
  <c r="AA36" i="13" s="1"/>
  <c r="G169" i="3"/>
  <c r="F169" i="3"/>
  <c r="F168" i="3" s="1"/>
  <c r="E169" i="3"/>
  <c r="Y36" i="13" s="1"/>
  <c r="BI168" i="3"/>
  <c r="BE168" i="3"/>
  <c r="BA168" i="3"/>
  <c r="AW168" i="3"/>
  <c r="AS168" i="3"/>
  <c r="AO168" i="3"/>
  <c r="AK168" i="3"/>
  <c r="AG168" i="3"/>
  <c r="AC168" i="3"/>
  <c r="Y168" i="3"/>
  <c r="I168" i="3"/>
  <c r="G168" i="3" s="1"/>
  <c r="E168" i="3"/>
  <c r="V167" i="3"/>
  <c r="U167" i="3"/>
  <c r="S167" i="3"/>
  <c r="R167" i="3"/>
  <c r="Q167" i="3"/>
  <c r="P167" i="3"/>
  <c r="O167" i="3"/>
  <c r="X167" i="3" s="1"/>
  <c r="N167" i="3"/>
  <c r="T167" i="3" s="1"/>
  <c r="H167" i="3"/>
  <c r="G167" i="3"/>
  <c r="V166" i="3"/>
  <c r="S166" i="3"/>
  <c r="R166" i="3"/>
  <c r="Q166" i="3"/>
  <c r="P166" i="3"/>
  <c r="O166" i="3"/>
  <c r="X166" i="3" s="1"/>
  <c r="N166" i="3"/>
  <c r="N165" i="3" s="1"/>
  <c r="W165" i="3" s="1"/>
  <c r="M166" i="3"/>
  <c r="H166" i="3"/>
  <c r="G166" i="3"/>
  <c r="BK165" i="3"/>
  <c r="R165" i="3" s="1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Q165" i="3" s="1"/>
  <c r="AE165" i="3"/>
  <c r="AD165" i="3"/>
  <c r="AC165" i="3"/>
  <c r="AB165" i="3"/>
  <c r="P165" i="3" s="1"/>
  <c r="AA165" i="3"/>
  <c r="Z165" i="3"/>
  <c r="Y165" i="3"/>
  <c r="S165" i="3"/>
  <c r="O165" i="3"/>
  <c r="X165" i="3" s="1"/>
  <c r="M165" i="3"/>
  <c r="V165" i="3" s="1"/>
  <c r="L165" i="3"/>
  <c r="K165" i="3"/>
  <c r="J165" i="3"/>
  <c r="I165" i="3"/>
  <c r="H165" i="3"/>
  <c r="G165" i="3"/>
  <c r="F165" i="3"/>
  <c r="E165" i="3"/>
  <c r="W164" i="3"/>
  <c r="T164" i="3"/>
  <c r="S164" i="3"/>
  <c r="R164" i="3"/>
  <c r="Q164" i="3"/>
  <c r="P164" i="3"/>
  <c r="O164" i="3"/>
  <c r="X164" i="3" s="1"/>
  <c r="N164" i="3"/>
  <c r="M164" i="3"/>
  <c r="V164" i="3" s="1"/>
  <c r="H164" i="3"/>
  <c r="G164" i="3"/>
  <c r="U163" i="3"/>
  <c r="R163" i="3"/>
  <c r="Q163" i="3"/>
  <c r="P163" i="3"/>
  <c r="O163" i="3"/>
  <c r="X163" i="3" s="1"/>
  <c r="N163" i="3"/>
  <c r="W163" i="3" s="1"/>
  <c r="M163" i="3"/>
  <c r="M161" i="3" s="1"/>
  <c r="G163" i="3"/>
  <c r="W162" i="3"/>
  <c r="T162" i="3"/>
  <c r="S162" i="3"/>
  <c r="R162" i="3"/>
  <c r="Q162" i="3"/>
  <c r="P162" i="3"/>
  <c r="O162" i="3"/>
  <c r="X162" i="3" s="1"/>
  <c r="N162" i="3"/>
  <c r="M162" i="3"/>
  <c r="V162" i="3" s="1"/>
  <c r="H162" i="3"/>
  <c r="G162" i="3"/>
  <c r="BK161" i="3"/>
  <c r="BJ161" i="3"/>
  <c r="BJ160" i="3" s="1"/>
  <c r="BI161" i="3"/>
  <c r="BI160" i="3" s="1"/>
  <c r="BH161" i="3"/>
  <c r="BH160" i="3" s="1"/>
  <c r="BH159" i="3" s="1"/>
  <c r="BG161" i="3"/>
  <c r="BF161" i="3"/>
  <c r="BF160" i="3" s="1"/>
  <c r="BF159" i="3" s="1"/>
  <c r="BE161" i="3"/>
  <c r="BE160" i="3" s="1"/>
  <c r="BE159" i="3" s="1"/>
  <c r="BD161" i="3"/>
  <c r="BD160" i="3" s="1"/>
  <c r="BD159" i="3" s="1"/>
  <c r="BC161" i="3"/>
  <c r="BB161" i="3"/>
  <c r="BB160" i="3" s="1"/>
  <c r="BB159" i="3" s="1"/>
  <c r="BA161" i="3"/>
  <c r="BA160" i="3" s="1"/>
  <c r="BA159" i="3" s="1"/>
  <c r="AZ161" i="3"/>
  <c r="AZ160" i="3" s="1"/>
  <c r="AZ159" i="3" s="1"/>
  <c r="AY161" i="3"/>
  <c r="AX161" i="3"/>
  <c r="AX160" i="3" s="1"/>
  <c r="AX159" i="3" s="1"/>
  <c r="AW161" i="3"/>
  <c r="AW160" i="3" s="1"/>
  <c r="AW159" i="3" s="1"/>
  <c r="AV161" i="3"/>
  <c r="AV160" i="3" s="1"/>
  <c r="AV159" i="3" s="1"/>
  <c r="AU161" i="3"/>
  <c r="AT161" i="3"/>
  <c r="AT160" i="3" s="1"/>
  <c r="AT159" i="3" s="1"/>
  <c r="AS161" i="3"/>
  <c r="AS160" i="3" s="1"/>
  <c r="AS159" i="3" s="1"/>
  <c r="AR161" i="3"/>
  <c r="AR160" i="3" s="1"/>
  <c r="AR159" i="3" s="1"/>
  <c r="AQ161" i="3"/>
  <c r="AP161" i="3"/>
  <c r="AP160" i="3" s="1"/>
  <c r="AP159" i="3" s="1"/>
  <c r="AO161" i="3"/>
  <c r="AO160" i="3" s="1"/>
  <c r="AO159" i="3" s="1"/>
  <c r="AN161" i="3"/>
  <c r="AN160" i="3" s="1"/>
  <c r="AN159" i="3" s="1"/>
  <c r="AM161" i="3"/>
  <c r="AL161" i="3"/>
  <c r="AL160" i="3" s="1"/>
  <c r="AL159" i="3" s="1"/>
  <c r="AK161" i="3"/>
  <c r="AK160" i="3" s="1"/>
  <c r="AK159" i="3" s="1"/>
  <c r="AJ161" i="3"/>
  <c r="AJ160" i="3" s="1"/>
  <c r="AJ159" i="3" s="1"/>
  <c r="AI161" i="3"/>
  <c r="AH161" i="3"/>
  <c r="AH160" i="3" s="1"/>
  <c r="AH159" i="3" s="1"/>
  <c r="AG161" i="3"/>
  <c r="AG160" i="3" s="1"/>
  <c r="AG159" i="3" s="1"/>
  <c r="AF161" i="3"/>
  <c r="AF160" i="3" s="1"/>
  <c r="AF159" i="3" s="1"/>
  <c r="AE161" i="3"/>
  <c r="AD161" i="3"/>
  <c r="AD160" i="3" s="1"/>
  <c r="AD159" i="3" s="1"/>
  <c r="AC161" i="3"/>
  <c r="AC160" i="3" s="1"/>
  <c r="AC159" i="3" s="1"/>
  <c r="AB161" i="3"/>
  <c r="AB160" i="3" s="1"/>
  <c r="AB159" i="3" s="1"/>
  <c r="AA161" i="3"/>
  <c r="Z161" i="3"/>
  <c r="Z160" i="3" s="1"/>
  <c r="Z159" i="3" s="1"/>
  <c r="Y161" i="3"/>
  <c r="Y160" i="3" s="1"/>
  <c r="Y159" i="3" s="1"/>
  <c r="P161" i="3"/>
  <c r="L161" i="3"/>
  <c r="L160" i="3" s="1"/>
  <c r="L159" i="3" s="1"/>
  <c r="K161" i="3"/>
  <c r="J161" i="3"/>
  <c r="J160" i="3" s="1"/>
  <c r="I161" i="3"/>
  <c r="Z35" i="13" s="1"/>
  <c r="F161" i="3"/>
  <c r="F160" i="3" s="1"/>
  <c r="F159" i="3" s="1"/>
  <c r="E161" i="3"/>
  <c r="E160" i="3" s="1"/>
  <c r="E159" i="3" s="1"/>
  <c r="C42" i="13" s="1"/>
  <c r="BK160" i="3"/>
  <c r="BG160" i="3"/>
  <c r="BG159" i="3" s="1"/>
  <c r="BC160" i="3"/>
  <c r="BC159" i="3" s="1"/>
  <c r="AY160" i="3"/>
  <c r="AY159" i="3" s="1"/>
  <c r="AU160" i="3"/>
  <c r="AQ160" i="3"/>
  <c r="AQ159" i="3" s="1"/>
  <c r="AM160" i="3"/>
  <c r="AI160" i="3"/>
  <c r="AI159" i="3" s="1"/>
  <c r="AE160" i="3"/>
  <c r="AA160" i="3"/>
  <c r="AA159" i="3" s="1"/>
  <c r="K160" i="3"/>
  <c r="K159" i="3" s="1"/>
  <c r="X158" i="3"/>
  <c r="W158" i="3"/>
  <c r="V158" i="3"/>
  <c r="U158" i="3"/>
  <c r="S158" i="3"/>
  <c r="Q158" i="3"/>
  <c r="P158" i="3"/>
  <c r="N158" i="3"/>
  <c r="T158" i="3" s="1"/>
  <c r="M158" i="3"/>
  <c r="H158" i="3"/>
  <c r="G158" i="3"/>
  <c r="T157" i="3"/>
  <c r="S157" i="3"/>
  <c r="R157" i="3"/>
  <c r="Q157" i="3"/>
  <c r="P157" i="3"/>
  <c r="O157" i="3"/>
  <c r="U157" i="3" s="1"/>
  <c r="N157" i="3"/>
  <c r="M157" i="3"/>
  <c r="W156" i="3"/>
  <c r="T156" i="3"/>
  <c r="S156" i="3"/>
  <c r="R156" i="3"/>
  <c r="Q156" i="3"/>
  <c r="P156" i="3"/>
  <c r="O156" i="3"/>
  <c r="O154" i="3" s="1"/>
  <c r="X154" i="3" s="1"/>
  <c r="N156" i="3"/>
  <c r="M156" i="3"/>
  <c r="V156" i="3" s="1"/>
  <c r="H156" i="3"/>
  <c r="G156" i="3"/>
  <c r="U155" i="3"/>
  <c r="R155" i="3"/>
  <c r="Q155" i="3"/>
  <c r="P155" i="3"/>
  <c r="O155" i="3"/>
  <c r="X155" i="3" s="1"/>
  <c r="N155" i="3"/>
  <c r="W155" i="3" s="1"/>
  <c r="M155" i="3"/>
  <c r="M154" i="3" s="1"/>
  <c r="G155" i="3"/>
  <c r="BK154" i="3"/>
  <c r="BJ154" i="3"/>
  <c r="Q154" i="3" s="1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P154" i="3" s="1"/>
  <c r="AD154" i="3"/>
  <c r="AC154" i="3"/>
  <c r="AB154" i="3"/>
  <c r="AA154" i="3"/>
  <c r="Z154" i="3"/>
  <c r="Y154" i="3"/>
  <c r="R154" i="3"/>
  <c r="N154" i="3"/>
  <c r="W154" i="3" s="1"/>
  <c r="L154" i="3"/>
  <c r="K154" i="3"/>
  <c r="J154" i="3"/>
  <c r="I154" i="3"/>
  <c r="G154" i="3"/>
  <c r="F154" i="3"/>
  <c r="E154" i="3"/>
  <c r="V153" i="3"/>
  <c r="S153" i="3"/>
  <c r="R153" i="3"/>
  <c r="Q153" i="3"/>
  <c r="P153" i="3"/>
  <c r="O153" i="3"/>
  <c r="X153" i="3" s="1"/>
  <c r="N153" i="3"/>
  <c r="W153" i="3" s="1"/>
  <c r="M153" i="3"/>
  <c r="H153" i="3"/>
  <c r="G153" i="3"/>
  <c r="X152" i="3"/>
  <c r="U152" i="3"/>
  <c r="T152" i="3"/>
  <c r="R152" i="3"/>
  <c r="Q152" i="3"/>
  <c r="P152" i="3"/>
  <c r="O152" i="3"/>
  <c r="N152" i="3"/>
  <c r="W152" i="3" s="1"/>
  <c r="M152" i="3"/>
  <c r="V152" i="3" s="1"/>
  <c r="X151" i="3"/>
  <c r="U151" i="3"/>
  <c r="T151" i="3"/>
  <c r="R151" i="3"/>
  <c r="Q151" i="3"/>
  <c r="P151" i="3"/>
  <c r="O151" i="3"/>
  <c r="N151" i="3"/>
  <c r="W151" i="3" s="1"/>
  <c r="M151" i="3"/>
  <c r="S151" i="3" s="1"/>
  <c r="H151" i="3"/>
  <c r="G151" i="3"/>
  <c r="BK150" i="3"/>
  <c r="BJ150" i="3"/>
  <c r="BI150" i="3"/>
  <c r="P150" i="3" s="1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R150" i="3" s="1"/>
  <c r="AC150" i="3"/>
  <c r="Q150" i="3" s="1"/>
  <c r="AB150" i="3"/>
  <c r="AA150" i="3"/>
  <c r="Z150" i="3"/>
  <c r="Y150" i="3"/>
  <c r="M150" i="3"/>
  <c r="H150" i="3" s="1"/>
  <c r="L150" i="3"/>
  <c r="K150" i="3"/>
  <c r="J150" i="3"/>
  <c r="I150" i="3"/>
  <c r="G150" i="3" s="1"/>
  <c r="F150" i="3"/>
  <c r="E150" i="3"/>
  <c r="Y13" i="13" s="1"/>
  <c r="AA13" i="13" s="1"/>
  <c r="U149" i="3"/>
  <c r="R149" i="3"/>
  <c r="Q149" i="3"/>
  <c r="P149" i="3"/>
  <c r="O149" i="3"/>
  <c r="X149" i="3" s="1"/>
  <c r="N149" i="3"/>
  <c r="T149" i="3" s="1"/>
  <c r="M149" i="3"/>
  <c r="V149" i="3" s="1"/>
  <c r="G149" i="3"/>
  <c r="W147" i="3"/>
  <c r="T147" i="3"/>
  <c r="S147" i="3"/>
  <c r="R147" i="3"/>
  <c r="Q147" i="3"/>
  <c r="P147" i="3"/>
  <c r="O147" i="3"/>
  <c r="O145" i="3" s="1"/>
  <c r="X145" i="3" s="1"/>
  <c r="N147" i="3"/>
  <c r="M147" i="3"/>
  <c r="V147" i="3" s="1"/>
  <c r="H147" i="3"/>
  <c r="G147" i="3"/>
  <c r="U146" i="3"/>
  <c r="R146" i="3"/>
  <c r="Q146" i="3"/>
  <c r="P146" i="3"/>
  <c r="O146" i="3"/>
  <c r="X146" i="3" s="1"/>
  <c r="N146" i="3"/>
  <c r="W146" i="3" s="1"/>
  <c r="M146" i="3"/>
  <c r="M145" i="3" s="1"/>
  <c r="G146" i="3"/>
  <c r="BK145" i="3"/>
  <c r="BJ145" i="3"/>
  <c r="Q145" i="3" s="1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P145" i="3" s="1"/>
  <c r="AD145" i="3"/>
  <c r="AC145" i="3"/>
  <c r="AB145" i="3"/>
  <c r="AA145" i="3"/>
  <c r="Z145" i="3"/>
  <c r="Y145" i="3"/>
  <c r="R145" i="3"/>
  <c r="N145" i="3"/>
  <c r="W145" i="3" s="1"/>
  <c r="L145" i="3"/>
  <c r="K145" i="3"/>
  <c r="J145" i="3"/>
  <c r="I145" i="3"/>
  <c r="G145" i="3"/>
  <c r="F145" i="3"/>
  <c r="E145" i="3"/>
  <c r="V143" i="3"/>
  <c r="S143" i="3"/>
  <c r="R143" i="3"/>
  <c r="Q143" i="3"/>
  <c r="P143" i="3"/>
  <c r="O143" i="3"/>
  <c r="X143" i="3" s="1"/>
  <c r="N143" i="3"/>
  <c r="W143" i="3" s="1"/>
  <c r="M143" i="3"/>
  <c r="H143" i="3"/>
  <c r="G143" i="3"/>
  <c r="X142" i="3"/>
  <c r="U142" i="3"/>
  <c r="T142" i="3"/>
  <c r="R142" i="3"/>
  <c r="Q142" i="3"/>
  <c r="P142" i="3"/>
  <c r="O142" i="3"/>
  <c r="N142" i="3"/>
  <c r="W142" i="3" s="1"/>
  <c r="M142" i="3"/>
  <c r="V142" i="3" s="1"/>
  <c r="H142" i="3"/>
  <c r="G142" i="3"/>
  <c r="V141" i="3"/>
  <c r="V140" i="3" s="1"/>
  <c r="S141" i="3"/>
  <c r="R141" i="3"/>
  <c r="Q141" i="3"/>
  <c r="P141" i="3"/>
  <c r="O141" i="3"/>
  <c r="U141" i="3" s="1"/>
  <c r="N141" i="3"/>
  <c r="W141" i="3" s="1"/>
  <c r="W140" i="3" s="1"/>
  <c r="M141" i="3"/>
  <c r="H141" i="3"/>
  <c r="G141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Q140" i="3" s="1"/>
  <c r="AE140" i="3"/>
  <c r="P140" i="3" s="1"/>
  <c r="AD140" i="3"/>
  <c r="AC140" i="3"/>
  <c r="AB140" i="3"/>
  <c r="AA140" i="3"/>
  <c r="Z140" i="3"/>
  <c r="Y140" i="3"/>
  <c r="O140" i="3"/>
  <c r="L140" i="3"/>
  <c r="K140" i="3"/>
  <c r="J140" i="3"/>
  <c r="I140" i="3"/>
  <c r="G140" i="3"/>
  <c r="F140" i="3"/>
  <c r="E140" i="3"/>
  <c r="W139" i="3"/>
  <c r="T139" i="3"/>
  <c r="S139" i="3"/>
  <c r="R139" i="3"/>
  <c r="Q139" i="3"/>
  <c r="P139" i="3"/>
  <c r="O139" i="3"/>
  <c r="X139" i="3" s="1"/>
  <c r="N139" i="3"/>
  <c r="M139" i="3"/>
  <c r="V139" i="3" s="1"/>
  <c r="H139" i="3"/>
  <c r="G139" i="3"/>
  <c r="U138" i="3"/>
  <c r="R138" i="3"/>
  <c r="Q138" i="3"/>
  <c r="P138" i="3"/>
  <c r="O138" i="3"/>
  <c r="X138" i="3" s="1"/>
  <c r="N138" i="3"/>
  <c r="T138" i="3" s="1"/>
  <c r="M138" i="3"/>
  <c r="V138" i="3" s="1"/>
  <c r="G138" i="3"/>
  <c r="W137" i="3"/>
  <c r="T137" i="3"/>
  <c r="S137" i="3"/>
  <c r="D136" i="13" s="1"/>
  <c r="R137" i="3"/>
  <c r="Q137" i="3"/>
  <c r="P137" i="3"/>
  <c r="O137" i="3"/>
  <c r="N137" i="3"/>
  <c r="M137" i="3"/>
  <c r="V137" i="3" s="1"/>
  <c r="V136" i="3" s="1"/>
  <c r="H137" i="3"/>
  <c r="G137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R136" i="3" s="1"/>
  <c r="AF136" i="3"/>
  <c r="AE136" i="3"/>
  <c r="AD136" i="3"/>
  <c r="AC136" i="3"/>
  <c r="Q136" i="3" s="1"/>
  <c r="AB136" i="3"/>
  <c r="P136" i="3" s="1"/>
  <c r="AA136" i="3"/>
  <c r="Z136" i="3"/>
  <c r="Y136" i="3"/>
  <c r="T136" i="3"/>
  <c r="L136" i="3"/>
  <c r="L119" i="3" s="1"/>
  <c r="L96" i="3" s="1"/>
  <c r="K136" i="3"/>
  <c r="J136" i="3"/>
  <c r="I136" i="3"/>
  <c r="G136" i="3" s="1"/>
  <c r="F136" i="3"/>
  <c r="E136" i="3"/>
  <c r="X135" i="3"/>
  <c r="U135" i="3"/>
  <c r="T135" i="3"/>
  <c r="R135" i="3"/>
  <c r="Q135" i="3"/>
  <c r="P135" i="3"/>
  <c r="O135" i="3"/>
  <c r="N135" i="3"/>
  <c r="W135" i="3" s="1"/>
  <c r="M135" i="3"/>
  <c r="S135" i="3" s="1"/>
  <c r="H135" i="3"/>
  <c r="G135" i="3"/>
  <c r="V134" i="3"/>
  <c r="S134" i="3"/>
  <c r="R134" i="3"/>
  <c r="Q134" i="3"/>
  <c r="P134" i="3"/>
  <c r="O134" i="3"/>
  <c r="X134" i="3" s="1"/>
  <c r="N134" i="3"/>
  <c r="M134" i="3"/>
  <c r="H134" i="3"/>
  <c r="G134" i="3"/>
  <c r="X133" i="3"/>
  <c r="U133" i="3"/>
  <c r="T133" i="3"/>
  <c r="R133" i="3"/>
  <c r="Q133" i="3"/>
  <c r="P133" i="3"/>
  <c r="O133" i="3"/>
  <c r="N133" i="3"/>
  <c r="W133" i="3" s="1"/>
  <c r="M133" i="3"/>
  <c r="V133" i="3" s="1"/>
  <c r="H133" i="3"/>
  <c r="G133" i="3"/>
  <c r="V132" i="3"/>
  <c r="S132" i="3"/>
  <c r="R132" i="3"/>
  <c r="Q132" i="3"/>
  <c r="P132" i="3"/>
  <c r="O132" i="3"/>
  <c r="U132" i="3" s="1"/>
  <c r="N132" i="3"/>
  <c r="W132" i="3" s="1"/>
  <c r="M132" i="3"/>
  <c r="H132" i="3"/>
  <c r="G132" i="3"/>
  <c r="X131" i="3"/>
  <c r="X130" i="3" s="1"/>
  <c r="U131" i="3"/>
  <c r="T131" i="3"/>
  <c r="R131" i="3"/>
  <c r="Q131" i="3"/>
  <c r="P131" i="3"/>
  <c r="O131" i="3"/>
  <c r="N131" i="3"/>
  <c r="W131" i="3" s="1"/>
  <c r="W130" i="3" s="1"/>
  <c r="M131" i="3"/>
  <c r="S131" i="3" s="1"/>
  <c r="H131" i="3"/>
  <c r="G131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R130" i="3" s="1"/>
  <c r="AC130" i="3"/>
  <c r="Q130" i="3" s="1"/>
  <c r="AB130" i="3"/>
  <c r="AA130" i="3"/>
  <c r="Z130" i="3"/>
  <c r="Y130" i="3"/>
  <c r="M130" i="3"/>
  <c r="L130" i="3"/>
  <c r="K130" i="3"/>
  <c r="J130" i="3"/>
  <c r="I130" i="3"/>
  <c r="G130" i="3" s="1"/>
  <c r="F130" i="3"/>
  <c r="E130" i="3"/>
  <c r="U129" i="3"/>
  <c r="R129" i="3"/>
  <c r="Q129" i="3"/>
  <c r="P129" i="3"/>
  <c r="O129" i="3"/>
  <c r="X129" i="3" s="1"/>
  <c r="N129" i="3"/>
  <c r="T129" i="3" s="1"/>
  <c r="M129" i="3"/>
  <c r="V129" i="3" s="1"/>
  <c r="G129" i="3"/>
  <c r="W127" i="3"/>
  <c r="T127" i="3"/>
  <c r="S127" i="3"/>
  <c r="R127" i="3"/>
  <c r="Q127" i="3"/>
  <c r="P127" i="3"/>
  <c r="O127" i="3"/>
  <c r="N127" i="3"/>
  <c r="M127" i="3"/>
  <c r="V127" i="3" s="1"/>
  <c r="H127" i="3"/>
  <c r="G127" i="3"/>
  <c r="U126" i="3"/>
  <c r="R126" i="3"/>
  <c r="Q126" i="3"/>
  <c r="P126" i="3"/>
  <c r="O126" i="3"/>
  <c r="X126" i="3" s="1"/>
  <c r="N126" i="3"/>
  <c r="W126" i="3" s="1"/>
  <c r="M126" i="3"/>
  <c r="G126" i="3"/>
  <c r="W125" i="3"/>
  <c r="S125" i="3"/>
  <c r="R125" i="3"/>
  <c r="Q125" i="3"/>
  <c r="P125" i="3"/>
  <c r="O125" i="3"/>
  <c r="X125" i="3" s="1"/>
  <c r="N125" i="3"/>
  <c r="M125" i="3"/>
  <c r="V125" i="3" s="1"/>
  <c r="J125" i="3"/>
  <c r="T125" i="3" s="1"/>
  <c r="H125" i="3"/>
  <c r="G125" i="3"/>
  <c r="V124" i="3"/>
  <c r="S124" i="3"/>
  <c r="R124" i="3"/>
  <c r="Q124" i="3"/>
  <c r="P124" i="3"/>
  <c r="O124" i="3"/>
  <c r="U124" i="3" s="1"/>
  <c r="N124" i="3"/>
  <c r="M124" i="3"/>
  <c r="H124" i="3"/>
  <c r="G124" i="3"/>
  <c r="X123" i="3"/>
  <c r="U123" i="3"/>
  <c r="T123" i="3"/>
  <c r="R123" i="3"/>
  <c r="Q123" i="3"/>
  <c r="P123" i="3"/>
  <c r="O123" i="3"/>
  <c r="N123" i="3"/>
  <c r="W123" i="3" s="1"/>
  <c r="M123" i="3"/>
  <c r="S123" i="3" s="1"/>
  <c r="H123" i="3"/>
  <c r="G123" i="3"/>
  <c r="V122" i="3"/>
  <c r="S122" i="3"/>
  <c r="R122" i="3"/>
  <c r="Q122" i="3"/>
  <c r="P122" i="3"/>
  <c r="O122" i="3"/>
  <c r="X122" i="3" s="1"/>
  <c r="N122" i="3"/>
  <c r="M122" i="3"/>
  <c r="H122" i="3"/>
  <c r="G122" i="3"/>
  <c r="X121" i="3"/>
  <c r="U121" i="3"/>
  <c r="T121" i="3"/>
  <c r="R121" i="3"/>
  <c r="Q121" i="3"/>
  <c r="P121" i="3"/>
  <c r="O121" i="3"/>
  <c r="N121" i="3"/>
  <c r="W121" i="3" s="1"/>
  <c r="M121" i="3"/>
  <c r="V121" i="3" s="1"/>
  <c r="H121" i="3"/>
  <c r="G121" i="3"/>
  <c r="BK120" i="3"/>
  <c r="BK119" i="3" s="1"/>
  <c r="BJ120" i="3"/>
  <c r="BI120" i="3"/>
  <c r="BH120" i="3"/>
  <c r="BG120" i="3"/>
  <c r="BG119" i="3" s="1"/>
  <c r="BF120" i="3"/>
  <c r="BF119" i="3" s="1"/>
  <c r="BE120" i="3"/>
  <c r="BE119" i="3" s="1"/>
  <c r="BD120" i="3"/>
  <c r="BC120" i="3"/>
  <c r="BC119" i="3" s="1"/>
  <c r="BB120" i="3"/>
  <c r="BA120" i="3"/>
  <c r="BA119" i="3" s="1"/>
  <c r="AZ120" i="3"/>
  <c r="AY120" i="3"/>
  <c r="AY119" i="3" s="1"/>
  <c r="AX120" i="3"/>
  <c r="AX119" i="3" s="1"/>
  <c r="AW120" i="3"/>
  <c r="AW119" i="3" s="1"/>
  <c r="AV120" i="3"/>
  <c r="AU120" i="3"/>
  <c r="AU119" i="3" s="1"/>
  <c r="AT120" i="3"/>
  <c r="AS120" i="3"/>
  <c r="AS119" i="3" s="1"/>
  <c r="AR120" i="3"/>
  <c r="AQ120" i="3"/>
  <c r="AQ119" i="3" s="1"/>
  <c r="AP120" i="3"/>
  <c r="AP119" i="3" s="1"/>
  <c r="AO120" i="3"/>
  <c r="AO119" i="3" s="1"/>
  <c r="AN120" i="3"/>
  <c r="AM120" i="3"/>
  <c r="AM119" i="3" s="1"/>
  <c r="AL120" i="3"/>
  <c r="AK120" i="3"/>
  <c r="AK119" i="3" s="1"/>
  <c r="AJ120" i="3"/>
  <c r="AI120" i="3"/>
  <c r="AI119" i="3" s="1"/>
  <c r="AH120" i="3"/>
  <c r="AH119" i="3" s="1"/>
  <c r="AG120" i="3"/>
  <c r="AF120" i="3"/>
  <c r="AE120" i="3"/>
  <c r="AE119" i="3" s="1"/>
  <c r="AD120" i="3"/>
  <c r="AC120" i="3"/>
  <c r="AC119" i="3" s="1"/>
  <c r="AB120" i="3"/>
  <c r="AA120" i="3"/>
  <c r="AA119" i="3" s="1"/>
  <c r="Z120" i="3"/>
  <c r="Z119" i="3" s="1"/>
  <c r="Y120" i="3"/>
  <c r="Y119" i="3" s="1"/>
  <c r="M120" i="3"/>
  <c r="L120" i="3"/>
  <c r="K120" i="3"/>
  <c r="K119" i="3" s="1"/>
  <c r="J120" i="3"/>
  <c r="J119" i="3" s="1"/>
  <c r="I120" i="3"/>
  <c r="F120" i="3"/>
  <c r="E120" i="3"/>
  <c r="BJ119" i="3"/>
  <c r="BH119" i="3"/>
  <c r="BD119" i="3"/>
  <c r="BB119" i="3"/>
  <c r="AZ119" i="3"/>
  <c r="AV119" i="3"/>
  <c r="AT119" i="3"/>
  <c r="AR119" i="3"/>
  <c r="AN119" i="3"/>
  <c r="AL119" i="3"/>
  <c r="AJ119" i="3"/>
  <c r="AF119" i="3"/>
  <c r="AD119" i="3"/>
  <c r="AB119" i="3"/>
  <c r="F119" i="3"/>
  <c r="X118" i="3"/>
  <c r="U118" i="3"/>
  <c r="T118" i="3"/>
  <c r="R118" i="3"/>
  <c r="Q118" i="3"/>
  <c r="P118" i="3"/>
  <c r="O118" i="3"/>
  <c r="N118" i="3"/>
  <c r="W118" i="3" s="1"/>
  <c r="M118" i="3"/>
  <c r="S118" i="3" s="1"/>
  <c r="H118" i="3"/>
  <c r="G118" i="3"/>
  <c r="Q117" i="3"/>
  <c r="P117" i="3"/>
  <c r="O117" i="3"/>
  <c r="N117" i="3"/>
  <c r="M117" i="3"/>
  <c r="W116" i="3"/>
  <c r="T116" i="3"/>
  <c r="S116" i="3"/>
  <c r="R116" i="3"/>
  <c r="Q116" i="3"/>
  <c r="P116" i="3"/>
  <c r="O116" i="3"/>
  <c r="N116" i="3"/>
  <c r="M116" i="3"/>
  <c r="V116" i="3" s="1"/>
  <c r="H116" i="3"/>
  <c r="G116" i="3"/>
  <c r="U115" i="3"/>
  <c r="R115" i="3"/>
  <c r="Q115" i="3"/>
  <c r="P115" i="3"/>
  <c r="O115" i="3"/>
  <c r="X115" i="3" s="1"/>
  <c r="N115" i="3"/>
  <c r="T115" i="3" s="1"/>
  <c r="M115" i="3"/>
  <c r="G115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R114" i="3" s="1"/>
  <c r="AC114" i="3"/>
  <c r="AB114" i="3"/>
  <c r="AA114" i="3"/>
  <c r="Z114" i="3"/>
  <c r="Y114" i="3"/>
  <c r="N114" i="3"/>
  <c r="W114" i="3" s="1"/>
  <c r="L114" i="3"/>
  <c r="J114" i="3"/>
  <c r="I114" i="3"/>
  <c r="F114" i="3"/>
  <c r="E114" i="3"/>
  <c r="U113" i="3"/>
  <c r="R113" i="3"/>
  <c r="Q113" i="3"/>
  <c r="P113" i="3"/>
  <c r="O113" i="3"/>
  <c r="X113" i="3" s="1"/>
  <c r="N113" i="3"/>
  <c r="T113" i="3" s="1"/>
  <c r="M113" i="3"/>
  <c r="G113" i="3"/>
  <c r="W112" i="3"/>
  <c r="T112" i="3"/>
  <c r="S112" i="3"/>
  <c r="D138" i="13" s="1"/>
  <c r="R112" i="3"/>
  <c r="Q112" i="3"/>
  <c r="P112" i="3"/>
  <c r="O112" i="3"/>
  <c r="N112" i="3"/>
  <c r="M112" i="3"/>
  <c r="H112" i="3" s="1"/>
  <c r="G112" i="3"/>
  <c r="U111" i="3"/>
  <c r="R111" i="3"/>
  <c r="Q111" i="3"/>
  <c r="P111" i="3"/>
  <c r="O111" i="3"/>
  <c r="X111" i="3" s="1"/>
  <c r="N111" i="3"/>
  <c r="W111" i="3" s="1"/>
  <c r="M111" i="3"/>
  <c r="G111" i="3"/>
  <c r="W110" i="3"/>
  <c r="T110" i="3"/>
  <c r="S110" i="3"/>
  <c r="R110" i="3"/>
  <c r="Q110" i="3"/>
  <c r="P110" i="3"/>
  <c r="O110" i="3"/>
  <c r="N110" i="3"/>
  <c r="M110" i="3"/>
  <c r="V110" i="3" s="1"/>
  <c r="H110" i="3"/>
  <c r="G110" i="3"/>
  <c r="U109" i="3"/>
  <c r="R109" i="3"/>
  <c r="Q109" i="3"/>
  <c r="P109" i="3"/>
  <c r="O109" i="3"/>
  <c r="X109" i="3" s="1"/>
  <c r="N109" i="3"/>
  <c r="T109" i="3" s="1"/>
  <c r="M109" i="3"/>
  <c r="G109" i="3"/>
  <c r="W108" i="3"/>
  <c r="T108" i="3"/>
  <c r="S108" i="3"/>
  <c r="R108" i="3"/>
  <c r="Q108" i="3"/>
  <c r="P108" i="3"/>
  <c r="O108" i="3"/>
  <c r="N108" i="3"/>
  <c r="M108" i="3"/>
  <c r="H108" i="3" s="1"/>
  <c r="G108" i="3"/>
  <c r="U107" i="3"/>
  <c r="R107" i="3"/>
  <c r="Q107" i="3"/>
  <c r="P107" i="3"/>
  <c r="O107" i="3"/>
  <c r="X107" i="3" s="1"/>
  <c r="N107" i="3"/>
  <c r="W107" i="3" s="1"/>
  <c r="M107" i="3"/>
  <c r="G107" i="3"/>
  <c r="W106" i="3"/>
  <c r="T106" i="3"/>
  <c r="S106" i="3"/>
  <c r="R106" i="3"/>
  <c r="Q106" i="3"/>
  <c r="P106" i="3"/>
  <c r="O106" i="3"/>
  <c r="N106" i="3"/>
  <c r="M106" i="3"/>
  <c r="V106" i="3" s="1"/>
  <c r="H106" i="3"/>
  <c r="G106" i="3"/>
  <c r="U105" i="3"/>
  <c r="R105" i="3"/>
  <c r="Q105" i="3"/>
  <c r="P105" i="3"/>
  <c r="O105" i="3"/>
  <c r="X105" i="3" s="1"/>
  <c r="N105" i="3"/>
  <c r="T105" i="3" s="1"/>
  <c r="M105" i="3"/>
  <c r="G105" i="3"/>
  <c r="W104" i="3"/>
  <c r="T104" i="3"/>
  <c r="S104" i="3"/>
  <c r="R104" i="3"/>
  <c r="Q104" i="3"/>
  <c r="P104" i="3"/>
  <c r="O104" i="3"/>
  <c r="N104" i="3"/>
  <c r="M104" i="3"/>
  <c r="H104" i="3" s="1"/>
  <c r="G104" i="3"/>
  <c r="U103" i="3"/>
  <c r="T103" i="3"/>
  <c r="R103" i="3"/>
  <c r="Q103" i="3"/>
  <c r="P103" i="3"/>
  <c r="O103" i="3"/>
  <c r="N103" i="3"/>
  <c r="W103" i="3" s="1"/>
  <c r="M103" i="3"/>
  <c r="V103" i="3" s="1"/>
  <c r="H103" i="3"/>
  <c r="G103" i="3"/>
  <c r="V102" i="3"/>
  <c r="S102" i="3"/>
  <c r="R102" i="3"/>
  <c r="Q102" i="3"/>
  <c r="P102" i="3"/>
  <c r="O102" i="3"/>
  <c r="U102" i="3" s="1"/>
  <c r="N102" i="3"/>
  <c r="M102" i="3"/>
  <c r="H102" i="3"/>
  <c r="G102" i="3"/>
  <c r="X101" i="3"/>
  <c r="U101" i="3"/>
  <c r="T101" i="3"/>
  <c r="R101" i="3"/>
  <c r="Q101" i="3"/>
  <c r="P101" i="3"/>
  <c r="O101" i="3"/>
  <c r="N101" i="3"/>
  <c r="W101" i="3" s="1"/>
  <c r="M101" i="3"/>
  <c r="S101" i="3" s="1"/>
  <c r="H101" i="3"/>
  <c r="G101" i="3"/>
  <c r="V100" i="3"/>
  <c r="S100" i="3"/>
  <c r="R100" i="3"/>
  <c r="Q100" i="3"/>
  <c r="P100" i="3"/>
  <c r="O100" i="3"/>
  <c r="N100" i="3"/>
  <c r="T100" i="3" s="1"/>
  <c r="M100" i="3"/>
  <c r="H100" i="3"/>
  <c r="G100" i="3"/>
  <c r="X99" i="3"/>
  <c r="U99" i="3"/>
  <c r="T99" i="3"/>
  <c r="R99" i="3"/>
  <c r="Q99" i="3"/>
  <c r="P99" i="3"/>
  <c r="O99" i="3"/>
  <c r="N99" i="3"/>
  <c r="W99" i="3" s="1"/>
  <c r="M99" i="3"/>
  <c r="H99" i="3" s="1"/>
  <c r="G99" i="3"/>
  <c r="V98" i="3"/>
  <c r="S98" i="3"/>
  <c r="R98" i="3"/>
  <c r="Q98" i="3"/>
  <c r="P98" i="3"/>
  <c r="O98" i="3"/>
  <c r="U98" i="3" s="1"/>
  <c r="N98" i="3"/>
  <c r="M98" i="3"/>
  <c r="H98" i="3"/>
  <c r="G98" i="3"/>
  <c r="BK97" i="3"/>
  <c r="BJ97" i="3"/>
  <c r="BI97" i="3"/>
  <c r="BH97" i="3"/>
  <c r="BG97" i="3"/>
  <c r="BG96" i="3" s="1"/>
  <c r="BF97" i="3"/>
  <c r="BE97" i="3"/>
  <c r="BD97" i="3"/>
  <c r="BD96" i="3" s="1"/>
  <c r="BC97" i="3"/>
  <c r="BC96" i="3" s="1"/>
  <c r="BB97" i="3"/>
  <c r="BA97" i="3"/>
  <c r="BA96" i="3" s="1"/>
  <c r="AZ97" i="3"/>
  <c r="AY97" i="3"/>
  <c r="AX97" i="3"/>
  <c r="AW97" i="3"/>
  <c r="AV97" i="3"/>
  <c r="AV96" i="3" s="1"/>
  <c r="AU97" i="3"/>
  <c r="AU96" i="3" s="1"/>
  <c r="AT97" i="3"/>
  <c r="AS97" i="3"/>
  <c r="AS96" i="3" s="1"/>
  <c r="AR97" i="3"/>
  <c r="AQ97" i="3"/>
  <c r="AQ96" i="3" s="1"/>
  <c r="AP97" i="3"/>
  <c r="AO97" i="3"/>
  <c r="AN97" i="3"/>
  <c r="AN96" i="3" s="1"/>
  <c r="AM97" i="3"/>
  <c r="AM96" i="3" s="1"/>
  <c r="AL97" i="3"/>
  <c r="AK97" i="3"/>
  <c r="AK96" i="3" s="1"/>
  <c r="AJ97" i="3"/>
  <c r="AI97" i="3"/>
  <c r="AH97" i="3"/>
  <c r="AG97" i="3"/>
  <c r="AF97" i="3"/>
  <c r="Q97" i="3" s="1"/>
  <c r="AE97" i="3"/>
  <c r="AE96" i="3" s="1"/>
  <c r="AD97" i="3"/>
  <c r="AC97" i="3"/>
  <c r="AC96" i="3" s="1"/>
  <c r="AB97" i="3"/>
  <c r="AA97" i="3"/>
  <c r="AA96" i="3" s="1"/>
  <c r="Z97" i="3"/>
  <c r="Y97" i="3"/>
  <c r="P97" i="3"/>
  <c r="L97" i="3"/>
  <c r="K97" i="3"/>
  <c r="K96" i="3" s="1"/>
  <c r="J97" i="3"/>
  <c r="I97" i="3"/>
  <c r="G97" i="3"/>
  <c r="F97" i="3"/>
  <c r="E97" i="3"/>
  <c r="BJ96" i="3"/>
  <c r="BH96" i="3"/>
  <c r="BF96" i="3"/>
  <c r="BB96" i="3"/>
  <c r="AZ96" i="3"/>
  <c r="AY96" i="3"/>
  <c r="AX96" i="3"/>
  <c r="AT96" i="3"/>
  <c r="AR96" i="3"/>
  <c r="AP96" i="3"/>
  <c r="AL96" i="3"/>
  <c r="AJ96" i="3"/>
  <c r="AI96" i="3"/>
  <c r="AH96" i="3"/>
  <c r="AF96" i="3"/>
  <c r="AD96" i="3"/>
  <c r="AB96" i="3"/>
  <c r="Z96" i="3"/>
  <c r="J96" i="3"/>
  <c r="F96" i="3"/>
  <c r="V95" i="3"/>
  <c r="T95" i="3"/>
  <c r="S95" i="3"/>
  <c r="R95" i="3"/>
  <c r="Q95" i="3"/>
  <c r="P95" i="3"/>
  <c r="O95" i="3"/>
  <c r="U95" i="3" s="1"/>
  <c r="N95" i="3"/>
  <c r="W95" i="3" s="1"/>
  <c r="M95" i="3"/>
  <c r="H95" i="3"/>
  <c r="G95" i="3"/>
  <c r="X94" i="3"/>
  <c r="U94" i="3"/>
  <c r="T94" i="3"/>
  <c r="R94" i="3"/>
  <c r="Q94" i="3"/>
  <c r="P94" i="3"/>
  <c r="O94" i="3"/>
  <c r="N94" i="3"/>
  <c r="W94" i="3" s="1"/>
  <c r="M94" i="3"/>
  <c r="H94" i="3" s="1"/>
  <c r="G94" i="3"/>
  <c r="R93" i="3"/>
  <c r="Q93" i="3"/>
  <c r="P93" i="3"/>
  <c r="O93" i="3"/>
  <c r="R92" i="3"/>
  <c r="Q92" i="3"/>
  <c r="P92" i="3"/>
  <c r="O92" i="3"/>
  <c r="V91" i="3"/>
  <c r="S91" i="3"/>
  <c r="R91" i="3"/>
  <c r="Q91" i="3"/>
  <c r="P91" i="3"/>
  <c r="O91" i="3"/>
  <c r="U91" i="3" s="1"/>
  <c r="N91" i="3"/>
  <c r="W91" i="3" s="1"/>
  <c r="M91" i="3"/>
  <c r="H91" i="3"/>
  <c r="G91" i="3"/>
  <c r="Q90" i="3"/>
  <c r="P90" i="3"/>
  <c r="O90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R89" i="3" s="1"/>
  <c r="AC89" i="3"/>
  <c r="AB89" i="3"/>
  <c r="AA89" i="3"/>
  <c r="Z89" i="3"/>
  <c r="Y89" i="3"/>
  <c r="P89" i="3"/>
  <c r="L89" i="3"/>
  <c r="K89" i="3"/>
  <c r="J89" i="3"/>
  <c r="I89" i="3"/>
  <c r="U76" i="13" s="1"/>
  <c r="V76" i="13" s="1"/>
  <c r="G89" i="3"/>
  <c r="F89" i="3"/>
  <c r="E89" i="3"/>
  <c r="H7" i="13" s="1"/>
  <c r="V88" i="3"/>
  <c r="S88" i="3"/>
  <c r="R88" i="3"/>
  <c r="Q88" i="3"/>
  <c r="P88" i="3"/>
  <c r="O88" i="3"/>
  <c r="U88" i="3" s="1"/>
  <c r="N88" i="3"/>
  <c r="W88" i="3" s="1"/>
  <c r="M88" i="3"/>
  <c r="H88" i="3"/>
  <c r="G88" i="3"/>
  <c r="Z87" i="3"/>
  <c r="Q87" i="3" s="1"/>
  <c r="S87" i="3"/>
  <c r="D133" i="13" s="1"/>
  <c r="R87" i="3"/>
  <c r="P87" i="3"/>
  <c r="O87" i="3"/>
  <c r="X87" i="3" s="1"/>
  <c r="M87" i="3"/>
  <c r="H87" i="3" s="1"/>
  <c r="G87" i="3"/>
  <c r="W86" i="3"/>
  <c r="T86" i="3"/>
  <c r="S86" i="3"/>
  <c r="R86" i="3"/>
  <c r="Q86" i="3"/>
  <c r="P86" i="3"/>
  <c r="O86" i="3"/>
  <c r="X86" i="3" s="1"/>
  <c r="N86" i="3"/>
  <c r="M86" i="3"/>
  <c r="V86" i="3" s="1"/>
  <c r="H86" i="3"/>
  <c r="G86" i="3"/>
  <c r="S85" i="3"/>
  <c r="S84" i="3" s="1"/>
  <c r="R85" i="3"/>
  <c r="Q85" i="3"/>
  <c r="P85" i="3"/>
  <c r="O85" i="3"/>
  <c r="X85" i="3" s="1"/>
  <c r="N85" i="3"/>
  <c r="T85" i="3" s="1"/>
  <c r="M85" i="3"/>
  <c r="H85" i="3" s="1"/>
  <c r="G85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P84" i="3" s="1"/>
  <c r="AA84" i="3"/>
  <c r="Y84" i="3"/>
  <c r="R84" i="3"/>
  <c r="M84" i="3"/>
  <c r="V84" i="3" s="1"/>
  <c r="L84" i="3"/>
  <c r="K84" i="3"/>
  <c r="J84" i="3"/>
  <c r="I84" i="3"/>
  <c r="F84" i="3"/>
  <c r="E84" i="3"/>
  <c r="T75" i="13" s="1"/>
  <c r="T83" i="3"/>
  <c r="R83" i="3"/>
  <c r="Q83" i="3"/>
  <c r="P83" i="3"/>
  <c r="O83" i="3"/>
  <c r="U83" i="3" s="1"/>
  <c r="N83" i="3"/>
  <c r="W83" i="3" s="1"/>
  <c r="M83" i="3"/>
  <c r="V83" i="3" s="1"/>
  <c r="H83" i="3"/>
  <c r="G83" i="3"/>
  <c r="X82" i="3"/>
  <c r="V82" i="3"/>
  <c r="U82" i="3"/>
  <c r="R82" i="3"/>
  <c r="Q82" i="3"/>
  <c r="P82" i="3"/>
  <c r="O82" i="3"/>
  <c r="N82" i="3"/>
  <c r="T82" i="3" s="1"/>
  <c r="M82" i="3"/>
  <c r="H82" i="3" s="1"/>
  <c r="G82" i="3"/>
  <c r="X81" i="3"/>
  <c r="V81" i="3"/>
  <c r="T81" i="3"/>
  <c r="T80" i="3" s="1"/>
  <c r="S81" i="3"/>
  <c r="R81" i="3"/>
  <c r="Q81" i="3"/>
  <c r="P81" i="3"/>
  <c r="O81" i="3"/>
  <c r="U81" i="3" s="1"/>
  <c r="U80" i="3" s="1"/>
  <c r="N81" i="3"/>
  <c r="W81" i="3" s="1"/>
  <c r="M81" i="3"/>
  <c r="H81" i="3"/>
  <c r="G81" i="3"/>
  <c r="BK80" i="3"/>
  <c r="R80" i="3" s="1"/>
  <c r="BJ80" i="3"/>
  <c r="BI80" i="3"/>
  <c r="P80" i="3" s="1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Q80" i="3" s="1"/>
  <c r="AB80" i="3"/>
  <c r="AA80" i="3"/>
  <c r="Z80" i="3"/>
  <c r="Y80" i="3"/>
  <c r="M80" i="3"/>
  <c r="H80" i="3" s="1"/>
  <c r="L80" i="3"/>
  <c r="K80" i="3"/>
  <c r="J80" i="3"/>
  <c r="I80" i="3"/>
  <c r="G80" i="3" s="1"/>
  <c r="F80" i="3"/>
  <c r="U74" i="13" s="1"/>
  <c r="E80" i="3"/>
  <c r="T74" i="13" s="1"/>
  <c r="W79" i="3"/>
  <c r="U79" i="3"/>
  <c r="T79" i="3"/>
  <c r="R79" i="3"/>
  <c r="Q79" i="3"/>
  <c r="P79" i="3"/>
  <c r="O79" i="3"/>
  <c r="X79" i="3" s="1"/>
  <c r="N79" i="3"/>
  <c r="M79" i="3"/>
  <c r="H79" i="3" s="1"/>
  <c r="G79" i="3"/>
  <c r="W78" i="3"/>
  <c r="S78" i="3"/>
  <c r="R78" i="3"/>
  <c r="Q78" i="3"/>
  <c r="P78" i="3"/>
  <c r="O78" i="3"/>
  <c r="O77" i="3" s="1"/>
  <c r="X77" i="3" s="1"/>
  <c r="N78" i="3"/>
  <c r="T78" i="3" s="1"/>
  <c r="T77" i="3" s="1"/>
  <c r="M78" i="3"/>
  <c r="V78" i="3" s="1"/>
  <c r="G78" i="3"/>
  <c r="BK77" i="3"/>
  <c r="BJ77" i="3"/>
  <c r="Q77" i="3" s="1"/>
  <c r="BI77" i="3"/>
  <c r="BH77" i="3"/>
  <c r="BH67" i="3" s="1"/>
  <c r="BG77" i="3"/>
  <c r="BF77" i="3"/>
  <c r="BE77" i="3"/>
  <c r="BD77" i="3"/>
  <c r="BC77" i="3"/>
  <c r="BB77" i="3"/>
  <c r="BA77" i="3"/>
  <c r="AZ77" i="3"/>
  <c r="AZ67" i="3" s="1"/>
  <c r="AY77" i="3"/>
  <c r="AX77" i="3"/>
  <c r="AW77" i="3"/>
  <c r="AV77" i="3"/>
  <c r="AU77" i="3"/>
  <c r="AT77" i="3"/>
  <c r="AS77" i="3"/>
  <c r="AR77" i="3"/>
  <c r="AR67" i="3" s="1"/>
  <c r="AQ77" i="3"/>
  <c r="AP77" i="3"/>
  <c r="AO77" i="3"/>
  <c r="AN77" i="3"/>
  <c r="AM77" i="3"/>
  <c r="AL77" i="3"/>
  <c r="AK77" i="3"/>
  <c r="AJ77" i="3"/>
  <c r="AJ67" i="3" s="1"/>
  <c r="AI77" i="3"/>
  <c r="AH77" i="3"/>
  <c r="AG77" i="3"/>
  <c r="AF77" i="3"/>
  <c r="AE77" i="3"/>
  <c r="AD77" i="3"/>
  <c r="AC77" i="3"/>
  <c r="AB77" i="3"/>
  <c r="P77" i="3" s="1"/>
  <c r="AA77" i="3"/>
  <c r="Z77" i="3"/>
  <c r="Y77" i="3"/>
  <c r="N77" i="3"/>
  <c r="L77" i="3"/>
  <c r="L67" i="3" s="1"/>
  <c r="K77" i="3"/>
  <c r="J77" i="3"/>
  <c r="W77" i="3" s="1"/>
  <c r="I77" i="3"/>
  <c r="G77" i="3"/>
  <c r="V76" i="3"/>
  <c r="R76" i="3"/>
  <c r="Q76" i="3"/>
  <c r="P76" i="3"/>
  <c r="O76" i="3"/>
  <c r="X76" i="3" s="1"/>
  <c r="N76" i="3"/>
  <c r="W76" i="3" s="1"/>
  <c r="M76" i="3"/>
  <c r="S76" i="3" s="1"/>
  <c r="H76" i="3"/>
  <c r="G76" i="3"/>
  <c r="X75" i="3"/>
  <c r="W75" i="3"/>
  <c r="T75" i="3"/>
  <c r="R75" i="3"/>
  <c r="Q75" i="3"/>
  <c r="P75" i="3"/>
  <c r="O75" i="3"/>
  <c r="U75" i="3" s="1"/>
  <c r="N75" i="3"/>
  <c r="M75" i="3"/>
  <c r="V75" i="3" s="1"/>
  <c r="H75" i="3"/>
  <c r="G75" i="3"/>
  <c r="X74" i="3"/>
  <c r="V74" i="3"/>
  <c r="U74" i="3"/>
  <c r="R74" i="3"/>
  <c r="Q74" i="3"/>
  <c r="P74" i="3"/>
  <c r="O74" i="3"/>
  <c r="N74" i="3"/>
  <c r="T74" i="3" s="1"/>
  <c r="M74" i="3"/>
  <c r="H74" i="3" s="1"/>
  <c r="G74" i="3"/>
  <c r="X73" i="3"/>
  <c r="V73" i="3"/>
  <c r="T73" i="3"/>
  <c r="S73" i="3"/>
  <c r="R73" i="3"/>
  <c r="Q73" i="3"/>
  <c r="P73" i="3"/>
  <c r="O73" i="3"/>
  <c r="U73" i="3" s="1"/>
  <c r="N73" i="3"/>
  <c r="W73" i="3" s="1"/>
  <c r="M73" i="3"/>
  <c r="H73" i="3"/>
  <c r="G73" i="3"/>
  <c r="V72" i="3"/>
  <c r="R72" i="3"/>
  <c r="Q72" i="3"/>
  <c r="P72" i="3"/>
  <c r="O72" i="3"/>
  <c r="X72" i="3" s="1"/>
  <c r="N72" i="3"/>
  <c r="W72" i="3" s="1"/>
  <c r="M72" i="3"/>
  <c r="S72" i="3" s="1"/>
  <c r="H72" i="3"/>
  <c r="G72" i="3"/>
  <c r="X71" i="3"/>
  <c r="W71" i="3"/>
  <c r="T71" i="3"/>
  <c r="R71" i="3"/>
  <c r="Q71" i="3"/>
  <c r="P71" i="3"/>
  <c r="O71" i="3"/>
  <c r="U71" i="3" s="1"/>
  <c r="N71" i="3"/>
  <c r="M71" i="3"/>
  <c r="V71" i="3" s="1"/>
  <c r="H71" i="3"/>
  <c r="G71" i="3"/>
  <c r="X70" i="3"/>
  <c r="V70" i="3"/>
  <c r="U70" i="3"/>
  <c r="R70" i="3"/>
  <c r="Q70" i="3"/>
  <c r="P70" i="3"/>
  <c r="O70" i="3"/>
  <c r="N70" i="3"/>
  <c r="T70" i="3" s="1"/>
  <c r="M70" i="3"/>
  <c r="H70" i="3" s="1"/>
  <c r="G70" i="3"/>
  <c r="X69" i="3"/>
  <c r="Q69" i="3"/>
  <c r="P69" i="3"/>
  <c r="O69" i="3"/>
  <c r="N69" i="3"/>
  <c r="M69" i="3"/>
  <c r="H69" i="3" s="1"/>
  <c r="G69" i="3"/>
  <c r="BK68" i="3"/>
  <c r="R68" i="3" s="1"/>
  <c r="BJ68" i="3"/>
  <c r="BI68" i="3"/>
  <c r="BH68" i="3"/>
  <c r="BG68" i="3"/>
  <c r="BG67" i="3" s="1"/>
  <c r="BF68" i="3"/>
  <c r="BE68" i="3"/>
  <c r="BE67" i="3" s="1"/>
  <c r="BD68" i="3"/>
  <c r="BC68" i="3"/>
  <c r="BC67" i="3" s="1"/>
  <c r="BB68" i="3"/>
  <c r="BA68" i="3"/>
  <c r="AZ68" i="3"/>
  <c r="AY68" i="3"/>
  <c r="AY67" i="3" s="1"/>
  <c r="AX68" i="3"/>
  <c r="AW68" i="3"/>
  <c r="AW67" i="3" s="1"/>
  <c r="AV68" i="3"/>
  <c r="AU68" i="3"/>
  <c r="AU67" i="3" s="1"/>
  <c r="AT68" i="3"/>
  <c r="AS68" i="3"/>
  <c r="AR68" i="3"/>
  <c r="AQ68" i="3"/>
  <c r="AQ67" i="3" s="1"/>
  <c r="AP68" i="3"/>
  <c r="AO68" i="3"/>
  <c r="AO67" i="3" s="1"/>
  <c r="AN68" i="3"/>
  <c r="AM68" i="3"/>
  <c r="AM67" i="3" s="1"/>
  <c r="AL68" i="3"/>
  <c r="AK68" i="3"/>
  <c r="AJ68" i="3"/>
  <c r="AI68" i="3"/>
  <c r="AI67" i="3" s="1"/>
  <c r="AH68" i="3"/>
  <c r="AG68" i="3"/>
  <c r="AG67" i="3" s="1"/>
  <c r="AF68" i="3"/>
  <c r="AE68" i="3"/>
  <c r="P68" i="3" s="1"/>
  <c r="AD68" i="3"/>
  <c r="AC68" i="3"/>
  <c r="AB68" i="3"/>
  <c r="AA68" i="3"/>
  <c r="AA67" i="3" s="1"/>
  <c r="Z68" i="3"/>
  <c r="Q68" i="3" s="1"/>
  <c r="Y68" i="3"/>
  <c r="Y67" i="3" s="1"/>
  <c r="O68" i="3"/>
  <c r="X68" i="3" s="1"/>
  <c r="M68" i="3"/>
  <c r="H68" i="3" s="1"/>
  <c r="L68" i="3"/>
  <c r="K68" i="3"/>
  <c r="K67" i="3" s="1"/>
  <c r="J68" i="3"/>
  <c r="I68" i="3"/>
  <c r="I67" i="3" s="1"/>
  <c r="G68" i="3"/>
  <c r="F68" i="3"/>
  <c r="E68" i="3"/>
  <c r="BJ67" i="3"/>
  <c r="BI67" i="3"/>
  <c r="BF67" i="3"/>
  <c r="BD67" i="3"/>
  <c r="BB67" i="3"/>
  <c r="BA67" i="3"/>
  <c r="AX67" i="3"/>
  <c r="AV67" i="3"/>
  <c r="AT67" i="3"/>
  <c r="AS67" i="3"/>
  <c r="AP67" i="3"/>
  <c r="AN67" i="3"/>
  <c r="AL67" i="3"/>
  <c r="AK67" i="3"/>
  <c r="AH67" i="3"/>
  <c r="AF67" i="3"/>
  <c r="AD67" i="3"/>
  <c r="AC67" i="3"/>
  <c r="J67" i="3"/>
  <c r="F67" i="3"/>
  <c r="E67" i="3"/>
  <c r="C40" i="13" s="1"/>
  <c r="V66" i="3"/>
  <c r="R66" i="3"/>
  <c r="Q66" i="3"/>
  <c r="P66" i="3"/>
  <c r="O66" i="3"/>
  <c r="X66" i="3" s="1"/>
  <c r="N66" i="3"/>
  <c r="W66" i="3" s="1"/>
  <c r="M66" i="3"/>
  <c r="S66" i="3" s="1"/>
  <c r="H66" i="3"/>
  <c r="G66" i="3"/>
  <c r="X65" i="3"/>
  <c r="W65" i="3"/>
  <c r="T65" i="3"/>
  <c r="R65" i="3"/>
  <c r="Q65" i="3"/>
  <c r="P65" i="3"/>
  <c r="O65" i="3"/>
  <c r="U65" i="3" s="1"/>
  <c r="N65" i="3"/>
  <c r="M65" i="3"/>
  <c r="V65" i="3" s="1"/>
  <c r="H65" i="3"/>
  <c r="G65" i="3"/>
  <c r="X64" i="3"/>
  <c r="V64" i="3"/>
  <c r="U64" i="3"/>
  <c r="R64" i="3"/>
  <c r="Q64" i="3"/>
  <c r="P64" i="3"/>
  <c r="O64" i="3"/>
  <c r="N64" i="3"/>
  <c r="T64" i="3" s="1"/>
  <c r="M64" i="3"/>
  <c r="H64" i="3" s="1"/>
  <c r="G64" i="3"/>
  <c r="X63" i="3"/>
  <c r="V63" i="3"/>
  <c r="T63" i="3"/>
  <c r="S63" i="3"/>
  <c r="R63" i="3"/>
  <c r="Q63" i="3"/>
  <c r="P63" i="3"/>
  <c r="O63" i="3"/>
  <c r="U63" i="3" s="1"/>
  <c r="N63" i="3"/>
  <c r="W63" i="3" s="1"/>
  <c r="M63" i="3"/>
  <c r="H63" i="3"/>
  <c r="G63" i="3"/>
  <c r="R62" i="3"/>
  <c r="Q62" i="3"/>
  <c r="P62" i="3"/>
  <c r="O62" i="3"/>
  <c r="N62" i="3"/>
  <c r="M62" i="3"/>
  <c r="G62" i="3"/>
  <c r="R61" i="3"/>
  <c r="Q61" i="3"/>
  <c r="P61" i="3"/>
  <c r="O61" i="3"/>
  <c r="N61" i="3"/>
  <c r="M61" i="3"/>
  <c r="G61" i="3"/>
  <c r="X60" i="3"/>
  <c r="W60" i="3"/>
  <c r="T60" i="3"/>
  <c r="R60" i="3"/>
  <c r="Q60" i="3"/>
  <c r="P60" i="3"/>
  <c r="O60" i="3"/>
  <c r="U60" i="3" s="1"/>
  <c r="N60" i="3"/>
  <c r="M60" i="3"/>
  <c r="V60" i="3" s="1"/>
  <c r="H60" i="3"/>
  <c r="G60" i="3"/>
  <c r="X59" i="3"/>
  <c r="V59" i="3"/>
  <c r="U59" i="3"/>
  <c r="R59" i="3"/>
  <c r="Q59" i="3"/>
  <c r="P59" i="3"/>
  <c r="O59" i="3"/>
  <c r="N59" i="3"/>
  <c r="T59" i="3" s="1"/>
  <c r="M59" i="3"/>
  <c r="H59" i="3" s="1"/>
  <c r="G59" i="3"/>
  <c r="X58" i="3"/>
  <c r="V58" i="3"/>
  <c r="T58" i="3"/>
  <c r="S58" i="3"/>
  <c r="R58" i="3"/>
  <c r="Q58" i="3"/>
  <c r="P58" i="3"/>
  <c r="O58" i="3"/>
  <c r="U58" i="3" s="1"/>
  <c r="N58" i="3"/>
  <c r="W58" i="3" s="1"/>
  <c r="M58" i="3"/>
  <c r="H58" i="3"/>
  <c r="G58" i="3"/>
  <c r="V57" i="3"/>
  <c r="R57" i="3"/>
  <c r="Q57" i="3"/>
  <c r="P57" i="3"/>
  <c r="O57" i="3"/>
  <c r="X57" i="3" s="1"/>
  <c r="N57" i="3"/>
  <c r="W57" i="3" s="1"/>
  <c r="M57" i="3"/>
  <c r="S57" i="3" s="1"/>
  <c r="H57" i="3"/>
  <c r="G57" i="3"/>
  <c r="X56" i="3"/>
  <c r="W56" i="3"/>
  <c r="T56" i="3"/>
  <c r="R56" i="3"/>
  <c r="Q56" i="3"/>
  <c r="P56" i="3"/>
  <c r="O56" i="3"/>
  <c r="U56" i="3" s="1"/>
  <c r="N56" i="3"/>
  <c r="M56" i="3"/>
  <c r="V56" i="3" s="1"/>
  <c r="H56" i="3"/>
  <c r="G56" i="3"/>
  <c r="X55" i="3"/>
  <c r="V55" i="3"/>
  <c r="U55" i="3"/>
  <c r="R55" i="3"/>
  <c r="Q55" i="3"/>
  <c r="P55" i="3"/>
  <c r="O55" i="3"/>
  <c r="N55" i="3"/>
  <c r="T55" i="3" s="1"/>
  <c r="M55" i="3"/>
  <c r="H55" i="3" s="1"/>
  <c r="G55" i="3"/>
  <c r="R54" i="3"/>
  <c r="Q54" i="3"/>
  <c r="P54" i="3"/>
  <c r="O54" i="3"/>
  <c r="N54" i="3"/>
  <c r="M54" i="3"/>
  <c r="H54" i="3" s="1"/>
  <c r="G54" i="3"/>
  <c r="R53" i="3"/>
  <c r="Q53" i="3"/>
  <c r="P53" i="3"/>
  <c r="O53" i="3"/>
  <c r="N53" i="3"/>
  <c r="M53" i="3"/>
  <c r="H53" i="3" s="1"/>
  <c r="G53" i="3"/>
  <c r="Z52" i="3"/>
  <c r="N52" i="3" s="1"/>
  <c r="W52" i="3" s="1"/>
  <c r="U52" i="3"/>
  <c r="R52" i="3"/>
  <c r="Q52" i="3"/>
  <c r="P52" i="3"/>
  <c r="O52" i="3"/>
  <c r="X52" i="3" s="1"/>
  <c r="M52" i="3"/>
  <c r="S52" i="3" s="1"/>
  <c r="J52" i="3"/>
  <c r="T52" i="3" s="1"/>
  <c r="G52" i="3"/>
  <c r="X51" i="3"/>
  <c r="V51" i="3"/>
  <c r="S51" i="3"/>
  <c r="R51" i="3"/>
  <c r="Q51" i="3"/>
  <c r="P51" i="3"/>
  <c r="O51" i="3"/>
  <c r="U51" i="3" s="1"/>
  <c r="N51" i="3"/>
  <c r="W51" i="3" s="1"/>
  <c r="M51" i="3"/>
  <c r="J51" i="3"/>
  <c r="T51" i="3" s="1"/>
  <c r="H51" i="3"/>
  <c r="G51" i="3"/>
  <c r="W50" i="3"/>
  <c r="S50" i="3"/>
  <c r="R50" i="3"/>
  <c r="Q50" i="3"/>
  <c r="P50" i="3"/>
  <c r="O50" i="3"/>
  <c r="X50" i="3" s="1"/>
  <c r="N50" i="3"/>
  <c r="M50" i="3"/>
  <c r="V50" i="3" s="1"/>
  <c r="J50" i="3"/>
  <c r="T50" i="3" s="1"/>
  <c r="H50" i="3"/>
  <c r="G50" i="3"/>
  <c r="V49" i="3"/>
  <c r="R49" i="3"/>
  <c r="Q49" i="3"/>
  <c r="P49" i="3"/>
  <c r="O49" i="3"/>
  <c r="X49" i="3" s="1"/>
  <c r="N49" i="3"/>
  <c r="W49" i="3" s="1"/>
  <c r="M49" i="3"/>
  <c r="S49" i="3" s="1"/>
  <c r="J49" i="3"/>
  <c r="T49" i="3" s="1"/>
  <c r="G49" i="3"/>
  <c r="R48" i="3"/>
  <c r="Q48" i="3"/>
  <c r="P48" i="3"/>
  <c r="O48" i="3"/>
  <c r="N48" i="3"/>
  <c r="M48" i="3"/>
  <c r="H48" i="3" s="1"/>
  <c r="G48" i="3"/>
  <c r="X47" i="3"/>
  <c r="U47" i="3"/>
  <c r="R47" i="3"/>
  <c r="Q47" i="3"/>
  <c r="P47" i="3"/>
  <c r="O47" i="3"/>
  <c r="N47" i="3"/>
  <c r="Q5" i="13" s="1"/>
  <c r="R5" i="13" s="1"/>
  <c r="M47" i="3"/>
  <c r="V47" i="3" s="1"/>
  <c r="J47" i="3"/>
  <c r="Q4" i="13" s="1"/>
  <c r="G47" i="3"/>
  <c r="X46" i="3"/>
  <c r="W46" i="3"/>
  <c r="T46" i="3"/>
  <c r="R46" i="3"/>
  <c r="Q46" i="3"/>
  <c r="P46" i="3"/>
  <c r="O46" i="3"/>
  <c r="U46" i="3" s="1"/>
  <c r="N46" i="3"/>
  <c r="N5" i="13" s="1"/>
  <c r="O5" i="13" s="1"/>
  <c r="M46" i="3"/>
  <c r="V46" i="3" s="1"/>
  <c r="H46" i="3"/>
  <c r="G46" i="3"/>
  <c r="X45" i="3"/>
  <c r="V45" i="3"/>
  <c r="U45" i="3"/>
  <c r="R45" i="3"/>
  <c r="Q45" i="3"/>
  <c r="P45" i="3"/>
  <c r="O45" i="3"/>
  <c r="N45" i="3"/>
  <c r="W45" i="3" s="1"/>
  <c r="M45" i="3"/>
  <c r="S45" i="3" s="1"/>
  <c r="J45" i="3"/>
  <c r="T45" i="3" s="1"/>
  <c r="G45" i="3"/>
  <c r="U44" i="3"/>
  <c r="R44" i="3"/>
  <c r="Q44" i="3"/>
  <c r="P44" i="3"/>
  <c r="O44" i="3"/>
  <c r="X44" i="3" s="1"/>
  <c r="N44" i="3"/>
  <c r="M44" i="3"/>
  <c r="S44" i="3" s="1"/>
  <c r="D139" i="13" s="1"/>
  <c r="J44" i="3"/>
  <c r="T44" i="3" s="1"/>
  <c r="G44" i="3"/>
  <c r="X43" i="3"/>
  <c r="V43" i="3"/>
  <c r="S43" i="3"/>
  <c r="R43" i="3"/>
  <c r="Q43" i="3"/>
  <c r="P43" i="3"/>
  <c r="O43" i="3"/>
  <c r="U43" i="3" s="1"/>
  <c r="N43" i="3"/>
  <c r="W43" i="3" s="1"/>
  <c r="M43" i="3"/>
  <c r="J43" i="3"/>
  <c r="T43" i="3" s="1"/>
  <c r="H43" i="3"/>
  <c r="G43" i="3"/>
  <c r="W42" i="3"/>
  <c r="S42" i="3"/>
  <c r="D134" i="13" s="1"/>
  <c r="R42" i="3"/>
  <c r="Q42" i="3"/>
  <c r="P42" i="3"/>
  <c r="O42" i="3"/>
  <c r="X42" i="3" s="1"/>
  <c r="N42" i="3"/>
  <c r="T42" i="3" s="1"/>
  <c r="M42" i="3"/>
  <c r="V42" i="3" s="1"/>
  <c r="G42" i="3"/>
  <c r="X41" i="3"/>
  <c r="U41" i="3"/>
  <c r="R41" i="3"/>
  <c r="Q41" i="3"/>
  <c r="P41" i="3"/>
  <c r="O41" i="3"/>
  <c r="N41" i="3"/>
  <c r="W41" i="3" s="1"/>
  <c r="M41" i="3"/>
  <c r="V41" i="3" s="1"/>
  <c r="G41" i="3"/>
  <c r="E41" i="3"/>
  <c r="T57" i="13" s="1"/>
  <c r="V57" i="13" s="1"/>
  <c r="X40" i="3"/>
  <c r="W40" i="3"/>
  <c r="T40" i="3"/>
  <c r="R40" i="3"/>
  <c r="Q40" i="3"/>
  <c r="P40" i="3"/>
  <c r="O40" i="3"/>
  <c r="U40" i="3" s="1"/>
  <c r="N40" i="3"/>
  <c r="M40" i="3"/>
  <c r="V40" i="3" s="1"/>
  <c r="H40" i="3"/>
  <c r="G40" i="3"/>
  <c r="X39" i="3"/>
  <c r="V39" i="3"/>
  <c r="U39" i="3"/>
  <c r="R39" i="3"/>
  <c r="Q39" i="3"/>
  <c r="P39" i="3"/>
  <c r="O39" i="3"/>
  <c r="N39" i="3"/>
  <c r="T39" i="3" s="1"/>
  <c r="M39" i="3"/>
  <c r="H39" i="3" s="1"/>
  <c r="G39" i="3"/>
  <c r="X38" i="3"/>
  <c r="V38" i="3"/>
  <c r="T38" i="3"/>
  <c r="S38" i="3"/>
  <c r="R38" i="3"/>
  <c r="Q38" i="3"/>
  <c r="P38" i="3"/>
  <c r="O38" i="3"/>
  <c r="U38" i="3" s="1"/>
  <c r="N38" i="3"/>
  <c r="W38" i="3" s="1"/>
  <c r="M38" i="3"/>
  <c r="H38" i="3"/>
  <c r="G38" i="3"/>
  <c r="V37" i="3"/>
  <c r="R37" i="3"/>
  <c r="Q37" i="3"/>
  <c r="P37" i="3"/>
  <c r="O37" i="3"/>
  <c r="X37" i="3" s="1"/>
  <c r="N37" i="3"/>
  <c r="W37" i="3" s="1"/>
  <c r="M37" i="3"/>
  <c r="S37" i="3" s="1"/>
  <c r="D132" i="13" s="1"/>
  <c r="H37" i="3"/>
  <c r="G37" i="3"/>
  <c r="R36" i="3"/>
  <c r="Q36" i="3"/>
  <c r="P36" i="3"/>
  <c r="O36" i="3"/>
  <c r="N36" i="3"/>
  <c r="M36" i="3"/>
  <c r="H36" i="3"/>
  <c r="G36" i="3"/>
  <c r="X35" i="3"/>
  <c r="R35" i="3"/>
  <c r="Q35" i="3"/>
  <c r="P35" i="3"/>
  <c r="O35" i="3"/>
  <c r="U35" i="3" s="1"/>
  <c r="N35" i="3"/>
  <c r="M35" i="3"/>
  <c r="V35" i="3" s="1"/>
  <c r="J35" i="3"/>
  <c r="W35" i="3" s="1"/>
  <c r="G35" i="3"/>
  <c r="W34" i="3"/>
  <c r="V34" i="3"/>
  <c r="S34" i="3"/>
  <c r="R34" i="3"/>
  <c r="Q34" i="3"/>
  <c r="P34" i="3"/>
  <c r="O34" i="3"/>
  <c r="U34" i="3" s="1"/>
  <c r="N34" i="3"/>
  <c r="T34" i="3" s="1"/>
  <c r="M34" i="3"/>
  <c r="H34" i="3"/>
  <c r="G34" i="3"/>
  <c r="W33" i="3"/>
  <c r="U33" i="3"/>
  <c r="T33" i="3"/>
  <c r="R33" i="3"/>
  <c r="Q33" i="3"/>
  <c r="P33" i="3"/>
  <c r="O33" i="3"/>
  <c r="X33" i="3" s="1"/>
  <c r="N33" i="3"/>
  <c r="M33" i="3"/>
  <c r="H33" i="3" s="1"/>
  <c r="G33" i="3"/>
  <c r="W32" i="3"/>
  <c r="S32" i="3"/>
  <c r="R32" i="3"/>
  <c r="Q32" i="3"/>
  <c r="P32" i="3"/>
  <c r="O32" i="3"/>
  <c r="X32" i="3" s="1"/>
  <c r="N32" i="3"/>
  <c r="T32" i="3" s="1"/>
  <c r="M32" i="3"/>
  <c r="V32" i="3" s="1"/>
  <c r="G32" i="3"/>
  <c r="R31" i="3"/>
  <c r="Q31" i="3"/>
  <c r="P31" i="3"/>
  <c r="O31" i="3"/>
  <c r="N31" i="3"/>
  <c r="M31" i="3"/>
  <c r="J31" i="3"/>
  <c r="H31" i="3"/>
  <c r="G31" i="3"/>
  <c r="V30" i="3"/>
  <c r="R30" i="3"/>
  <c r="Q30" i="3"/>
  <c r="P30" i="3"/>
  <c r="O30" i="3"/>
  <c r="X30" i="3" s="1"/>
  <c r="N30" i="3"/>
  <c r="W30" i="3" s="1"/>
  <c r="M30" i="3"/>
  <c r="S30" i="3" s="1"/>
  <c r="J30" i="3"/>
  <c r="T30" i="3" s="1"/>
  <c r="G30" i="3"/>
  <c r="X29" i="3"/>
  <c r="U29" i="3"/>
  <c r="R29" i="3"/>
  <c r="Q29" i="3"/>
  <c r="P29" i="3"/>
  <c r="O29" i="3"/>
  <c r="N29" i="3"/>
  <c r="W29" i="3" s="1"/>
  <c r="M29" i="3"/>
  <c r="V29" i="3" s="1"/>
  <c r="G29" i="3"/>
  <c r="W28" i="3"/>
  <c r="V28" i="3"/>
  <c r="S28" i="3"/>
  <c r="R28" i="3"/>
  <c r="Q28" i="3"/>
  <c r="P28" i="3"/>
  <c r="O28" i="3"/>
  <c r="U28" i="3" s="1"/>
  <c r="N28" i="3"/>
  <c r="T28" i="3" s="1"/>
  <c r="M28" i="3"/>
  <c r="H28" i="3"/>
  <c r="G28" i="3"/>
  <c r="Z27" i="3"/>
  <c r="X27" i="3"/>
  <c r="V27" i="3"/>
  <c r="U27" i="3"/>
  <c r="R27" i="3"/>
  <c r="Q27" i="3"/>
  <c r="P27" i="3"/>
  <c r="O27" i="3"/>
  <c r="N27" i="3"/>
  <c r="T27" i="3" s="1"/>
  <c r="M27" i="3"/>
  <c r="H27" i="3" s="1"/>
  <c r="G27" i="3"/>
  <c r="X26" i="3"/>
  <c r="V26" i="3"/>
  <c r="T26" i="3"/>
  <c r="S26" i="3"/>
  <c r="R26" i="3"/>
  <c r="Q26" i="3"/>
  <c r="P26" i="3"/>
  <c r="O26" i="3"/>
  <c r="U26" i="3" s="1"/>
  <c r="N26" i="3"/>
  <c r="W26" i="3" s="1"/>
  <c r="M26" i="3"/>
  <c r="H26" i="3"/>
  <c r="G26" i="3"/>
  <c r="V25" i="3"/>
  <c r="R25" i="3"/>
  <c r="Q25" i="3"/>
  <c r="P25" i="3"/>
  <c r="O25" i="3"/>
  <c r="X25" i="3" s="1"/>
  <c r="N25" i="3"/>
  <c r="W25" i="3" s="1"/>
  <c r="M25" i="3"/>
  <c r="S25" i="3" s="1"/>
  <c r="H25" i="3"/>
  <c r="G25" i="3"/>
  <c r="R24" i="3"/>
  <c r="Q24" i="3"/>
  <c r="P24" i="3"/>
  <c r="O24" i="3"/>
  <c r="N24" i="3"/>
  <c r="M24" i="3"/>
  <c r="G24" i="3"/>
  <c r="W23" i="3"/>
  <c r="V23" i="3"/>
  <c r="S23" i="3"/>
  <c r="R23" i="3"/>
  <c r="Q23" i="3"/>
  <c r="P23" i="3"/>
  <c r="O23" i="3"/>
  <c r="U23" i="3" s="1"/>
  <c r="N23" i="3"/>
  <c r="T23" i="3" s="1"/>
  <c r="M23" i="3"/>
  <c r="H23" i="3"/>
  <c r="G23" i="3"/>
  <c r="Z22" i="3"/>
  <c r="X22" i="3"/>
  <c r="V22" i="3"/>
  <c r="U22" i="3"/>
  <c r="R22" i="3"/>
  <c r="Q22" i="3"/>
  <c r="P22" i="3"/>
  <c r="O22" i="3"/>
  <c r="N22" i="3"/>
  <c r="T22" i="3" s="1"/>
  <c r="M22" i="3"/>
  <c r="H22" i="3" s="1"/>
  <c r="G22" i="3"/>
  <c r="X21" i="3"/>
  <c r="V21" i="3"/>
  <c r="T21" i="3"/>
  <c r="S21" i="3"/>
  <c r="R21" i="3"/>
  <c r="Q21" i="3"/>
  <c r="P21" i="3"/>
  <c r="O21" i="3"/>
  <c r="U21" i="3" s="1"/>
  <c r="N21" i="3"/>
  <c r="W21" i="3" s="1"/>
  <c r="M21" i="3"/>
  <c r="H21" i="3"/>
  <c r="G21" i="3"/>
  <c r="V20" i="3"/>
  <c r="R20" i="3"/>
  <c r="Q20" i="3"/>
  <c r="P20" i="3"/>
  <c r="O20" i="3"/>
  <c r="X20" i="3" s="1"/>
  <c r="N20" i="3"/>
  <c r="W20" i="3" s="1"/>
  <c r="M20" i="3"/>
  <c r="S20" i="3" s="1"/>
  <c r="H20" i="3"/>
  <c r="G20" i="3"/>
  <c r="X19" i="3"/>
  <c r="W19" i="3"/>
  <c r="T19" i="3"/>
  <c r="R19" i="3"/>
  <c r="Q19" i="3"/>
  <c r="P19" i="3"/>
  <c r="O19" i="3"/>
  <c r="U19" i="3" s="1"/>
  <c r="N19" i="3"/>
  <c r="M19" i="3"/>
  <c r="V19" i="3" s="1"/>
  <c r="H19" i="3"/>
  <c r="G19" i="3"/>
  <c r="R18" i="3"/>
  <c r="Q18" i="3"/>
  <c r="P18" i="3"/>
  <c r="O18" i="3"/>
  <c r="N18" i="3"/>
  <c r="M18" i="3"/>
  <c r="H18" i="3"/>
  <c r="G18" i="3"/>
  <c r="X17" i="3"/>
  <c r="V17" i="3"/>
  <c r="U17" i="3"/>
  <c r="R17" i="3"/>
  <c r="Q17" i="3"/>
  <c r="P17" i="3"/>
  <c r="O17" i="3"/>
  <c r="N17" i="3"/>
  <c r="W17" i="3" s="1"/>
  <c r="M17" i="3"/>
  <c r="S17" i="3" s="1"/>
  <c r="J17" i="3"/>
  <c r="T17" i="3" s="1"/>
  <c r="W16" i="3"/>
  <c r="S16" i="3"/>
  <c r="R16" i="3"/>
  <c r="Q16" i="3"/>
  <c r="P16" i="3"/>
  <c r="O16" i="3"/>
  <c r="X16" i="3" s="1"/>
  <c r="N16" i="3"/>
  <c r="M16" i="3"/>
  <c r="V16" i="3" s="1"/>
  <c r="J16" i="3"/>
  <c r="T16" i="3" s="1"/>
  <c r="H16" i="3"/>
  <c r="G16" i="3"/>
  <c r="V15" i="3"/>
  <c r="R15" i="3"/>
  <c r="Q15" i="3"/>
  <c r="P15" i="3"/>
  <c r="O15" i="3"/>
  <c r="X15" i="3" s="1"/>
  <c r="N15" i="3"/>
  <c r="W15" i="3" s="1"/>
  <c r="M15" i="3"/>
  <c r="S15" i="3" s="1"/>
  <c r="H15" i="3"/>
  <c r="G15" i="3"/>
  <c r="X14" i="3"/>
  <c r="W14" i="3"/>
  <c r="T14" i="3"/>
  <c r="R14" i="3"/>
  <c r="Q14" i="3"/>
  <c r="P14" i="3"/>
  <c r="O14" i="3"/>
  <c r="U14" i="3" s="1"/>
  <c r="U4" i="3" s="1"/>
  <c r="N14" i="3"/>
  <c r="M14" i="3"/>
  <c r="V14" i="3" s="1"/>
  <c r="H14" i="3"/>
  <c r="G14" i="3"/>
  <c r="X13" i="3"/>
  <c r="V13" i="3"/>
  <c r="U13" i="3"/>
  <c r="R13" i="3"/>
  <c r="Q13" i="3"/>
  <c r="P13" i="3"/>
  <c r="O13" i="3"/>
  <c r="N13" i="3"/>
  <c r="Z5" i="13" s="1"/>
  <c r="AA5" i="13" s="1"/>
  <c r="M13" i="3"/>
  <c r="H13" i="3" s="1"/>
  <c r="G13" i="3"/>
  <c r="BK12" i="3"/>
  <c r="R12" i="3" s="1"/>
  <c r="BJ12" i="3"/>
  <c r="BI12" i="3"/>
  <c r="P12" i="3" s="1"/>
  <c r="BH12" i="3"/>
  <c r="BG12" i="3"/>
  <c r="BG3" i="3" s="1"/>
  <c r="BF12" i="3"/>
  <c r="BE12" i="3"/>
  <c r="BD12" i="3"/>
  <c r="BC12" i="3"/>
  <c r="BB12" i="3"/>
  <c r="BA12" i="3"/>
  <c r="AZ12" i="3"/>
  <c r="AY12" i="3"/>
  <c r="AY3" i="3" s="1"/>
  <c r="AX12" i="3"/>
  <c r="AW12" i="3"/>
  <c r="AV12" i="3"/>
  <c r="AU12" i="3"/>
  <c r="AT12" i="3"/>
  <c r="AS12" i="3"/>
  <c r="AR12" i="3"/>
  <c r="AQ12" i="3"/>
  <c r="AQ3" i="3" s="1"/>
  <c r="AP12" i="3"/>
  <c r="AO12" i="3"/>
  <c r="AN12" i="3"/>
  <c r="AM12" i="3"/>
  <c r="AL12" i="3"/>
  <c r="AK12" i="3"/>
  <c r="AJ12" i="3"/>
  <c r="AI12" i="3"/>
  <c r="AI3" i="3" s="1"/>
  <c r="AH12" i="3"/>
  <c r="AG12" i="3"/>
  <c r="AF12" i="3"/>
  <c r="AE12" i="3"/>
  <c r="AD12" i="3"/>
  <c r="AC12" i="3"/>
  <c r="AB12" i="3"/>
  <c r="AA12" i="3"/>
  <c r="AA3" i="3" s="1"/>
  <c r="Z12" i="3"/>
  <c r="Q12" i="3" s="1"/>
  <c r="Y12" i="3"/>
  <c r="O12" i="3"/>
  <c r="X12" i="3" s="1"/>
  <c r="M12" i="3"/>
  <c r="K36" i="13" s="1"/>
  <c r="L12" i="3"/>
  <c r="K12" i="3"/>
  <c r="K3" i="3" s="1"/>
  <c r="J12" i="3"/>
  <c r="I12" i="3"/>
  <c r="H36" i="13" s="1"/>
  <c r="G12" i="3"/>
  <c r="F12" i="3"/>
  <c r="E12" i="3"/>
  <c r="C39" i="13" s="1"/>
  <c r="V11" i="3"/>
  <c r="S11" i="3"/>
  <c r="R11" i="3"/>
  <c r="Q11" i="3"/>
  <c r="P11" i="3"/>
  <c r="O11" i="3"/>
  <c r="U11" i="3" s="1"/>
  <c r="N11" i="3"/>
  <c r="Z12" i="13" s="1"/>
  <c r="M11" i="3"/>
  <c r="H11" i="3"/>
  <c r="G11" i="3"/>
  <c r="W10" i="3"/>
  <c r="U10" i="3"/>
  <c r="T10" i="3"/>
  <c r="R10" i="3"/>
  <c r="Q10" i="3"/>
  <c r="P10" i="3"/>
  <c r="O10" i="3"/>
  <c r="X10" i="3" s="1"/>
  <c r="N10" i="3"/>
  <c r="M10" i="3"/>
  <c r="S10" i="3" s="1"/>
  <c r="H10" i="3"/>
  <c r="G10" i="3"/>
  <c r="W9" i="3"/>
  <c r="S9" i="3"/>
  <c r="R9" i="3"/>
  <c r="Q9" i="3"/>
  <c r="P9" i="3"/>
  <c r="O9" i="3"/>
  <c r="X9" i="3" s="1"/>
  <c r="N9" i="3"/>
  <c r="T9" i="3" s="1"/>
  <c r="M9" i="3"/>
  <c r="V9" i="3" s="1"/>
  <c r="G9" i="3"/>
  <c r="X8" i="3"/>
  <c r="U8" i="3"/>
  <c r="R8" i="3"/>
  <c r="Q8" i="3"/>
  <c r="P8" i="3"/>
  <c r="O8" i="3"/>
  <c r="N8" i="3"/>
  <c r="Z9" i="13" s="1"/>
  <c r="AA9" i="13" s="1"/>
  <c r="M8" i="3"/>
  <c r="V8" i="3" s="1"/>
  <c r="G8" i="3"/>
  <c r="V7" i="3"/>
  <c r="S7" i="3"/>
  <c r="R7" i="3"/>
  <c r="Q7" i="3"/>
  <c r="P7" i="3"/>
  <c r="O7" i="3"/>
  <c r="U7" i="3" s="1"/>
  <c r="N7" i="3"/>
  <c r="T7" i="3" s="1"/>
  <c r="M7" i="3"/>
  <c r="H7" i="3"/>
  <c r="G7" i="3"/>
  <c r="W6" i="3"/>
  <c r="U6" i="3"/>
  <c r="T6" i="3"/>
  <c r="R6" i="3"/>
  <c r="Q6" i="3"/>
  <c r="P6" i="3"/>
  <c r="O6" i="3"/>
  <c r="X6" i="3" s="1"/>
  <c r="N6" i="3"/>
  <c r="Z6" i="13" s="1"/>
  <c r="AA6" i="13" s="1"/>
  <c r="M6" i="3"/>
  <c r="S6" i="3" s="1"/>
  <c r="H6" i="3"/>
  <c r="G6" i="3"/>
  <c r="R5" i="3"/>
  <c r="Q5" i="3"/>
  <c r="P5" i="3"/>
  <c r="O5" i="3"/>
  <c r="N5" i="3"/>
  <c r="M5" i="3"/>
  <c r="BK4" i="3"/>
  <c r="BJ4" i="3"/>
  <c r="BI4" i="3"/>
  <c r="BH4" i="3"/>
  <c r="BH3" i="3" s="1"/>
  <c r="BG4" i="3"/>
  <c r="BF4" i="3"/>
  <c r="BE4" i="3"/>
  <c r="BD4" i="3"/>
  <c r="BD3" i="3" s="1"/>
  <c r="BC4" i="3"/>
  <c r="BB4" i="3"/>
  <c r="BA4" i="3"/>
  <c r="BA3" i="3" s="1"/>
  <c r="AZ4" i="3"/>
  <c r="AZ3" i="3" s="1"/>
  <c r="AY4" i="3"/>
  <c r="AX4" i="3"/>
  <c r="AW4" i="3"/>
  <c r="AV4" i="3"/>
  <c r="AV3" i="3" s="1"/>
  <c r="AU4" i="3"/>
  <c r="AT4" i="3"/>
  <c r="AS4" i="3"/>
  <c r="AS3" i="3" s="1"/>
  <c r="AR4" i="3"/>
  <c r="AR3" i="3" s="1"/>
  <c r="AQ4" i="3"/>
  <c r="AP4" i="3"/>
  <c r="AO4" i="3"/>
  <c r="AN4" i="3"/>
  <c r="AM4" i="3"/>
  <c r="AL4" i="3"/>
  <c r="AK4" i="3"/>
  <c r="AK3" i="3" s="1"/>
  <c r="AJ4" i="3"/>
  <c r="AJ3" i="3" s="1"/>
  <c r="AI4" i="3"/>
  <c r="AH4" i="3"/>
  <c r="AG4" i="3"/>
  <c r="AF4" i="3"/>
  <c r="AF3" i="3" s="1"/>
  <c r="AE4" i="3"/>
  <c r="P4" i="3" s="1"/>
  <c r="AD4" i="3"/>
  <c r="AC4" i="3"/>
  <c r="AC3" i="3" s="1"/>
  <c r="AB4" i="3"/>
  <c r="AA4" i="3"/>
  <c r="Z4" i="3"/>
  <c r="Q4" i="3" s="1"/>
  <c r="Y4" i="3"/>
  <c r="W4" i="3"/>
  <c r="T4" i="3"/>
  <c r="O4" i="3"/>
  <c r="N4" i="3"/>
  <c r="M4" i="3"/>
  <c r="L4" i="3"/>
  <c r="J4" i="3"/>
  <c r="I4" i="3"/>
  <c r="G4" i="3"/>
  <c r="F4" i="3"/>
  <c r="F190" i="3" s="1"/>
  <c r="E4" i="3"/>
  <c r="BF3" i="3"/>
  <c r="BB3" i="3"/>
  <c r="AX3" i="3"/>
  <c r="AT3" i="3"/>
  <c r="AP3" i="3"/>
  <c r="AL3" i="3"/>
  <c r="AH3" i="3"/>
  <c r="AD3" i="3"/>
  <c r="F94" i="2"/>
  <c r="H91" i="2"/>
  <c r="G91" i="2"/>
  <c r="F91" i="2"/>
  <c r="E91" i="2"/>
  <c r="D91" i="2"/>
  <c r="C91" i="2"/>
  <c r="I86" i="2"/>
  <c r="F85" i="2"/>
  <c r="H76" i="2"/>
  <c r="G76" i="2"/>
  <c r="F76" i="2"/>
  <c r="E76" i="2"/>
  <c r="D76" i="2"/>
  <c r="C76" i="2"/>
  <c r="H59" i="2"/>
  <c r="G59" i="2"/>
  <c r="F59" i="2"/>
  <c r="E59" i="2"/>
  <c r="D59" i="2"/>
  <c r="C59" i="2"/>
  <c r="C35" i="2"/>
  <c r="C32" i="2"/>
  <c r="C31" i="2"/>
  <c r="C17" i="2"/>
  <c r="H14" i="2"/>
  <c r="G14" i="2"/>
  <c r="F14" i="2"/>
  <c r="E14" i="2"/>
  <c r="D14" i="2"/>
  <c r="D6" i="2" s="1"/>
  <c r="J6" i="2" s="1"/>
  <c r="C14" i="2"/>
  <c r="C6" i="2" s="1"/>
  <c r="I9" i="2"/>
  <c r="G7" i="2"/>
  <c r="G6" i="2" s="1"/>
  <c r="F7" i="2"/>
  <c r="F6" i="2" s="1"/>
  <c r="D7" i="2"/>
  <c r="C7" i="2"/>
  <c r="H6" i="2"/>
  <c r="E6" i="2"/>
  <c r="I11" i="2" s="1"/>
  <c r="I6" i="2" l="1"/>
  <c r="BC3" i="3"/>
  <c r="AN3" i="3"/>
  <c r="L3" i="3"/>
  <c r="D130" i="13"/>
  <c r="H37" i="13"/>
  <c r="G67" i="3"/>
  <c r="X4" i="3"/>
  <c r="W7" i="3"/>
  <c r="W11" i="3"/>
  <c r="H4" i="3"/>
  <c r="V6" i="3"/>
  <c r="X7" i="3"/>
  <c r="H9" i="3"/>
  <c r="V10" i="3"/>
  <c r="X11" i="3"/>
  <c r="W13" i="3"/>
  <c r="W22" i="3"/>
  <c r="X23" i="3"/>
  <c r="W27" i="3"/>
  <c r="X28" i="3"/>
  <c r="H30" i="3"/>
  <c r="H32" i="3"/>
  <c r="V33" i="3"/>
  <c r="X34" i="3"/>
  <c r="W39" i="3"/>
  <c r="H42" i="3"/>
  <c r="V44" i="3"/>
  <c r="H49" i="3"/>
  <c r="V52" i="3"/>
  <c r="W55" i="3"/>
  <c r="W59" i="3"/>
  <c r="W64" i="3"/>
  <c r="AE67" i="3"/>
  <c r="BK67" i="3"/>
  <c r="R67" i="3" s="1"/>
  <c r="W70" i="3"/>
  <c r="W74" i="3"/>
  <c r="U73" i="13"/>
  <c r="V73" i="13" s="1"/>
  <c r="AD26" i="13"/>
  <c r="H78" i="3"/>
  <c r="V79" i="3"/>
  <c r="W82" i="3"/>
  <c r="U85" i="3"/>
  <c r="U87" i="3"/>
  <c r="X88" i="3"/>
  <c r="U89" i="3"/>
  <c r="X91" i="3"/>
  <c r="BK96" i="3"/>
  <c r="R97" i="3"/>
  <c r="W100" i="3"/>
  <c r="X108" i="3"/>
  <c r="U108" i="3"/>
  <c r="V109" i="3"/>
  <c r="H109" i="3"/>
  <c r="S109" i="3"/>
  <c r="V120" i="3"/>
  <c r="H120" i="3"/>
  <c r="N120" i="3"/>
  <c r="W122" i="3"/>
  <c r="T122" i="3"/>
  <c r="V126" i="3"/>
  <c r="H126" i="3"/>
  <c r="S126" i="3"/>
  <c r="H130" i="3"/>
  <c r="O136" i="3"/>
  <c r="X137" i="3"/>
  <c r="X136" i="3" s="1"/>
  <c r="U137" i="3"/>
  <c r="AE159" i="3"/>
  <c r="BK159" i="3"/>
  <c r="T23" i="4"/>
  <c r="W23" i="4"/>
  <c r="T35" i="4"/>
  <c r="R160" i="4"/>
  <c r="H35" i="13"/>
  <c r="S8" i="3"/>
  <c r="T15" i="3"/>
  <c r="U16" i="3"/>
  <c r="T20" i="3"/>
  <c r="T25" i="3"/>
  <c r="S29" i="3"/>
  <c r="U32" i="3"/>
  <c r="T37" i="3"/>
  <c r="S41" i="3"/>
  <c r="U42" i="3"/>
  <c r="W44" i="3"/>
  <c r="H47" i="3"/>
  <c r="S47" i="3"/>
  <c r="U50" i="3"/>
  <c r="T57" i="3"/>
  <c r="T66" i="3"/>
  <c r="T72" i="3"/>
  <c r="T68" i="3" s="1"/>
  <c r="T76" i="3"/>
  <c r="R77" i="3"/>
  <c r="U78" i="3"/>
  <c r="U77" i="3" s="1"/>
  <c r="G84" i="3"/>
  <c r="O84" i="3"/>
  <c r="X84" i="3" s="1"/>
  <c r="V85" i="3"/>
  <c r="V87" i="3"/>
  <c r="N89" i="3"/>
  <c r="W89" i="3" s="1"/>
  <c r="X95" i="3"/>
  <c r="Q114" i="3"/>
  <c r="Q120" i="3"/>
  <c r="Q119" i="3" s="1"/>
  <c r="R140" i="3"/>
  <c r="V154" i="3"/>
  <c r="H154" i="3"/>
  <c r="W20" i="4"/>
  <c r="T20" i="4"/>
  <c r="I10" i="2"/>
  <c r="R4" i="3"/>
  <c r="U9" i="3"/>
  <c r="H8" i="3"/>
  <c r="T8" i="3"/>
  <c r="N12" i="3"/>
  <c r="V12" i="3"/>
  <c r="S14" i="3"/>
  <c r="S4" i="3" s="1"/>
  <c r="U15" i="3"/>
  <c r="S19" i="3"/>
  <c r="S12" i="3" s="1"/>
  <c r="U20" i="3"/>
  <c r="U25" i="3"/>
  <c r="H29" i="3"/>
  <c r="T29" i="3"/>
  <c r="U30" i="3"/>
  <c r="H35" i="3"/>
  <c r="S35" i="3"/>
  <c r="U37" i="3"/>
  <c r="S40" i="3"/>
  <c r="H41" i="3"/>
  <c r="T41" i="3"/>
  <c r="S46" i="3"/>
  <c r="Q6" i="13"/>
  <c r="R6" i="13" s="1"/>
  <c r="T47" i="3"/>
  <c r="U49" i="3"/>
  <c r="S56" i="3"/>
  <c r="U57" i="3"/>
  <c r="S60" i="3"/>
  <c r="S65" i="3"/>
  <c r="U66" i="3"/>
  <c r="N68" i="3"/>
  <c r="V68" i="3"/>
  <c r="S71" i="3"/>
  <c r="U72" i="3"/>
  <c r="U68" i="3" s="1"/>
  <c r="S75" i="3"/>
  <c r="U76" i="3"/>
  <c r="S83" i="3"/>
  <c r="H84" i="3"/>
  <c r="Z84" i="3"/>
  <c r="Z67" i="3" s="1"/>
  <c r="Z3" i="3" s="1"/>
  <c r="W85" i="3"/>
  <c r="N87" i="3"/>
  <c r="O89" i="3"/>
  <c r="X89" i="3" s="1"/>
  <c r="Y96" i="3"/>
  <c r="Y3" i="3" s="1"/>
  <c r="AO96" i="3"/>
  <c r="AO3" i="3" s="1"/>
  <c r="AW96" i="3"/>
  <c r="AW3" i="3" s="1"/>
  <c r="BE96" i="3"/>
  <c r="BE3" i="3" s="1"/>
  <c r="X100" i="3"/>
  <c r="U100" i="3"/>
  <c r="P114" i="3"/>
  <c r="K4" i="13"/>
  <c r="H11" i="13"/>
  <c r="E119" i="3"/>
  <c r="Y11" i="13" s="1"/>
  <c r="V145" i="3"/>
  <c r="H145" i="3"/>
  <c r="AM159" i="3"/>
  <c r="AM3" i="3" s="1"/>
  <c r="T43" i="4"/>
  <c r="X68" i="4"/>
  <c r="AG96" i="4"/>
  <c r="R96" i="4" s="1"/>
  <c r="AO96" i="4"/>
  <c r="AO3" i="4" s="1"/>
  <c r="AW96" i="4"/>
  <c r="AW3" i="4" s="1"/>
  <c r="BE96" i="4"/>
  <c r="BE3" i="4" s="1"/>
  <c r="F3" i="3"/>
  <c r="T35" i="3"/>
  <c r="M89" i="3"/>
  <c r="S94" i="3"/>
  <c r="S89" i="3" s="1"/>
  <c r="V94" i="3"/>
  <c r="X104" i="3"/>
  <c r="U104" i="3"/>
  <c r="V105" i="3"/>
  <c r="H105" i="3"/>
  <c r="S105" i="3"/>
  <c r="X110" i="3"/>
  <c r="U110" i="3"/>
  <c r="V111" i="3"/>
  <c r="H111" i="3"/>
  <c r="S111" i="3"/>
  <c r="AG119" i="3"/>
  <c r="AG96" i="3" s="1"/>
  <c r="AG3" i="3" s="1"/>
  <c r="R120" i="3"/>
  <c r="R119" i="3" s="1"/>
  <c r="X127" i="3"/>
  <c r="U127" i="3"/>
  <c r="M160" i="3"/>
  <c r="H161" i="3"/>
  <c r="V161" i="3"/>
  <c r="V183" i="3"/>
  <c r="H183" i="3"/>
  <c r="W68" i="4"/>
  <c r="W87" i="4"/>
  <c r="T87" i="4"/>
  <c r="AE3" i="3"/>
  <c r="K35" i="13"/>
  <c r="T11" i="3"/>
  <c r="H12" i="3"/>
  <c r="S13" i="3"/>
  <c r="S22" i="3"/>
  <c r="S27" i="3"/>
  <c r="S39" i="3"/>
  <c r="H45" i="3"/>
  <c r="S55" i="3"/>
  <c r="S59" i="3"/>
  <c r="S64" i="3"/>
  <c r="S70" i="3"/>
  <c r="S74" i="3"/>
  <c r="M77" i="3"/>
  <c r="X78" i="3"/>
  <c r="V74" i="13"/>
  <c r="N80" i="3"/>
  <c r="W80" i="3" s="1"/>
  <c r="V80" i="3"/>
  <c r="S82" i="3"/>
  <c r="S80" i="3" s="1"/>
  <c r="Q96" i="3"/>
  <c r="W98" i="3"/>
  <c r="T98" i="3"/>
  <c r="N97" i="3"/>
  <c r="Y10" i="13"/>
  <c r="H10" i="13"/>
  <c r="V115" i="3"/>
  <c r="H115" i="3"/>
  <c r="S115" i="3"/>
  <c r="S114" i="3" s="1"/>
  <c r="M114" i="3"/>
  <c r="I119" i="3"/>
  <c r="Z11" i="13" s="1"/>
  <c r="AA11" i="13" s="1"/>
  <c r="G120" i="3"/>
  <c r="G119" i="3" s="1"/>
  <c r="W134" i="3"/>
  <c r="T134" i="3"/>
  <c r="AU159" i="3"/>
  <c r="AU3" i="3" s="1"/>
  <c r="J159" i="3"/>
  <c r="J3" i="3" s="1"/>
  <c r="P160" i="3"/>
  <c r="BI159" i="3"/>
  <c r="P159" i="3" s="1"/>
  <c r="T27" i="4"/>
  <c r="W27" i="4"/>
  <c r="G67" i="4"/>
  <c r="W97" i="4"/>
  <c r="W161" i="4"/>
  <c r="N160" i="4"/>
  <c r="L192" i="3"/>
  <c r="C38" i="13"/>
  <c r="V4" i="3"/>
  <c r="W8" i="3"/>
  <c r="T13" i="3"/>
  <c r="S33" i="3"/>
  <c r="H44" i="3"/>
  <c r="W47" i="3"/>
  <c r="H52" i="3"/>
  <c r="AB67" i="3"/>
  <c r="AB3" i="3" s="1"/>
  <c r="S79" i="3"/>
  <c r="S77" i="3" s="1"/>
  <c r="O80" i="3"/>
  <c r="X80" i="3" s="1"/>
  <c r="U86" i="3"/>
  <c r="T88" i="3"/>
  <c r="T91" i="3"/>
  <c r="T89" i="3" s="1"/>
  <c r="E96" i="3"/>
  <c r="C41" i="13" s="1"/>
  <c r="O97" i="3"/>
  <c r="V99" i="3"/>
  <c r="S99" i="3"/>
  <c r="M97" i="3"/>
  <c r="X112" i="3"/>
  <c r="U112" i="3"/>
  <c r="V113" i="3"/>
  <c r="H113" i="3"/>
  <c r="S113" i="3"/>
  <c r="T114" i="3"/>
  <c r="W124" i="3"/>
  <c r="T124" i="3"/>
  <c r="T120" i="3" s="1"/>
  <c r="BJ159" i="3"/>
  <c r="Q160" i="3"/>
  <c r="Q168" i="3"/>
  <c r="W56" i="4"/>
  <c r="T56" i="4"/>
  <c r="R67" i="4"/>
  <c r="H77" i="4"/>
  <c r="V77" i="4"/>
  <c r="T84" i="4"/>
  <c r="V114" i="4"/>
  <c r="H114" i="4"/>
  <c r="AC119" i="4"/>
  <c r="Q120" i="4"/>
  <c r="Q119" i="4" s="1"/>
  <c r="G160" i="4"/>
  <c r="I159" i="4"/>
  <c r="G159" i="4" s="1"/>
  <c r="X83" i="3"/>
  <c r="Q84" i="3"/>
  <c r="X106" i="3"/>
  <c r="U106" i="3"/>
  <c r="U97" i="3" s="1"/>
  <c r="V107" i="3"/>
  <c r="H107" i="3"/>
  <c r="S107" i="3"/>
  <c r="Z10" i="13"/>
  <c r="AA10" i="13" s="1"/>
  <c r="G114" i="3"/>
  <c r="P130" i="3"/>
  <c r="P168" i="3"/>
  <c r="R168" i="3"/>
  <c r="W72" i="4"/>
  <c r="T72" i="4"/>
  <c r="AC96" i="4"/>
  <c r="Q96" i="4" s="1"/>
  <c r="H120" i="4"/>
  <c r="V120" i="4"/>
  <c r="H191" i="3"/>
  <c r="F195" i="3"/>
  <c r="H195" i="3" s="1"/>
  <c r="Q89" i="3"/>
  <c r="W102" i="3"/>
  <c r="T102" i="3"/>
  <c r="X116" i="3"/>
  <c r="U116" i="3"/>
  <c r="U114" i="3" s="1"/>
  <c r="O114" i="3"/>
  <c r="X114" i="3" s="1"/>
  <c r="BI119" i="3"/>
  <c r="BI96" i="3" s="1"/>
  <c r="P120" i="3"/>
  <c r="P119" i="3" s="1"/>
  <c r="T74" i="4"/>
  <c r="W74" i="4"/>
  <c r="X98" i="3"/>
  <c r="V101" i="3"/>
  <c r="X102" i="3"/>
  <c r="W105" i="3"/>
  <c r="W109" i="3"/>
  <c r="W113" i="3"/>
  <c r="W115" i="3"/>
  <c r="V118" i="3"/>
  <c r="O120" i="3"/>
  <c r="V123" i="3"/>
  <c r="X124" i="3"/>
  <c r="W129" i="3"/>
  <c r="V131" i="3"/>
  <c r="V130" i="3" s="1"/>
  <c r="X132" i="3"/>
  <c r="V135" i="3"/>
  <c r="W138" i="3"/>
  <c r="W136" i="3" s="1"/>
  <c r="M140" i="3"/>
  <c r="H140" i="3" s="1"/>
  <c r="X141" i="3"/>
  <c r="X140" i="3" s="1"/>
  <c r="T143" i="3"/>
  <c r="S146" i="3"/>
  <c r="U147" i="3"/>
  <c r="U145" i="3" s="1"/>
  <c r="W149" i="3"/>
  <c r="V151" i="3"/>
  <c r="T153" i="3"/>
  <c r="T150" i="3" s="1"/>
  <c r="S155" i="3"/>
  <c r="S154" i="3" s="1"/>
  <c r="U156" i="3"/>
  <c r="U154" i="3" s="1"/>
  <c r="I160" i="3"/>
  <c r="N161" i="3"/>
  <c r="S163" i="3"/>
  <c r="S161" i="3" s="1"/>
  <c r="S160" i="3" s="1"/>
  <c r="U164" i="3"/>
  <c r="T166" i="3"/>
  <c r="T165" i="3" s="1"/>
  <c r="W167" i="3"/>
  <c r="P169" i="3"/>
  <c r="W172" i="3"/>
  <c r="S174" i="3"/>
  <c r="U175" i="3"/>
  <c r="T177" i="3"/>
  <c r="T176" i="3" s="1"/>
  <c r="V178" i="3"/>
  <c r="V180" i="3"/>
  <c r="T182" i="3"/>
  <c r="S184" i="3"/>
  <c r="W185" i="3"/>
  <c r="S187" i="3"/>
  <c r="AG3" i="4"/>
  <c r="F190" i="4"/>
  <c r="W4" i="4"/>
  <c r="T6" i="4"/>
  <c r="V7" i="4"/>
  <c r="X8" i="4"/>
  <c r="T10" i="4"/>
  <c r="V11" i="4"/>
  <c r="J12" i="4"/>
  <c r="J3" i="4" s="1"/>
  <c r="U13" i="4"/>
  <c r="W14" i="4"/>
  <c r="H17" i="4"/>
  <c r="S17" i="4"/>
  <c r="V18" i="4"/>
  <c r="W19" i="4"/>
  <c r="T22" i="4"/>
  <c r="U23" i="4"/>
  <c r="W24" i="4"/>
  <c r="S26" i="4"/>
  <c r="U27" i="4"/>
  <c r="V28" i="4"/>
  <c r="X29" i="4"/>
  <c r="T32" i="4"/>
  <c r="V33" i="4"/>
  <c r="X34" i="4"/>
  <c r="T37" i="4"/>
  <c r="V38" i="4"/>
  <c r="X39" i="4"/>
  <c r="S41" i="4"/>
  <c r="T42" i="4"/>
  <c r="U43" i="4"/>
  <c r="V45" i="4"/>
  <c r="X46" i="4"/>
  <c r="S48" i="4"/>
  <c r="U51" i="4"/>
  <c r="U52" i="4"/>
  <c r="U53" i="4"/>
  <c r="W54" i="4"/>
  <c r="S56" i="4"/>
  <c r="T57" i="4"/>
  <c r="V58" i="4"/>
  <c r="X59" i="4"/>
  <c r="U61" i="4"/>
  <c r="X62" i="4"/>
  <c r="T64" i="4"/>
  <c r="V65" i="4"/>
  <c r="X66" i="4"/>
  <c r="AB67" i="4"/>
  <c r="T69" i="4"/>
  <c r="V70" i="4"/>
  <c r="X71" i="4"/>
  <c r="S73" i="4"/>
  <c r="U74" i="4"/>
  <c r="U68" i="4" s="1"/>
  <c r="V75" i="4"/>
  <c r="X76" i="4"/>
  <c r="N77" i="4"/>
  <c r="W77" i="4" s="1"/>
  <c r="S79" i="4"/>
  <c r="S77" i="4" s="1"/>
  <c r="O80" i="4"/>
  <c r="X80" i="4" s="1"/>
  <c r="T82" i="4"/>
  <c r="T80" i="4" s="1"/>
  <c r="V83" i="4"/>
  <c r="U85" i="4"/>
  <c r="W86" i="4"/>
  <c r="M89" i="4"/>
  <c r="X91" i="4"/>
  <c r="V94" i="4"/>
  <c r="X95" i="4"/>
  <c r="AB96" i="4"/>
  <c r="P96" i="4" s="1"/>
  <c r="Q97" i="4"/>
  <c r="T98" i="4"/>
  <c r="V99" i="4"/>
  <c r="X100" i="4"/>
  <c r="T102" i="4"/>
  <c r="V103" i="4"/>
  <c r="S105" i="4"/>
  <c r="U106" i="4"/>
  <c r="W107" i="4"/>
  <c r="S109" i="4"/>
  <c r="U110" i="4"/>
  <c r="W111" i="4"/>
  <c r="S113" i="4"/>
  <c r="S115" i="4"/>
  <c r="S114" i="4" s="1"/>
  <c r="U116" i="4"/>
  <c r="U114" i="4" s="1"/>
  <c r="U118" i="4"/>
  <c r="I119" i="4"/>
  <c r="I96" i="4" s="1"/>
  <c r="N120" i="4"/>
  <c r="S122" i="4"/>
  <c r="S120" i="4" s="1"/>
  <c r="U123" i="4"/>
  <c r="W124" i="4"/>
  <c r="X125" i="4"/>
  <c r="T127" i="4"/>
  <c r="T129" i="4"/>
  <c r="S131" i="4"/>
  <c r="U132" i="4"/>
  <c r="U130" i="4" s="1"/>
  <c r="W133" i="4"/>
  <c r="S135" i="4"/>
  <c r="O136" i="4"/>
  <c r="T138" i="4"/>
  <c r="T136" i="4" s="1"/>
  <c r="V139" i="4"/>
  <c r="U141" i="4"/>
  <c r="W142" i="4"/>
  <c r="W146" i="4"/>
  <c r="U152" i="4"/>
  <c r="W153" i="4"/>
  <c r="V155" i="4"/>
  <c r="X156" i="4"/>
  <c r="AB160" i="4"/>
  <c r="AB159" i="4" s="1"/>
  <c r="Q161" i="4"/>
  <c r="T162" i="4"/>
  <c r="V163" i="4"/>
  <c r="X169" i="4"/>
  <c r="Q169" i="4"/>
  <c r="AC168" i="4"/>
  <c r="AC159" i="4" s="1"/>
  <c r="Q159" i="4" s="1"/>
  <c r="P169" i="4"/>
  <c r="BI168" i="4"/>
  <c r="P168" i="4" s="1"/>
  <c r="S180" i="4"/>
  <c r="H97" i="5"/>
  <c r="V97" i="5"/>
  <c r="S103" i="3"/>
  <c r="V104" i="3"/>
  <c r="T107" i="3"/>
  <c r="V108" i="3"/>
  <c r="T111" i="3"/>
  <c r="V112" i="3"/>
  <c r="S121" i="3"/>
  <c r="U122" i="3"/>
  <c r="T126" i="3"/>
  <c r="S133" i="3"/>
  <c r="S130" i="3" s="1"/>
  <c r="U134" i="3"/>
  <c r="U130" i="3" s="1"/>
  <c r="C7" i="13"/>
  <c r="E7" i="13" s="1"/>
  <c r="K7" i="13"/>
  <c r="N140" i="3"/>
  <c r="S142" i="3"/>
  <c r="S140" i="3" s="1"/>
  <c r="U143" i="3"/>
  <c r="U140" i="3" s="1"/>
  <c r="H146" i="3"/>
  <c r="T146" i="3"/>
  <c r="T145" i="3" s="1"/>
  <c r="S152" i="3"/>
  <c r="S150" i="3" s="1"/>
  <c r="U153" i="3"/>
  <c r="U150" i="3" s="1"/>
  <c r="H155" i="3"/>
  <c r="T155" i="3"/>
  <c r="T154" i="3" s="1"/>
  <c r="R160" i="3"/>
  <c r="G161" i="3"/>
  <c r="O161" i="3"/>
  <c r="H163" i="3"/>
  <c r="T163" i="3"/>
  <c r="T161" i="3" s="1"/>
  <c r="T160" i="3" s="1"/>
  <c r="U166" i="3"/>
  <c r="U165" i="3" s="1"/>
  <c r="Q169" i="3"/>
  <c r="H174" i="3"/>
  <c r="T174" i="3"/>
  <c r="T169" i="3" s="1"/>
  <c r="T168" i="3" s="1"/>
  <c r="U177" i="3"/>
  <c r="S179" i="3"/>
  <c r="S176" i="3" s="1"/>
  <c r="S181" i="3"/>
  <c r="U182" i="3"/>
  <c r="H184" i="3"/>
  <c r="T184" i="3"/>
  <c r="H187" i="3"/>
  <c r="T187" i="3"/>
  <c r="P4" i="4"/>
  <c r="X4" i="4"/>
  <c r="U6" i="4"/>
  <c r="S9" i="4"/>
  <c r="U10" i="4"/>
  <c r="H16" i="4"/>
  <c r="S16" i="4"/>
  <c r="S12" i="4" s="1"/>
  <c r="N18" i="4"/>
  <c r="S21" i="4"/>
  <c r="U22" i="4"/>
  <c r="H26" i="4"/>
  <c r="T26" i="4"/>
  <c r="H31" i="4"/>
  <c r="S31" i="4"/>
  <c r="U32" i="4"/>
  <c r="S36" i="4"/>
  <c r="U37" i="4"/>
  <c r="S40" i="4"/>
  <c r="H41" i="4"/>
  <c r="T41" i="4"/>
  <c r="U42" i="4"/>
  <c r="U44" i="4"/>
  <c r="H48" i="4"/>
  <c r="T48" i="4"/>
  <c r="U49" i="4"/>
  <c r="U50" i="4"/>
  <c r="H56" i="4"/>
  <c r="U57" i="4"/>
  <c r="S60" i="4"/>
  <c r="S63" i="4"/>
  <c r="U64" i="4"/>
  <c r="R68" i="4"/>
  <c r="U69" i="4"/>
  <c r="W70" i="4"/>
  <c r="S72" i="4"/>
  <c r="S68" i="4" s="1"/>
  <c r="S67" i="4" s="1"/>
  <c r="H73" i="4"/>
  <c r="T73" i="4"/>
  <c r="O77" i="4"/>
  <c r="X77" i="4" s="1"/>
  <c r="H79" i="4"/>
  <c r="T79" i="4"/>
  <c r="T77" i="4" s="1"/>
  <c r="H80" i="4"/>
  <c r="S81" i="4"/>
  <c r="S80" i="4" s="1"/>
  <c r="U82" i="4"/>
  <c r="U80" i="4" s="1"/>
  <c r="N89" i="4"/>
  <c r="W89" i="4" s="1"/>
  <c r="R97" i="4"/>
  <c r="U98" i="4"/>
  <c r="S101" i="4"/>
  <c r="S97" i="4" s="1"/>
  <c r="U102" i="4"/>
  <c r="H105" i="4"/>
  <c r="T105" i="4"/>
  <c r="H109" i="4"/>
  <c r="T109" i="4"/>
  <c r="H113" i="4"/>
  <c r="T113" i="4"/>
  <c r="H115" i="4"/>
  <c r="T115" i="4"/>
  <c r="T114" i="4" s="1"/>
  <c r="O120" i="4"/>
  <c r="H122" i="4"/>
  <c r="T122" i="4"/>
  <c r="T120" i="4" s="1"/>
  <c r="V123" i="4"/>
  <c r="S126" i="4"/>
  <c r="U127" i="4"/>
  <c r="Q128" i="4"/>
  <c r="U129" i="4"/>
  <c r="H131" i="4"/>
  <c r="T131" i="4"/>
  <c r="V132" i="4"/>
  <c r="H135" i="4"/>
  <c r="T135" i="4"/>
  <c r="P136" i="4"/>
  <c r="P119" i="4" s="1"/>
  <c r="S137" i="4"/>
  <c r="S136" i="4" s="1"/>
  <c r="U138" i="4"/>
  <c r="U136" i="4" s="1"/>
  <c r="V141" i="4"/>
  <c r="V140" i="4" s="1"/>
  <c r="M145" i="4"/>
  <c r="S149" i="4"/>
  <c r="O150" i="4"/>
  <c r="X150" i="4" s="1"/>
  <c r="U157" i="4"/>
  <c r="U154" i="4" s="1"/>
  <c r="R161" i="4"/>
  <c r="U162" i="4"/>
  <c r="T174" i="4"/>
  <c r="T169" i="4" s="1"/>
  <c r="T168" i="4" s="1"/>
  <c r="W174" i="4"/>
  <c r="P67" i="5"/>
  <c r="H80" i="5"/>
  <c r="V80" i="5"/>
  <c r="X18" i="4"/>
  <c r="BK168" i="4"/>
  <c r="R168" i="4" s="1"/>
  <c r="R169" i="4"/>
  <c r="W172" i="4"/>
  <c r="N169" i="4"/>
  <c r="P183" i="4"/>
  <c r="S136" i="5"/>
  <c r="N130" i="3"/>
  <c r="M136" i="3"/>
  <c r="H136" i="3" s="1"/>
  <c r="V146" i="3"/>
  <c r="X147" i="3"/>
  <c r="N150" i="3"/>
  <c r="W150" i="3" s="1"/>
  <c r="V150" i="3"/>
  <c r="V155" i="3"/>
  <c r="X156" i="3"/>
  <c r="Q161" i="3"/>
  <c r="V163" i="3"/>
  <c r="W166" i="3"/>
  <c r="N168" i="3"/>
  <c r="W168" i="3" s="1"/>
  <c r="W177" i="3"/>
  <c r="V184" i="3"/>
  <c r="AB3" i="4"/>
  <c r="M12" i="4"/>
  <c r="X74" i="4"/>
  <c r="V79" i="4"/>
  <c r="W82" i="4"/>
  <c r="M84" i="4"/>
  <c r="X85" i="4"/>
  <c r="W98" i="4"/>
  <c r="V115" i="4"/>
  <c r="X116" i="4"/>
  <c r="V122" i="4"/>
  <c r="V131" i="4"/>
  <c r="V130" i="4" s="1"/>
  <c r="X132" i="4"/>
  <c r="W138" i="4"/>
  <c r="W136" i="4" s="1"/>
  <c r="M140" i="4"/>
  <c r="H140" i="4" s="1"/>
  <c r="X141" i="4"/>
  <c r="X140" i="4" s="1"/>
  <c r="O145" i="4"/>
  <c r="X145" i="4" s="1"/>
  <c r="N154" i="4"/>
  <c r="W154" i="4" s="1"/>
  <c r="V154" i="4"/>
  <c r="W162" i="4"/>
  <c r="U166" i="4"/>
  <c r="O165" i="4"/>
  <c r="X165" i="4" s="1"/>
  <c r="X166" i="4"/>
  <c r="V178" i="4"/>
  <c r="H178" i="4"/>
  <c r="M176" i="4"/>
  <c r="H183" i="4"/>
  <c r="V183" i="4"/>
  <c r="U125" i="3"/>
  <c r="S129" i="3"/>
  <c r="O130" i="3"/>
  <c r="T132" i="3"/>
  <c r="T130" i="3" s="1"/>
  <c r="N136" i="3"/>
  <c r="S138" i="3"/>
  <c r="S136" i="3" s="1"/>
  <c r="U139" i="3"/>
  <c r="T141" i="3"/>
  <c r="T140" i="3" s="1"/>
  <c r="S149" i="3"/>
  <c r="O150" i="3"/>
  <c r="X150" i="3" s="1"/>
  <c r="R161" i="3"/>
  <c r="U162" i="3"/>
  <c r="U161" i="3" s="1"/>
  <c r="U160" i="3" s="1"/>
  <c r="S172" i="3"/>
  <c r="S169" i="3" s="1"/>
  <c r="U173" i="3"/>
  <c r="U169" i="3" s="1"/>
  <c r="M176" i="3"/>
  <c r="S185" i="3"/>
  <c r="U186" i="3"/>
  <c r="U183" i="3" s="1"/>
  <c r="J192" i="4"/>
  <c r="T8" i="4"/>
  <c r="N12" i="4"/>
  <c r="W12" i="4" s="1"/>
  <c r="S14" i="4"/>
  <c r="S4" i="4" s="1"/>
  <c r="U15" i="4"/>
  <c r="S19" i="4"/>
  <c r="U20" i="4"/>
  <c r="S24" i="4"/>
  <c r="U25" i="4"/>
  <c r="T29" i="4"/>
  <c r="U30" i="4"/>
  <c r="T34" i="4"/>
  <c r="U35" i="4"/>
  <c r="T39" i="4"/>
  <c r="T46" i="4"/>
  <c r="U47" i="4"/>
  <c r="S54" i="4"/>
  <c r="U55" i="4"/>
  <c r="T59" i="4"/>
  <c r="T62" i="4"/>
  <c r="T66" i="4"/>
  <c r="M68" i="4"/>
  <c r="AC68" i="4"/>
  <c r="T71" i="4"/>
  <c r="T68" i="4" s="1"/>
  <c r="T76" i="4"/>
  <c r="U78" i="4"/>
  <c r="U77" i="4" s="1"/>
  <c r="N84" i="4"/>
  <c r="W84" i="4" s="1"/>
  <c r="S86" i="4"/>
  <c r="S84" i="4" s="1"/>
  <c r="U87" i="4"/>
  <c r="U88" i="4"/>
  <c r="T91" i="4"/>
  <c r="T95" i="4"/>
  <c r="M97" i="4"/>
  <c r="T100" i="4"/>
  <c r="U104" i="4"/>
  <c r="S107" i="4"/>
  <c r="U108" i="4"/>
  <c r="S111" i="4"/>
  <c r="U112" i="4"/>
  <c r="R120" i="4"/>
  <c r="R119" i="4" s="1"/>
  <c r="U121" i="4"/>
  <c r="U120" i="4" s="1"/>
  <c r="S124" i="4"/>
  <c r="S133" i="4"/>
  <c r="U134" i="4"/>
  <c r="S142" i="4"/>
  <c r="S140" i="4" s="1"/>
  <c r="U143" i="4"/>
  <c r="S146" i="4"/>
  <c r="S145" i="4" s="1"/>
  <c r="U147" i="4"/>
  <c r="U145" i="4" s="1"/>
  <c r="U151" i="4"/>
  <c r="U150" i="4" s="1"/>
  <c r="S153" i="4"/>
  <c r="S150" i="4" s="1"/>
  <c r="T156" i="4"/>
  <c r="T154" i="4" s="1"/>
  <c r="M161" i="4"/>
  <c r="T164" i="4"/>
  <c r="P176" i="4"/>
  <c r="X181" i="4"/>
  <c r="U181" i="4"/>
  <c r="R183" i="4"/>
  <c r="G119" i="5"/>
  <c r="C133" i="13"/>
  <c r="U75" i="13"/>
  <c r="V75" i="13" s="1"/>
  <c r="H129" i="3"/>
  <c r="H138" i="3"/>
  <c r="Y12" i="13"/>
  <c r="AA12" i="13" s="1"/>
  <c r="H12" i="13"/>
  <c r="H149" i="3"/>
  <c r="M169" i="3"/>
  <c r="H172" i="3"/>
  <c r="F3" i="4"/>
  <c r="L192" i="4"/>
  <c r="O12" i="4"/>
  <c r="H14" i="4"/>
  <c r="H19" i="4"/>
  <c r="G44" i="4"/>
  <c r="H54" i="4"/>
  <c r="H86" i="4"/>
  <c r="H107" i="4"/>
  <c r="H111" i="4"/>
  <c r="H124" i="4"/>
  <c r="H133" i="4"/>
  <c r="H142" i="4"/>
  <c r="H146" i="4"/>
  <c r="H153" i="4"/>
  <c r="Q160" i="4"/>
  <c r="U164" i="4"/>
  <c r="R176" i="4"/>
  <c r="Q176" i="4"/>
  <c r="X179" i="4"/>
  <c r="U179" i="4"/>
  <c r="U176" i="4" s="1"/>
  <c r="F3" i="5"/>
  <c r="F196" i="4"/>
  <c r="H196" i="4" s="1"/>
  <c r="T48" i="5"/>
  <c r="W48" i="5"/>
  <c r="R67" i="5"/>
  <c r="I67" i="5"/>
  <c r="G89" i="5"/>
  <c r="V89" i="5"/>
  <c r="Y35" i="13"/>
  <c r="AA35" i="13" s="1"/>
  <c r="H13" i="13"/>
  <c r="O169" i="3"/>
  <c r="O183" i="3"/>
  <c r="X183" i="3" s="1"/>
  <c r="E190" i="4"/>
  <c r="E195" i="4" s="1"/>
  <c r="G195" i="4" s="1"/>
  <c r="V4" i="4"/>
  <c r="M150" i="4"/>
  <c r="Q168" i="4"/>
  <c r="H169" i="4"/>
  <c r="V169" i="4"/>
  <c r="M168" i="4"/>
  <c r="S176" i="4"/>
  <c r="X68" i="5"/>
  <c r="W31" i="5"/>
  <c r="H46" i="5"/>
  <c r="H57" i="5"/>
  <c r="H64" i="5"/>
  <c r="Q68" i="5"/>
  <c r="Q67" i="5" s="1"/>
  <c r="H69" i="5"/>
  <c r="M77" i="5"/>
  <c r="N80" i="5"/>
  <c r="W80" i="5" s="1"/>
  <c r="H85" i="5"/>
  <c r="I96" i="5"/>
  <c r="G96" i="5" s="1"/>
  <c r="Y96" i="5"/>
  <c r="Y3" i="5" s="1"/>
  <c r="N97" i="5"/>
  <c r="H107" i="5"/>
  <c r="H111" i="5"/>
  <c r="M114" i="5"/>
  <c r="S122" i="5"/>
  <c r="S124" i="5"/>
  <c r="W125" i="5"/>
  <c r="V138" i="5"/>
  <c r="H138" i="5"/>
  <c r="U138" i="5"/>
  <c r="Q160" i="5"/>
  <c r="O160" i="5"/>
  <c r="AE159" i="5"/>
  <c r="AE3" i="5" s="1"/>
  <c r="AM159" i="5"/>
  <c r="AM3" i="5" s="1"/>
  <c r="AU159" i="5"/>
  <c r="AU3" i="5" s="1"/>
  <c r="BC159" i="5"/>
  <c r="BC3" i="5" s="1"/>
  <c r="BK159" i="5"/>
  <c r="R160" i="5"/>
  <c r="W20" i="6"/>
  <c r="T20" i="6"/>
  <c r="T186" i="4"/>
  <c r="T183" i="4" s="1"/>
  <c r="AC3" i="5"/>
  <c r="T8" i="5"/>
  <c r="T4" i="5" s="1"/>
  <c r="M12" i="5"/>
  <c r="H15" i="5"/>
  <c r="S15" i="5"/>
  <c r="U17" i="5"/>
  <c r="U12" i="5" s="1"/>
  <c r="X18" i="5"/>
  <c r="T22" i="5"/>
  <c r="T23" i="5"/>
  <c r="U24" i="5"/>
  <c r="S27" i="5"/>
  <c r="T28" i="5"/>
  <c r="T33" i="5"/>
  <c r="T38" i="5"/>
  <c r="G42" i="5"/>
  <c r="H43" i="5"/>
  <c r="S43" i="5"/>
  <c r="G44" i="5"/>
  <c r="S45" i="5"/>
  <c r="U46" i="5"/>
  <c r="N52" i="5"/>
  <c r="W52" i="5" s="1"/>
  <c r="T56" i="5"/>
  <c r="U57" i="5"/>
  <c r="S60" i="5"/>
  <c r="S63" i="5"/>
  <c r="U64" i="5"/>
  <c r="R68" i="5"/>
  <c r="U69" i="5"/>
  <c r="S72" i="5"/>
  <c r="S68" i="5" s="1"/>
  <c r="S67" i="5" s="1"/>
  <c r="T73" i="5"/>
  <c r="N74" i="5"/>
  <c r="S79" i="5"/>
  <c r="T82" i="5"/>
  <c r="U85" i="5"/>
  <c r="U84" i="5" s="1"/>
  <c r="Q87" i="5"/>
  <c r="T94" i="5"/>
  <c r="T89" i="5" s="1"/>
  <c r="O97" i="5"/>
  <c r="T99" i="5"/>
  <c r="T103" i="5"/>
  <c r="S106" i="5"/>
  <c r="U107" i="5"/>
  <c r="S110" i="5"/>
  <c r="U111" i="5"/>
  <c r="N114" i="5"/>
  <c r="W114" i="5" s="1"/>
  <c r="S116" i="5"/>
  <c r="S118" i="5"/>
  <c r="R136" i="5"/>
  <c r="R119" i="5" s="1"/>
  <c r="O145" i="5"/>
  <c r="X145" i="5" s="1"/>
  <c r="X146" i="5"/>
  <c r="X177" i="4"/>
  <c r="V179" i="4"/>
  <c r="V181" i="4"/>
  <c r="X182" i="4"/>
  <c r="W184" i="4"/>
  <c r="W187" i="4"/>
  <c r="L192" i="5"/>
  <c r="F196" i="5" s="1"/>
  <c r="H196" i="5" s="1"/>
  <c r="W9" i="5"/>
  <c r="X10" i="5"/>
  <c r="V17" i="5"/>
  <c r="V24" i="5"/>
  <c r="X25" i="5"/>
  <c r="H27" i="5"/>
  <c r="W29" i="5"/>
  <c r="X30" i="5"/>
  <c r="W34" i="5"/>
  <c r="X35" i="5"/>
  <c r="W39" i="5"/>
  <c r="S42" i="5"/>
  <c r="H44" i="5"/>
  <c r="H45" i="5"/>
  <c r="V46" i="5"/>
  <c r="X48" i="5"/>
  <c r="X49" i="5"/>
  <c r="W53" i="5"/>
  <c r="V57" i="5"/>
  <c r="X58" i="5"/>
  <c r="H60" i="5"/>
  <c r="W61" i="5"/>
  <c r="H63" i="5"/>
  <c r="V64" i="5"/>
  <c r="X65" i="5"/>
  <c r="V69" i="5"/>
  <c r="X70" i="5"/>
  <c r="H72" i="5"/>
  <c r="W75" i="5"/>
  <c r="O77" i="5"/>
  <c r="X77" i="5" s="1"/>
  <c r="H79" i="5"/>
  <c r="S81" i="5"/>
  <c r="S80" i="5" s="1"/>
  <c r="W83" i="5"/>
  <c r="V85" i="5"/>
  <c r="X86" i="5"/>
  <c r="X91" i="5"/>
  <c r="W95" i="5"/>
  <c r="AA96" i="5"/>
  <c r="R96" i="5" s="1"/>
  <c r="AI96" i="5"/>
  <c r="AI3" i="5" s="1"/>
  <c r="S98" i="5"/>
  <c r="W100" i="5"/>
  <c r="X104" i="5"/>
  <c r="H106" i="5"/>
  <c r="V107" i="5"/>
  <c r="X108" i="5"/>
  <c r="H110" i="5"/>
  <c r="V111" i="5"/>
  <c r="X112" i="5"/>
  <c r="O114" i="5"/>
  <c r="X114" i="5" s="1"/>
  <c r="H116" i="5"/>
  <c r="H118" i="5"/>
  <c r="AF119" i="5"/>
  <c r="AF96" i="5" s="1"/>
  <c r="M120" i="5"/>
  <c r="U122" i="5"/>
  <c r="U120" i="5" s="1"/>
  <c r="U124" i="5"/>
  <c r="T126" i="5"/>
  <c r="T120" i="5" s="1"/>
  <c r="T119" i="5" s="1"/>
  <c r="M130" i="5"/>
  <c r="H130" i="5" s="1"/>
  <c r="V131" i="5"/>
  <c r="V130" i="5" s="1"/>
  <c r="H131" i="5"/>
  <c r="V134" i="5"/>
  <c r="H134" i="5"/>
  <c r="U139" i="5"/>
  <c r="N140" i="5"/>
  <c r="W141" i="5"/>
  <c r="W140" i="5" s="1"/>
  <c r="P145" i="5"/>
  <c r="U147" i="5"/>
  <c r="U145" i="5" s="1"/>
  <c r="X147" i="5"/>
  <c r="T89" i="6"/>
  <c r="S78" i="5"/>
  <c r="S77" i="5" s="1"/>
  <c r="U79" i="5"/>
  <c r="U77" i="5" s="1"/>
  <c r="U67" i="5" s="1"/>
  <c r="T81" i="5"/>
  <c r="T80" i="5" s="1"/>
  <c r="S87" i="5"/>
  <c r="S84" i="5" s="1"/>
  <c r="T98" i="5"/>
  <c r="T102" i="5"/>
  <c r="S105" i="5"/>
  <c r="U106" i="5"/>
  <c r="S109" i="5"/>
  <c r="U110" i="5"/>
  <c r="S113" i="5"/>
  <c r="S115" i="5"/>
  <c r="U116" i="5"/>
  <c r="U114" i="5" s="1"/>
  <c r="U118" i="5"/>
  <c r="H139" i="5"/>
  <c r="V139" i="5"/>
  <c r="V152" i="5"/>
  <c r="S152" i="5"/>
  <c r="S150" i="5" s="1"/>
  <c r="G160" i="5"/>
  <c r="W18" i="6"/>
  <c r="T18" i="6"/>
  <c r="W88" i="6"/>
  <c r="T88" i="6"/>
  <c r="V97" i="6"/>
  <c r="H97" i="6"/>
  <c r="W97" i="6"/>
  <c r="U167" i="4"/>
  <c r="U172" i="4"/>
  <c r="U169" i="4" s="1"/>
  <c r="S175" i="4"/>
  <c r="S169" i="4" s="1"/>
  <c r="S168" i="4" s="1"/>
  <c r="S159" i="4" s="1"/>
  <c r="O176" i="4"/>
  <c r="X176" i="4" s="1"/>
  <c r="T178" i="4"/>
  <c r="T176" i="4" s="1"/>
  <c r="T180" i="4"/>
  <c r="N183" i="4"/>
  <c r="W183" i="4" s="1"/>
  <c r="U185" i="4"/>
  <c r="U183" i="4" s="1"/>
  <c r="E190" i="5"/>
  <c r="N4" i="5"/>
  <c r="V4" i="5"/>
  <c r="S6" i="5"/>
  <c r="U7" i="5"/>
  <c r="H11" i="5"/>
  <c r="T11" i="5"/>
  <c r="S13" i="5"/>
  <c r="U14" i="5"/>
  <c r="U4" i="5" s="1"/>
  <c r="H19" i="5"/>
  <c r="T19" i="5"/>
  <c r="U20" i="5"/>
  <c r="U21" i="5"/>
  <c r="H26" i="5"/>
  <c r="T26" i="5"/>
  <c r="H31" i="5"/>
  <c r="S31" i="5"/>
  <c r="U32" i="5"/>
  <c r="S36" i="5"/>
  <c r="U37" i="5"/>
  <c r="S40" i="5"/>
  <c r="H41" i="5"/>
  <c r="T41" i="5"/>
  <c r="U42" i="5"/>
  <c r="N43" i="5"/>
  <c r="W43" i="5" s="1"/>
  <c r="S54" i="5"/>
  <c r="U55" i="5"/>
  <c r="H59" i="5"/>
  <c r="T59" i="5"/>
  <c r="T62" i="5"/>
  <c r="H66" i="5"/>
  <c r="T66" i="5"/>
  <c r="M68" i="5"/>
  <c r="X69" i="5"/>
  <c r="H71" i="5"/>
  <c r="T71" i="5"/>
  <c r="Q74" i="5"/>
  <c r="S76" i="5"/>
  <c r="H78" i="5"/>
  <c r="T78" i="5"/>
  <c r="T77" i="5" s="1"/>
  <c r="U81" i="5"/>
  <c r="U80" i="5" s="1"/>
  <c r="M84" i="5"/>
  <c r="X85" i="5"/>
  <c r="H87" i="5"/>
  <c r="S88" i="5"/>
  <c r="U98" i="5"/>
  <c r="U97" i="5" s="1"/>
  <c r="S101" i="5"/>
  <c r="U102" i="5"/>
  <c r="H105" i="5"/>
  <c r="T105" i="5"/>
  <c r="H109" i="5"/>
  <c r="T109" i="5"/>
  <c r="H113" i="5"/>
  <c r="T113" i="5"/>
  <c r="H115" i="5"/>
  <c r="T115" i="5"/>
  <c r="T114" i="5" s="1"/>
  <c r="S121" i="5"/>
  <c r="S123" i="5"/>
  <c r="O130" i="5"/>
  <c r="X131" i="5"/>
  <c r="X130" i="5" s="1"/>
  <c r="V135" i="5"/>
  <c r="H135" i="5"/>
  <c r="U135" i="5"/>
  <c r="P140" i="5"/>
  <c r="Q145" i="5"/>
  <c r="J159" i="5"/>
  <c r="J192" i="5" s="1"/>
  <c r="N160" i="5"/>
  <c r="W161" i="5"/>
  <c r="R67" i="6"/>
  <c r="P67" i="6"/>
  <c r="H68" i="6"/>
  <c r="V68" i="6"/>
  <c r="W70" i="6"/>
  <c r="T70" i="6"/>
  <c r="H89" i="6"/>
  <c r="F190" i="5"/>
  <c r="F195" i="5" s="1"/>
  <c r="H195" i="5" s="1"/>
  <c r="H132" i="5"/>
  <c r="V132" i="5"/>
  <c r="N136" i="5"/>
  <c r="N119" i="5" s="1"/>
  <c r="W119" i="5" s="1"/>
  <c r="W137" i="5"/>
  <c r="W136" i="5" s="1"/>
  <c r="H4" i="6"/>
  <c r="V4" i="6"/>
  <c r="X97" i="6"/>
  <c r="P96" i="6"/>
  <c r="J3" i="5"/>
  <c r="D62" i="14" s="1"/>
  <c r="X4" i="5"/>
  <c r="N87" i="5"/>
  <c r="V121" i="5"/>
  <c r="V123" i="5"/>
  <c r="O136" i="5"/>
  <c r="R140" i="5"/>
  <c r="T142" i="5"/>
  <c r="W142" i="5"/>
  <c r="P160" i="5"/>
  <c r="R168" i="5"/>
  <c r="H4" i="5"/>
  <c r="H17" i="5"/>
  <c r="W121" i="5"/>
  <c r="W123" i="5"/>
  <c r="V127" i="5"/>
  <c r="Q130" i="5"/>
  <c r="Q119" i="5" s="1"/>
  <c r="V133" i="5"/>
  <c r="H133" i="5"/>
  <c r="U133" i="5"/>
  <c r="U130" i="5" s="1"/>
  <c r="P136" i="5"/>
  <c r="P119" i="5" s="1"/>
  <c r="T141" i="5"/>
  <c r="T140" i="5" s="1"/>
  <c r="H146" i="5"/>
  <c r="S146" i="5"/>
  <c r="S145" i="5" s="1"/>
  <c r="M145" i="5"/>
  <c r="V146" i="5"/>
  <c r="R150" i="5"/>
  <c r="Q150" i="5"/>
  <c r="X153" i="5"/>
  <c r="U153" i="5"/>
  <c r="U150" i="5" s="1"/>
  <c r="N154" i="5"/>
  <c r="W154" i="5" s="1"/>
  <c r="W155" i="5"/>
  <c r="T155" i="5"/>
  <c r="T154" i="5" s="1"/>
  <c r="AB159" i="5"/>
  <c r="AB3" i="5" s="1"/>
  <c r="AR159" i="5"/>
  <c r="AR3" i="5" s="1"/>
  <c r="BH159" i="5"/>
  <c r="BH3" i="5" s="1"/>
  <c r="Q168" i="5"/>
  <c r="U4" i="6"/>
  <c r="G161" i="5"/>
  <c r="T163" i="5"/>
  <c r="T161" i="5" s="1"/>
  <c r="T160" i="5" s="1"/>
  <c r="U166" i="5"/>
  <c r="U165" i="5" s="1"/>
  <c r="U160" i="5" s="1"/>
  <c r="AB168" i="5"/>
  <c r="Q169" i="5"/>
  <c r="T174" i="5"/>
  <c r="T169" i="5" s="1"/>
  <c r="T168" i="5" s="1"/>
  <c r="U177" i="5"/>
  <c r="S179" i="5"/>
  <c r="S181" i="5"/>
  <c r="U182" i="5"/>
  <c r="T184" i="5"/>
  <c r="T183" i="5" s="1"/>
  <c r="T187" i="5"/>
  <c r="AV3" i="6"/>
  <c r="N4" i="6"/>
  <c r="S5" i="6"/>
  <c r="T7" i="6"/>
  <c r="T4" i="6" s="1"/>
  <c r="S11" i="6"/>
  <c r="O12" i="6"/>
  <c r="X12" i="6" s="1"/>
  <c r="T14" i="6"/>
  <c r="U15" i="6"/>
  <c r="U12" i="6" s="1"/>
  <c r="S20" i="6"/>
  <c r="S12" i="6" s="1"/>
  <c r="S21" i="6"/>
  <c r="T22" i="6"/>
  <c r="T23" i="6"/>
  <c r="T24" i="6"/>
  <c r="S28" i="6"/>
  <c r="U29" i="6"/>
  <c r="S33" i="6"/>
  <c r="U34" i="6"/>
  <c r="S38" i="6"/>
  <c r="U39" i="6"/>
  <c r="H47" i="6"/>
  <c r="S47" i="6"/>
  <c r="T48" i="6"/>
  <c r="T54" i="6"/>
  <c r="S58" i="6"/>
  <c r="U59" i="6"/>
  <c r="U62" i="6"/>
  <c r="S65" i="6"/>
  <c r="U66" i="6"/>
  <c r="S70" i="6"/>
  <c r="S68" i="6" s="1"/>
  <c r="S67" i="6" s="1"/>
  <c r="T71" i="6"/>
  <c r="S76" i="6"/>
  <c r="T78" i="6"/>
  <c r="T77" i="6" s="1"/>
  <c r="U81" i="6"/>
  <c r="U80" i="6" s="1"/>
  <c r="U67" i="6" s="1"/>
  <c r="T87" i="6"/>
  <c r="T84" i="6" s="1"/>
  <c r="S88" i="6"/>
  <c r="U94" i="6"/>
  <c r="U89" i="6" s="1"/>
  <c r="P97" i="6"/>
  <c r="S98" i="6"/>
  <c r="U99" i="6"/>
  <c r="U97" i="6" s="1"/>
  <c r="S102" i="6"/>
  <c r="T106" i="6"/>
  <c r="T110" i="6"/>
  <c r="T116" i="6"/>
  <c r="T114" i="6" s="1"/>
  <c r="T118" i="6"/>
  <c r="X120" i="6"/>
  <c r="X126" i="6"/>
  <c r="U126" i="6"/>
  <c r="W131" i="6"/>
  <c r="W130" i="6" s="1"/>
  <c r="P140" i="6"/>
  <c r="T149" i="6"/>
  <c r="T145" i="6" s="1"/>
  <c r="P160" i="6"/>
  <c r="R168" i="6"/>
  <c r="H191" i="6"/>
  <c r="U4" i="7"/>
  <c r="W18" i="7"/>
  <c r="T18" i="7"/>
  <c r="W19" i="7"/>
  <c r="T19" i="7"/>
  <c r="W20" i="7"/>
  <c r="T20" i="7"/>
  <c r="M150" i="5"/>
  <c r="X151" i="5"/>
  <c r="V153" i="5"/>
  <c r="W156" i="5"/>
  <c r="BJ159" i="5"/>
  <c r="Q159" i="5" s="1"/>
  <c r="H161" i="5"/>
  <c r="P161" i="5"/>
  <c r="X161" i="5"/>
  <c r="W164" i="5"/>
  <c r="V166" i="5"/>
  <c r="M168" i="5"/>
  <c r="BI168" i="5"/>
  <c r="P168" i="5" s="1"/>
  <c r="R169" i="5"/>
  <c r="W175" i="5"/>
  <c r="V177" i="5"/>
  <c r="X178" i="5"/>
  <c r="X180" i="5"/>
  <c r="V182" i="5"/>
  <c r="F190" i="6"/>
  <c r="F195" i="6" s="1"/>
  <c r="H195" i="6" s="1"/>
  <c r="W8" i="6"/>
  <c r="H11" i="6"/>
  <c r="V15" i="6"/>
  <c r="X17" i="6"/>
  <c r="H20" i="6"/>
  <c r="H21" i="6"/>
  <c r="W25" i="6"/>
  <c r="H28" i="6"/>
  <c r="V29" i="6"/>
  <c r="X31" i="6"/>
  <c r="H33" i="6"/>
  <c r="V34" i="6"/>
  <c r="X36" i="6"/>
  <c r="H38" i="6"/>
  <c r="V39" i="6"/>
  <c r="X40" i="6"/>
  <c r="S50" i="6"/>
  <c r="W55" i="6"/>
  <c r="H58" i="6"/>
  <c r="V59" i="6"/>
  <c r="X60" i="6"/>
  <c r="V62" i="6"/>
  <c r="X63" i="6"/>
  <c r="H65" i="6"/>
  <c r="V66" i="6"/>
  <c r="O68" i="6"/>
  <c r="H70" i="6"/>
  <c r="W72" i="6"/>
  <c r="X73" i="6"/>
  <c r="H76" i="6"/>
  <c r="W79" i="6"/>
  <c r="V81" i="6"/>
  <c r="X82" i="6"/>
  <c r="N84" i="6"/>
  <c r="W84" i="6" s="1"/>
  <c r="V84" i="6"/>
  <c r="H88" i="6"/>
  <c r="O89" i="6"/>
  <c r="X89" i="6" s="1"/>
  <c r="V94" i="6"/>
  <c r="X95" i="6"/>
  <c r="Q97" i="6"/>
  <c r="H98" i="6"/>
  <c r="V99" i="6"/>
  <c r="X100" i="6"/>
  <c r="H102" i="6"/>
  <c r="V103" i="6"/>
  <c r="W107" i="6"/>
  <c r="W111" i="6"/>
  <c r="H120" i="6"/>
  <c r="P120" i="6"/>
  <c r="P119" i="6" s="1"/>
  <c r="V121" i="6"/>
  <c r="T125" i="6"/>
  <c r="T120" i="6" s="1"/>
  <c r="T119" i="6" s="1"/>
  <c r="V127" i="6"/>
  <c r="O130" i="6"/>
  <c r="O119" i="6" s="1"/>
  <c r="X131" i="6"/>
  <c r="X130" i="6" s="1"/>
  <c r="U131" i="6"/>
  <c r="U134" i="6"/>
  <c r="S140" i="6"/>
  <c r="T154" i="6"/>
  <c r="K159" i="6"/>
  <c r="K3" i="6" s="1"/>
  <c r="O160" i="6"/>
  <c r="X161" i="6"/>
  <c r="H12" i="7"/>
  <c r="V12" i="7"/>
  <c r="W35" i="7"/>
  <c r="T35" i="7"/>
  <c r="W121" i="6"/>
  <c r="T127" i="6"/>
  <c r="W127" i="6"/>
  <c r="H132" i="6"/>
  <c r="M130" i="6"/>
  <c r="V132" i="6"/>
  <c r="V134" i="6"/>
  <c r="S134" i="6"/>
  <c r="S130" i="6" s="1"/>
  <c r="W138" i="6"/>
  <c r="T138" i="6"/>
  <c r="O140" i="6"/>
  <c r="X141" i="6"/>
  <c r="X140" i="6" s="1"/>
  <c r="U141" i="6"/>
  <c r="U140" i="6" s="1"/>
  <c r="X147" i="6"/>
  <c r="U147" i="6"/>
  <c r="U145" i="6" s="1"/>
  <c r="BK159" i="6"/>
  <c r="H125" i="5"/>
  <c r="O150" i="5"/>
  <c r="X150" i="5" s="1"/>
  <c r="R161" i="5"/>
  <c r="M165" i="5"/>
  <c r="X166" i="5"/>
  <c r="O168" i="5"/>
  <c r="X168" i="5" s="1"/>
  <c r="M176" i="5"/>
  <c r="X177" i="5"/>
  <c r="W184" i="5"/>
  <c r="Q4" i="6"/>
  <c r="J12" i="6"/>
  <c r="H18" i="6"/>
  <c r="H32" i="6"/>
  <c r="H37" i="6"/>
  <c r="G41" i="6"/>
  <c r="S45" i="6"/>
  <c r="H57" i="6"/>
  <c r="H64" i="6"/>
  <c r="Q68" i="6"/>
  <c r="Q67" i="6" s="1"/>
  <c r="H69" i="6"/>
  <c r="H74" i="6"/>
  <c r="H75" i="6"/>
  <c r="T75" i="6"/>
  <c r="W78" i="6"/>
  <c r="M80" i="6"/>
  <c r="M67" i="6" s="1"/>
  <c r="X81" i="6"/>
  <c r="H83" i="6"/>
  <c r="T83" i="6"/>
  <c r="T80" i="6" s="1"/>
  <c r="S85" i="6"/>
  <c r="S84" i="6" s="1"/>
  <c r="U86" i="6"/>
  <c r="U84" i="6" s="1"/>
  <c r="I89" i="6"/>
  <c r="V89" i="6" s="1"/>
  <c r="H91" i="6"/>
  <c r="V98" i="6"/>
  <c r="H101" i="6"/>
  <c r="T101" i="6"/>
  <c r="T97" i="6" s="1"/>
  <c r="T96" i="6" s="1"/>
  <c r="S104" i="6"/>
  <c r="U105" i="6"/>
  <c r="W106" i="6"/>
  <c r="S108" i="6"/>
  <c r="U109" i="6"/>
  <c r="S112" i="6"/>
  <c r="U113" i="6"/>
  <c r="U115" i="6"/>
  <c r="U114" i="6" s="1"/>
  <c r="S117" i="6"/>
  <c r="S114" i="6" s="1"/>
  <c r="AA119" i="6"/>
  <c r="AA96" i="6" s="1"/>
  <c r="R96" i="6" s="1"/>
  <c r="J120" i="6"/>
  <c r="J119" i="6" s="1"/>
  <c r="J96" i="6" s="1"/>
  <c r="J192" i="6" s="1"/>
  <c r="V125" i="6"/>
  <c r="S125" i="6"/>
  <c r="H125" i="6"/>
  <c r="T132" i="6"/>
  <c r="W132" i="6"/>
  <c r="Q144" i="6"/>
  <c r="N144" i="6"/>
  <c r="N140" i="6" s="1"/>
  <c r="AF140" i="6"/>
  <c r="X152" i="6"/>
  <c r="O150" i="6"/>
  <c r="X150" i="6" s="1"/>
  <c r="U152" i="6"/>
  <c r="W169" i="6"/>
  <c r="N168" i="6"/>
  <c r="W168" i="6" s="1"/>
  <c r="W15" i="7"/>
  <c r="T15" i="7"/>
  <c r="H68" i="7"/>
  <c r="V68" i="7"/>
  <c r="N43" i="6"/>
  <c r="W43" i="6" s="1"/>
  <c r="N52" i="6"/>
  <c r="W52" i="6" s="1"/>
  <c r="R68" i="6"/>
  <c r="H108" i="6"/>
  <c r="T108" i="6"/>
  <c r="H112" i="6"/>
  <c r="T112" i="6"/>
  <c r="U123" i="6"/>
  <c r="X123" i="6"/>
  <c r="T135" i="6"/>
  <c r="V137" i="6"/>
  <c r="V136" i="6" s="1"/>
  <c r="S139" i="6"/>
  <c r="S136" i="6" s="1"/>
  <c r="V139" i="6"/>
  <c r="H139" i="6"/>
  <c r="I159" i="6"/>
  <c r="G168" i="6"/>
  <c r="H147" i="5"/>
  <c r="H151" i="5"/>
  <c r="V154" i="5"/>
  <c r="H158" i="5"/>
  <c r="W162" i="5"/>
  <c r="I168" i="5"/>
  <c r="G168" i="5" s="1"/>
  <c r="N169" i="5"/>
  <c r="V169" i="5"/>
  <c r="H178" i="5"/>
  <c r="V183" i="5"/>
  <c r="W13" i="6"/>
  <c r="H36" i="6"/>
  <c r="H40" i="6"/>
  <c r="H60" i="6"/>
  <c r="H63" i="6"/>
  <c r="V69" i="6"/>
  <c r="H73" i="6"/>
  <c r="N74" i="6"/>
  <c r="V77" i="6"/>
  <c r="H82" i="6"/>
  <c r="H95" i="6"/>
  <c r="X98" i="6"/>
  <c r="U122" i="6"/>
  <c r="U120" i="6" s="1"/>
  <c r="U129" i="6"/>
  <c r="V133" i="6"/>
  <c r="H133" i="6"/>
  <c r="P145" i="6"/>
  <c r="M145" i="6"/>
  <c r="V146" i="6"/>
  <c r="H146" i="6"/>
  <c r="S146" i="6"/>
  <c r="S145" i="6" s="1"/>
  <c r="G160" i="6"/>
  <c r="N160" i="6"/>
  <c r="W161" i="6"/>
  <c r="H4" i="7"/>
  <c r="V4" i="7"/>
  <c r="S153" i="5"/>
  <c r="S166" i="5"/>
  <c r="S165" i="5" s="1"/>
  <c r="S160" i="5" s="1"/>
  <c r="S159" i="5" s="1"/>
  <c r="S177" i="5"/>
  <c r="S176" i="5" s="1"/>
  <c r="S168" i="5" s="1"/>
  <c r="S182" i="5"/>
  <c r="L192" i="6"/>
  <c r="M12" i="6"/>
  <c r="H15" i="6"/>
  <c r="G22" i="6"/>
  <c r="S29" i="6"/>
  <c r="S34" i="6"/>
  <c r="S39" i="6"/>
  <c r="S59" i="6"/>
  <c r="S66" i="6"/>
  <c r="S81" i="6"/>
  <c r="S80" i="6" s="1"/>
  <c r="V91" i="6"/>
  <c r="S94" i="6"/>
  <c r="S89" i="6" s="1"/>
  <c r="S99" i="6"/>
  <c r="S103" i="6"/>
  <c r="Q120" i="6"/>
  <c r="S122" i="6"/>
  <c r="V122" i="6"/>
  <c r="S129" i="6"/>
  <c r="V129" i="6"/>
  <c r="T131" i="6"/>
  <c r="T130" i="6" s="1"/>
  <c r="M136" i="6"/>
  <c r="H136" i="6" s="1"/>
  <c r="Q136" i="6"/>
  <c r="N136" i="6"/>
  <c r="W137" i="6"/>
  <c r="W136" i="6" s="1"/>
  <c r="T137" i="6"/>
  <c r="T136" i="6" s="1"/>
  <c r="V143" i="6"/>
  <c r="H143" i="6"/>
  <c r="Q145" i="6"/>
  <c r="U150" i="6"/>
  <c r="W27" i="7"/>
  <c r="T27" i="7"/>
  <c r="H49" i="6"/>
  <c r="N120" i="6"/>
  <c r="S121" i="6"/>
  <c r="S127" i="6"/>
  <c r="X135" i="6"/>
  <c r="U135" i="6"/>
  <c r="X146" i="6"/>
  <c r="O145" i="6"/>
  <c r="X145" i="6" s="1"/>
  <c r="Q150" i="6"/>
  <c r="S160" i="6"/>
  <c r="Q168" i="6"/>
  <c r="S169" i="6"/>
  <c r="H155" i="6"/>
  <c r="Z160" i="6"/>
  <c r="Z159" i="6" s="1"/>
  <c r="Z3" i="6" s="1"/>
  <c r="G161" i="6"/>
  <c r="H163" i="6"/>
  <c r="H175" i="6"/>
  <c r="O183" i="6"/>
  <c r="X183" i="6" s="1"/>
  <c r="R4" i="7"/>
  <c r="H9" i="7"/>
  <c r="AI12" i="7"/>
  <c r="AI3" i="7" s="1"/>
  <c r="H18" i="7"/>
  <c r="H20" i="7"/>
  <c r="H21" i="7"/>
  <c r="H28" i="7"/>
  <c r="W31" i="7"/>
  <c r="X35" i="7"/>
  <c r="T43" i="7"/>
  <c r="P44" i="7"/>
  <c r="U46" i="7"/>
  <c r="X46" i="7"/>
  <c r="T47" i="7"/>
  <c r="H50" i="7"/>
  <c r="T52" i="7"/>
  <c r="W60" i="7"/>
  <c r="T60" i="7"/>
  <c r="P68" i="7"/>
  <c r="X75" i="7"/>
  <c r="U75" i="7"/>
  <c r="G80" i="7"/>
  <c r="R80" i="7"/>
  <c r="Q97" i="7"/>
  <c r="AC119" i="7"/>
  <c r="AC96" i="7" s="1"/>
  <c r="Q96" i="7" s="1"/>
  <c r="Q120" i="7"/>
  <c r="P160" i="7"/>
  <c r="BI159" i="7"/>
  <c r="M150" i="6"/>
  <c r="BJ159" i="6"/>
  <c r="BJ3" i="6" s="1"/>
  <c r="AA160" i="6"/>
  <c r="AA159" i="6" s="1"/>
  <c r="H161" i="6"/>
  <c r="P161" i="6"/>
  <c r="E168" i="6"/>
  <c r="E159" i="6" s="1"/>
  <c r="M168" i="6"/>
  <c r="BI168" i="6"/>
  <c r="P168" i="6" s="1"/>
  <c r="R169" i="6"/>
  <c r="H183" i="6"/>
  <c r="E3" i="7"/>
  <c r="J192" i="7"/>
  <c r="S8" i="7"/>
  <c r="S4" i="7" s="1"/>
  <c r="G15" i="7"/>
  <c r="H17" i="7"/>
  <c r="N22" i="7"/>
  <c r="N23" i="7"/>
  <c r="S33" i="7"/>
  <c r="S36" i="7"/>
  <c r="H41" i="7"/>
  <c r="S41" i="7"/>
  <c r="S52" i="7"/>
  <c r="H52" i="7"/>
  <c r="H55" i="7"/>
  <c r="S55" i="7"/>
  <c r="T61" i="7"/>
  <c r="W61" i="7"/>
  <c r="U70" i="7"/>
  <c r="O68" i="7"/>
  <c r="X70" i="7"/>
  <c r="V73" i="7"/>
  <c r="H73" i="7"/>
  <c r="S73" i="7"/>
  <c r="T76" i="7"/>
  <c r="W76" i="7"/>
  <c r="T88" i="7"/>
  <c r="W88" i="7"/>
  <c r="W142" i="6"/>
  <c r="W153" i="6"/>
  <c r="V155" i="6"/>
  <c r="X156" i="6"/>
  <c r="S158" i="6"/>
  <c r="S154" i="6" s="1"/>
  <c r="T162" i="6"/>
  <c r="T161" i="6" s="1"/>
  <c r="T160" i="6" s="1"/>
  <c r="V163" i="6"/>
  <c r="X164" i="6"/>
  <c r="W166" i="6"/>
  <c r="X172" i="6"/>
  <c r="T174" i="6"/>
  <c r="T169" i="6" s="1"/>
  <c r="T168" i="6" s="1"/>
  <c r="V175" i="6"/>
  <c r="R176" i="6"/>
  <c r="U177" i="6"/>
  <c r="W178" i="6"/>
  <c r="S179" i="6"/>
  <c r="S176" i="6" s="1"/>
  <c r="W180" i="6"/>
  <c r="S181" i="6"/>
  <c r="U182" i="6"/>
  <c r="T184" i="6"/>
  <c r="T183" i="6" s="1"/>
  <c r="X185" i="6"/>
  <c r="T187" i="6"/>
  <c r="L192" i="7"/>
  <c r="X6" i="7"/>
  <c r="T8" i="7"/>
  <c r="T4" i="7" s="1"/>
  <c r="V9" i="7"/>
  <c r="W10" i="7"/>
  <c r="X13" i="7"/>
  <c r="H15" i="7"/>
  <c r="H16" i="7"/>
  <c r="S16" i="7"/>
  <c r="S12" i="7" s="1"/>
  <c r="V18" i="7"/>
  <c r="V19" i="7"/>
  <c r="V20" i="7"/>
  <c r="V21" i="7"/>
  <c r="W24" i="7"/>
  <c r="S26" i="7"/>
  <c r="U27" i="7"/>
  <c r="V28" i="7"/>
  <c r="X29" i="7"/>
  <c r="G31" i="7"/>
  <c r="T33" i="7"/>
  <c r="W34" i="7"/>
  <c r="Q35" i="7"/>
  <c r="U36" i="7"/>
  <c r="X43" i="7"/>
  <c r="S45" i="7"/>
  <c r="G45" i="7"/>
  <c r="X47" i="7"/>
  <c r="T49" i="7"/>
  <c r="T50" i="7"/>
  <c r="Q51" i="7"/>
  <c r="N52" i="7"/>
  <c r="W52" i="7" s="1"/>
  <c r="W55" i="7"/>
  <c r="T55" i="7"/>
  <c r="U65" i="7"/>
  <c r="X65" i="7"/>
  <c r="BI67" i="7"/>
  <c r="BI3" i="7" s="1"/>
  <c r="AE67" i="7"/>
  <c r="AE3" i="7" s="1"/>
  <c r="AM67" i="7"/>
  <c r="AM3" i="7" s="1"/>
  <c r="AU67" i="7"/>
  <c r="AU3" i="7" s="1"/>
  <c r="BC67" i="7"/>
  <c r="BC3" i="7" s="1"/>
  <c r="BK67" i="7"/>
  <c r="R67" i="7" s="1"/>
  <c r="N84" i="7"/>
  <c r="W84" i="7" s="1"/>
  <c r="W85" i="7"/>
  <c r="T85" i="7"/>
  <c r="S86" i="7"/>
  <c r="M84" i="7"/>
  <c r="V86" i="7"/>
  <c r="H86" i="7"/>
  <c r="W137" i="7"/>
  <c r="W136" i="7" s="1"/>
  <c r="T137" i="7"/>
  <c r="N136" i="7"/>
  <c r="T154" i="7"/>
  <c r="M160" i="6"/>
  <c r="O168" i="6"/>
  <c r="X168" i="6" s="1"/>
  <c r="N12" i="7"/>
  <c r="W12" i="7" s="1"/>
  <c r="AL12" i="7"/>
  <c r="AL3" i="7" s="1"/>
  <c r="T16" i="7"/>
  <c r="H26" i="7"/>
  <c r="H31" i="7"/>
  <c r="V36" i="7"/>
  <c r="H45" i="7"/>
  <c r="V45" i="7"/>
  <c r="U58" i="7"/>
  <c r="X58" i="7"/>
  <c r="X74" i="7"/>
  <c r="U74" i="7"/>
  <c r="P77" i="7"/>
  <c r="AB67" i="7"/>
  <c r="AB3" i="7" s="1"/>
  <c r="U78" i="7"/>
  <c r="U77" i="7" s="1"/>
  <c r="X78" i="7"/>
  <c r="U114" i="7"/>
  <c r="S25" i="7"/>
  <c r="U26" i="7"/>
  <c r="U12" i="7" s="1"/>
  <c r="H30" i="7"/>
  <c r="S30" i="7"/>
  <c r="T32" i="7"/>
  <c r="W36" i="7"/>
  <c r="H53" i="7"/>
  <c r="S53" i="7"/>
  <c r="X56" i="7"/>
  <c r="U56" i="7"/>
  <c r="S69" i="7"/>
  <c r="V69" i="7"/>
  <c r="H69" i="7"/>
  <c r="V82" i="7"/>
  <c r="H82" i="7"/>
  <c r="S82" i="7"/>
  <c r="S80" i="7" s="1"/>
  <c r="T98" i="7"/>
  <c r="N97" i="7"/>
  <c r="W98" i="7"/>
  <c r="T102" i="7"/>
  <c r="W102" i="7"/>
  <c r="M140" i="6"/>
  <c r="H140" i="6" s="1"/>
  <c r="H151" i="6"/>
  <c r="V154" i="6"/>
  <c r="H158" i="6"/>
  <c r="W162" i="6"/>
  <c r="V169" i="6"/>
  <c r="M176" i="6"/>
  <c r="X177" i="6"/>
  <c r="W184" i="6"/>
  <c r="Y3" i="7"/>
  <c r="F190" i="7"/>
  <c r="F195" i="7" s="1"/>
  <c r="H195" i="7" s="1"/>
  <c r="W4" i="7"/>
  <c r="H11" i="7"/>
  <c r="AF12" i="7"/>
  <c r="H25" i="7"/>
  <c r="H40" i="7"/>
  <c r="W42" i="7"/>
  <c r="T51" i="7"/>
  <c r="T53" i="7"/>
  <c r="W53" i="7"/>
  <c r="W63" i="7"/>
  <c r="T63" i="7"/>
  <c r="S64" i="7"/>
  <c r="V64" i="7"/>
  <c r="H64" i="7"/>
  <c r="G68" i="7"/>
  <c r="Z67" i="7"/>
  <c r="Z3" i="7" s="1"/>
  <c r="Q68" i="7"/>
  <c r="O77" i="7"/>
  <c r="X77" i="7" s="1"/>
  <c r="AC84" i="7"/>
  <c r="Q84" i="7" s="1"/>
  <c r="Q87" i="7"/>
  <c r="N87" i="7"/>
  <c r="AA96" i="7"/>
  <c r="R96" i="7" s="1"/>
  <c r="R97" i="7"/>
  <c r="N119" i="7"/>
  <c r="W119" i="7" s="1"/>
  <c r="W120" i="7"/>
  <c r="V154" i="7"/>
  <c r="H154" i="7"/>
  <c r="G4" i="7"/>
  <c r="S35" i="7"/>
  <c r="H35" i="7"/>
  <c r="V35" i="7"/>
  <c r="W38" i="7"/>
  <c r="T38" i="7"/>
  <c r="V40" i="7"/>
  <c r="S51" i="7"/>
  <c r="H51" i="7"/>
  <c r="S57" i="7"/>
  <c r="V57" i="7"/>
  <c r="U71" i="7"/>
  <c r="X71" i="7"/>
  <c r="R77" i="7"/>
  <c r="U87" i="7"/>
  <c r="X87" i="7"/>
  <c r="O84" i="7"/>
  <c r="X84" i="7" s="1"/>
  <c r="H37" i="7"/>
  <c r="H39" i="7"/>
  <c r="U41" i="7"/>
  <c r="S44" i="7"/>
  <c r="X48" i="7"/>
  <c r="X54" i="7"/>
  <c r="K67" i="7"/>
  <c r="K3" i="7" s="1"/>
  <c r="Q77" i="7"/>
  <c r="H80" i="7"/>
  <c r="X83" i="7"/>
  <c r="U83" i="7"/>
  <c r="U80" i="7" s="1"/>
  <c r="G96" i="7"/>
  <c r="AX159" i="7"/>
  <c r="AX3" i="7" s="1"/>
  <c r="H160" i="7"/>
  <c r="BI96" i="7"/>
  <c r="H105" i="7"/>
  <c r="H109" i="7"/>
  <c r="H113" i="7"/>
  <c r="H115" i="7"/>
  <c r="O120" i="7"/>
  <c r="H122" i="7"/>
  <c r="H129" i="7"/>
  <c r="H132" i="7"/>
  <c r="Q137" i="7"/>
  <c r="O140" i="7"/>
  <c r="H142" i="7"/>
  <c r="H153" i="7"/>
  <c r="W158" i="7"/>
  <c r="R161" i="7"/>
  <c r="X162" i="7"/>
  <c r="O161" i="7"/>
  <c r="X175" i="7"/>
  <c r="M176" i="7"/>
  <c r="H177" i="7"/>
  <c r="W183" i="7"/>
  <c r="H4" i="8"/>
  <c r="I12" i="8"/>
  <c r="G12" i="8" s="1"/>
  <c r="S15" i="8"/>
  <c r="G15" i="8"/>
  <c r="W74" i="8"/>
  <c r="T74" i="8"/>
  <c r="AK159" i="7"/>
  <c r="AK3" i="7" s="1"/>
  <c r="Q169" i="7"/>
  <c r="V177" i="7"/>
  <c r="X184" i="7"/>
  <c r="O183" i="7"/>
  <c r="X183" i="7" s="1"/>
  <c r="X4" i="8"/>
  <c r="T10" i="8"/>
  <c r="T4" i="8" s="1"/>
  <c r="W10" i="8"/>
  <c r="Q12" i="8"/>
  <c r="W19" i="8"/>
  <c r="T19" i="8"/>
  <c r="W22" i="8"/>
  <c r="T22" i="8"/>
  <c r="V24" i="8"/>
  <c r="S24" i="8"/>
  <c r="T50" i="8"/>
  <c r="M77" i="7"/>
  <c r="M67" i="7" s="1"/>
  <c r="N80" i="7"/>
  <c r="W80" i="7" s="1"/>
  <c r="T91" i="7"/>
  <c r="T89" i="7" s="1"/>
  <c r="S95" i="7"/>
  <c r="S89" i="7" s="1"/>
  <c r="AE96" i="7"/>
  <c r="S100" i="7"/>
  <c r="U101" i="7"/>
  <c r="U97" i="7" s="1"/>
  <c r="T104" i="7"/>
  <c r="V105" i="7"/>
  <c r="X106" i="7"/>
  <c r="T108" i="7"/>
  <c r="V109" i="7"/>
  <c r="X110" i="7"/>
  <c r="T112" i="7"/>
  <c r="V113" i="7"/>
  <c r="V115" i="7"/>
  <c r="X116" i="7"/>
  <c r="T117" i="7"/>
  <c r="T114" i="7" s="1"/>
  <c r="X118" i="7"/>
  <c r="T121" i="7"/>
  <c r="T120" i="7" s="1"/>
  <c r="V122" i="7"/>
  <c r="X123" i="7"/>
  <c r="H125" i="7"/>
  <c r="S125" i="7"/>
  <c r="U126" i="7"/>
  <c r="W127" i="7"/>
  <c r="V129" i="7"/>
  <c r="T131" i="7"/>
  <c r="V132" i="7"/>
  <c r="V130" i="7" s="1"/>
  <c r="X133" i="7"/>
  <c r="T135" i="7"/>
  <c r="AF136" i="7"/>
  <c r="AF119" i="7" s="1"/>
  <c r="AF96" i="7" s="1"/>
  <c r="S137" i="7"/>
  <c r="S138" i="7"/>
  <c r="U139" i="7"/>
  <c r="U136" i="7" s="1"/>
  <c r="T141" i="7"/>
  <c r="T140" i="7" s="1"/>
  <c r="V142" i="7"/>
  <c r="X143" i="7"/>
  <c r="O145" i="7"/>
  <c r="X145" i="7" s="1"/>
  <c r="T147" i="7"/>
  <c r="T145" i="7" s="1"/>
  <c r="M150" i="7"/>
  <c r="X151" i="7"/>
  <c r="T152" i="7"/>
  <c r="T150" i="7" s="1"/>
  <c r="V153" i="7"/>
  <c r="U155" i="7"/>
  <c r="U154" i="7" s="1"/>
  <c r="W156" i="7"/>
  <c r="S157" i="7"/>
  <c r="Q160" i="7"/>
  <c r="V163" i="7"/>
  <c r="AD168" i="7"/>
  <c r="AD159" i="7" s="1"/>
  <c r="BJ168" i="7"/>
  <c r="H172" i="7"/>
  <c r="V172" i="7"/>
  <c r="U174" i="7"/>
  <c r="N176" i="7"/>
  <c r="W176" i="7" s="1"/>
  <c r="W177" i="7"/>
  <c r="AT3" i="8"/>
  <c r="Q4" i="8"/>
  <c r="P4" i="8"/>
  <c r="U17" i="8"/>
  <c r="T35" i="8"/>
  <c r="T51" i="8"/>
  <c r="T80" i="8"/>
  <c r="V84" i="8"/>
  <c r="H84" i="8"/>
  <c r="T87" i="8"/>
  <c r="W87" i="8"/>
  <c r="S59" i="7"/>
  <c r="U60" i="7"/>
  <c r="S62" i="7"/>
  <c r="U63" i="7"/>
  <c r="S66" i="7"/>
  <c r="S72" i="7"/>
  <c r="T73" i="7"/>
  <c r="T68" i="7" s="1"/>
  <c r="N77" i="7"/>
  <c r="W77" i="7" s="1"/>
  <c r="S79" i="7"/>
  <c r="S77" i="7" s="1"/>
  <c r="O80" i="7"/>
  <c r="X80" i="7" s="1"/>
  <c r="T82" i="7"/>
  <c r="T80" i="7" s="1"/>
  <c r="U85" i="7"/>
  <c r="U91" i="7"/>
  <c r="U89" i="7" s="1"/>
  <c r="H95" i="7"/>
  <c r="T95" i="7"/>
  <c r="M97" i="7"/>
  <c r="H100" i="7"/>
  <c r="T100" i="7"/>
  <c r="U104" i="7"/>
  <c r="S107" i="7"/>
  <c r="U108" i="7"/>
  <c r="S111" i="7"/>
  <c r="U112" i="7"/>
  <c r="U121" i="7"/>
  <c r="U120" i="7" s="1"/>
  <c r="S124" i="7"/>
  <c r="S120" i="7" s="1"/>
  <c r="U131" i="7"/>
  <c r="U130" i="7" s="1"/>
  <c r="S134" i="7"/>
  <c r="S130" i="7" s="1"/>
  <c r="U135" i="7"/>
  <c r="H137" i="7"/>
  <c r="H138" i="7"/>
  <c r="T138" i="7"/>
  <c r="U141" i="7"/>
  <c r="U140" i="7" s="1"/>
  <c r="S146" i="7"/>
  <c r="S145" i="7" s="1"/>
  <c r="U147" i="7"/>
  <c r="U145" i="7" s="1"/>
  <c r="N150" i="7"/>
  <c r="W150" i="7" s="1"/>
  <c r="U152" i="7"/>
  <c r="U150" i="7" s="1"/>
  <c r="V161" i="7"/>
  <c r="W163" i="7"/>
  <c r="I168" i="7"/>
  <c r="G168" i="7" s="1"/>
  <c r="R168" i="7"/>
  <c r="M169" i="7"/>
  <c r="X169" i="7"/>
  <c r="X172" i="7"/>
  <c r="V186" i="7"/>
  <c r="H186" i="7"/>
  <c r="G191" i="7"/>
  <c r="U8" i="8"/>
  <c r="U4" i="8" s="1"/>
  <c r="T52" i="8"/>
  <c r="M114" i="7"/>
  <c r="R136" i="7"/>
  <c r="R119" i="7" s="1"/>
  <c r="O150" i="7"/>
  <c r="X150" i="7" s="1"/>
  <c r="I160" i="7"/>
  <c r="P165" i="7"/>
  <c r="W169" i="7"/>
  <c r="P176" i="7"/>
  <c r="R4" i="8"/>
  <c r="U9" i="8"/>
  <c r="V17" i="8"/>
  <c r="S17" i="8"/>
  <c r="H17" i="8"/>
  <c r="V20" i="8"/>
  <c r="H20" i="8"/>
  <c r="S20" i="8"/>
  <c r="V27" i="8"/>
  <c r="H27" i="8"/>
  <c r="S27" i="8"/>
  <c r="I67" i="7"/>
  <c r="G67" i="7" s="1"/>
  <c r="N68" i="7"/>
  <c r="M89" i="7"/>
  <c r="W91" i="7"/>
  <c r="O97" i="7"/>
  <c r="W121" i="7"/>
  <c r="M130" i="7"/>
  <c r="H130" i="7" s="1"/>
  <c r="W131" i="7"/>
  <c r="W130" i="7" s="1"/>
  <c r="V137" i="7"/>
  <c r="V136" i="7" s="1"/>
  <c r="W141" i="7"/>
  <c r="W140" i="7" s="1"/>
  <c r="X155" i="7"/>
  <c r="BA159" i="7"/>
  <c r="BA3" i="7" s="1"/>
  <c r="R160" i="7"/>
  <c r="U164" i="7"/>
  <c r="Z168" i="7"/>
  <c r="Z159" i="7" s="1"/>
  <c r="AH168" i="7"/>
  <c r="AH159" i="7" s="1"/>
  <c r="AH3" i="7" s="1"/>
  <c r="AP168" i="7"/>
  <c r="AP159" i="7" s="1"/>
  <c r="AP3" i="7" s="1"/>
  <c r="AX168" i="7"/>
  <c r="BF168" i="7"/>
  <c r="BF159" i="7" s="1"/>
  <c r="BF3" i="7" s="1"/>
  <c r="S183" i="7"/>
  <c r="S159" i="7" s="1"/>
  <c r="H191" i="8"/>
  <c r="F195" i="8"/>
  <c r="H195" i="8" s="1"/>
  <c r="V14" i="8"/>
  <c r="H14" i="8"/>
  <c r="U21" i="8"/>
  <c r="W23" i="8"/>
  <c r="T23" i="8"/>
  <c r="S80" i="8"/>
  <c r="Q84" i="8"/>
  <c r="S76" i="7"/>
  <c r="S88" i="7"/>
  <c r="X91" i="7"/>
  <c r="S98" i="7"/>
  <c r="S97" i="7" s="1"/>
  <c r="S102" i="7"/>
  <c r="O114" i="7"/>
  <c r="X114" i="7" s="1"/>
  <c r="M120" i="7"/>
  <c r="S127" i="7"/>
  <c r="X131" i="7"/>
  <c r="X130" i="7" s="1"/>
  <c r="M140" i="7"/>
  <c r="H140" i="7" s="1"/>
  <c r="N154" i="7"/>
  <c r="W154" i="7" s="1"/>
  <c r="S156" i="7"/>
  <c r="S154" i="7" s="1"/>
  <c r="H158" i="7"/>
  <c r="U162" i="7"/>
  <c r="U161" i="7" s="1"/>
  <c r="U160" i="7" s="1"/>
  <c r="H164" i="7"/>
  <c r="V164" i="7"/>
  <c r="R165" i="7"/>
  <c r="U173" i="7"/>
  <c r="U169" i="7" s="1"/>
  <c r="U168" i="7" s="1"/>
  <c r="V175" i="7"/>
  <c r="J192" i="8"/>
  <c r="J3" i="8"/>
  <c r="N4" i="8"/>
  <c r="S9" i="8"/>
  <c r="S4" i="8" s="1"/>
  <c r="V9" i="8"/>
  <c r="H9" i="8"/>
  <c r="T16" i="8"/>
  <c r="W18" i="8"/>
  <c r="T18" i="8"/>
  <c r="V21" i="8"/>
  <c r="H21" i="8"/>
  <c r="S21" i="8"/>
  <c r="W28" i="8"/>
  <c r="T28" i="8"/>
  <c r="W48" i="8"/>
  <c r="T48" i="8"/>
  <c r="T56" i="8"/>
  <c r="W56" i="8"/>
  <c r="V162" i="7"/>
  <c r="H165" i="7"/>
  <c r="G169" i="7"/>
  <c r="W175" i="7"/>
  <c r="T177" i="7"/>
  <c r="T176" i="7" s="1"/>
  <c r="T168" i="7" s="1"/>
  <c r="T159" i="7" s="1"/>
  <c r="V182" i="7"/>
  <c r="M183" i="7"/>
  <c r="V184" i="7"/>
  <c r="U184" i="7"/>
  <c r="U187" i="7"/>
  <c r="L192" i="8"/>
  <c r="L3" i="8"/>
  <c r="V7" i="8"/>
  <c r="H7" i="8"/>
  <c r="T15" i="8"/>
  <c r="I4" i="8"/>
  <c r="V6" i="8"/>
  <c r="V13" i="8"/>
  <c r="S18" i="8"/>
  <c r="S19" i="8"/>
  <c r="S22" i="8"/>
  <c r="H25" i="8"/>
  <c r="V26" i="8"/>
  <c r="V32" i="8"/>
  <c r="H43" i="8"/>
  <c r="G44" i="8"/>
  <c r="H55" i="8"/>
  <c r="V56" i="8"/>
  <c r="BK67" i="8"/>
  <c r="R67" i="8" s="1"/>
  <c r="V78" i="8"/>
  <c r="O84" i="8"/>
  <c r="X84" i="8" s="1"/>
  <c r="H86" i="8"/>
  <c r="T86" i="8"/>
  <c r="T84" i="8" s="1"/>
  <c r="V87" i="8"/>
  <c r="T95" i="8"/>
  <c r="M97" i="8"/>
  <c r="G106" i="8"/>
  <c r="V111" i="8"/>
  <c r="H111" i="8"/>
  <c r="S111" i="8"/>
  <c r="V115" i="8"/>
  <c r="H115" i="8"/>
  <c r="M114" i="8"/>
  <c r="U114" i="8"/>
  <c r="T125" i="8"/>
  <c r="T120" i="8" s="1"/>
  <c r="W127" i="8"/>
  <c r="T127" i="8"/>
  <c r="P130" i="8"/>
  <c r="BI119" i="8"/>
  <c r="BI96" i="8" s="1"/>
  <c r="O130" i="8"/>
  <c r="X131" i="8"/>
  <c r="X130" i="8" s="1"/>
  <c r="U131" i="8"/>
  <c r="AI136" i="8"/>
  <c r="AI119" i="8" s="1"/>
  <c r="AI96" i="8" s="1"/>
  <c r="AI3" i="8" s="1"/>
  <c r="N137" i="8"/>
  <c r="S145" i="8"/>
  <c r="V158" i="8"/>
  <c r="H158" i="8"/>
  <c r="S158" i="8"/>
  <c r="V183" i="8"/>
  <c r="H183" i="8"/>
  <c r="P4" i="9"/>
  <c r="X8" i="9"/>
  <c r="U8" i="9"/>
  <c r="U25" i="8"/>
  <c r="T29" i="8"/>
  <c r="U30" i="8"/>
  <c r="U31" i="8"/>
  <c r="S34" i="8"/>
  <c r="H35" i="8"/>
  <c r="S35" i="8"/>
  <c r="T36" i="8"/>
  <c r="H40" i="8"/>
  <c r="S40" i="8"/>
  <c r="H41" i="8"/>
  <c r="S41" i="8"/>
  <c r="H42" i="8"/>
  <c r="S42" i="8"/>
  <c r="H47" i="8"/>
  <c r="S47" i="8"/>
  <c r="S48" i="8"/>
  <c r="H49" i="8"/>
  <c r="S49" i="8"/>
  <c r="G50" i="8"/>
  <c r="S54" i="8"/>
  <c r="U55" i="8"/>
  <c r="T59" i="8"/>
  <c r="T62" i="8"/>
  <c r="T66" i="8"/>
  <c r="M68" i="8"/>
  <c r="AC68" i="8"/>
  <c r="G71" i="8"/>
  <c r="H72" i="8"/>
  <c r="S72" i="8"/>
  <c r="T73" i="8"/>
  <c r="U74" i="8"/>
  <c r="U68" i="8" s="1"/>
  <c r="T75" i="8"/>
  <c r="T83" i="8"/>
  <c r="S85" i="8"/>
  <c r="S84" i="8" s="1"/>
  <c r="U86" i="8"/>
  <c r="U84" i="8" s="1"/>
  <c r="V122" i="8"/>
  <c r="H122" i="8"/>
  <c r="V129" i="8"/>
  <c r="H129" i="8"/>
  <c r="S129" i="8"/>
  <c r="W143" i="8"/>
  <c r="T143" i="8"/>
  <c r="P150" i="8"/>
  <c r="Y159" i="8"/>
  <c r="Y3" i="8" s="1"/>
  <c r="AG159" i="8"/>
  <c r="AG3" i="8" s="1"/>
  <c r="AO159" i="8"/>
  <c r="AO3" i="8" s="1"/>
  <c r="AW159" i="8"/>
  <c r="AW3" i="8" s="1"/>
  <c r="BE159" i="8"/>
  <c r="BE3" i="8" s="1"/>
  <c r="P169" i="8"/>
  <c r="N168" i="8"/>
  <c r="W168" i="8" s="1"/>
  <c r="W173" i="8"/>
  <c r="T173" i="8"/>
  <c r="T176" i="8"/>
  <c r="X13" i="8"/>
  <c r="V25" i="8"/>
  <c r="X26" i="8"/>
  <c r="V30" i="8"/>
  <c r="V31" i="8"/>
  <c r="X32" i="8"/>
  <c r="H34" i="8"/>
  <c r="W37" i="8"/>
  <c r="H48" i="8"/>
  <c r="H50" i="8"/>
  <c r="H54" i="8"/>
  <c r="V55" i="8"/>
  <c r="X56" i="8"/>
  <c r="W60" i="8"/>
  <c r="W63" i="8"/>
  <c r="N68" i="8"/>
  <c r="S71" i="8"/>
  <c r="S68" i="8" s="1"/>
  <c r="V74" i="8"/>
  <c r="W76" i="8"/>
  <c r="M77" i="8"/>
  <c r="X78" i="8"/>
  <c r="N80" i="8"/>
  <c r="W80" i="8" s="1"/>
  <c r="V80" i="8"/>
  <c r="H85" i="8"/>
  <c r="V86" i="8"/>
  <c r="X87" i="8"/>
  <c r="W88" i="8"/>
  <c r="M91" i="8"/>
  <c r="T94" i="8"/>
  <c r="T89" i="8" s="1"/>
  <c r="P97" i="8"/>
  <c r="V109" i="8"/>
  <c r="H109" i="8"/>
  <c r="O114" i="8"/>
  <c r="X114" i="8" s="1"/>
  <c r="O120" i="8"/>
  <c r="X121" i="8"/>
  <c r="U121" i="8"/>
  <c r="U120" i="8" s="1"/>
  <c r="P136" i="8"/>
  <c r="G160" i="8"/>
  <c r="I159" i="8"/>
  <c r="G159" i="8" s="1"/>
  <c r="W186" i="8"/>
  <c r="T186" i="8"/>
  <c r="X4" i="9"/>
  <c r="R4" i="9"/>
  <c r="S33" i="8"/>
  <c r="U34" i="8"/>
  <c r="U35" i="8"/>
  <c r="T39" i="8"/>
  <c r="U40" i="8"/>
  <c r="U41" i="8"/>
  <c r="U42" i="8"/>
  <c r="G45" i="8"/>
  <c r="T46" i="8"/>
  <c r="U47" i="8"/>
  <c r="U48" i="8"/>
  <c r="U49" i="8"/>
  <c r="H51" i="8"/>
  <c r="S51" i="8"/>
  <c r="H52" i="8"/>
  <c r="S52" i="8"/>
  <c r="S53" i="8"/>
  <c r="U54" i="8"/>
  <c r="T58" i="8"/>
  <c r="S61" i="8"/>
  <c r="T65" i="8"/>
  <c r="T70" i="8"/>
  <c r="T68" i="8" s="1"/>
  <c r="T67" i="8" s="1"/>
  <c r="X95" i="8"/>
  <c r="N97" i="8"/>
  <c r="W98" i="8"/>
  <c r="V104" i="8"/>
  <c r="H104" i="8"/>
  <c r="X108" i="8"/>
  <c r="U108" i="8"/>
  <c r="V113" i="8"/>
  <c r="H113" i="8"/>
  <c r="V116" i="8"/>
  <c r="H116" i="8"/>
  <c r="X133" i="8"/>
  <c r="U133" i="8"/>
  <c r="V134" i="8"/>
  <c r="H134" i="8"/>
  <c r="S134" i="8"/>
  <c r="Q136" i="8"/>
  <c r="W138" i="8"/>
  <c r="T138" i="8"/>
  <c r="P145" i="8"/>
  <c r="R150" i="8"/>
  <c r="W161" i="8"/>
  <c r="X169" i="8"/>
  <c r="O168" i="8"/>
  <c r="X168" i="8" s="1"/>
  <c r="BK168" i="8"/>
  <c r="R169" i="8"/>
  <c r="P176" i="8"/>
  <c r="X179" i="8"/>
  <c r="U179" i="8"/>
  <c r="E190" i="8"/>
  <c r="E195" i="8" s="1"/>
  <c r="G195" i="8" s="1"/>
  <c r="O12" i="8"/>
  <c r="X12" i="8" s="1"/>
  <c r="H33" i="8"/>
  <c r="M44" i="8"/>
  <c r="M12" i="8" s="1"/>
  <c r="S45" i="8"/>
  <c r="H53" i="8"/>
  <c r="P68" i="8"/>
  <c r="O77" i="8"/>
  <c r="X77" i="8" s="1"/>
  <c r="H79" i="8"/>
  <c r="V85" i="8"/>
  <c r="V94" i="8"/>
  <c r="G96" i="8"/>
  <c r="R97" i="8"/>
  <c r="X112" i="8"/>
  <c r="U112" i="8"/>
  <c r="N120" i="8"/>
  <c r="V123" i="8"/>
  <c r="H123" i="8"/>
  <c r="G130" i="8"/>
  <c r="G119" i="8" s="1"/>
  <c r="S130" i="8"/>
  <c r="R136" i="8"/>
  <c r="U140" i="8"/>
  <c r="X149" i="8"/>
  <c r="U149" i="8"/>
  <c r="U145" i="8" s="1"/>
  <c r="X181" i="8"/>
  <c r="U181" i="8"/>
  <c r="G183" i="8"/>
  <c r="S183" i="8"/>
  <c r="V7" i="9"/>
  <c r="H7" i="9"/>
  <c r="S7" i="9"/>
  <c r="S4" i="9" s="1"/>
  <c r="M4" i="9"/>
  <c r="W15" i="9"/>
  <c r="T15" i="9"/>
  <c r="P19" i="9"/>
  <c r="M19" i="9"/>
  <c r="AN12" i="9"/>
  <c r="W94" i="8"/>
  <c r="V110" i="8"/>
  <c r="H110" i="8"/>
  <c r="Q114" i="8"/>
  <c r="V118" i="8"/>
  <c r="H118" i="8"/>
  <c r="P120" i="8"/>
  <c r="P119" i="8" s="1"/>
  <c r="AD119" i="8"/>
  <c r="AD96" i="8" s="1"/>
  <c r="AD3" i="8" s="1"/>
  <c r="R120" i="8"/>
  <c r="BJ119" i="8"/>
  <c r="BJ96" i="8" s="1"/>
  <c r="V145" i="8"/>
  <c r="H145" i="8"/>
  <c r="AC160" i="8"/>
  <c r="AC159" i="8" s="1"/>
  <c r="Q161" i="8"/>
  <c r="BI160" i="8"/>
  <c r="P161" i="8"/>
  <c r="R176" i="8"/>
  <c r="AD168" i="8"/>
  <c r="BJ168" i="8"/>
  <c r="Q168" i="8" s="1"/>
  <c r="Q176" i="8"/>
  <c r="N183" i="8"/>
  <c r="W183" i="8" s="1"/>
  <c r="N27" i="8"/>
  <c r="V105" i="8"/>
  <c r="H105" i="8"/>
  <c r="U105" i="8"/>
  <c r="U97" i="8" s="1"/>
  <c r="U107" i="8"/>
  <c r="S114" i="8"/>
  <c r="Q128" i="8"/>
  <c r="AC120" i="8"/>
  <c r="AC119" i="8" s="1"/>
  <c r="AC96" i="8" s="1"/>
  <c r="X135" i="8"/>
  <c r="U135" i="8"/>
  <c r="Q140" i="8"/>
  <c r="T145" i="8"/>
  <c r="V156" i="8"/>
  <c r="H156" i="8"/>
  <c r="S156" i="8"/>
  <c r="S154" i="8" s="1"/>
  <c r="V161" i="8"/>
  <c r="M160" i="8"/>
  <c r="H161" i="8"/>
  <c r="T165" i="8"/>
  <c r="F196" i="8"/>
  <c r="H196" i="8" s="1"/>
  <c r="F191" i="9"/>
  <c r="F196" i="9" s="1"/>
  <c r="H196" i="9" s="1"/>
  <c r="F3" i="9"/>
  <c r="H45" i="9"/>
  <c r="V45" i="9"/>
  <c r="S45" i="9"/>
  <c r="H85" i="9"/>
  <c r="V85" i="9"/>
  <c r="H30" i="8"/>
  <c r="H74" i="8"/>
  <c r="O89" i="8"/>
  <c r="X89" i="8" s="1"/>
  <c r="AN89" i="8"/>
  <c r="AN67" i="8" s="1"/>
  <c r="AN3" i="8" s="1"/>
  <c r="G91" i="8"/>
  <c r="T103" i="8"/>
  <c r="T97" i="8" s="1"/>
  <c r="V107" i="8"/>
  <c r="H107" i="8"/>
  <c r="S107" i="8"/>
  <c r="S97" i="8" s="1"/>
  <c r="U111" i="8"/>
  <c r="S122" i="8"/>
  <c r="V124" i="8"/>
  <c r="H124" i="8"/>
  <c r="S124" i="8"/>
  <c r="S120" i="8" s="1"/>
  <c r="S119" i="8" s="1"/>
  <c r="T130" i="8"/>
  <c r="V132" i="8"/>
  <c r="V130" i="8" s="1"/>
  <c r="H132" i="8"/>
  <c r="S132" i="8"/>
  <c r="R140" i="8"/>
  <c r="W151" i="8"/>
  <c r="T151" i="8"/>
  <c r="T150" i="8" s="1"/>
  <c r="N150" i="8"/>
  <c r="W150" i="8" s="1"/>
  <c r="AD159" i="8"/>
  <c r="Q160" i="8"/>
  <c r="O159" i="8"/>
  <c r="X159" i="8" s="1"/>
  <c r="BK159" i="8"/>
  <c r="R159" i="8" s="1"/>
  <c r="R160" i="8"/>
  <c r="W167" i="8"/>
  <c r="T167" i="8"/>
  <c r="N165" i="8"/>
  <c r="W165" i="8" s="1"/>
  <c r="P183" i="8"/>
  <c r="I12" i="9"/>
  <c r="G15" i="9"/>
  <c r="S15" i="9"/>
  <c r="W19" i="9"/>
  <c r="T19" i="9"/>
  <c r="P32" i="9"/>
  <c r="M32" i="9"/>
  <c r="AQ12" i="9"/>
  <c r="AQ3" i="9" s="1"/>
  <c r="T141" i="8"/>
  <c r="T140" i="8" s="1"/>
  <c r="T147" i="8"/>
  <c r="T152" i="8"/>
  <c r="U155" i="8"/>
  <c r="U154" i="8" s="1"/>
  <c r="G161" i="8"/>
  <c r="T163" i="8"/>
  <c r="T161" i="8" s="1"/>
  <c r="T160" i="8" s="1"/>
  <c r="U166" i="8"/>
  <c r="U165" i="8" s="1"/>
  <c r="U160" i="8" s="1"/>
  <c r="Q169" i="8"/>
  <c r="T175" i="8"/>
  <c r="T169" i="8" s="1"/>
  <c r="T168" i="8" s="1"/>
  <c r="S177" i="8"/>
  <c r="U178" i="8"/>
  <c r="U180" i="8"/>
  <c r="U176" i="8" s="1"/>
  <c r="U168" i="8" s="1"/>
  <c r="S182" i="8"/>
  <c r="Q4" i="9"/>
  <c r="U6" i="9"/>
  <c r="H10" i="9"/>
  <c r="S10" i="9"/>
  <c r="W11" i="9"/>
  <c r="X15" i="9"/>
  <c r="U15" i="9"/>
  <c r="Q19" i="9"/>
  <c r="W20" i="9"/>
  <c r="S22" i="9"/>
  <c r="G22" i="9"/>
  <c r="Q23" i="9"/>
  <c r="R68" i="9"/>
  <c r="V98" i="9"/>
  <c r="H98" i="9"/>
  <c r="U115" i="9"/>
  <c r="G120" i="9"/>
  <c r="V108" i="8"/>
  <c r="V112" i="8"/>
  <c r="X115" i="8"/>
  <c r="V121" i="8"/>
  <c r="V135" i="8"/>
  <c r="V150" i="8"/>
  <c r="V155" i="8"/>
  <c r="X161" i="8"/>
  <c r="V166" i="8"/>
  <c r="M168" i="8"/>
  <c r="BI168" i="8"/>
  <c r="P168" i="8" s="1"/>
  <c r="H177" i="8"/>
  <c r="V178" i="8"/>
  <c r="H182" i="8"/>
  <c r="L3" i="9"/>
  <c r="V6" i="9"/>
  <c r="V13" i="9"/>
  <c r="S13" i="9"/>
  <c r="X13" i="9"/>
  <c r="N18" i="9"/>
  <c r="N12" i="9" s="1"/>
  <c r="W12" i="9" s="1"/>
  <c r="X20" i="9"/>
  <c r="H30" i="9"/>
  <c r="S30" i="9"/>
  <c r="H38" i="9"/>
  <c r="S38" i="9"/>
  <c r="V38" i="9"/>
  <c r="U81" i="9"/>
  <c r="T85" i="9"/>
  <c r="E160" i="9"/>
  <c r="E3" i="9" s="1"/>
  <c r="G161" i="9"/>
  <c r="S181" i="8"/>
  <c r="U182" i="8"/>
  <c r="T184" i="8"/>
  <c r="T187" i="8"/>
  <c r="S8" i="9"/>
  <c r="T9" i="9"/>
  <c r="T4" i="9" s="1"/>
  <c r="U10" i="9"/>
  <c r="T16" i="9"/>
  <c r="V27" i="9"/>
  <c r="S27" i="9"/>
  <c r="H27" i="9"/>
  <c r="T28" i="9"/>
  <c r="T30" i="9"/>
  <c r="W30" i="9"/>
  <c r="T31" i="9"/>
  <c r="U33" i="9"/>
  <c r="X33" i="9"/>
  <c r="W40" i="9"/>
  <c r="T40" i="9"/>
  <c r="X98" i="9"/>
  <c r="M120" i="8"/>
  <c r="H133" i="8"/>
  <c r="W141" i="8"/>
  <c r="W140" i="8" s="1"/>
  <c r="H149" i="8"/>
  <c r="M154" i="8"/>
  <c r="X155" i="8"/>
  <c r="R161" i="8"/>
  <c r="X166" i="8"/>
  <c r="V177" i="8"/>
  <c r="F193" i="9"/>
  <c r="H193" i="9" s="1"/>
  <c r="H8" i="9"/>
  <c r="O12" i="9"/>
  <c r="X12" i="9" s="1"/>
  <c r="AR12" i="9"/>
  <c r="Q12" i="9" s="1"/>
  <c r="X18" i="9"/>
  <c r="U18" i="9"/>
  <c r="X24" i="9"/>
  <c r="U39" i="9"/>
  <c r="X39" i="9"/>
  <c r="P12" i="9"/>
  <c r="W23" i="9"/>
  <c r="T23" i="9"/>
  <c r="T121" i="9"/>
  <c r="W146" i="8"/>
  <c r="W162" i="8"/>
  <c r="V169" i="8"/>
  <c r="X177" i="8"/>
  <c r="W184" i="8"/>
  <c r="E191" i="9"/>
  <c r="N4" i="9"/>
  <c r="W14" i="9"/>
  <c r="T14" i="9"/>
  <c r="Q20" i="9"/>
  <c r="V23" i="9"/>
  <c r="H23" i="9"/>
  <c r="S23" i="9"/>
  <c r="X28" i="9"/>
  <c r="U28" i="9"/>
  <c r="U31" i="9"/>
  <c r="X31" i="9"/>
  <c r="S32" i="9"/>
  <c r="U121" i="9"/>
  <c r="H125" i="8"/>
  <c r="G4" i="9"/>
  <c r="V11" i="9"/>
  <c r="V15" i="9"/>
  <c r="X21" i="9"/>
  <c r="S29" i="9"/>
  <c r="V29" i="9"/>
  <c r="W33" i="9"/>
  <c r="T48" i="9"/>
  <c r="W49" i="9"/>
  <c r="T49" i="9"/>
  <c r="W75" i="9"/>
  <c r="T75" i="9"/>
  <c r="N69" i="9"/>
  <c r="U90" i="9"/>
  <c r="Y97" i="9"/>
  <c r="P97" i="9" s="1"/>
  <c r="AG97" i="9"/>
  <c r="AG3" i="9" s="1"/>
  <c r="AO97" i="9"/>
  <c r="AO3" i="9" s="1"/>
  <c r="AW97" i="9"/>
  <c r="AW3" i="9" s="1"/>
  <c r="BE97" i="9"/>
  <c r="BE3" i="9" s="1"/>
  <c r="W121" i="9"/>
  <c r="U142" i="9"/>
  <c r="U141" i="9" s="1"/>
  <c r="O141" i="9"/>
  <c r="X142" i="9"/>
  <c r="X141" i="9" s="1"/>
  <c r="O146" i="9"/>
  <c r="X146" i="9" s="1"/>
  <c r="X147" i="9"/>
  <c r="O151" i="9"/>
  <c r="X151" i="9" s="1"/>
  <c r="U153" i="9"/>
  <c r="X153" i="9"/>
  <c r="P155" i="9"/>
  <c r="W162" i="9"/>
  <c r="J161" i="9"/>
  <c r="O162" i="9"/>
  <c r="X163" i="9"/>
  <c r="H166" i="9"/>
  <c r="V166" i="9"/>
  <c r="T183" i="9"/>
  <c r="W183" i="9"/>
  <c r="F197" i="9"/>
  <c r="H197" i="9" s="1"/>
  <c r="U6" i="10"/>
  <c r="X6" i="10"/>
  <c r="V8" i="10"/>
  <c r="H8" i="10"/>
  <c r="W15" i="10"/>
  <c r="T15" i="10"/>
  <c r="T38" i="10"/>
  <c r="W38" i="10"/>
  <c r="T70" i="10"/>
  <c r="W70" i="10"/>
  <c r="T73" i="10"/>
  <c r="N69" i="10"/>
  <c r="U75" i="10"/>
  <c r="X75" i="10"/>
  <c r="AB97" i="10"/>
  <c r="T45" i="9"/>
  <c r="V56" i="9"/>
  <c r="X57" i="9"/>
  <c r="W61" i="9"/>
  <c r="W64" i="9"/>
  <c r="V79" i="9"/>
  <c r="X80" i="9"/>
  <c r="W82" i="9"/>
  <c r="V88" i="9"/>
  <c r="AN90" i="9"/>
  <c r="P90" i="9" s="1"/>
  <c r="V95" i="9"/>
  <c r="X96" i="9"/>
  <c r="Q98" i="9"/>
  <c r="V100" i="9"/>
  <c r="X101" i="9"/>
  <c r="V104" i="9"/>
  <c r="V109" i="9"/>
  <c r="W110" i="9"/>
  <c r="W114" i="9"/>
  <c r="W116" i="9"/>
  <c r="R121" i="9"/>
  <c r="W123" i="9"/>
  <c r="W128" i="9"/>
  <c r="W134" i="9"/>
  <c r="V144" i="9"/>
  <c r="H144" i="9"/>
  <c r="M141" i="9"/>
  <c r="H141" i="9" s="1"/>
  <c r="U148" i="9"/>
  <c r="X148" i="9"/>
  <c r="BI160" i="9"/>
  <c r="BI3" i="9" s="1"/>
  <c r="AB161" i="9"/>
  <c r="P162" i="9"/>
  <c r="AZ160" i="9"/>
  <c r="AZ3" i="9" s="1"/>
  <c r="P166" i="9"/>
  <c r="H178" i="9"/>
  <c r="S178" i="9"/>
  <c r="M177" i="9"/>
  <c r="V178" i="9"/>
  <c r="R4" i="10"/>
  <c r="K3" i="10"/>
  <c r="U14" i="10"/>
  <c r="O12" i="10"/>
  <c r="X12" i="10" s="1"/>
  <c r="O4" i="10"/>
  <c r="X14" i="10"/>
  <c r="S19" i="10"/>
  <c r="H19" i="10"/>
  <c r="S22" i="10"/>
  <c r="G22" i="10"/>
  <c r="I12" i="10"/>
  <c r="G12" i="10" s="1"/>
  <c r="T23" i="10"/>
  <c r="W23" i="10"/>
  <c r="H57" i="10"/>
  <c r="S57" i="10"/>
  <c r="V57" i="10"/>
  <c r="R69" i="10"/>
  <c r="AA68" i="10"/>
  <c r="AA3" i="10" s="1"/>
  <c r="V71" i="10"/>
  <c r="H71" i="10"/>
  <c r="S71" i="10"/>
  <c r="M69" i="10"/>
  <c r="V72" i="10"/>
  <c r="H72" i="10"/>
  <c r="T35" i="9"/>
  <c r="U37" i="9"/>
  <c r="W38" i="9"/>
  <c r="S40" i="9"/>
  <c r="H41" i="9"/>
  <c r="S41" i="9"/>
  <c r="U45" i="9"/>
  <c r="G46" i="9"/>
  <c r="T47" i="9"/>
  <c r="U48" i="9"/>
  <c r="U49" i="9"/>
  <c r="U50" i="9"/>
  <c r="H52" i="9"/>
  <c r="S52" i="9"/>
  <c r="H53" i="9"/>
  <c r="S53" i="9"/>
  <c r="S54" i="9"/>
  <c r="U55" i="9"/>
  <c r="W56" i="9"/>
  <c r="T59" i="9"/>
  <c r="V60" i="9"/>
  <c r="X61" i="9"/>
  <c r="S62" i="9"/>
  <c r="V63" i="9"/>
  <c r="X64" i="9"/>
  <c r="T66" i="9"/>
  <c r="V67" i="9"/>
  <c r="O69" i="9"/>
  <c r="T71" i="9"/>
  <c r="T69" i="9" s="1"/>
  <c r="T68" i="9" s="1"/>
  <c r="T72" i="9"/>
  <c r="T73" i="9"/>
  <c r="T74" i="9"/>
  <c r="M75" i="9"/>
  <c r="U75" i="9"/>
  <c r="T76" i="9"/>
  <c r="V77" i="9"/>
  <c r="W79" i="9"/>
  <c r="X82" i="9"/>
  <c r="T84" i="9"/>
  <c r="T81" i="9" s="1"/>
  <c r="S86" i="9"/>
  <c r="U87" i="9"/>
  <c r="U85" i="9" s="1"/>
  <c r="W88" i="9"/>
  <c r="U89" i="9"/>
  <c r="W95" i="9"/>
  <c r="R98" i="9"/>
  <c r="U99" i="9"/>
  <c r="W100" i="9"/>
  <c r="S102" i="9"/>
  <c r="U103" i="9"/>
  <c r="W104" i="9"/>
  <c r="T106" i="9"/>
  <c r="T98" i="9" s="1"/>
  <c r="U107" i="9"/>
  <c r="U108" i="9"/>
  <c r="W109" i="9"/>
  <c r="X110" i="9"/>
  <c r="T112" i="9"/>
  <c r="V113" i="9"/>
  <c r="X114" i="9"/>
  <c r="M115" i="9"/>
  <c r="X116" i="9"/>
  <c r="V118" i="9"/>
  <c r="V122" i="9"/>
  <c r="X123" i="9"/>
  <c r="T125" i="9"/>
  <c r="V127" i="9"/>
  <c r="X128" i="9"/>
  <c r="V130" i="9"/>
  <c r="T132" i="9"/>
  <c r="V133" i="9"/>
  <c r="V131" i="9" s="1"/>
  <c r="X134" i="9"/>
  <c r="T136" i="9"/>
  <c r="N138" i="9"/>
  <c r="AI137" i="9"/>
  <c r="Q138" i="9"/>
  <c r="P141" i="9"/>
  <c r="R155" i="9"/>
  <c r="U164" i="9"/>
  <c r="X164" i="9"/>
  <c r="G160" i="9"/>
  <c r="Q177" i="9"/>
  <c r="Z169" i="9"/>
  <c r="X179" i="9"/>
  <c r="H185" i="9"/>
  <c r="S185" i="9"/>
  <c r="M184" i="9"/>
  <c r="V185" i="9"/>
  <c r="U11" i="10"/>
  <c r="X11" i="10"/>
  <c r="T16" i="10"/>
  <c r="V22" i="10"/>
  <c r="U28" i="10"/>
  <c r="X28" i="10"/>
  <c r="Q31" i="10"/>
  <c r="G69" i="10"/>
  <c r="I68" i="10"/>
  <c r="G68" i="10" s="1"/>
  <c r="T76" i="10"/>
  <c r="W76" i="10"/>
  <c r="U14" i="9"/>
  <c r="U16" i="9"/>
  <c r="U17" i="9"/>
  <c r="U19" i="9"/>
  <c r="S20" i="9"/>
  <c r="H22" i="9"/>
  <c r="S26" i="9"/>
  <c r="T27" i="9"/>
  <c r="S34" i="9"/>
  <c r="M35" i="9"/>
  <c r="U35" i="9"/>
  <c r="U36" i="9"/>
  <c r="H40" i="9"/>
  <c r="T41" i="9"/>
  <c r="T42" i="9"/>
  <c r="T43" i="9"/>
  <c r="H46" i="9"/>
  <c r="U47" i="9"/>
  <c r="H54" i="9"/>
  <c r="T54" i="9"/>
  <c r="S58" i="9"/>
  <c r="U59" i="9"/>
  <c r="T62" i="9"/>
  <c r="S65" i="9"/>
  <c r="U66" i="9"/>
  <c r="AN69" i="9"/>
  <c r="AN68" i="9" s="1"/>
  <c r="S70" i="9"/>
  <c r="U71" i="9"/>
  <c r="U69" i="9" s="1"/>
  <c r="M72" i="9"/>
  <c r="U72" i="9"/>
  <c r="M73" i="9"/>
  <c r="U73" i="9"/>
  <c r="M78" i="9"/>
  <c r="X79" i="9"/>
  <c r="N81" i="9"/>
  <c r="W81" i="9" s="1"/>
  <c r="V81" i="9"/>
  <c r="H86" i="9"/>
  <c r="V99" i="9"/>
  <c r="H102" i="9"/>
  <c r="N115" i="9"/>
  <c r="W115" i="9" s="1"/>
  <c r="W122" i="9"/>
  <c r="Q141" i="9"/>
  <c r="Q146" i="9"/>
  <c r="BK160" i="9"/>
  <c r="R161" i="9"/>
  <c r="G166" i="9"/>
  <c r="R166" i="9"/>
  <c r="AB169" i="9"/>
  <c r="P169" i="9" s="1"/>
  <c r="AJ169" i="9"/>
  <c r="AJ160" i="9" s="1"/>
  <c r="AJ3" i="9" s="1"/>
  <c r="AR169" i="9"/>
  <c r="AR160" i="9" s="1"/>
  <c r="AZ169" i="9"/>
  <c r="BH169" i="9"/>
  <c r="BH160" i="9" s="1"/>
  <c r="BH3" i="9" s="1"/>
  <c r="O177" i="9"/>
  <c r="X177" i="9" s="1"/>
  <c r="X178" i="9"/>
  <c r="P4" i="10"/>
  <c r="J12" i="10"/>
  <c r="J193" i="10" s="1"/>
  <c r="T45" i="10"/>
  <c r="Q48" i="10"/>
  <c r="N48" i="10"/>
  <c r="W48" i="10" s="1"/>
  <c r="AL12" i="10"/>
  <c r="AL3" i="10" s="1"/>
  <c r="T58" i="10"/>
  <c r="W58" i="10"/>
  <c r="U62" i="10"/>
  <c r="X62" i="10"/>
  <c r="W75" i="10"/>
  <c r="R78" i="10"/>
  <c r="M42" i="9"/>
  <c r="M43" i="9"/>
  <c r="Q69" i="9"/>
  <c r="Q68" i="9" s="1"/>
  <c r="N78" i="9"/>
  <c r="W78" i="9" s="1"/>
  <c r="O81" i="9"/>
  <c r="X81" i="9" s="1"/>
  <c r="M92" i="9"/>
  <c r="O115" i="9"/>
  <c r="X115" i="9" s="1"/>
  <c r="M121" i="9"/>
  <c r="R141" i="9"/>
  <c r="N145" i="9"/>
  <c r="N141" i="9" s="1"/>
  <c r="AF141" i="9"/>
  <c r="AF120" i="9" s="1"/>
  <c r="AF97" i="9" s="1"/>
  <c r="Q145" i="9"/>
  <c r="U147" i="9"/>
  <c r="U146" i="9" s="1"/>
  <c r="M151" i="9"/>
  <c r="V152" i="9"/>
  <c r="H152" i="9"/>
  <c r="U151" i="9"/>
  <c r="R162" i="9"/>
  <c r="U163" i="9"/>
  <c r="O169" i="9"/>
  <c r="X169" i="9" s="1"/>
  <c r="N177" i="9"/>
  <c r="W177" i="9" s="1"/>
  <c r="W180" i="9"/>
  <c r="T182" i="9"/>
  <c r="O184" i="9"/>
  <c r="X184" i="9" s="1"/>
  <c r="X185" i="9"/>
  <c r="M4" i="10"/>
  <c r="U16" i="10"/>
  <c r="X16" i="10"/>
  <c r="W18" i="10"/>
  <c r="T18" i="10"/>
  <c r="H23" i="10"/>
  <c r="S23" i="10"/>
  <c r="V23" i="10"/>
  <c r="N44" i="10"/>
  <c r="W44" i="10" s="1"/>
  <c r="AC12" i="10"/>
  <c r="AC3" i="10" s="1"/>
  <c r="U46" i="10"/>
  <c r="X46" i="10"/>
  <c r="U72" i="10"/>
  <c r="O69" i="10"/>
  <c r="X72" i="10"/>
  <c r="U73" i="10"/>
  <c r="X73" i="10"/>
  <c r="V95" i="10"/>
  <c r="S95" i="10"/>
  <c r="H95" i="10"/>
  <c r="X98" i="10"/>
  <c r="H31" i="9"/>
  <c r="S33" i="9"/>
  <c r="S61" i="9"/>
  <c r="S64" i="9"/>
  <c r="R69" i="9"/>
  <c r="S82" i="9"/>
  <c r="S81" i="9" s="1"/>
  <c r="V86" i="9"/>
  <c r="X99" i="9"/>
  <c r="S110" i="9"/>
  <c r="S114" i="9"/>
  <c r="S116" i="9"/>
  <c r="S115" i="9" s="1"/>
  <c r="I120" i="9"/>
  <c r="S123" i="9"/>
  <c r="S121" i="9" s="1"/>
  <c r="S128" i="9"/>
  <c r="M131" i="9"/>
  <c r="H131" i="9" s="1"/>
  <c r="W132" i="9"/>
  <c r="W131" i="9" s="1"/>
  <c r="S134" i="9"/>
  <c r="S131" i="9" s="1"/>
  <c r="P140" i="9"/>
  <c r="AQ137" i="9"/>
  <c r="AQ120" i="9" s="1"/>
  <c r="AQ97" i="9" s="1"/>
  <c r="M140" i="9"/>
  <c r="T150" i="9"/>
  <c r="T146" i="9" s="1"/>
  <c r="BC160" i="9"/>
  <c r="BC3" i="9" s="1"/>
  <c r="W170" i="9"/>
  <c r="BJ169" i="9"/>
  <c r="Q170" i="9"/>
  <c r="V187" i="9"/>
  <c r="H187" i="9"/>
  <c r="W9" i="10"/>
  <c r="N4" i="10"/>
  <c r="S10" i="10"/>
  <c r="U10" i="10"/>
  <c r="R12" i="10"/>
  <c r="V19" i="10"/>
  <c r="S20" i="10"/>
  <c r="V20" i="10"/>
  <c r="W45" i="10"/>
  <c r="T48" i="10"/>
  <c r="Q51" i="10"/>
  <c r="S56" i="9"/>
  <c r="AQ69" i="9"/>
  <c r="AQ68" i="9" s="1"/>
  <c r="S79" i="9"/>
  <c r="S78" i="9" s="1"/>
  <c r="S88" i="9"/>
  <c r="S95" i="9"/>
  <c r="I97" i="9"/>
  <c r="G97" i="9" s="1"/>
  <c r="N98" i="9"/>
  <c r="S100" i="9"/>
  <c r="S98" i="9" s="1"/>
  <c r="S104" i="9"/>
  <c r="S109" i="9"/>
  <c r="O121" i="9"/>
  <c r="H147" i="9"/>
  <c r="S147" i="9"/>
  <c r="S146" i="9" s="1"/>
  <c r="M146" i="9"/>
  <c r="V147" i="9"/>
  <c r="H163" i="9"/>
  <c r="S163" i="9"/>
  <c r="M162" i="9"/>
  <c r="V163" i="9"/>
  <c r="Q166" i="9"/>
  <c r="U188" i="9"/>
  <c r="U184" i="9" s="1"/>
  <c r="S8" i="10"/>
  <c r="H10" i="10"/>
  <c r="V10" i="10"/>
  <c r="T13" i="10"/>
  <c r="W13" i="10"/>
  <c r="U17" i="10"/>
  <c r="X17" i="10"/>
  <c r="S27" i="10"/>
  <c r="H27" i="10"/>
  <c r="V27" i="10"/>
  <c r="S36" i="10"/>
  <c r="P45" i="10"/>
  <c r="AN12" i="10"/>
  <c r="P12" i="10" s="1"/>
  <c r="M45" i="10"/>
  <c r="Q50" i="10"/>
  <c r="AF12" i="10"/>
  <c r="N50" i="10"/>
  <c r="W50" i="10" s="1"/>
  <c r="U54" i="10"/>
  <c r="X54" i="10"/>
  <c r="T74" i="10"/>
  <c r="W74" i="10"/>
  <c r="Q78" i="10"/>
  <c r="M92" i="10"/>
  <c r="AN90" i="10"/>
  <c r="AN68" i="10" s="1"/>
  <c r="P92" i="10"/>
  <c r="N90" i="9"/>
  <c r="W90" i="9" s="1"/>
  <c r="O131" i="9"/>
  <c r="P137" i="9"/>
  <c r="P120" i="9" s="1"/>
  <c r="S144" i="9"/>
  <c r="S141" i="9" s="1"/>
  <c r="M155" i="9"/>
  <c r="T155" i="9"/>
  <c r="Q162" i="9"/>
  <c r="Z161" i="9"/>
  <c r="Y160" i="9"/>
  <c r="T176" i="9"/>
  <c r="T170" i="9" s="1"/>
  <c r="T169" i="9" s="1"/>
  <c r="W176" i="9"/>
  <c r="H188" i="9"/>
  <c r="S188" i="9"/>
  <c r="V188" i="9"/>
  <c r="T19" i="10"/>
  <c r="W19" i="10"/>
  <c r="G35" i="10"/>
  <c r="W53" i="10"/>
  <c r="T57" i="10"/>
  <c r="W57" i="10"/>
  <c r="T65" i="10"/>
  <c r="W65" i="10"/>
  <c r="W73" i="10"/>
  <c r="S78" i="10"/>
  <c r="AB3" i="10"/>
  <c r="AJ3" i="10"/>
  <c r="T168" i="9"/>
  <c r="M170" i="9"/>
  <c r="S174" i="9"/>
  <c r="U175" i="9"/>
  <c r="U180" i="9"/>
  <c r="U177" i="9" s="1"/>
  <c r="U182" i="9"/>
  <c r="T187" i="9"/>
  <c r="H192" i="9"/>
  <c r="T8" i="10"/>
  <c r="U9" i="10"/>
  <c r="AR12" i="10"/>
  <c r="Q15" i="10"/>
  <c r="Q18" i="10"/>
  <c r="U20" i="10"/>
  <c r="H21" i="10"/>
  <c r="T21" i="10"/>
  <c r="T24" i="10"/>
  <c r="U26" i="10"/>
  <c r="G32" i="10"/>
  <c r="H34" i="10"/>
  <c r="T34" i="10"/>
  <c r="M35" i="10"/>
  <c r="U35" i="10"/>
  <c r="U37" i="10"/>
  <c r="S40" i="10"/>
  <c r="H41" i="10"/>
  <c r="H42" i="10"/>
  <c r="H43" i="10"/>
  <c r="H48" i="10"/>
  <c r="S48" i="10"/>
  <c r="S49" i="10"/>
  <c r="H50" i="10"/>
  <c r="S50" i="10"/>
  <c r="H56" i="10"/>
  <c r="T56" i="10"/>
  <c r="S60" i="10"/>
  <c r="U61" i="10"/>
  <c r="S63" i="10"/>
  <c r="U64" i="10"/>
  <c r="S67" i="10"/>
  <c r="BK68" i="10"/>
  <c r="P72" i="10"/>
  <c r="O78" i="10"/>
  <c r="X78" i="10" s="1"/>
  <c r="H80" i="10"/>
  <c r="T80" i="10"/>
  <c r="N81" i="10"/>
  <c r="W81" i="10" s="1"/>
  <c r="W82" i="10"/>
  <c r="Q85" i="10"/>
  <c r="X87" i="10"/>
  <c r="S88" i="10"/>
  <c r="S85" i="10" s="1"/>
  <c r="R98" i="10"/>
  <c r="X82" i="10"/>
  <c r="R90" i="10"/>
  <c r="S107" i="10"/>
  <c r="H107" i="10"/>
  <c r="V107" i="10"/>
  <c r="W170" i="10"/>
  <c r="S138" i="9"/>
  <c r="S139" i="9"/>
  <c r="U140" i="9"/>
  <c r="U137" i="9" s="1"/>
  <c r="H143" i="9"/>
  <c r="T143" i="9"/>
  <c r="T141" i="9" s="1"/>
  <c r="H154" i="9"/>
  <c r="T154" i="9"/>
  <c r="T151" i="9" s="1"/>
  <c r="S156" i="9"/>
  <c r="S155" i="9" s="1"/>
  <c r="T165" i="9"/>
  <c r="T162" i="9" s="1"/>
  <c r="T161" i="9" s="1"/>
  <c r="S167" i="9"/>
  <c r="S166" i="9" s="1"/>
  <c r="S173" i="9"/>
  <c r="S170" i="9" s="1"/>
  <c r="U174" i="9"/>
  <c r="U170" i="9" s="1"/>
  <c r="U169" i="9" s="1"/>
  <c r="S181" i="9"/>
  <c r="T186" i="9"/>
  <c r="E191" i="10"/>
  <c r="G192" i="10" s="1"/>
  <c r="T7" i="10"/>
  <c r="T4" i="10" s="1"/>
  <c r="G14" i="10"/>
  <c r="H15" i="10"/>
  <c r="S15" i="10"/>
  <c r="H18" i="10"/>
  <c r="S18" i="10"/>
  <c r="S29" i="10"/>
  <c r="H30" i="10"/>
  <c r="T33" i="10"/>
  <c r="V36" i="10"/>
  <c r="S39" i="10"/>
  <c r="U40" i="10"/>
  <c r="U41" i="10"/>
  <c r="U42" i="10"/>
  <c r="U43" i="10"/>
  <c r="G46" i="10"/>
  <c r="T47" i="10"/>
  <c r="U48" i="10"/>
  <c r="U49" i="10"/>
  <c r="U50" i="10"/>
  <c r="H52" i="10"/>
  <c r="S52" i="10"/>
  <c r="T55" i="10"/>
  <c r="S59" i="10"/>
  <c r="U60" i="10"/>
  <c r="U63" i="10"/>
  <c r="S66" i="10"/>
  <c r="U67" i="10"/>
  <c r="AT69" i="10"/>
  <c r="AT68" i="10" s="1"/>
  <c r="AT3" i="10" s="1"/>
  <c r="G72" i="10"/>
  <c r="G73" i="10"/>
  <c r="G75" i="10"/>
  <c r="S77" i="10"/>
  <c r="T79" i="10"/>
  <c r="T78" i="10" s="1"/>
  <c r="V80" i="10"/>
  <c r="T83" i="10"/>
  <c r="T81" i="10" s="1"/>
  <c r="X84" i="10"/>
  <c r="U85" i="10"/>
  <c r="V88" i="10"/>
  <c r="X89" i="10"/>
  <c r="L90" i="10"/>
  <c r="L68" i="10" s="1"/>
  <c r="L3" i="10" s="1"/>
  <c r="W101" i="10"/>
  <c r="T101" i="10"/>
  <c r="S102" i="10"/>
  <c r="V102" i="10"/>
  <c r="H102" i="10"/>
  <c r="U146" i="10"/>
  <c r="V155" i="10"/>
  <c r="H155" i="10"/>
  <c r="P161" i="10"/>
  <c r="H156" i="9"/>
  <c r="S164" i="9"/>
  <c r="U165" i="9"/>
  <c r="H167" i="9"/>
  <c r="T167" i="9"/>
  <c r="T166" i="9" s="1"/>
  <c r="H173" i="9"/>
  <c r="T179" i="9"/>
  <c r="T177" i="9" s="1"/>
  <c r="N184" i="9"/>
  <c r="W184" i="9" s="1"/>
  <c r="F191" i="10"/>
  <c r="S6" i="10"/>
  <c r="S4" i="10" s="1"/>
  <c r="U7" i="10"/>
  <c r="S11" i="10"/>
  <c r="H14" i="10"/>
  <c r="H16" i="10"/>
  <c r="S16" i="10"/>
  <c r="H17" i="10"/>
  <c r="S17" i="10"/>
  <c r="S28" i="10"/>
  <c r="H29" i="10"/>
  <c r="T29" i="10"/>
  <c r="T30" i="10"/>
  <c r="U31" i="10"/>
  <c r="U33" i="10"/>
  <c r="H39" i="10"/>
  <c r="T39" i="10"/>
  <c r="M44" i="10"/>
  <c r="U44" i="10"/>
  <c r="H46" i="10"/>
  <c r="U47" i="10"/>
  <c r="U51" i="10"/>
  <c r="S53" i="10"/>
  <c r="S54" i="10"/>
  <c r="U55" i="10"/>
  <c r="H59" i="10"/>
  <c r="T59" i="10"/>
  <c r="S62" i="10"/>
  <c r="H66" i="10"/>
  <c r="T71" i="10"/>
  <c r="S72" i="10"/>
  <c r="H73" i="10"/>
  <c r="H75" i="10"/>
  <c r="H77" i="10"/>
  <c r="T77" i="10"/>
  <c r="U79" i="10"/>
  <c r="U78" i="10" s="1"/>
  <c r="H83" i="10"/>
  <c r="H86" i="10"/>
  <c r="M85" i="10"/>
  <c r="V86" i="10"/>
  <c r="N88" i="10"/>
  <c r="N85" i="10" s="1"/>
  <c r="W85" i="10" s="1"/>
  <c r="S92" i="10"/>
  <c r="I97" i="10"/>
  <c r="G97" i="10" s="1"/>
  <c r="G121" i="10"/>
  <c r="G120" i="10" s="1"/>
  <c r="I120" i="10"/>
  <c r="AV160" i="10"/>
  <c r="AV3" i="10" s="1"/>
  <c r="AF160" i="10"/>
  <c r="H142" i="9"/>
  <c r="H148" i="9"/>
  <c r="G10" i="10"/>
  <c r="H11" i="10"/>
  <c r="R81" i="10"/>
  <c r="V83" i="10"/>
  <c r="O85" i="10"/>
  <c r="X85" i="10" s="1"/>
  <c r="W86" i="10"/>
  <c r="U92" i="10"/>
  <c r="U90" i="10" s="1"/>
  <c r="X96" i="10"/>
  <c r="U96" i="10"/>
  <c r="T109" i="10"/>
  <c r="W109" i="10"/>
  <c r="R120" i="10"/>
  <c r="S155" i="10"/>
  <c r="Q69" i="10"/>
  <c r="Q68" i="10" s="1"/>
  <c r="M81" i="10"/>
  <c r="AZ97" i="10"/>
  <c r="AZ3" i="10" s="1"/>
  <c r="BH97" i="10"/>
  <c r="R97" i="10" s="1"/>
  <c r="U99" i="10"/>
  <c r="X99" i="10"/>
  <c r="AF120" i="10"/>
  <c r="AF97" i="10" s="1"/>
  <c r="Q97" i="10" s="1"/>
  <c r="O120" i="10"/>
  <c r="X120" i="10" s="1"/>
  <c r="Q137" i="10"/>
  <c r="BA160" i="10"/>
  <c r="BA3" i="10" s="1"/>
  <c r="Z12" i="10"/>
  <c r="O81" i="10"/>
  <c r="X81" i="10" s="1"/>
  <c r="W92" i="10"/>
  <c r="N90" i="10"/>
  <c r="W90" i="10" s="1"/>
  <c r="AR97" i="10"/>
  <c r="U103" i="10"/>
  <c r="X103" i="10"/>
  <c r="R169" i="10"/>
  <c r="AQ98" i="10"/>
  <c r="AQ97" i="10" s="1"/>
  <c r="P97" i="10" s="1"/>
  <c r="T102" i="10"/>
  <c r="S105" i="10"/>
  <c r="U106" i="10"/>
  <c r="U108" i="10"/>
  <c r="H112" i="10"/>
  <c r="T112" i="10"/>
  <c r="M115" i="10"/>
  <c r="U122" i="10"/>
  <c r="G125" i="10"/>
  <c r="H127" i="10"/>
  <c r="T127" i="10"/>
  <c r="S135" i="10"/>
  <c r="U136" i="10"/>
  <c r="H138" i="10"/>
  <c r="H139" i="10"/>
  <c r="T139" i="10"/>
  <c r="M140" i="10"/>
  <c r="M137" i="10" s="1"/>
  <c r="H137" i="10" s="1"/>
  <c r="U140" i="10"/>
  <c r="U137" i="10" s="1"/>
  <c r="O141" i="10"/>
  <c r="H143" i="10"/>
  <c r="S143" i="10"/>
  <c r="S141" i="10" s="1"/>
  <c r="U144" i="10"/>
  <c r="U152" i="10"/>
  <c r="U151" i="10" s="1"/>
  <c r="S154" i="10"/>
  <c r="O155" i="10"/>
  <c r="X155" i="10" s="1"/>
  <c r="H157" i="10"/>
  <c r="S157" i="10"/>
  <c r="E160" i="10"/>
  <c r="E3" i="10" s="1"/>
  <c r="O162" i="10"/>
  <c r="Q162" i="10"/>
  <c r="T163" i="10"/>
  <c r="T162" i="10" s="1"/>
  <c r="N162" i="10"/>
  <c r="X163" i="10"/>
  <c r="W165" i="10"/>
  <c r="U166" i="10"/>
  <c r="X170" i="10"/>
  <c r="G172" i="10"/>
  <c r="I170" i="10"/>
  <c r="T157" i="10"/>
  <c r="T155" i="10" s="1"/>
  <c r="X165" i="10"/>
  <c r="U165" i="10"/>
  <c r="U162" i="10" s="1"/>
  <c r="U161" i="10" s="1"/>
  <c r="U160" i="10" s="1"/>
  <c r="M166" i="10"/>
  <c r="H167" i="10"/>
  <c r="V167" i="10"/>
  <c r="P170" i="10"/>
  <c r="R177" i="10"/>
  <c r="U183" i="10"/>
  <c r="X183" i="10"/>
  <c r="R184" i="10"/>
  <c r="I4" i="11"/>
  <c r="W4" i="11"/>
  <c r="I6" i="11"/>
  <c r="T6" i="11"/>
  <c r="T4" i="11" s="1"/>
  <c r="W6" i="11"/>
  <c r="X20" i="11"/>
  <c r="U20" i="11"/>
  <c r="X29" i="11"/>
  <c r="U29" i="11"/>
  <c r="X40" i="11"/>
  <c r="U40" i="11"/>
  <c r="M98" i="10"/>
  <c r="U105" i="10"/>
  <c r="W106" i="10"/>
  <c r="P107" i="10"/>
  <c r="X107" i="10"/>
  <c r="W108" i="10"/>
  <c r="T111" i="10"/>
  <c r="V112" i="10"/>
  <c r="X113" i="10"/>
  <c r="O115" i="10"/>
  <c r="X115" i="10" s="1"/>
  <c r="T117" i="10"/>
  <c r="T115" i="10" s="1"/>
  <c r="T119" i="10"/>
  <c r="M121" i="10"/>
  <c r="W122" i="10"/>
  <c r="S124" i="10"/>
  <c r="S121" i="10" s="1"/>
  <c r="T125" i="10"/>
  <c r="T126" i="10"/>
  <c r="V127" i="10"/>
  <c r="X128" i="10"/>
  <c r="G130" i="10"/>
  <c r="X132" i="10"/>
  <c r="X131" i="10" s="1"/>
  <c r="S134" i="10"/>
  <c r="S131" i="10" s="1"/>
  <c r="U135" i="10"/>
  <c r="U131" i="10" s="1"/>
  <c r="W136" i="10"/>
  <c r="N138" i="10"/>
  <c r="V138" i="10"/>
  <c r="V137" i="10" s="1"/>
  <c r="V139" i="10"/>
  <c r="W140" i="10"/>
  <c r="T142" i="10"/>
  <c r="T141" i="10" s="1"/>
  <c r="U143" i="10"/>
  <c r="W144" i="10"/>
  <c r="V146" i="10"/>
  <c r="S148" i="10"/>
  <c r="S146" i="10" s="1"/>
  <c r="X150" i="10"/>
  <c r="W152" i="10"/>
  <c r="W167" i="10"/>
  <c r="T167" i="10"/>
  <c r="BJ169" i="10"/>
  <c r="Q169" i="10" s="1"/>
  <c r="Q170" i="10"/>
  <c r="T188" i="10"/>
  <c r="W188" i="10"/>
  <c r="S12" i="11"/>
  <c r="U16" i="11"/>
  <c r="N98" i="10"/>
  <c r="S100" i="10"/>
  <c r="S98" i="10" s="1"/>
  <c r="U101" i="10"/>
  <c r="S104" i="10"/>
  <c r="S110" i="10"/>
  <c r="U111" i="10"/>
  <c r="S114" i="10"/>
  <c r="S116" i="10"/>
  <c r="S115" i="10" s="1"/>
  <c r="U117" i="10"/>
  <c r="U115" i="10" s="1"/>
  <c r="U119" i="10"/>
  <c r="N121" i="10"/>
  <c r="H124" i="10"/>
  <c r="T124" i="10"/>
  <c r="T121" i="10" s="1"/>
  <c r="U125" i="10"/>
  <c r="U126" i="10"/>
  <c r="S129" i="10"/>
  <c r="H130" i="10"/>
  <c r="H134" i="10"/>
  <c r="T134" i="10"/>
  <c r="T131" i="10" s="1"/>
  <c r="X140" i="10"/>
  <c r="U142" i="10"/>
  <c r="U141" i="10" s="1"/>
  <c r="V143" i="10"/>
  <c r="O146" i="10"/>
  <c r="X146" i="10" s="1"/>
  <c r="T148" i="10"/>
  <c r="T146" i="10" s="1"/>
  <c r="M151" i="10"/>
  <c r="T153" i="10"/>
  <c r="T151" i="10" s="1"/>
  <c r="U156" i="10"/>
  <c r="U155" i="10" s="1"/>
  <c r="V157" i="10"/>
  <c r="V164" i="10"/>
  <c r="S164" i="10"/>
  <c r="S162" i="10" s="1"/>
  <c r="T168" i="10"/>
  <c r="V170" i="10"/>
  <c r="H175" i="10"/>
  <c r="S175" i="10"/>
  <c r="S170" i="10" s="1"/>
  <c r="S169" i="10" s="1"/>
  <c r="V180" i="10"/>
  <c r="U19" i="11"/>
  <c r="X19" i="11"/>
  <c r="H129" i="10"/>
  <c r="N151" i="10"/>
  <c r="W151" i="10" s="1"/>
  <c r="W173" i="10"/>
  <c r="T173" i="10"/>
  <c r="T170" i="10" s="1"/>
  <c r="T175" i="10"/>
  <c r="W175" i="10"/>
  <c r="Q177" i="10"/>
  <c r="T178" i="10"/>
  <c r="N177" i="10"/>
  <c r="W177" i="10" s="1"/>
  <c r="Q184" i="10"/>
  <c r="T185" i="10"/>
  <c r="T184" i="10" s="1"/>
  <c r="N184" i="10"/>
  <c r="W184" i="10" s="1"/>
  <c r="W185" i="10"/>
  <c r="V7" i="11"/>
  <c r="Y7" i="11"/>
  <c r="P121" i="10"/>
  <c r="P120" i="10" s="1"/>
  <c r="W142" i="10"/>
  <c r="W141" i="10" s="1"/>
  <c r="Q161" i="10"/>
  <c r="R162" i="10"/>
  <c r="U178" i="10"/>
  <c r="U177" i="10" s="1"/>
  <c r="U169" i="10" s="1"/>
  <c r="O177" i="10"/>
  <c r="X177" i="10" s="1"/>
  <c r="X178" i="10"/>
  <c r="H179" i="10"/>
  <c r="S179" i="10"/>
  <c r="S177" i="10" s="1"/>
  <c r="M177" i="10"/>
  <c r="T180" i="10"/>
  <c r="W180" i="10"/>
  <c r="W181" i="10"/>
  <c r="T181" i="10"/>
  <c r="U184" i="10"/>
  <c r="X186" i="10"/>
  <c r="U186" i="10"/>
  <c r="H4" i="11"/>
  <c r="W19" i="11"/>
  <c r="I19" i="11"/>
  <c r="X49" i="11"/>
  <c r="U49" i="11"/>
  <c r="X57" i="11"/>
  <c r="U57" i="11"/>
  <c r="Q98" i="10"/>
  <c r="S106" i="10"/>
  <c r="S108" i="10"/>
  <c r="Q121" i="10"/>
  <c r="Q120" i="10" s="1"/>
  <c r="H122" i="10"/>
  <c r="S136" i="10"/>
  <c r="S144" i="10"/>
  <c r="S152" i="10"/>
  <c r="S151" i="10" s="1"/>
  <c r="BK161" i="10"/>
  <c r="Q166" i="10"/>
  <c r="S182" i="10"/>
  <c r="V182" i="10"/>
  <c r="F192" i="10"/>
  <c r="O8" i="11"/>
  <c r="AS4" i="11"/>
  <c r="R12" i="11"/>
  <c r="M162" i="10"/>
  <c r="W163" i="10"/>
  <c r="S167" i="10"/>
  <c r="S166" i="10" s="1"/>
  <c r="BI169" i="10"/>
  <c r="X176" i="10"/>
  <c r="AV3" i="11"/>
  <c r="BD3" i="11"/>
  <c r="T19" i="11"/>
  <c r="X61" i="11"/>
  <c r="W66" i="11"/>
  <c r="Y67" i="11"/>
  <c r="Q75" i="11"/>
  <c r="N75" i="11"/>
  <c r="T80" i="11"/>
  <c r="T78" i="11" s="1"/>
  <c r="W80" i="11"/>
  <c r="U84" i="11"/>
  <c r="X84" i="11"/>
  <c r="T87" i="11"/>
  <c r="T85" i="11" s="1"/>
  <c r="W87" i="11"/>
  <c r="U116" i="11"/>
  <c r="U115" i="11" s="1"/>
  <c r="X116" i="11"/>
  <c r="O115" i="11"/>
  <c r="X115" i="11" s="1"/>
  <c r="T128" i="11"/>
  <c r="I128" i="11"/>
  <c r="W128" i="11"/>
  <c r="AO12" i="11"/>
  <c r="Q12" i="11" s="1"/>
  <c r="Q19" i="11"/>
  <c r="Y19" i="11"/>
  <c r="W22" i="11"/>
  <c r="O23" i="11"/>
  <c r="W23" i="11"/>
  <c r="W30" i="11"/>
  <c r="W31" i="11"/>
  <c r="N32" i="11"/>
  <c r="W33" i="11"/>
  <c r="Y34" i="11"/>
  <c r="N42" i="11"/>
  <c r="N43" i="11"/>
  <c r="T43" i="11" s="1"/>
  <c r="W45" i="11"/>
  <c r="Y51" i="11"/>
  <c r="W53" i="11"/>
  <c r="W54" i="11"/>
  <c r="X55" i="11"/>
  <c r="Y56" i="11"/>
  <c r="W60" i="11"/>
  <c r="Y61" i="11"/>
  <c r="X66" i="11"/>
  <c r="U81" i="11"/>
  <c r="S90" i="11"/>
  <c r="W96" i="11"/>
  <c r="P98" i="11"/>
  <c r="W100" i="11"/>
  <c r="I100" i="11"/>
  <c r="T100" i="11"/>
  <c r="I124" i="11"/>
  <c r="T124" i="11"/>
  <c r="T121" i="11" s="1"/>
  <c r="W124" i="11"/>
  <c r="U136" i="11"/>
  <c r="X136" i="11"/>
  <c r="W182" i="10"/>
  <c r="M184" i="10"/>
  <c r="X185" i="10"/>
  <c r="V187" i="10"/>
  <c r="X188" i="10"/>
  <c r="M193" i="11"/>
  <c r="X6" i="11"/>
  <c r="W11" i="11"/>
  <c r="J12" i="11"/>
  <c r="H12" i="11" s="1"/>
  <c r="W20" i="11"/>
  <c r="O28" i="11"/>
  <c r="W28" i="11"/>
  <c r="W29" i="11"/>
  <c r="X30" i="11"/>
  <c r="X33" i="11"/>
  <c r="W40" i="11"/>
  <c r="W41" i="11"/>
  <c r="W48" i="11"/>
  <c r="Y52" i="11"/>
  <c r="X54" i="11"/>
  <c r="Y55" i="11"/>
  <c r="X60" i="11"/>
  <c r="U65" i="11"/>
  <c r="Y66" i="11"/>
  <c r="S69" i="11"/>
  <c r="T70" i="11"/>
  <c r="W70" i="11"/>
  <c r="T72" i="11"/>
  <c r="J69" i="11"/>
  <c r="V72" i="11"/>
  <c r="R81" i="11"/>
  <c r="R85" i="11"/>
  <c r="U96" i="11"/>
  <c r="X96" i="11"/>
  <c r="S98" i="11"/>
  <c r="U103" i="11"/>
  <c r="X103" i="11"/>
  <c r="U109" i="11"/>
  <c r="X109" i="11"/>
  <c r="I113" i="11"/>
  <c r="T113" i="11"/>
  <c r="W113" i="11"/>
  <c r="T179" i="10"/>
  <c r="U9" i="11"/>
  <c r="V10" i="11"/>
  <c r="V4" i="11" s="1"/>
  <c r="K12" i="11"/>
  <c r="K193" i="11" s="1"/>
  <c r="I13" i="11"/>
  <c r="U13" i="11"/>
  <c r="V14" i="11"/>
  <c r="O15" i="11"/>
  <c r="I17" i="11"/>
  <c r="T17" i="11"/>
  <c r="H19" i="11"/>
  <c r="V26" i="11"/>
  <c r="V12" i="11" s="1"/>
  <c r="V27" i="11"/>
  <c r="U35" i="11"/>
  <c r="U37" i="11"/>
  <c r="V38" i="11"/>
  <c r="N44" i="11"/>
  <c r="V44" i="11"/>
  <c r="H45" i="11"/>
  <c r="V46" i="11"/>
  <c r="V50" i="11"/>
  <c r="T57" i="11"/>
  <c r="T58" i="11"/>
  <c r="U59" i="11"/>
  <c r="I65" i="11"/>
  <c r="V65" i="11"/>
  <c r="T71" i="11"/>
  <c r="I72" i="11"/>
  <c r="W72" i="11"/>
  <c r="T75" i="11"/>
  <c r="U89" i="11"/>
  <c r="Q90" i="11"/>
  <c r="AF97" i="11"/>
  <c r="AF3" i="11" s="1"/>
  <c r="AN97" i="11"/>
  <c r="AN3" i="11" s="1"/>
  <c r="X106" i="11"/>
  <c r="N107" i="11"/>
  <c r="AO98" i="11"/>
  <c r="AO97" i="11" s="1"/>
  <c r="Q107" i="11"/>
  <c r="I115" i="11"/>
  <c r="O184" i="10"/>
  <c r="X184" i="10" s="1"/>
  <c r="U17" i="11"/>
  <c r="N35" i="11"/>
  <c r="O44" i="11"/>
  <c r="X44" i="11" s="1"/>
  <c r="I57" i="11"/>
  <c r="I58" i="11"/>
  <c r="W65" i="11"/>
  <c r="AD68" i="11"/>
  <c r="AL68" i="11"/>
  <c r="AT68" i="11"/>
  <c r="S68" i="11" s="1"/>
  <c r="BB68" i="11"/>
  <c r="BJ68" i="11"/>
  <c r="V73" i="11"/>
  <c r="U75" i="11"/>
  <c r="O81" i="11"/>
  <c r="O88" i="11"/>
  <c r="T92" i="11"/>
  <c r="V92" i="11"/>
  <c r="Y105" i="11"/>
  <c r="V105" i="11"/>
  <c r="AE120" i="11"/>
  <c r="AE97" i="11" s="1"/>
  <c r="S97" i="11" s="1"/>
  <c r="S137" i="11"/>
  <c r="G191" i="11"/>
  <c r="G196" i="11" s="1"/>
  <c r="I196" i="11" s="1"/>
  <c r="AS12" i="11"/>
  <c r="O18" i="11"/>
  <c r="U62" i="11"/>
  <c r="X62" i="11"/>
  <c r="R69" i="11"/>
  <c r="W71" i="11"/>
  <c r="W79" i="11"/>
  <c r="I79" i="11"/>
  <c r="Y82" i="11"/>
  <c r="V82" i="11"/>
  <c r="N85" i="11"/>
  <c r="W86" i="11"/>
  <c r="I86" i="11"/>
  <c r="V88" i="11"/>
  <c r="Y88" i="11"/>
  <c r="O90" i="11"/>
  <c r="X90" i="11" s="1"/>
  <c r="W92" i="11"/>
  <c r="N90" i="11"/>
  <c r="I92" i="11"/>
  <c r="S115" i="11"/>
  <c r="S131" i="11"/>
  <c r="Y4" i="11"/>
  <c r="X13" i="11"/>
  <c r="H22" i="11"/>
  <c r="T23" i="11"/>
  <c r="T30" i="11"/>
  <c r="I31" i="11"/>
  <c r="T33" i="11"/>
  <c r="H41" i="11"/>
  <c r="H42" i="11"/>
  <c r="H43" i="11"/>
  <c r="I53" i="11"/>
  <c r="T54" i="11"/>
  <c r="T63" i="11"/>
  <c r="T66" i="11"/>
  <c r="N69" i="11"/>
  <c r="U71" i="11"/>
  <c r="U69" i="11" s="1"/>
  <c r="X71" i="11"/>
  <c r="T73" i="11"/>
  <c r="Y76" i="11"/>
  <c r="V76" i="11"/>
  <c r="W77" i="11"/>
  <c r="I77" i="11"/>
  <c r="N78" i="11"/>
  <c r="R78" i="11"/>
  <c r="P90" i="11"/>
  <c r="Y90" i="11" s="1"/>
  <c r="U95" i="11"/>
  <c r="U90" i="11" s="1"/>
  <c r="R98" i="11"/>
  <c r="AA97" i="11"/>
  <c r="AA3" i="11" s="1"/>
  <c r="AI97" i="11"/>
  <c r="AI3" i="11" s="1"/>
  <c r="O98" i="11"/>
  <c r="U102" i="11"/>
  <c r="U98" i="11" s="1"/>
  <c r="W115" i="11"/>
  <c r="M3" i="11"/>
  <c r="I48" i="11"/>
  <c r="T60" i="11"/>
  <c r="AG68" i="11"/>
  <c r="AO69" i="11"/>
  <c r="AW68" i="11"/>
  <c r="AW3" i="11" s="1"/>
  <c r="BE68" i="11"/>
  <c r="BE3" i="11" s="1"/>
  <c r="I73" i="11"/>
  <c r="W73" i="11"/>
  <c r="P78" i="11"/>
  <c r="Y78" i="11" s="1"/>
  <c r="I80" i="11"/>
  <c r="V80" i="11"/>
  <c r="V78" i="11" s="1"/>
  <c r="W84" i="11"/>
  <c r="S85" i="11"/>
  <c r="P85" i="11"/>
  <c r="Y85" i="11" s="1"/>
  <c r="I87" i="11"/>
  <c r="V87" i="11"/>
  <c r="V85" i="11" s="1"/>
  <c r="R88" i="11"/>
  <c r="T96" i="11"/>
  <c r="AT97" i="11"/>
  <c r="BJ97" i="11"/>
  <c r="Q98" i="11"/>
  <c r="V99" i="11"/>
  <c r="Y99" i="11"/>
  <c r="Y101" i="11"/>
  <c r="V101" i="11"/>
  <c r="Y107" i="11"/>
  <c r="V107" i="11"/>
  <c r="T108" i="11"/>
  <c r="W108" i="11"/>
  <c r="I108" i="11"/>
  <c r="T112" i="11"/>
  <c r="AA120" i="11"/>
  <c r="R121" i="11"/>
  <c r="O121" i="11"/>
  <c r="U123" i="11"/>
  <c r="X123" i="11"/>
  <c r="O131" i="11"/>
  <c r="I139" i="11"/>
  <c r="T139" i="11"/>
  <c r="W139" i="11"/>
  <c r="Y139" i="11"/>
  <c r="N140" i="11"/>
  <c r="Q140" i="11"/>
  <c r="AR137" i="11"/>
  <c r="AR120" i="11" s="1"/>
  <c r="AR97" i="11" s="1"/>
  <c r="AR3" i="11" s="1"/>
  <c r="K160" i="11"/>
  <c r="I165" i="11"/>
  <c r="W165" i="11"/>
  <c r="T165" i="11"/>
  <c r="I175" i="11"/>
  <c r="W175" i="11"/>
  <c r="T175" i="11"/>
  <c r="Y181" i="11"/>
  <c r="V181" i="11"/>
  <c r="P177" i="11"/>
  <c r="Y177" i="11" s="1"/>
  <c r="V74" i="11"/>
  <c r="V75" i="11"/>
  <c r="T76" i="11"/>
  <c r="U77" i="11"/>
  <c r="U79" i="11"/>
  <c r="U78" i="11" s="1"/>
  <c r="T82" i="11"/>
  <c r="T81" i="11" s="1"/>
  <c r="V83" i="11"/>
  <c r="U86" i="11"/>
  <c r="V89" i="11"/>
  <c r="V95" i="11"/>
  <c r="T101" i="11"/>
  <c r="V102" i="11"/>
  <c r="T105" i="11"/>
  <c r="W106" i="11"/>
  <c r="I109" i="11"/>
  <c r="T109" i="11"/>
  <c r="V112" i="11"/>
  <c r="S121" i="11"/>
  <c r="F121" i="11"/>
  <c r="F120" i="11" s="1"/>
  <c r="F97" i="11" s="1"/>
  <c r="P131" i="11"/>
  <c r="U132" i="11"/>
  <c r="X132" i="11"/>
  <c r="X131" i="11" s="1"/>
  <c r="X135" i="11"/>
  <c r="Q137" i="11"/>
  <c r="Y144" i="11"/>
  <c r="V144" i="11"/>
  <c r="W147" i="11"/>
  <c r="I147" i="11"/>
  <c r="N146" i="11"/>
  <c r="AI161" i="11"/>
  <c r="AI160" i="11" s="1"/>
  <c r="Q162" i="11"/>
  <c r="U161" i="11"/>
  <c r="S170" i="11"/>
  <c r="AE169" i="11"/>
  <c r="R170" i="11"/>
  <c r="BK169" i="11"/>
  <c r="R169" i="11" s="1"/>
  <c r="V131" i="11"/>
  <c r="V140" i="11"/>
  <c r="V137" i="11" s="1"/>
  <c r="Y140" i="11"/>
  <c r="Q155" i="11"/>
  <c r="X112" i="11"/>
  <c r="V114" i="11"/>
  <c r="Y114" i="11"/>
  <c r="Q115" i="11"/>
  <c r="AP120" i="11"/>
  <c r="AP97" i="11" s="1"/>
  <c r="AP3" i="11" s="1"/>
  <c r="U121" i="11"/>
  <c r="AS120" i="11"/>
  <c r="AS97" i="11" s="1"/>
  <c r="I142" i="11"/>
  <c r="T142" i="11"/>
  <c r="T141" i="11" s="1"/>
  <c r="AA160" i="11"/>
  <c r="Q5" i="12"/>
  <c r="P5" i="12"/>
  <c r="X79" i="11"/>
  <c r="V108" i="11"/>
  <c r="V113" i="11"/>
  <c r="R115" i="11"/>
  <c r="K121" i="11"/>
  <c r="K120" i="11" s="1"/>
  <c r="K97" i="11" s="1"/>
  <c r="Z120" i="11"/>
  <c r="Z97" i="11" s="1"/>
  <c r="Q121" i="11"/>
  <c r="AI120" i="11"/>
  <c r="N121" i="11"/>
  <c r="W122" i="11"/>
  <c r="V126" i="11"/>
  <c r="Y126" i="11"/>
  <c r="R131" i="11"/>
  <c r="U134" i="11"/>
  <c r="H137" i="11"/>
  <c r="H120" i="11" s="1"/>
  <c r="E120" i="11"/>
  <c r="E97" i="11" s="1"/>
  <c r="Q141" i="11"/>
  <c r="W154" i="11"/>
  <c r="I154" i="11"/>
  <c r="T154" i="11"/>
  <c r="T151" i="11" s="1"/>
  <c r="AJ161" i="11"/>
  <c r="AJ160" i="11" s="1"/>
  <c r="AJ3" i="11" s="1"/>
  <c r="R166" i="11"/>
  <c r="O166" i="11"/>
  <c r="X167" i="11"/>
  <c r="N170" i="11"/>
  <c r="W173" i="11"/>
  <c r="I173" i="11"/>
  <c r="T173" i="11"/>
  <c r="T170" i="11" s="1"/>
  <c r="X44" i="12"/>
  <c r="Y44" i="12" s="1"/>
  <c r="V44" i="12"/>
  <c r="I138" i="11"/>
  <c r="T138" i="11"/>
  <c r="W138" i="11"/>
  <c r="W137" i="11" s="1"/>
  <c r="AG137" i="11"/>
  <c r="R137" i="11" s="1"/>
  <c r="O138" i="11"/>
  <c r="Y142" i="11"/>
  <c r="Y141" i="11" s="1"/>
  <c r="V142" i="11"/>
  <c r="V141" i="11" s="1"/>
  <c r="P141" i="11"/>
  <c r="Y153" i="11"/>
  <c r="V153" i="11"/>
  <c r="V151" i="11" s="1"/>
  <c r="AE160" i="11"/>
  <c r="X107" i="11"/>
  <c r="V110" i="11"/>
  <c r="Y110" i="11"/>
  <c r="I111" i="11"/>
  <c r="BK120" i="11"/>
  <c r="BK97" i="11" s="1"/>
  <c r="BK3" i="11" s="1"/>
  <c r="T134" i="11"/>
  <c r="T131" i="11" s="1"/>
  <c r="N131" i="11"/>
  <c r="I131" i="11" s="1"/>
  <c r="W134" i="11"/>
  <c r="P137" i="11"/>
  <c r="S141" i="11"/>
  <c r="S146" i="11"/>
  <c r="N162" i="11"/>
  <c r="W164" i="11"/>
  <c r="I164" i="11"/>
  <c r="T164" i="11"/>
  <c r="T162" i="11" s="1"/>
  <c r="T161" i="11" s="1"/>
  <c r="I166" i="11"/>
  <c r="W166" i="11"/>
  <c r="W123" i="11"/>
  <c r="V125" i="11"/>
  <c r="V121" i="11" s="1"/>
  <c r="Y125" i="11"/>
  <c r="O140" i="11"/>
  <c r="AP137" i="11"/>
  <c r="I144" i="11"/>
  <c r="W144" i="11"/>
  <c r="T144" i="11"/>
  <c r="T147" i="11"/>
  <c r="T146" i="11" s="1"/>
  <c r="S151" i="11"/>
  <c r="R151" i="11"/>
  <c r="AG160" i="11"/>
  <c r="AW160" i="11"/>
  <c r="I177" i="11"/>
  <c r="W177" i="11"/>
  <c r="Q19" i="12"/>
  <c r="N19" i="12"/>
  <c r="T19" i="12" s="1"/>
  <c r="AD13" i="12"/>
  <c r="Q13" i="12" s="1"/>
  <c r="AG120" i="12"/>
  <c r="AG97" i="12" s="1"/>
  <c r="Q137" i="12"/>
  <c r="X142" i="11"/>
  <c r="X141" i="11" s="1"/>
  <c r="O145" i="11"/>
  <c r="W155" i="11"/>
  <c r="I155" i="11"/>
  <c r="O155" i="11"/>
  <c r="X155" i="11" s="1"/>
  <c r="X156" i="11"/>
  <c r="L160" i="11"/>
  <c r="L3" i="11" s="1"/>
  <c r="Z160" i="11"/>
  <c r="AH160" i="11"/>
  <c r="AH3" i="11" s="1"/>
  <c r="AP160" i="11"/>
  <c r="AX160" i="11"/>
  <c r="AX3" i="11" s="1"/>
  <c r="BF160" i="11"/>
  <c r="BF3" i="11" s="1"/>
  <c r="I192" i="11"/>
  <c r="G197" i="11"/>
  <c r="I197" i="11" s="1"/>
  <c r="F13" i="12"/>
  <c r="V22" i="12"/>
  <c r="X22" i="12"/>
  <c r="Y22" i="12" s="1"/>
  <c r="W176" i="11"/>
  <c r="I176" i="11"/>
  <c r="V176" i="11"/>
  <c r="O177" i="11"/>
  <c r="X178" i="11"/>
  <c r="BL3" i="12"/>
  <c r="R5" i="12"/>
  <c r="P146" i="11"/>
  <c r="Y146" i="11" s="1"/>
  <c r="Y147" i="11"/>
  <c r="R161" i="11"/>
  <c r="Q177" i="11"/>
  <c r="O184" i="11"/>
  <c r="X184" i="11" s="1"/>
  <c r="X185" i="11"/>
  <c r="U27" i="12"/>
  <c r="U13" i="12" s="1"/>
  <c r="O13" i="12"/>
  <c r="T116" i="11"/>
  <c r="T115" i="11" s="1"/>
  <c r="I132" i="11"/>
  <c r="T136" i="11"/>
  <c r="O141" i="11"/>
  <c r="W148" i="11"/>
  <c r="I148" i="11"/>
  <c r="I152" i="11"/>
  <c r="N151" i="11"/>
  <c r="W152" i="11"/>
  <c r="S155" i="11"/>
  <c r="T159" i="11"/>
  <c r="T155" i="11" s="1"/>
  <c r="AD160" i="11"/>
  <c r="AL160" i="11"/>
  <c r="AT160" i="11"/>
  <c r="BB160" i="11"/>
  <c r="Q166" i="11"/>
  <c r="BJ161" i="11"/>
  <c r="X170" i="11"/>
  <c r="Y173" i="11"/>
  <c r="P170" i="11"/>
  <c r="W174" i="11"/>
  <c r="I174" i="11"/>
  <c r="R177" i="11"/>
  <c r="V184" i="11"/>
  <c r="X17" i="12"/>
  <c r="Y17" i="12" s="1"/>
  <c r="X25" i="12"/>
  <c r="Y25" i="12" s="1"/>
  <c r="V25" i="12"/>
  <c r="X34" i="12"/>
  <c r="Y34" i="12" s="1"/>
  <c r="V34" i="12"/>
  <c r="BK160" i="11"/>
  <c r="R160" i="11" s="1"/>
  <c r="S162" i="11"/>
  <c r="P162" i="11"/>
  <c r="Q170" i="11"/>
  <c r="S177" i="11"/>
  <c r="BL169" i="11"/>
  <c r="S169" i="11" s="1"/>
  <c r="V183" i="11"/>
  <c r="V177" i="11" s="1"/>
  <c r="Q184" i="11"/>
  <c r="X14" i="12"/>
  <c r="P45" i="12"/>
  <c r="M45" i="12"/>
  <c r="M13" i="12" s="1"/>
  <c r="AI13" i="12"/>
  <c r="X49" i="12"/>
  <c r="Y49" i="12" s="1"/>
  <c r="V49" i="12"/>
  <c r="AG141" i="11"/>
  <c r="R141" i="11" s="1"/>
  <c r="R146" i="11"/>
  <c r="X151" i="11"/>
  <c r="P151" i="11"/>
  <c r="Y151" i="11" s="1"/>
  <c r="Y152" i="11"/>
  <c r="U156" i="11"/>
  <c r="U155" i="11" s="1"/>
  <c r="I159" i="11"/>
  <c r="E161" i="11"/>
  <c r="H161" i="11" s="1"/>
  <c r="R162" i="11"/>
  <c r="J160" i="11"/>
  <c r="BL161" i="11"/>
  <c r="S166" i="11"/>
  <c r="V175" i="11"/>
  <c r="V170" i="11" s="1"/>
  <c r="V169" i="11" s="1"/>
  <c r="H169" i="11"/>
  <c r="W183" i="11"/>
  <c r="I183" i="11"/>
  <c r="T183" i="11"/>
  <c r="I193" i="12"/>
  <c r="I3" i="12"/>
  <c r="AC3" i="12"/>
  <c r="U15" i="12"/>
  <c r="O5" i="12"/>
  <c r="X31" i="12"/>
  <c r="Y31" i="12" s="1"/>
  <c r="X38" i="12"/>
  <c r="Y38" i="12" s="1"/>
  <c r="V38" i="12"/>
  <c r="Y42" i="12"/>
  <c r="T50" i="12"/>
  <c r="T181" i="11"/>
  <c r="T177" i="11" s="1"/>
  <c r="U186" i="11"/>
  <c r="U184" i="11" s="1"/>
  <c r="H193" i="12"/>
  <c r="Y6" i="12"/>
  <c r="R13" i="12"/>
  <c r="X47" i="12"/>
  <c r="Y47" i="12" s="1"/>
  <c r="V47" i="12"/>
  <c r="T53" i="12"/>
  <c r="R69" i="12"/>
  <c r="AT68" i="12"/>
  <c r="AT3" i="12" s="1"/>
  <c r="P69" i="12"/>
  <c r="P68" i="12" s="1"/>
  <c r="BJ68" i="12"/>
  <c r="BJ3" i="12" s="1"/>
  <c r="N73" i="12"/>
  <c r="T73" i="12" s="1"/>
  <c r="V73" i="12" s="1"/>
  <c r="Q73" i="12"/>
  <c r="AD69" i="12"/>
  <c r="X74" i="12"/>
  <c r="Y74" i="12" s="1"/>
  <c r="V74" i="12"/>
  <c r="P81" i="12"/>
  <c r="AO68" i="12"/>
  <c r="AO3" i="12" s="1"/>
  <c r="V163" i="11"/>
  <c r="V162" i="11" s="1"/>
  <c r="V161" i="11" s="1"/>
  <c r="BJ169" i="11"/>
  <c r="Q169" i="11" s="1"/>
  <c r="W184" i="11"/>
  <c r="L3" i="12"/>
  <c r="Q20" i="12"/>
  <c r="W20" i="12"/>
  <c r="W3" i="12" s="1"/>
  <c r="N20" i="12"/>
  <c r="T20" i="12" s="1"/>
  <c r="V20" i="12" s="1"/>
  <c r="X29" i="12"/>
  <c r="Y29" i="12" s="1"/>
  <c r="T32" i="12"/>
  <c r="X42" i="12"/>
  <c r="N5" i="12"/>
  <c r="X16" i="12"/>
  <c r="Y16" i="12" s="1"/>
  <c r="R68" i="12"/>
  <c r="V30" i="12"/>
  <c r="X51" i="12"/>
  <c r="Y51" i="12" s="1"/>
  <c r="V51" i="12"/>
  <c r="X60" i="12"/>
  <c r="Y60" i="12" s="1"/>
  <c r="X64" i="12"/>
  <c r="Y64" i="12" s="1"/>
  <c r="J13" i="12"/>
  <c r="J3" i="12" s="1"/>
  <c r="T17" i="12"/>
  <c r="V17" i="12" s="1"/>
  <c r="V23" i="12"/>
  <c r="X33" i="12"/>
  <c r="Y33" i="12" s="1"/>
  <c r="AG68" i="12"/>
  <c r="AG3" i="12" s="1"/>
  <c r="H191" i="12"/>
  <c r="H196" i="12" s="1"/>
  <c r="Q21" i="12"/>
  <c r="N21" i="12"/>
  <c r="T21" i="12" s="1"/>
  <c r="X24" i="12"/>
  <c r="Y24" i="12" s="1"/>
  <c r="X45" i="12"/>
  <c r="Y45" i="12" s="1"/>
  <c r="X57" i="12"/>
  <c r="Y57" i="12" s="1"/>
  <c r="V57" i="12"/>
  <c r="X87" i="12"/>
  <c r="Y87" i="12" s="1"/>
  <c r="V87" i="12"/>
  <c r="N48" i="12"/>
  <c r="T48" i="12" s="1"/>
  <c r="N52" i="12"/>
  <c r="T52" i="12" s="1"/>
  <c r="N53" i="12"/>
  <c r="X67" i="12"/>
  <c r="Y67" i="12" s="1"/>
  <c r="X76" i="12"/>
  <c r="Y76" i="12" s="1"/>
  <c r="O90" i="12"/>
  <c r="X108" i="12"/>
  <c r="Y108" i="12" s="1"/>
  <c r="AB120" i="12"/>
  <c r="AB97" i="12" s="1"/>
  <c r="Q141" i="12"/>
  <c r="X70" i="12"/>
  <c r="Y70" i="12" s="1"/>
  <c r="R90" i="12"/>
  <c r="AJ97" i="12"/>
  <c r="W98" i="12"/>
  <c r="AR97" i="12"/>
  <c r="AR3" i="12" s="1"/>
  <c r="BH97" i="12"/>
  <c r="BH3" i="12" s="1"/>
  <c r="U99" i="12"/>
  <c r="U98" i="12" s="1"/>
  <c r="O98" i="12"/>
  <c r="X112" i="12"/>
  <c r="Y112" i="12" s="1"/>
  <c r="V112" i="12"/>
  <c r="X118" i="12"/>
  <c r="Y118" i="12" s="1"/>
  <c r="V118" i="12"/>
  <c r="M121" i="12"/>
  <c r="X133" i="12"/>
  <c r="Y133" i="12" s="1"/>
  <c r="V133" i="12"/>
  <c r="AH120" i="12"/>
  <c r="AH97" i="12" s="1"/>
  <c r="AH3" i="12" s="1"/>
  <c r="R141" i="12"/>
  <c r="T142" i="12"/>
  <c r="N141" i="12"/>
  <c r="E191" i="12"/>
  <c r="E196" i="12" s="1"/>
  <c r="Q78" i="12"/>
  <c r="X114" i="12"/>
  <c r="Y114" i="12" s="1"/>
  <c r="X122" i="12"/>
  <c r="Y122" i="12" s="1"/>
  <c r="X124" i="12"/>
  <c r="Y124" i="12" s="1"/>
  <c r="V124" i="12"/>
  <c r="T134" i="12"/>
  <c r="N131" i="12"/>
  <c r="V70" i="12"/>
  <c r="X79" i="12"/>
  <c r="Y79" i="12" s="1"/>
  <c r="X80" i="12"/>
  <c r="Y80" i="12" s="1"/>
  <c r="V80" i="12"/>
  <c r="X83" i="12"/>
  <c r="Y83" i="12" s="1"/>
  <c r="P85" i="12"/>
  <c r="Q85" i="12"/>
  <c r="X88" i="12"/>
  <c r="Y88" i="12" s="1"/>
  <c r="X95" i="12"/>
  <c r="Y95" i="12" s="1"/>
  <c r="Q98" i="12"/>
  <c r="AD97" i="12"/>
  <c r="P98" i="12"/>
  <c r="BJ97" i="12"/>
  <c r="X105" i="12"/>
  <c r="Y105" i="12" s="1"/>
  <c r="P131" i="12"/>
  <c r="P120" i="12" s="1"/>
  <c r="S85" i="12"/>
  <c r="X115" i="12"/>
  <c r="Y115" i="12" s="1"/>
  <c r="U116" i="12"/>
  <c r="U115" i="12" s="1"/>
  <c r="O115" i="12"/>
  <c r="V122" i="12"/>
  <c r="T121" i="12"/>
  <c r="Q131" i="12"/>
  <c r="Q120" i="12" s="1"/>
  <c r="X136" i="12"/>
  <c r="Y136" i="12" s="1"/>
  <c r="X73" i="12"/>
  <c r="Y73" i="12" s="1"/>
  <c r="V79" i="12"/>
  <c r="T78" i="12"/>
  <c r="V78" i="12" s="1"/>
  <c r="R81" i="12"/>
  <c r="Q81" i="12"/>
  <c r="F85" i="12"/>
  <c r="F68" i="12" s="1"/>
  <c r="F3" i="12" s="1"/>
  <c r="T90" i="12"/>
  <c r="V90" i="12" s="1"/>
  <c r="N90" i="12"/>
  <c r="T96" i="12"/>
  <c r="Q97" i="12"/>
  <c r="R98" i="12"/>
  <c r="X99" i="12"/>
  <c r="Y99" i="12" s="1"/>
  <c r="AJ120" i="12"/>
  <c r="R120" i="12"/>
  <c r="U122" i="12"/>
  <c r="U121" i="12" s="1"/>
  <c r="O121" i="12"/>
  <c r="T126" i="12"/>
  <c r="V126" i="12" s="1"/>
  <c r="J193" i="12"/>
  <c r="U79" i="12"/>
  <c r="U78" i="12" s="1"/>
  <c r="U68" i="12" s="1"/>
  <c r="O78" i="12"/>
  <c r="O68" i="12" s="1"/>
  <c r="X82" i="12"/>
  <c r="Y82" i="12" s="1"/>
  <c r="T81" i="12"/>
  <c r="V82" i="12"/>
  <c r="S92" i="12"/>
  <c r="S90" i="12" s="1"/>
  <c r="T98" i="12"/>
  <c r="X103" i="12"/>
  <c r="Y103" i="12" s="1"/>
  <c r="P115" i="12"/>
  <c r="X128" i="12"/>
  <c r="Y128" i="12" s="1"/>
  <c r="V128" i="12"/>
  <c r="X130" i="12"/>
  <c r="Y130" i="12" s="1"/>
  <c r="T131" i="12"/>
  <c r="V131" i="12" s="1"/>
  <c r="S131" i="12"/>
  <c r="S120" i="12" s="1"/>
  <c r="O81" i="12"/>
  <c r="S82" i="12"/>
  <c r="S81" i="12" s="1"/>
  <c r="S68" i="12" s="1"/>
  <c r="V92" i="12"/>
  <c r="N129" i="12"/>
  <c r="T129" i="12" s="1"/>
  <c r="V129" i="12" s="1"/>
  <c r="Q138" i="12"/>
  <c r="X139" i="12"/>
  <c r="Y139" i="12" s="1"/>
  <c r="X140" i="12"/>
  <c r="Y140" i="12" s="1"/>
  <c r="V140" i="12"/>
  <c r="T151" i="12"/>
  <c r="V151" i="12" s="1"/>
  <c r="V152" i="12"/>
  <c r="V153" i="12"/>
  <c r="X153" i="12"/>
  <c r="Y153" i="12" s="1"/>
  <c r="S155" i="12"/>
  <c r="R161" i="12"/>
  <c r="T162" i="12"/>
  <c r="E160" i="12"/>
  <c r="F160" i="12"/>
  <c r="AD4" i="13"/>
  <c r="U170" i="12"/>
  <c r="U169" i="12" s="1"/>
  <c r="U160" i="12" s="1"/>
  <c r="T177" i="12"/>
  <c r="V178" i="12"/>
  <c r="X181" i="12"/>
  <c r="Y181" i="12" s="1"/>
  <c r="X182" i="12"/>
  <c r="Y182" i="12" s="1"/>
  <c r="N98" i="12"/>
  <c r="M137" i="12"/>
  <c r="P141" i="12"/>
  <c r="U146" i="12"/>
  <c r="T155" i="12"/>
  <c r="V155" i="12" s="1"/>
  <c r="V156" i="12"/>
  <c r="V157" i="12"/>
  <c r="X157" i="12"/>
  <c r="Y157" i="12" s="1"/>
  <c r="X168" i="12"/>
  <c r="Y168" i="12" s="1"/>
  <c r="V168" i="12"/>
  <c r="X173" i="12"/>
  <c r="Y173" i="12" s="1"/>
  <c r="T184" i="12"/>
  <c r="V184" i="12" s="1"/>
  <c r="X187" i="12"/>
  <c r="Y187" i="12" s="1"/>
  <c r="N6" i="13"/>
  <c r="O6" i="13" s="1"/>
  <c r="AJ69" i="12"/>
  <c r="AJ68" i="12" s="1"/>
  <c r="AJ3" i="12" s="1"/>
  <c r="O85" i="12"/>
  <c r="N121" i="12"/>
  <c r="V135" i="12"/>
  <c r="X162" i="12"/>
  <c r="X164" i="12"/>
  <c r="Y164" i="12" s="1"/>
  <c r="V167" i="12"/>
  <c r="X167" i="12"/>
  <c r="Y167" i="12" s="1"/>
  <c r="T166" i="12"/>
  <c r="V166" i="12" s="1"/>
  <c r="X186" i="12"/>
  <c r="Y186" i="12" s="1"/>
  <c r="O137" i="12"/>
  <c r="S151" i="12"/>
  <c r="V173" i="12"/>
  <c r="T170" i="12"/>
  <c r="X170" i="12" s="1"/>
  <c r="Y170" i="12" s="1"/>
  <c r="X175" i="12"/>
  <c r="Y175" i="12" s="1"/>
  <c r="E197" i="12"/>
  <c r="N138" i="12"/>
  <c r="S142" i="12"/>
  <c r="S141" i="12" s="1"/>
  <c r="M141" i="12"/>
  <c r="X142" i="12"/>
  <c r="Y142" i="12" s="1"/>
  <c r="V159" i="12"/>
  <c r="X159" i="12"/>
  <c r="Y159" i="12" s="1"/>
  <c r="Q161" i="12"/>
  <c r="AD160" i="12"/>
  <c r="P161" i="12"/>
  <c r="BJ160" i="12"/>
  <c r="P160" i="12" s="1"/>
  <c r="R169" i="12"/>
  <c r="AE160" i="12"/>
  <c r="U184" i="12"/>
  <c r="H197" i="12"/>
  <c r="E10" i="13"/>
  <c r="U144" i="12"/>
  <c r="U141" i="12" s="1"/>
  <c r="O151" i="12"/>
  <c r="O155" i="12"/>
  <c r="O162" i="12"/>
  <c r="O161" i="12" s="1"/>
  <c r="V165" i="12"/>
  <c r="BK169" i="12"/>
  <c r="S173" i="12"/>
  <c r="S170" i="12" s="1"/>
  <c r="S169" i="12" s="1"/>
  <c r="S160" i="12" s="1"/>
  <c r="O177" i="12"/>
  <c r="O169" i="12" s="1"/>
  <c r="V179" i="12"/>
  <c r="O184" i="12"/>
  <c r="V188" i="12"/>
  <c r="D129" i="13"/>
  <c r="S150" i="12"/>
  <c r="S146" i="12" s="1"/>
  <c r="P162" i="12"/>
  <c r="V185" i="12"/>
  <c r="Q162" i="12"/>
  <c r="Y162" i="12"/>
  <c r="T148" i="12"/>
  <c r="V163" i="12"/>
  <c r="V176" i="12"/>
  <c r="V183" i="12"/>
  <c r="D10" i="13"/>
  <c r="S96" i="8" l="1"/>
  <c r="P96" i="8"/>
  <c r="R97" i="12"/>
  <c r="AB3" i="12"/>
  <c r="V120" i="11"/>
  <c r="E190" i="6"/>
  <c r="E3" i="6"/>
  <c r="H12" i="8"/>
  <c r="V12" i="8"/>
  <c r="U67" i="8"/>
  <c r="H67" i="6"/>
  <c r="G96" i="4"/>
  <c r="I192" i="4"/>
  <c r="I3" i="4"/>
  <c r="G3" i="4" s="1"/>
  <c r="U159" i="8"/>
  <c r="Q96" i="5"/>
  <c r="Q194" i="5" s="1"/>
  <c r="AF3" i="5"/>
  <c r="S97" i="12"/>
  <c r="V52" i="12"/>
  <c r="X52" i="12"/>
  <c r="Y52" i="12" s="1"/>
  <c r="P96" i="3"/>
  <c r="BI3" i="3"/>
  <c r="P3" i="3" s="1"/>
  <c r="V48" i="12"/>
  <c r="X48" i="12"/>
  <c r="Y48" i="12" s="1"/>
  <c r="H97" i="11"/>
  <c r="T159" i="5"/>
  <c r="T119" i="3"/>
  <c r="AD3" i="7"/>
  <c r="R159" i="7"/>
  <c r="AF3" i="9"/>
  <c r="V67" i="7"/>
  <c r="H67" i="7"/>
  <c r="X119" i="6"/>
  <c r="O96" i="6"/>
  <c r="X96" i="6" s="1"/>
  <c r="V148" i="12"/>
  <c r="T146" i="12"/>
  <c r="Y160" i="12"/>
  <c r="E3" i="12"/>
  <c r="T141" i="12"/>
  <c r="V142" i="12"/>
  <c r="N13" i="12"/>
  <c r="W151" i="11"/>
  <c r="I151" i="11"/>
  <c r="Q120" i="11"/>
  <c r="S120" i="11"/>
  <c r="W140" i="11"/>
  <c r="I140" i="11"/>
  <c r="T140" i="11"/>
  <c r="Q97" i="11"/>
  <c r="AO68" i="11"/>
  <c r="Q69" i="11"/>
  <c r="Q68" i="11" s="1"/>
  <c r="Q195" i="11" s="1"/>
  <c r="E195" i="11" s="1"/>
  <c r="H195" i="11" s="1"/>
  <c r="R68" i="11"/>
  <c r="AD3" i="11"/>
  <c r="W44" i="11"/>
  <c r="I44" i="11"/>
  <c r="J68" i="11"/>
  <c r="H69" i="11"/>
  <c r="P169" i="10"/>
  <c r="BI160" i="10"/>
  <c r="BK160" i="10"/>
  <c r="R160" i="10" s="1"/>
  <c r="R161" i="10"/>
  <c r="AE3" i="11"/>
  <c r="G170" i="10"/>
  <c r="I169" i="10"/>
  <c r="H115" i="10"/>
  <c r="V115" i="10"/>
  <c r="V81" i="10"/>
  <c r="H81" i="10"/>
  <c r="L193" i="10"/>
  <c r="H162" i="9"/>
  <c r="V162" i="9"/>
  <c r="M161" i="9"/>
  <c r="H4" i="10"/>
  <c r="V4" i="10"/>
  <c r="H115" i="9"/>
  <c r="V115" i="9"/>
  <c r="R97" i="9"/>
  <c r="BJ159" i="8"/>
  <c r="Q159" i="8" s="1"/>
  <c r="S176" i="8"/>
  <c r="S168" i="8" s="1"/>
  <c r="S159" i="8" s="1"/>
  <c r="N160" i="8"/>
  <c r="G191" i="8"/>
  <c r="I192" i="8"/>
  <c r="G4" i="8"/>
  <c r="I3" i="8"/>
  <c r="G3" i="8" s="1"/>
  <c r="T130" i="7"/>
  <c r="T119" i="7" s="1"/>
  <c r="V4" i="8"/>
  <c r="BK3" i="8"/>
  <c r="R3" i="8" s="1"/>
  <c r="T87" i="7"/>
  <c r="W87" i="7"/>
  <c r="W97" i="7"/>
  <c r="N96" i="7"/>
  <c r="W96" i="7" s="1"/>
  <c r="T136" i="7"/>
  <c r="X68" i="7"/>
  <c r="O67" i="7"/>
  <c r="W120" i="6"/>
  <c r="N119" i="6"/>
  <c r="H145" i="6"/>
  <c r="V145" i="6"/>
  <c r="Q160" i="6"/>
  <c r="Q140" i="6"/>
  <c r="AF119" i="6"/>
  <c r="AF96" i="6" s="1"/>
  <c r="M119" i="6"/>
  <c r="H130" i="6"/>
  <c r="U130" i="6"/>
  <c r="U119" i="6" s="1"/>
  <c r="U96" i="6" s="1"/>
  <c r="U3" i="6" s="1"/>
  <c r="H168" i="5"/>
  <c r="V168" i="5"/>
  <c r="S97" i="6"/>
  <c r="BI159" i="5"/>
  <c r="W87" i="5"/>
  <c r="N84" i="5"/>
  <c r="W84" i="5" s="1"/>
  <c r="T87" i="5"/>
  <c r="T84" i="5" s="1"/>
  <c r="O119" i="5"/>
  <c r="X119" i="5" s="1"/>
  <c r="T74" i="5"/>
  <c r="N68" i="5"/>
  <c r="W74" i="5"/>
  <c r="AA3" i="6"/>
  <c r="V176" i="4"/>
  <c r="H176" i="4"/>
  <c r="O160" i="4"/>
  <c r="Q159" i="3"/>
  <c r="BJ3" i="3"/>
  <c r="Q3" i="3" s="1"/>
  <c r="N67" i="4"/>
  <c r="V177" i="12"/>
  <c r="X177" i="12"/>
  <c r="Y177" i="12" s="1"/>
  <c r="P97" i="12"/>
  <c r="T13" i="12"/>
  <c r="X53" i="12"/>
  <c r="Y53" i="12" s="1"/>
  <c r="V53" i="12"/>
  <c r="Z3" i="11"/>
  <c r="U160" i="11"/>
  <c r="X121" i="11"/>
  <c r="X81" i="11"/>
  <c r="X15" i="11"/>
  <c r="U15" i="11"/>
  <c r="AS3" i="11"/>
  <c r="T177" i="10"/>
  <c r="S161" i="10"/>
  <c r="S160" i="10" s="1"/>
  <c r="V166" i="10"/>
  <c r="H166" i="10"/>
  <c r="BH3" i="10"/>
  <c r="Q161" i="9"/>
  <c r="Z160" i="9"/>
  <c r="Z3" i="9" s="1"/>
  <c r="S162" i="9"/>
  <c r="S161" i="9" s="1"/>
  <c r="V43" i="9"/>
  <c r="S43" i="9"/>
  <c r="H43" i="9"/>
  <c r="V72" i="9"/>
  <c r="S72" i="9"/>
  <c r="H72" i="9"/>
  <c r="M69" i="9"/>
  <c r="H177" i="9"/>
  <c r="V177" i="9"/>
  <c r="T44" i="10"/>
  <c r="U4" i="10"/>
  <c r="W4" i="9"/>
  <c r="G12" i="9"/>
  <c r="I3" i="9"/>
  <c r="G3" i="9" s="1"/>
  <c r="V91" i="8"/>
  <c r="M89" i="8"/>
  <c r="H91" i="8"/>
  <c r="H77" i="8"/>
  <c r="V77" i="8"/>
  <c r="N136" i="8"/>
  <c r="W137" i="8"/>
  <c r="W136" i="8" s="1"/>
  <c r="T137" i="8"/>
  <c r="T136" i="8" s="1"/>
  <c r="T119" i="8" s="1"/>
  <c r="T96" i="8" s="1"/>
  <c r="T12" i="8"/>
  <c r="V183" i="7"/>
  <c r="H183" i="7"/>
  <c r="H169" i="7"/>
  <c r="M168" i="7"/>
  <c r="V169" i="7"/>
  <c r="Q168" i="7"/>
  <c r="T97" i="7"/>
  <c r="F192" i="7"/>
  <c r="H192" i="7" s="1"/>
  <c r="U68" i="7"/>
  <c r="H84" i="5"/>
  <c r="V84" i="5"/>
  <c r="W4" i="5"/>
  <c r="U168" i="4"/>
  <c r="AA3" i="5"/>
  <c r="X12" i="4"/>
  <c r="H191" i="4"/>
  <c r="F195" i="4"/>
  <c r="H195" i="4" s="1"/>
  <c r="M119" i="4"/>
  <c r="V97" i="3"/>
  <c r="H97" i="3"/>
  <c r="W160" i="4"/>
  <c r="W97" i="3"/>
  <c r="V89" i="3"/>
  <c r="H89" i="3"/>
  <c r="O67" i="4"/>
  <c r="X67" i="4" s="1"/>
  <c r="L4" i="13"/>
  <c r="K9" i="13"/>
  <c r="U136" i="3"/>
  <c r="P67" i="3"/>
  <c r="P194" i="3" s="1"/>
  <c r="E194" i="3" s="1"/>
  <c r="N137" i="12"/>
  <c r="T138" i="12"/>
  <c r="AD68" i="12"/>
  <c r="AD3" i="12" s="1"/>
  <c r="Q69" i="12"/>
  <c r="Q68" i="12" s="1"/>
  <c r="F161" i="11"/>
  <c r="F160" i="11" s="1"/>
  <c r="F3" i="11" s="1"/>
  <c r="E160" i="11"/>
  <c r="E3" i="11" s="1"/>
  <c r="F2" i="11" s="1"/>
  <c r="T169" i="11"/>
  <c r="T160" i="11" s="1"/>
  <c r="W85" i="11"/>
  <c r="I85" i="11"/>
  <c r="X28" i="11"/>
  <c r="U28" i="11"/>
  <c r="I32" i="11"/>
  <c r="W32" i="11"/>
  <c r="AO3" i="11"/>
  <c r="X8" i="11"/>
  <c r="U8" i="11"/>
  <c r="U4" i="11" s="1"/>
  <c r="N12" i="11"/>
  <c r="U44" i="11"/>
  <c r="X162" i="10"/>
  <c r="O161" i="10"/>
  <c r="E203" i="10"/>
  <c r="F202" i="10"/>
  <c r="E202" i="10"/>
  <c r="E196" i="10"/>
  <c r="G196" i="10" s="1"/>
  <c r="N169" i="10"/>
  <c r="W169" i="10" s="1"/>
  <c r="H35" i="10"/>
  <c r="V35" i="10"/>
  <c r="BJ160" i="9"/>
  <c r="Q169" i="9"/>
  <c r="V42" i="9"/>
  <c r="S42" i="9"/>
  <c r="H42" i="9"/>
  <c r="R160" i="9"/>
  <c r="U68" i="9"/>
  <c r="AI120" i="9"/>
  <c r="AI97" i="9" s="1"/>
  <c r="AI3" i="9" s="1"/>
  <c r="Q137" i="9"/>
  <c r="Q120" i="9" s="1"/>
  <c r="V75" i="9"/>
  <c r="S75" i="9"/>
  <c r="H75" i="9"/>
  <c r="S177" i="9"/>
  <c r="AB160" i="9"/>
  <c r="AB3" i="9" s="1"/>
  <c r="W69" i="10"/>
  <c r="N68" i="10"/>
  <c r="W68" i="10" s="1"/>
  <c r="X162" i="9"/>
  <c r="O161" i="9"/>
  <c r="E196" i="9"/>
  <c r="G196" i="9" s="1"/>
  <c r="G192" i="9"/>
  <c r="T18" i="9"/>
  <c r="T12" i="9" s="1"/>
  <c r="T3" i="9" s="1"/>
  <c r="W18" i="9"/>
  <c r="V44" i="8"/>
  <c r="H44" i="8"/>
  <c r="AC67" i="8"/>
  <c r="AC3" i="8" s="1"/>
  <c r="Q68" i="8"/>
  <c r="Q67" i="8" s="1"/>
  <c r="Q194" i="8" s="1"/>
  <c r="W4" i="8"/>
  <c r="V120" i="7"/>
  <c r="M119" i="7"/>
  <c r="H120" i="7"/>
  <c r="S91" i="8"/>
  <c r="S89" i="8" s="1"/>
  <c r="S67" i="8" s="1"/>
  <c r="I159" i="7"/>
  <c r="G159" i="7" s="1"/>
  <c r="G160" i="7"/>
  <c r="O119" i="7"/>
  <c r="X119" i="7" s="1"/>
  <c r="X120" i="7"/>
  <c r="AF3" i="7"/>
  <c r="H191" i="7"/>
  <c r="Q136" i="7"/>
  <c r="Q119" i="7" s="1"/>
  <c r="V84" i="7"/>
  <c r="H84" i="7"/>
  <c r="P67" i="7"/>
  <c r="W160" i="6"/>
  <c r="N159" i="6"/>
  <c r="W159" i="6" s="1"/>
  <c r="W74" i="6"/>
  <c r="T74" i="6"/>
  <c r="T68" i="6" s="1"/>
  <c r="T67" i="6" s="1"/>
  <c r="H165" i="5"/>
  <c r="V165" i="5"/>
  <c r="V150" i="5"/>
  <c r="H150" i="5"/>
  <c r="BI159" i="6"/>
  <c r="F62" i="14"/>
  <c r="T43" i="6"/>
  <c r="T12" i="6" s="1"/>
  <c r="S120" i="5"/>
  <c r="S119" i="5" s="1"/>
  <c r="H68" i="5"/>
  <c r="V68" i="5"/>
  <c r="M67" i="5"/>
  <c r="C4" i="14"/>
  <c r="E195" i="5"/>
  <c r="G195" i="5" s="1"/>
  <c r="N12" i="5"/>
  <c r="W12" i="5" s="1"/>
  <c r="O96" i="5"/>
  <c r="X96" i="5" s="1"/>
  <c r="X97" i="5"/>
  <c r="S12" i="5"/>
  <c r="G191" i="5"/>
  <c r="X160" i="5"/>
  <c r="O159" i="5"/>
  <c r="X159" i="5" s="1"/>
  <c r="H168" i="4"/>
  <c r="V168" i="4"/>
  <c r="F192" i="4"/>
  <c r="H192" i="4" s="1"/>
  <c r="H97" i="4"/>
  <c r="V97" i="4"/>
  <c r="M96" i="4"/>
  <c r="T119" i="4"/>
  <c r="P160" i="4"/>
  <c r="S97" i="3"/>
  <c r="T97" i="3"/>
  <c r="T96" i="3" s="1"/>
  <c r="H77" i="3"/>
  <c r="M67" i="3"/>
  <c r="V77" i="3"/>
  <c r="J192" i="3"/>
  <c r="N119" i="3"/>
  <c r="W119" i="3" s="1"/>
  <c r="W120" i="3"/>
  <c r="U84" i="3"/>
  <c r="U67" i="3" s="1"/>
  <c r="D135" i="13"/>
  <c r="Q67" i="3"/>
  <c r="Q194" i="3" s="1"/>
  <c r="V98" i="12"/>
  <c r="X96" i="12"/>
  <c r="Y96" i="12" s="1"/>
  <c r="V96" i="12"/>
  <c r="T69" i="12"/>
  <c r="T68" i="12" s="1"/>
  <c r="N69" i="12"/>
  <c r="N68" i="12" s="1"/>
  <c r="N194" i="12" s="1"/>
  <c r="E200" i="12" s="1"/>
  <c r="U138" i="11"/>
  <c r="X138" i="11"/>
  <c r="X137" i="11" s="1"/>
  <c r="O137" i="11"/>
  <c r="O120" i="11" s="1"/>
  <c r="R120" i="11"/>
  <c r="I90" i="11"/>
  <c r="W90" i="11"/>
  <c r="V81" i="11"/>
  <c r="X18" i="11"/>
  <c r="U18" i="11"/>
  <c r="T69" i="11"/>
  <c r="V184" i="10"/>
  <c r="H184" i="10"/>
  <c r="P68" i="11"/>
  <c r="W75" i="11"/>
  <c r="I75" i="11"/>
  <c r="V162" i="10"/>
  <c r="M161" i="10"/>
  <c r="H162" i="10"/>
  <c r="R4" i="11"/>
  <c r="T166" i="10"/>
  <c r="T161" i="10" s="1"/>
  <c r="T160" i="10" s="1"/>
  <c r="M120" i="10"/>
  <c r="H121" i="10"/>
  <c r="V121" i="10"/>
  <c r="O169" i="10"/>
  <c r="X169" i="10" s="1"/>
  <c r="S90" i="10"/>
  <c r="T184" i="9"/>
  <c r="T160" i="9" s="1"/>
  <c r="H92" i="10"/>
  <c r="V92" i="10"/>
  <c r="M90" i="10"/>
  <c r="AF3" i="10"/>
  <c r="W98" i="9"/>
  <c r="W4" i="10"/>
  <c r="O97" i="10"/>
  <c r="X97" i="10" s="1"/>
  <c r="X69" i="10"/>
  <c r="O68" i="10"/>
  <c r="X68" i="10" s="1"/>
  <c r="H121" i="9"/>
  <c r="V121" i="9"/>
  <c r="P90" i="10"/>
  <c r="J3" i="10"/>
  <c r="W138" i="9"/>
  <c r="W137" i="9" s="1"/>
  <c r="T138" i="9"/>
  <c r="T137" i="9" s="1"/>
  <c r="N137" i="9"/>
  <c r="N120" i="9" s="1"/>
  <c r="W120" i="9" s="1"/>
  <c r="S85" i="9"/>
  <c r="M12" i="10"/>
  <c r="P161" i="9"/>
  <c r="W161" i="9"/>
  <c r="J160" i="9"/>
  <c r="M119" i="8"/>
  <c r="V120" i="8"/>
  <c r="H120" i="8"/>
  <c r="T183" i="8"/>
  <c r="T159" i="8" s="1"/>
  <c r="U4" i="9"/>
  <c r="H32" i="9"/>
  <c r="V32" i="9"/>
  <c r="Q96" i="8"/>
  <c r="O119" i="8"/>
  <c r="X119" i="8" s="1"/>
  <c r="X120" i="8"/>
  <c r="M67" i="8"/>
  <c r="H68" i="8"/>
  <c r="V68" i="8"/>
  <c r="U130" i="8"/>
  <c r="U119" i="8" s="1"/>
  <c r="U96" i="8" s="1"/>
  <c r="V97" i="8"/>
  <c r="H97" i="8"/>
  <c r="M96" i="8"/>
  <c r="O67" i="8"/>
  <c r="X67" i="8" s="1"/>
  <c r="R96" i="8"/>
  <c r="U119" i="7"/>
  <c r="U96" i="7" s="1"/>
  <c r="H97" i="7"/>
  <c r="V97" i="7"/>
  <c r="M96" i="7"/>
  <c r="H150" i="7"/>
  <c r="V150" i="7"/>
  <c r="S136" i="7"/>
  <c r="S119" i="7" s="1"/>
  <c r="S96" i="7" s="1"/>
  <c r="H77" i="7"/>
  <c r="V77" i="7"/>
  <c r="V176" i="6"/>
  <c r="H176" i="6"/>
  <c r="F196" i="7"/>
  <c r="H196" i="7" s="1"/>
  <c r="P168" i="7"/>
  <c r="H160" i="6"/>
  <c r="V160" i="6"/>
  <c r="M159" i="6"/>
  <c r="S84" i="7"/>
  <c r="U176" i="6"/>
  <c r="U168" i="6" s="1"/>
  <c r="U159" i="6" s="1"/>
  <c r="T159" i="6"/>
  <c r="Q159" i="6"/>
  <c r="V12" i="6"/>
  <c r="H12" i="6"/>
  <c r="J3" i="6"/>
  <c r="X160" i="6"/>
  <c r="O159" i="6"/>
  <c r="X159" i="6" s="1"/>
  <c r="S4" i="6"/>
  <c r="T97" i="5"/>
  <c r="T96" i="5" s="1"/>
  <c r="O168" i="3"/>
  <c r="X168" i="3" s="1"/>
  <c r="X169" i="3"/>
  <c r="I3" i="5"/>
  <c r="G3" i="5" s="1"/>
  <c r="G67" i="5"/>
  <c r="H12" i="4"/>
  <c r="V12" i="4"/>
  <c r="W169" i="4"/>
  <c r="N168" i="4"/>
  <c r="W168" i="4" s="1"/>
  <c r="T52" i="5"/>
  <c r="H145" i="4"/>
  <c r="V145" i="4"/>
  <c r="T130" i="4"/>
  <c r="O160" i="3"/>
  <c r="X161" i="3"/>
  <c r="O168" i="4"/>
  <c r="X168" i="4" s="1"/>
  <c r="H89" i="4"/>
  <c r="V89" i="4"/>
  <c r="N160" i="3"/>
  <c r="W161" i="3"/>
  <c r="S145" i="3"/>
  <c r="BI159" i="4"/>
  <c r="H114" i="3"/>
  <c r="V114" i="3"/>
  <c r="E3" i="3"/>
  <c r="N120" i="12"/>
  <c r="Q169" i="12"/>
  <c r="BK160" i="12"/>
  <c r="X166" i="12"/>
  <c r="Y166" i="12" s="1"/>
  <c r="X148" i="12"/>
  <c r="Y148" i="12" s="1"/>
  <c r="O120" i="12"/>
  <c r="O97" i="12" s="1"/>
  <c r="X90" i="12"/>
  <c r="X32" i="12"/>
  <c r="Y32" i="12" s="1"/>
  <c r="V32" i="12"/>
  <c r="S45" i="12"/>
  <c r="S13" i="12" s="1"/>
  <c r="S3" i="12" s="1"/>
  <c r="AI3" i="12"/>
  <c r="P3" i="12" s="1"/>
  <c r="P13" i="12"/>
  <c r="P169" i="11"/>
  <c r="Y169" i="11" s="1"/>
  <c r="Y170" i="11"/>
  <c r="X177" i="11"/>
  <c r="O169" i="11"/>
  <c r="X169" i="11" s="1"/>
  <c r="U140" i="11"/>
  <c r="X140" i="11"/>
  <c r="I107" i="11"/>
  <c r="W107" i="11"/>
  <c r="N98" i="11"/>
  <c r="F197" i="10"/>
  <c r="H197" i="10" s="1"/>
  <c r="H192" i="10"/>
  <c r="J3" i="11"/>
  <c r="W121" i="10"/>
  <c r="Q12" i="10"/>
  <c r="Z3" i="10"/>
  <c r="U98" i="10"/>
  <c r="W88" i="10"/>
  <c r="T88" i="10"/>
  <c r="T85" i="10" s="1"/>
  <c r="V44" i="10"/>
  <c r="H44" i="10"/>
  <c r="S44" i="10"/>
  <c r="H155" i="9"/>
  <c r="V155" i="9"/>
  <c r="X90" i="10"/>
  <c r="H146" i="9"/>
  <c r="V146" i="9"/>
  <c r="N169" i="9"/>
  <c r="U69" i="10"/>
  <c r="U68" i="10" s="1"/>
  <c r="V151" i="9"/>
  <c r="H151" i="9"/>
  <c r="AQ3" i="10"/>
  <c r="P160" i="9"/>
  <c r="U120" i="9"/>
  <c r="AR3" i="9"/>
  <c r="V160" i="8"/>
  <c r="M159" i="8"/>
  <c r="H160" i="8"/>
  <c r="Q120" i="8"/>
  <c r="Q119" i="8" s="1"/>
  <c r="V4" i="9"/>
  <c r="H4" i="9"/>
  <c r="R168" i="8"/>
  <c r="H114" i="8"/>
  <c r="V114" i="8"/>
  <c r="X97" i="7"/>
  <c r="O96" i="7"/>
  <c r="X96" i="7" s="1"/>
  <c r="V160" i="7"/>
  <c r="Q67" i="7"/>
  <c r="BJ159" i="7"/>
  <c r="T84" i="7"/>
  <c r="T67" i="7" s="1"/>
  <c r="T23" i="7"/>
  <c r="W23" i="7"/>
  <c r="V150" i="6"/>
  <c r="H150" i="6"/>
  <c r="R194" i="7"/>
  <c r="F194" i="7" s="1"/>
  <c r="H194" i="7" s="1"/>
  <c r="F192" i="6"/>
  <c r="H192" i="6" s="1"/>
  <c r="M160" i="5"/>
  <c r="R160" i="6"/>
  <c r="Q12" i="7"/>
  <c r="W4" i="6"/>
  <c r="U176" i="5"/>
  <c r="U168" i="5" s="1"/>
  <c r="U159" i="5" s="1"/>
  <c r="N68" i="6"/>
  <c r="I159" i="5"/>
  <c r="G159" i="5" s="1"/>
  <c r="S114" i="5"/>
  <c r="S97" i="5"/>
  <c r="H12" i="5"/>
  <c r="V12" i="5"/>
  <c r="H114" i="5"/>
  <c r="V114" i="5"/>
  <c r="H77" i="5"/>
  <c r="V77" i="5"/>
  <c r="P96" i="5"/>
  <c r="T89" i="4"/>
  <c r="T67" i="4" s="1"/>
  <c r="AC67" i="4"/>
  <c r="AC3" i="4" s="1"/>
  <c r="Q3" i="4" s="1"/>
  <c r="Q68" i="4"/>
  <c r="Q67" i="4" s="1"/>
  <c r="Q194" i="4" s="1"/>
  <c r="T43" i="5"/>
  <c r="T12" i="5" s="1"/>
  <c r="T3" i="5" s="1"/>
  <c r="O119" i="4"/>
  <c r="X120" i="4"/>
  <c r="U176" i="3"/>
  <c r="U168" i="3" s="1"/>
  <c r="U159" i="3" s="1"/>
  <c r="G160" i="3"/>
  <c r="I159" i="3"/>
  <c r="S68" i="3"/>
  <c r="S67" i="3" s="1"/>
  <c r="T87" i="3"/>
  <c r="T84" i="3" s="1"/>
  <c r="T67" i="3" s="1"/>
  <c r="W87" i="3"/>
  <c r="N84" i="3"/>
  <c r="W84" i="3" s="1"/>
  <c r="U12" i="3"/>
  <c r="M119" i="3"/>
  <c r="M96" i="3" s="1"/>
  <c r="O67" i="3"/>
  <c r="R160" i="12"/>
  <c r="R195" i="12" s="1"/>
  <c r="H195" i="12" s="1"/>
  <c r="AE3" i="12"/>
  <c r="R3" i="12" s="1"/>
  <c r="T169" i="12"/>
  <c r="V170" i="12"/>
  <c r="N97" i="12"/>
  <c r="V162" i="12"/>
  <c r="T161" i="12"/>
  <c r="U120" i="12"/>
  <c r="U97" i="12" s="1"/>
  <c r="U3" i="12" s="1"/>
  <c r="X78" i="12"/>
  <c r="Y78" i="12" s="1"/>
  <c r="X131" i="12"/>
  <c r="Y131" i="12" s="1"/>
  <c r="V160" i="11"/>
  <c r="X50" i="12"/>
  <c r="Y50" i="12" s="1"/>
  <c r="V50" i="12"/>
  <c r="N169" i="11"/>
  <c r="W170" i="11"/>
  <c r="I170" i="11"/>
  <c r="I146" i="11"/>
  <c r="W146" i="11"/>
  <c r="U131" i="11"/>
  <c r="V90" i="11"/>
  <c r="BB3" i="11"/>
  <c r="W35" i="11"/>
  <c r="I35" i="11"/>
  <c r="T35" i="11"/>
  <c r="K3" i="11"/>
  <c r="T44" i="11"/>
  <c r="T32" i="11"/>
  <c r="T12" i="11" s="1"/>
  <c r="T169" i="10"/>
  <c r="O4" i="11"/>
  <c r="BJ160" i="10"/>
  <c r="F196" i="10"/>
  <c r="H196" i="10" s="1"/>
  <c r="AR3" i="10"/>
  <c r="H45" i="10"/>
  <c r="V45" i="10"/>
  <c r="S45" i="10"/>
  <c r="R169" i="9"/>
  <c r="M90" i="9"/>
  <c r="V92" i="9"/>
  <c r="S92" i="9"/>
  <c r="S90" i="9" s="1"/>
  <c r="H92" i="9"/>
  <c r="H78" i="9"/>
  <c r="V78" i="9"/>
  <c r="P69" i="9"/>
  <c r="P68" i="9" s="1"/>
  <c r="V35" i="9"/>
  <c r="H35" i="9"/>
  <c r="S35" i="9"/>
  <c r="U98" i="9"/>
  <c r="U97" i="9" s="1"/>
  <c r="M68" i="10"/>
  <c r="H69" i="10"/>
  <c r="V69" i="10"/>
  <c r="R120" i="9"/>
  <c r="T69" i="10"/>
  <c r="T68" i="10" s="1"/>
  <c r="Y3" i="9"/>
  <c r="P3" i="9" s="1"/>
  <c r="H168" i="8"/>
  <c r="V168" i="8"/>
  <c r="R119" i="8"/>
  <c r="W97" i="8"/>
  <c r="N67" i="8"/>
  <c r="W67" i="8" s="1"/>
  <c r="W68" i="8"/>
  <c r="F192" i="8"/>
  <c r="H192" i="8" s="1"/>
  <c r="V114" i="7"/>
  <c r="H114" i="7"/>
  <c r="P89" i="8"/>
  <c r="U12" i="8"/>
  <c r="U3" i="8" s="1"/>
  <c r="V176" i="7"/>
  <c r="H176" i="7"/>
  <c r="P3" i="7"/>
  <c r="T22" i="7"/>
  <c r="T12" i="7" s="1"/>
  <c r="W22" i="7"/>
  <c r="I192" i="7"/>
  <c r="H80" i="6"/>
  <c r="V80" i="6"/>
  <c r="R159" i="6"/>
  <c r="R194" i="6" s="1"/>
  <c r="F194" i="6" s="1"/>
  <c r="H194" i="6" s="1"/>
  <c r="O67" i="6"/>
  <c r="X68" i="6"/>
  <c r="AA3" i="7"/>
  <c r="BK3" i="6"/>
  <c r="R3" i="6" s="1"/>
  <c r="F192" i="5"/>
  <c r="H192" i="5" s="1"/>
  <c r="H191" i="5"/>
  <c r="T52" i="6"/>
  <c r="R159" i="5"/>
  <c r="R194" i="5" s="1"/>
  <c r="F194" i="5" s="1"/>
  <c r="H194" i="5" s="1"/>
  <c r="BK3" i="5"/>
  <c r="R3" i="5" s="1"/>
  <c r="U136" i="5"/>
  <c r="U119" i="5" s="1"/>
  <c r="U96" i="5" s="1"/>
  <c r="U3" i="5" s="1"/>
  <c r="O67" i="5"/>
  <c r="H68" i="4"/>
  <c r="V68" i="4"/>
  <c r="M67" i="4"/>
  <c r="H176" i="3"/>
  <c r="V176" i="3"/>
  <c r="T18" i="4"/>
  <c r="T12" i="4" s="1"/>
  <c r="W18" i="4"/>
  <c r="U120" i="3"/>
  <c r="U119" i="3" s="1"/>
  <c r="U96" i="3" s="1"/>
  <c r="N119" i="4"/>
  <c r="W120" i="4"/>
  <c r="T97" i="4"/>
  <c r="T96" i="4" s="1"/>
  <c r="U84" i="4"/>
  <c r="U67" i="4" s="1"/>
  <c r="O96" i="3"/>
  <c r="X96" i="3" s="1"/>
  <c r="X97" i="3"/>
  <c r="E190" i="3"/>
  <c r="BK159" i="4"/>
  <c r="R96" i="3"/>
  <c r="O160" i="12"/>
  <c r="V81" i="12"/>
  <c r="X81" i="12"/>
  <c r="BL160" i="11"/>
  <c r="S161" i="11"/>
  <c r="V19" i="12"/>
  <c r="X19" i="12"/>
  <c r="AG120" i="11"/>
  <c r="AG97" i="11" s="1"/>
  <c r="AG3" i="11" s="1"/>
  <c r="R3" i="11" s="1"/>
  <c r="T137" i="11"/>
  <c r="T120" i="11" s="1"/>
  <c r="W121" i="11"/>
  <c r="I121" i="11"/>
  <c r="P120" i="11"/>
  <c r="Y120" i="11" s="1"/>
  <c r="V98" i="11"/>
  <c r="V97" i="11" s="1"/>
  <c r="W78" i="11"/>
  <c r="I78" i="11"/>
  <c r="N68" i="11"/>
  <c r="W69" i="11"/>
  <c r="I69" i="11"/>
  <c r="T90" i="11"/>
  <c r="AT3" i="11"/>
  <c r="P97" i="11"/>
  <c r="Y97" i="11" s="1"/>
  <c r="Y98" i="11"/>
  <c r="I43" i="11"/>
  <c r="W43" i="11"/>
  <c r="U23" i="11"/>
  <c r="X23" i="11"/>
  <c r="V177" i="10"/>
  <c r="M169" i="10"/>
  <c r="H177" i="10"/>
  <c r="H151" i="10"/>
  <c r="V151" i="10"/>
  <c r="W98" i="10"/>
  <c r="S140" i="10"/>
  <c r="S137" i="10" s="1"/>
  <c r="S120" i="10" s="1"/>
  <c r="S97" i="10" s="1"/>
  <c r="H140" i="10"/>
  <c r="V140" i="10"/>
  <c r="H85" i="10"/>
  <c r="V85" i="10"/>
  <c r="S169" i="9"/>
  <c r="S35" i="10"/>
  <c r="S12" i="10" s="1"/>
  <c r="S3" i="10" s="1"/>
  <c r="AN3" i="10"/>
  <c r="H184" i="9"/>
  <c r="V184" i="9"/>
  <c r="S69" i="10"/>
  <c r="S68" i="10" s="1"/>
  <c r="P98" i="10"/>
  <c r="U12" i="9"/>
  <c r="W27" i="8"/>
  <c r="T27" i="8"/>
  <c r="BI159" i="8"/>
  <c r="P159" i="8" s="1"/>
  <c r="P160" i="8"/>
  <c r="AN3" i="9"/>
  <c r="W120" i="8"/>
  <c r="N119" i="8"/>
  <c r="W119" i="8" s="1"/>
  <c r="R195" i="9"/>
  <c r="F195" i="9" s="1"/>
  <c r="H195" i="9" s="1"/>
  <c r="S44" i="8"/>
  <c r="S12" i="8" s="1"/>
  <c r="S3" i="8" s="1"/>
  <c r="V89" i="7"/>
  <c r="H89" i="7"/>
  <c r="R194" i="8"/>
  <c r="F194" i="8" s="1"/>
  <c r="H194" i="8" s="1"/>
  <c r="AC67" i="7"/>
  <c r="AC3" i="7" s="1"/>
  <c r="H168" i="6"/>
  <c r="V168" i="6"/>
  <c r="P159" i="7"/>
  <c r="S168" i="6"/>
  <c r="S159" i="6" s="1"/>
  <c r="Q119" i="6"/>
  <c r="H145" i="5"/>
  <c r="V145" i="5"/>
  <c r="H150" i="4"/>
  <c r="V150" i="4"/>
  <c r="G191" i="4"/>
  <c r="V169" i="3"/>
  <c r="M168" i="3"/>
  <c r="H169" i="3"/>
  <c r="U12" i="4"/>
  <c r="U165" i="4"/>
  <c r="U161" i="4"/>
  <c r="S120" i="3"/>
  <c r="S119" i="3" s="1"/>
  <c r="T161" i="4"/>
  <c r="T160" i="4" s="1"/>
  <c r="T159" i="4" s="1"/>
  <c r="S130" i="4"/>
  <c r="S119" i="4" s="1"/>
  <c r="S96" i="4" s="1"/>
  <c r="S3" i="4" s="1"/>
  <c r="S183" i="3"/>
  <c r="O119" i="3"/>
  <c r="X119" i="3" s="1"/>
  <c r="X120" i="3"/>
  <c r="C43" i="13"/>
  <c r="F36" i="13" s="1"/>
  <c r="N67" i="3"/>
  <c r="W68" i="3"/>
  <c r="I96" i="3"/>
  <c r="R159" i="3"/>
  <c r="R194" i="3" s="1"/>
  <c r="F194" i="3" s="1"/>
  <c r="H194" i="3" s="1"/>
  <c r="V121" i="12"/>
  <c r="M120" i="12"/>
  <c r="M97" i="12" s="1"/>
  <c r="M194" i="12" s="1"/>
  <c r="X134" i="12"/>
  <c r="Y134" i="12" s="1"/>
  <c r="V134" i="12"/>
  <c r="V21" i="12"/>
  <c r="X21" i="12"/>
  <c r="Y21" i="12" s="1"/>
  <c r="X20" i="12"/>
  <c r="Y20" i="12" s="1"/>
  <c r="E193" i="12"/>
  <c r="H160" i="11"/>
  <c r="P161" i="11"/>
  <c r="Y162" i="11"/>
  <c r="BJ160" i="11"/>
  <c r="Q160" i="11" s="1"/>
  <c r="Q161" i="11"/>
  <c r="N161" i="11"/>
  <c r="I162" i="11"/>
  <c r="W162" i="11"/>
  <c r="R97" i="11"/>
  <c r="O161" i="11"/>
  <c r="X166" i="11"/>
  <c r="P195" i="12"/>
  <c r="E195" i="12" s="1"/>
  <c r="X98" i="11"/>
  <c r="T107" i="11"/>
  <c r="T98" i="11" s="1"/>
  <c r="T97" i="11" s="1"/>
  <c r="N137" i="11"/>
  <c r="I137" i="11" s="1"/>
  <c r="X88" i="11"/>
  <c r="U88" i="11"/>
  <c r="U85" i="11" s="1"/>
  <c r="U68" i="11" s="1"/>
  <c r="O85" i="11"/>
  <c r="X85" i="11" s="1"/>
  <c r="AL3" i="11"/>
  <c r="V69" i="11"/>
  <c r="V68" i="11" s="1"/>
  <c r="V3" i="11" s="1"/>
  <c r="G193" i="11"/>
  <c r="I193" i="11" s="1"/>
  <c r="I42" i="11"/>
  <c r="W42" i="11"/>
  <c r="O12" i="11"/>
  <c r="X12" i="11" s="1"/>
  <c r="T42" i="11"/>
  <c r="N137" i="10"/>
  <c r="N120" i="10" s="1"/>
  <c r="W138" i="10"/>
  <c r="W137" i="10" s="1"/>
  <c r="T138" i="10"/>
  <c r="T137" i="10" s="1"/>
  <c r="T120" i="10" s="1"/>
  <c r="M97" i="10"/>
  <c r="V98" i="10"/>
  <c r="H98" i="10"/>
  <c r="W162" i="10"/>
  <c r="N161" i="10"/>
  <c r="U121" i="10"/>
  <c r="U120" i="10" s="1"/>
  <c r="P69" i="10"/>
  <c r="P68" i="10" s="1"/>
  <c r="T98" i="10"/>
  <c r="R68" i="10"/>
  <c r="R195" i="10" s="1"/>
  <c r="F195" i="10" s="1"/>
  <c r="H195" i="10" s="1"/>
  <c r="BK3" i="10"/>
  <c r="R3" i="10" s="1"/>
  <c r="M169" i="9"/>
  <c r="H170" i="9"/>
  <c r="V170" i="9"/>
  <c r="N12" i="10"/>
  <c r="W12" i="10" s="1"/>
  <c r="X121" i="9"/>
  <c r="O120" i="9"/>
  <c r="X120" i="9" s="1"/>
  <c r="V140" i="9"/>
  <c r="S140" i="9"/>
  <c r="S137" i="9" s="1"/>
  <c r="S120" i="9" s="1"/>
  <c r="S97" i="9" s="1"/>
  <c r="H140" i="9"/>
  <c r="M137" i="9"/>
  <c r="H137" i="9" s="1"/>
  <c r="U12" i="10"/>
  <c r="U162" i="9"/>
  <c r="U161" i="9" s="1"/>
  <c r="U160" i="9" s="1"/>
  <c r="V73" i="9"/>
  <c r="S73" i="9"/>
  <c r="S69" i="9" s="1"/>
  <c r="S68" i="9" s="1"/>
  <c r="H73" i="9"/>
  <c r="S184" i="9"/>
  <c r="T131" i="9"/>
  <c r="T120" i="9" s="1"/>
  <c r="T97" i="9" s="1"/>
  <c r="O68" i="9"/>
  <c r="X68" i="9" s="1"/>
  <c r="X69" i="9"/>
  <c r="X4" i="10"/>
  <c r="T50" i="10"/>
  <c r="T12" i="10" s="1"/>
  <c r="N68" i="9"/>
  <c r="W68" i="9" s="1"/>
  <c r="W69" i="9"/>
  <c r="V154" i="8"/>
  <c r="H154" i="8"/>
  <c r="I193" i="9"/>
  <c r="H19" i="9"/>
  <c r="V19" i="9"/>
  <c r="S19" i="9"/>
  <c r="S12" i="9" s="1"/>
  <c r="M12" i="9"/>
  <c r="P67" i="8"/>
  <c r="P194" i="8" s="1"/>
  <c r="E194" i="8" s="1"/>
  <c r="G194" i="8" s="1"/>
  <c r="BK3" i="9"/>
  <c r="R3" i="9" s="1"/>
  <c r="P195" i="9"/>
  <c r="E195" i="9" s="1"/>
  <c r="G195" i="9" s="1"/>
  <c r="U183" i="7"/>
  <c r="U159" i="7" s="1"/>
  <c r="N168" i="7"/>
  <c r="W68" i="7"/>
  <c r="N67" i="7"/>
  <c r="U84" i="7"/>
  <c r="X161" i="7"/>
  <c r="O160" i="7"/>
  <c r="P96" i="7"/>
  <c r="S68" i="7"/>
  <c r="S67" i="7" s="1"/>
  <c r="S3" i="7" s="1"/>
  <c r="BK3" i="7"/>
  <c r="R3" i="7" s="1"/>
  <c r="S120" i="6"/>
  <c r="S119" i="6" s="1"/>
  <c r="W169" i="5"/>
  <c r="N168" i="5"/>
  <c r="W168" i="5" s="1"/>
  <c r="G159" i="6"/>
  <c r="G89" i="6"/>
  <c r="I67" i="6"/>
  <c r="V67" i="6" s="1"/>
  <c r="H176" i="5"/>
  <c r="V176" i="5"/>
  <c r="O193" i="6"/>
  <c r="F196" i="6"/>
  <c r="H196" i="6" s="1"/>
  <c r="N12" i="6"/>
  <c r="W12" i="6" s="1"/>
  <c r="W160" i="5"/>
  <c r="T68" i="5"/>
  <c r="T67" i="5" s="1"/>
  <c r="M119" i="5"/>
  <c r="H120" i="5"/>
  <c r="V120" i="5"/>
  <c r="N96" i="5"/>
  <c r="W96" i="5" s="1"/>
  <c r="W97" i="5"/>
  <c r="H161" i="4"/>
  <c r="V161" i="4"/>
  <c r="M160" i="4"/>
  <c r="S168" i="3"/>
  <c r="S159" i="3" s="1"/>
  <c r="H84" i="4"/>
  <c r="V84" i="4"/>
  <c r="BJ3" i="5"/>
  <c r="Q3" i="5" s="1"/>
  <c r="D63" i="14" s="1"/>
  <c r="D65" i="14" s="1"/>
  <c r="U97" i="4"/>
  <c r="T183" i="3"/>
  <c r="T159" i="3" s="1"/>
  <c r="L7" i="13"/>
  <c r="U140" i="4"/>
  <c r="U119" i="4" s="1"/>
  <c r="F196" i="3"/>
  <c r="H196" i="3" s="1"/>
  <c r="F192" i="3"/>
  <c r="H192" i="3" s="1"/>
  <c r="H160" i="3"/>
  <c r="V160" i="3"/>
  <c r="M159" i="3"/>
  <c r="W12" i="3"/>
  <c r="T12" i="3"/>
  <c r="BK3" i="3"/>
  <c r="R3" i="3" s="1"/>
  <c r="E199" i="12" l="1"/>
  <c r="E194" i="12"/>
  <c r="E198" i="12"/>
  <c r="K38" i="13"/>
  <c r="V96" i="3"/>
  <c r="H96" i="3"/>
  <c r="T3" i="8"/>
  <c r="O194" i="12"/>
  <c r="O3" i="12"/>
  <c r="X120" i="11"/>
  <c r="O97" i="11"/>
  <c r="X97" i="11" s="1"/>
  <c r="T3" i="6"/>
  <c r="W120" i="10"/>
  <c r="N97" i="10"/>
  <c r="W97" i="10" s="1"/>
  <c r="P160" i="11"/>
  <c r="Y160" i="11" s="1"/>
  <c r="Y161" i="11"/>
  <c r="V169" i="9"/>
  <c r="H169" i="9"/>
  <c r="F198" i="6"/>
  <c r="H198" i="6" s="1"/>
  <c r="F193" i="6"/>
  <c r="H193" i="6" s="1"/>
  <c r="W67" i="7"/>
  <c r="N120" i="11"/>
  <c r="S160" i="11"/>
  <c r="S195" i="11" s="1"/>
  <c r="G195" i="11" s="1"/>
  <c r="I195" i="11" s="1"/>
  <c r="BL3" i="11"/>
  <c r="S3" i="11" s="1"/>
  <c r="N39" i="13"/>
  <c r="N37" i="13"/>
  <c r="N44" i="13"/>
  <c r="N45" i="13"/>
  <c r="N38" i="13"/>
  <c r="C68" i="13"/>
  <c r="N46" i="13"/>
  <c r="N35" i="13"/>
  <c r="N42" i="13"/>
  <c r="N41" i="13"/>
  <c r="N40" i="13"/>
  <c r="N36" i="13"/>
  <c r="N43" i="13"/>
  <c r="G191" i="3"/>
  <c r="E195" i="3"/>
  <c r="G195" i="3" s="1"/>
  <c r="N96" i="8"/>
  <c r="W96" i="8" s="1"/>
  <c r="N67" i="6"/>
  <c r="W67" i="6" s="1"/>
  <c r="W68" i="6"/>
  <c r="U3" i="9"/>
  <c r="H12" i="10"/>
  <c r="V12" i="10"/>
  <c r="M120" i="9"/>
  <c r="H161" i="10"/>
  <c r="M160" i="10"/>
  <c r="M194" i="10" s="1"/>
  <c r="V161" i="10"/>
  <c r="U137" i="11"/>
  <c r="U120" i="11" s="1"/>
  <c r="U97" i="11" s="1"/>
  <c r="U3" i="11" s="1"/>
  <c r="H96" i="4"/>
  <c r="V96" i="4"/>
  <c r="H119" i="7"/>
  <c r="V119" i="7"/>
  <c r="L6" i="13"/>
  <c r="L5" i="13"/>
  <c r="N159" i="4"/>
  <c r="W159" i="4" s="1"/>
  <c r="N3" i="12"/>
  <c r="W68" i="5"/>
  <c r="N67" i="5"/>
  <c r="W67" i="5" s="1"/>
  <c r="S96" i="6"/>
  <c r="W160" i="8"/>
  <c r="N159" i="8"/>
  <c r="W159" i="8" s="1"/>
  <c r="F4" i="12"/>
  <c r="H4" i="12" s="1"/>
  <c r="E4" i="12"/>
  <c r="T3" i="3"/>
  <c r="H97" i="10"/>
  <c r="V97" i="10"/>
  <c r="H168" i="3"/>
  <c r="V168" i="3"/>
  <c r="T3" i="4"/>
  <c r="E192" i="7"/>
  <c r="G192" i="7" s="1"/>
  <c r="E196" i="7"/>
  <c r="G196" i="7" s="1"/>
  <c r="V169" i="12"/>
  <c r="X169" i="12"/>
  <c r="Y169" i="12" s="1"/>
  <c r="X119" i="4"/>
  <c r="O96" i="4"/>
  <c r="X96" i="4" s="1"/>
  <c r="H159" i="8"/>
  <c r="V159" i="8"/>
  <c r="U97" i="10"/>
  <c r="N97" i="11"/>
  <c r="I98" i="11"/>
  <c r="W98" i="11"/>
  <c r="C5" i="13"/>
  <c r="H4" i="13"/>
  <c r="I192" i="5"/>
  <c r="V67" i="8"/>
  <c r="H67" i="8"/>
  <c r="N97" i="9"/>
  <c r="W97" i="9" s="1"/>
  <c r="K37" i="13"/>
  <c r="V67" i="3"/>
  <c r="H67" i="3"/>
  <c r="M193" i="3"/>
  <c r="M3" i="3"/>
  <c r="P159" i="6"/>
  <c r="P194" i="6" s="1"/>
  <c r="E194" i="6" s="1"/>
  <c r="G194" i="6" s="1"/>
  <c r="BI3" i="6"/>
  <c r="P3" i="6" s="1"/>
  <c r="V168" i="7"/>
  <c r="H168" i="7"/>
  <c r="M159" i="7"/>
  <c r="S160" i="9"/>
  <c r="S3" i="9" s="1"/>
  <c r="H119" i="5"/>
  <c r="V119" i="5"/>
  <c r="N160" i="11"/>
  <c r="I161" i="11"/>
  <c r="W161" i="11"/>
  <c r="H68" i="10"/>
  <c r="V68" i="10"/>
  <c r="F197" i="6"/>
  <c r="H197" i="6" s="1"/>
  <c r="Q159" i="7"/>
  <c r="Q194" i="7" s="1"/>
  <c r="BJ3" i="7"/>
  <c r="Q3" i="7" s="1"/>
  <c r="H67" i="5"/>
  <c r="V67" i="5"/>
  <c r="P194" i="7"/>
  <c r="E194" i="7" s="1"/>
  <c r="G194" i="7" s="1"/>
  <c r="W12" i="11"/>
  <c r="I12" i="11"/>
  <c r="M68" i="9"/>
  <c r="H69" i="9"/>
  <c r="V69" i="9"/>
  <c r="U12" i="11"/>
  <c r="X160" i="4"/>
  <c r="O159" i="4"/>
  <c r="X159" i="4" s="1"/>
  <c r="P160" i="10"/>
  <c r="P195" i="10" s="1"/>
  <c r="E195" i="10" s="1"/>
  <c r="G195" i="10" s="1"/>
  <c r="BI3" i="10"/>
  <c r="P3" i="10" s="1"/>
  <c r="V146" i="12"/>
  <c r="X146" i="12"/>
  <c r="Y146" i="12" s="1"/>
  <c r="BJ3" i="8"/>
  <c r="Q3" i="8" s="1"/>
  <c r="M159" i="4"/>
  <c r="M193" i="4" s="1"/>
  <c r="H160" i="4"/>
  <c r="V160" i="4"/>
  <c r="H38" i="13"/>
  <c r="G96" i="3"/>
  <c r="I192" i="3"/>
  <c r="I3" i="3"/>
  <c r="G3" i="3" s="1"/>
  <c r="I68" i="11"/>
  <c r="W68" i="11"/>
  <c r="S3" i="6"/>
  <c r="H96" i="7"/>
  <c r="V96" i="7"/>
  <c r="H96" i="8"/>
  <c r="V96" i="8"/>
  <c r="S3" i="5"/>
  <c r="U67" i="7"/>
  <c r="U3" i="7" s="1"/>
  <c r="W119" i="6"/>
  <c r="N96" i="6"/>
  <c r="W96" i="6" s="1"/>
  <c r="I3" i="7"/>
  <c r="G3" i="7" s="1"/>
  <c r="O97" i="9"/>
  <c r="X97" i="9" s="1"/>
  <c r="M160" i="9"/>
  <c r="H161" i="9"/>
  <c r="V161" i="9"/>
  <c r="Q97" i="9"/>
  <c r="W168" i="7"/>
  <c r="N159" i="7"/>
  <c r="W159" i="7" s="1"/>
  <c r="T97" i="10"/>
  <c r="T3" i="10" s="1"/>
  <c r="G67" i="6"/>
  <c r="I192" i="6"/>
  <c r="I3" i="6"/>
  <c r="G3" i="6" s="1"/>
  <c r="E197" i="9"/>
  <c r="G197" i="9" s="1"/>
  <c r="E193" i="9"/>
  <c r="G193" i="9" s="1"/>
  <c r="K39" i="13"/>
  <c r="H159" i="3"/>
  <c r="V159" i="3"/>
  <c r="N159" i="5"/>
  <c r="W159" i="5" s="1"/>
  <c r="X160" i="7"/>
  <c r="O159" i="7"/>
  <c r="X159" i="7" s="1"/>
  <c r="H67" i="4"/>
  <c r="V67" i="4"/>
  <c r="Q160" i="10"/>
  <c r="Q195" i="10" s="1"/>
  <c r="BJ3" i="10"/>
  <c r="Q3" i="10" s="1"/>
  <c r="X67" i="3"/>
  <c r="O3" i="3"/>
  <c r="X3" i="3" s="1"/>
  <c r="H39" i="13"/>
  <c r="G159" i="3"/>
  <c r="N193" i="6"/>
  <c r="E199" i="6" s="1"/>
  <c r="G199" i="6" s="1"/>
  <c r="BJ3" i="11"/>
  <c r="Q3" i="11" s="1"/>
  <c r="P159" i="4"/>
  <c r="P194" i="4" s="1"/>
  <c r="E194" i="4" s="1"/>
  <c r="G194" i="4" s="1"/>
  <c r="BI3" i="4"/>
  <c r="P3" i="4" s="1"/>
  <c r="X160" i="3"/>
  <c r="O159" i="3"/>
  <c r="X159" i="3" s="1"/>
  <c r="H119" i="8"/>
  <c r="V119" i="8"/>
  <c r="V90" i="10"/>
  <c r="H90" i="10"/>
  <c r="H120" i="10"/>
  <c r="V120" i="10"/>
  <c r="Y68" i="11"/>
  <c r="P3" i="11"/>
  <c r="Y3" i="11" s="1"/>
  <c r="P194" i="11"/>
  <c r="S96" i="3"/>
  <c r="S3" i="3" s="1"/>
  <c r="V138" i="12"/>
  <c r="X138" i="12"/>
  <c r="Y138" i="12" s="1"/>
  <c r="T137" i="12"/>
  <c r="H119" i="4"/>
  <c r="V119" i="4"/>
  <c r="N3" i="5"/>
  <c r="W3" i="5" s="1"/>
  <c r="V89" i="8"/>
  <c r="H89" i="8"/>
  <c r="O68" i="11"/>
  <c r="X68" i="11" s="1"/>
  <c r="M3" i="7"/>
  <c r="E191" i="11"/>
  <c r="M193" i="8"/>
  <c r="M96" i="5"/>
  <c r="M193" i="5" s="1"/>
  <c r="U96" i="4"/>
  <c r="N160" i="10"/>
  <c r="W160" i="10" s="1"/>
  <c r="W161" i="10"/>
  <c r="W67" i="3"/>
  <c r="U160" i="4"/>
  <c r="U159" i="4" s="1"/>
  <c r="Y19" i="12"/>
  <c r="X3" i="12"/>
  <c r="R159" i="4"/>
  <c r="R194" i="4" s="1"/>
  <c r="F194" i="4" s="1"/>
  <c r="H194" i="4" s="1"/>
  <c r="BK3" i="4"/>
  <c r="R3" i="4" s="1"/>
  <c r="X67" i="6"/>
  <c r="O3" i="6"/>
  <c r="X3" i="6" s="1"/>
  <c r="V90" i="9"/>
  <c r="H90" i="9"/>
  <c r="W169" i="11"/>
  <c r="I169" i="11"/>
  <c r="V161" i="12"/>
  <c r="T160" i="12"/>
  <c r="V160" i="12" s="1"/>
  <c r="X161" i="12"/>
  <c r="Y161" i="12" s="1"/>
  <c r="V119" i="3"/>
  <c r="H119" i="3"/>
  <c r="S96" i="5"/>
  <c r="Q160" i="12"/>
  <c r="Q195" i="12" s="1"/>
  <c r="BK3" i="12"/>
  <c r="Q3" i="12" s="1"/>
  <c r="J3" i="9"/>
  <c r="J193" i="9"/>
  <c r="N96" i="3"/>
  <c r="N193" i="3" s="1"/>
  <c r="W67" i="4"/>
  <c r="V119" i="6"/>
  <c r="H119" i="6"/>
  <c r="M96" i="6"/>
  <c r="E192" i="8"/>
  <c r="G192" i="8" s="1"/>
  <c r="E197" i="8"/>
  <c r="G197" i="8" s="1"/>
  <c r="E196" i="8"/>
  <c r="G196" i="8" s="1"/>
  <c r="G169" i="10"/>
  <c r="I160" i="10"/>
  <c r="M193" i="7"/>
  <c r="E196" i="4"/>
  <c r="G196" i="4" s="1"/>
  <c r="E192" i="4"/>
  <c r="G192" i="4" s="1"/>
  <c r="M3" i="8"/>
  <c r="BI3" i="8"/>
  <c r="P3" i="8" s="1"/>
  <c r="X161" i="11"/>
  <c r="O160" i="11"/>
  <c r="X160" i="11" s="1"/>
  <c r="W119" i="4"/>
  <c r="N96" i="4"/>
  <c r="X4" i="11"/>
  <c r="O3" i="11"/>
  <c r="X3" i="11" s="1"/>
  <c r="U3" i="3"/>
  <c r="N160" i="9"/>
  <c r="W160" i="9" s="1"/>
  <c r="W169" i="9"/>
  <c r="H3" i="11"/>
  <c r="N3" i="10"/>
  <c r="W3" i="10" s="1"/>
  <c r="R195" i="11"/>
  <c r="O160" i="9"/>
  <c r="X160" i="9" s="1"/>
  <c r="X161" i="9"/>
  <c r="H67" i="13"/>
  <c r="G194" i="3"/>
  <c r="N193" i="5"/>
  <c r="E199" i="5" s="1"/>
  <c r="G199" i="5" s="1"/>
  <c r="T96" i="7"/>
  <c r="T3" i="7" s="1"/>
  <c r="U3" i="10"/>
  <c r="P159" i="5"/>
  <c r="P194" i="5" s="1"/>
  <c r="E194" i="5" s="1"/>
  <c r="G194" i="5" s="1"/>
  <c r="BI3" i="5"/>
  <c r="P3" i="5" s="1"/>
  <c r="Q96" i="6"/>
  <c r="Q194" i="6" s="1"/>
  <c r="AF3" i="6"/>
  <c r="Q3" i="6" s="1"/>
  <c r="X67" i="7"/>
  <c r="O193" i="7"/>
  <c r="O3" i="7"/>
  <c r="X3" i="7" s="1"/>
  <c r="F193" i="10"/>
  <c r="H193" i="10" s="1"/>
  <c r="H68" i="11"/>
  <c r="J193" i="11"/>
  <c r="M3" i="12"/>
  <c r="H12" i="9"/>
  <c r="V12" i="9"/>
  <c r="U3" i="4"/>
  <c r="V169" i="10"/>
  <c r="H169" i="10"/>
  <c r="X67" i="5"/>
  <c r="O3" i="5"/>
  <c r="X3" i="5" s="1"/>
  <c r="O193" i="5"/>
  <c r="H160" i="5"/>
  <c r="V160" i="5"/>
  <c r="M159" i="5"/>
  <c r="W160" i="3"/>
  <c r="N159" i="3"/>
  <c r="W159" i="3" s="1"/>
  <c r="H159" i="6"/>
  <c r="V159" i="6"/>
  <c r="T68" i="11"/>
  <c r="T3" i="11" s="1"/>
  <c r="K64" i="13"/>
  <c r="Q160" i="9"/>
  <c r="BJ3" i="9"/>
  <c r="Q3" i="9" s="1"/>
  <c r="O160" i="10"/>
  <c r="X161" i="10"/>
  <c r="O3" i="9"/>
  <c r="X3" i="9" s="1"/>
  <c r="O96" i="8"/>
  <c r="X96" i="8" s="1"/>
  <c r="M3" i="10"/>
  <c r="V141" i="12"/>
  <c r="X141" i="12"/>
  <c r="Y141" i="12" s="1"/>
  <c r="M3" i="5"/>
  <c r="E195" i="6"/>
  <c r="G195" i="6" s="1"/>
  <c r="G191" i="6"/>
  <c r="E198" i="5" l="1"/>
  <c r="G198" i="5" s="1"/>
  <c r="E193" i="5"/>
  <c r="G193" i="5" s="1"/>
  <c r="E199" i="10"/>
  <c r="G199" i="10" s="1"/>
  <c r="E194" i="10"/>
  <c r="G194" i="10" s="1"/>
  <c r="E198" i="4"/>
  <c r="G198" i="4" s="1"/>
  <c r="E193" i="4"/>
  <c r="G193" i="4" s="1"/>
  <c r="E197" i="4"/>
  <c r="G197" i="4" s="1"/>
  <c r="K65" i="13"/>
  <c r="L65" i="13" s="1"/>
  <c r="E199" i="3"/>
  <c r="H3" i="10"/>
  <c r="W96" i="4"/>
  <c r="N3" i="4"/>
  <c r="W3" i="4" s="1"/>
  <c r="E192" i="3"/>
  <c r="E197" i="3"/>
  <c r="G197" i="3" s="1"/>
  <c r="E196" i="3"/>
  <c r="G196" i="3" s="1"/>
  <c r="K40" i="13"/>
  <c r="H120" i="9"/>
  <c r="V120" i="9"/>
  <c r="M97" i="9"/>
  <c r="M3" i="9" s="1"/>
  <c r="I120" i="11"/>
  <c r="W120" i="11"/>
  <c r="V68" i="9"/>
  <c r="H68" i="9"/>
  <c r="I97" i="11"/>
  <c r="W97" i="11"/>
  <c r="N193" i="7"/>
  <c r="E199" i="7" s="1"/>
  <c r="G199" i="7" s="1"/>
  <c r="H199" i="12"/>
  <c r="H194" i="12"/>
  <c r="H198" i="12"/>
  <c r="E193" i="11"/>
  <c r="H193" i="11" s="1"/>
  <c r="E198" i="11"/>
  <c r="H198" i="11" s="1"/>
  <c r="E197" i="11"/>
  <c r="H197" i="11" s="1"/>
  <c r="H159" i="5"/>
  <c r="V159" i="5"/>
  <c r="G194" i="11"/>
  <c r="I194" i="11" s="1"/>
  <c r="G199" i="11"/>
  <c r="I199" i="11" s="1"/>
  <c r="G198" i="11"/>
  <c r="I198" i="11" s="1"/>
  <c r="F198" i="7"/>
  <c r="H198" i="7" s="1"/>
  <c r="F193" i="7"/>
  <c r="H193" i="7" s="1"/>
  <c r="F197" i="7"/>
  <c r="H197" i="7" s="1"/>
  <c r="G160" i="10"/>
  <c r="I193" i="10"/>
  <c r="I3" i="10"/>
  <c r="G3" i="10" s="1"/>
  <c r="N193" i="4"/>
  <c r="E199" i="4" s="1"/>
  <c r="G199" i="4" s="1"/>
  <c r="Y3" i="12"/>
  <c r="E198" i="8"/>
  <c r="G198" i="8" s="1"/>
  <c r="E193" i="8"/>
  <c r="G193" i="8" s="1"/>
  <c r="O194" i="9"/>
  <c r="H40" i="13"/>
  <c r="N3" i="11"/>
  <c r="O193" i="4"/>
  <c r="E193" i="7"/>
  <c r="G193" i="7" s="1"/>
  <c r="E198" i="7"/>
  <c r="G198" i="7" s="1"/>
  <c r="H96" i="5"/>
  <c r="V96" i="5"/>
  <c r="O3" i="8"/>
  <c r="X3" i="8" s="1"/>
  <c r="E196" i="11"/>
  <c r="H196" i="11" s="1"/>
  <c r="H192" i="11"/>
  <c r="Q195" i="9"/>
  <c r="N194" i="11"/>
  <c r="W160" i="11"/>
  <c r="I160" i="11"/>
  <c r="E197" i="7"/>
  <c r="G197" i="7" s="1"/>
  <c r="O3" i="4"/>
  <c r="X3" i="4" s="1"/>
  <c r="F193" i="5"/>
  <c r="H193" i="5" s="1"/>
  <c r="F198" i="5"/>
  <c r="H198" i="5" s="1"/>
  <c r="F197" i="5"/>
  <c r="H197" i="5" s="1"/>
  <c r="N194" i="9"/>
  <c r="E200" i="9" s="1"/>
  <c r="G200" i="9" s="1"/>
  <c r="H3" i="7"/>
  <c r="V3" i="7"/>
  <c r="V137" i="12"/>
  <c r="T120" i="12"/>
  <c r="O193" i="3"/>
  <c r="N3" i="6"/>
  <c r="W3" i="6" s="1"/>
  <c r="H3" i="3"/>
  <c r="V3" i="3"/>
  <c r="E192" i="5"/>
  <c r="G192" i="5" s="1"/>
  <c r="E197" i="5"/>
  <c r="G197" i="5" s="1"/>
  <c r="E196" i="5"/>
  <c r="G196" i="5" s="1"/>
  <c r="X160" i="10"/>
  <c r="O194" i="10"/>
  <c r="O3" i="10"/>
  <c r="X3" i="10" s="1"/>
  <c r="W96" i="3"/>
  <c r="N3" i="3"/>
  <c r="W3" i="3" s="1"/>
  <c r="V159" i="4"/>
  <c r="H159" i="4"/>
  <c r="M3" i="4"/>
  <c r="E198" i="3"/>
  <c r="G198" i="3" s="1"/>
  <c r="E193" i="3"/>
  <c r="V160" i="10"/>
  <c r="H160" i="10"/>
  <c r="H3" i="5"/>
  <c r="V3" i="5"/>
  <c r="N3" i="7"/>
  <c r="W3" i="7" s="1"/>
  <c r="N3" i="9"/>
  <c r="W3" i="9" s="1"/>
  <c r="E197" i="6"/>
  <c r="G197" i="6" s="1"/>
  <c r="E192" i="6"/>
  <c r="G192" i="6" s="1"/>
  <c r="E196" i="6"/>
  <c r="G196" i="6" s="1"/>
  <c r="V160" i="9"/>
  <c r="H160" i="9"/>
  <c r="N3" i="8"/>
  <c r="W3" i="8" s="1"/>
  <c r="E5" i="13"/>
  <c r="E13" i="13" s="1"/>
  <c r="C13" i="13"/>
  <c r="D5" i="13"/>
  <c r="H3" i="8"/>
  <c r="V3" i="8"/>
  <c r="O194" i="11"/>
  <c r="E200" i="11" s="1"/>
  <c r="H200" i="11" s="1"/>
  <c r="H96" i="6"/>
  <c r="V96" i="6"/>
  <c r="M3" i="6"/>
  <c r="M193" i="6"/>
  <c r="N193" i="8"/>
  <c r="E199" i="8" s="1"/>
  <c r="G199" i="8" s="1"/>
  <c r="O193" i="8"/>
  <c r="H159" i="7"/>
  <c r="V159" i="7"/>
  <c r="N194" i="10"/>
  <c r="E200" i="10" s="1"/>
  <c r="G200" i="10" s="1"/>
  <c r="M194" i="9"/>
  <c r="H3" i="9" l="1"/>
  <c r="V3" i="9"/>
  <c r="H65" i="13"/>
  <c r="G192" i="3"/>
  <c r="E194" i="9"/>
  <c r="G194" i="9" s="1"/>
  <c r="E199" i="9"/>
  <c r="G199" i="9" s="1"/>
  <c r="E198" i="9"/>
  <c r="G198" i="9" s="1"/>
  <c r="E194" i="11"/>
  <c r="H194" i="11" s="1"/>
  <c r="E199" i="11"/>
  <c r="H199" i="11" s="1"/>
  <c r="F198" i="8"/>
  <c r="H198" i="8" s="1"/>
  <c r="F193" i="8"/>
  <c r="H193" i="8" s="1"/>
  <c r="F197" i="8"/>
  <c r="H197" i="8" s="1"/>
  <c r="F198" i="4"/>
  <c r="H198" i="4" s="1"/>
  <c r="F193" i="4"/>
  <c r="H193" i="4" s="1"/>
  <c r="F197" i="4"/>
  <c r="H197" i="4" s="1"/>
  <c r="H97" i="9"/>
  <c r="V97" i="9"/>
  <c r="F199" i="10"/>
  <c r="H199" i="10" s="1"/>
  <c r="F194" i="10"/>
  <c r="H194" i="10" s="1"/>
  <c r="F198" i="10"/>
  <c r="H198" i="10" s="1"/>
  <c r="F198" i="3"/>
  <c r="H198" i="3" s="1"/>
  <c r="F193" i="3"/>
  <c r="H193" i="3" s="1"/>
  <c r="F197" i="3"/>
  <c r="H197" i="3" s="1"/>
  <c r="I3" i="11"/>
  <c r="W3" i="11"/>
  <c r="E193" i="10"/>
  <c r="G193" i="10" s="1"/>
  <c r="E198" i="10"/>
  <c r="G198" i="10" s="1"/>
  <c r="E197" i="10"/>
  <c r="G197" i="10" s="1"/>
  <c r="V3" i="10"/>
  <c r="D13" i="13"/>
  <c r="C140" i="13"/>
  <c r="C72" i="13"/>
  <c r="F66" i="13" s="1"/>
  <c r="H66" i="13"/>
  <c r="G193" i="3"/>
  <c r="E198" i="6"/>
  <c r="G198" i="6" s="1"/>
  <c r="E193" i="6"/>
  <c r="G193" i="6" s="1"/>
  <c r="V120" i="12"/>
  <c r="T97" i="12"/>
  <c r="V3" i="6"/>
  <c r="H3" i="6"/>
  <c r="H3" i="4"/>
  <c r="V3" i="4"/>
  <c r="F199" i="9"/>
  <c r="H199" i="9" s="1"/>
  <c r="F194" i="9"/>
  <c r="H194" i="9" s="1"/>
  <c r="F198" i="9"/>
  <c r="H198" i="9" s="1"/>
  <c r="K66" i="13"/>
  <c r="L66" i="13" s="1"/>
  <c r="G199" i="3"/>
  <c r="V97" i="12" l="1"/>
  <c r="T3" i="12"/>
  <c r="I65" i="13"/>
  <c r="I67" i="13"/>
  <c r="I66" i="13"/>
</calcChain>
</file>

<file path=xl/comments1.xml><?xml version="1.0" encoding="utf-8"?>
<comments xmlns="http://schemas.openxmlformats.org/spreadsheetml/2006/main">
  <authors>
    <author/>
  </authors>
  <commentList>
    <comment ref="L2" authorId="0">
      <text>
        <r>
          <rPr>
            <sz val="11"/>
            <color rgb="FF000000"/>
            <rFont val="Calibri"/>
            <scheme val="minor"/>
          </rPr>
          <t>======
ID#AAAAV4jq9y4
Setor Contabil    (2022-03-03 19:18:58)
OUTRAS FONTES</t>
        </r>
      </text>
    </commen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I3" authorId="0">
      <text>
        <r>
          <rPr>
            <sz val="11"/>
            <color rgb="FF000000"/>
            <rFont val="Calibri"/>
            <scheme val="minor"/>
          </rPr>
          <t>======
ID#AAAAV4jq9yg
Setor Contabil    (2022-03-03 19:18:58)
FECHADO
descontar valores descontados/empenhados na reitoria - L66 e L71</t>
        </r>
      </text>
    </comment>
    <comment ref="J3" authorId="0">
      <text>
        <r>
          <rPr>
            <sz val="11"/>
            <color rgb="FF000000"/>
            <rFont val="Calibri"/>
            <scheme val="minor"/>
          </rPr>
          <t>======
ID#AAAAWiguQkE
Elizangela Sulzbach Pasa    (2022-03-23 12:23:35)
RAP2020=83.798,66
RAP2021=2.299.448,81
RAPcombust/reitoria=50.813,00
RAPAlmox virtual/reitoria=30.000,00
RAPcoffebreack/reitoria=1.950,00
TOTAL=2.466.010,47</t>
        </r>
      </text>
    </comment>
    <comment ref="S3" authorId="0">
      <text>
        <r>
          <rPr>
            <sz val="11"/>
            <color rgb="FF000000"/>
            <rFont val="Calibri"/>
            <scheme val="minor"/>
          </rPr>
          <t>======
ID#AAAAV4jq91U
Setor Contabil    (2022-03-03 19:18:58)
saldo da conta 622920101=115932,60 (maio/21) - empenho 21NE000018=880,00(fonte 0100)</t>
        </r>
      </text>
    </comment>
    <comment ref="T3" authorId="0">
      <text>
        <r>
          <rPr>
            <sz val="11"/>
            <color rgb="FF000000"/>
            <rFont val="Calibri"/>
            <scheme val="minor"/>
          </rPr>
          <t>======
ID#AAAAV4jq9yY
Setor Contabil    (2022-03-03 19:18:58)
Saldo da conta 6311000000 - rap2019=4.865,14</t>
        </r>
      </text>
    </comment>
    <comment ref="J9" authorId="0">
      <text>
        <r>
          <rPr>
            <sz val="11"/>
            <color rgb="FF000000"/>
            <rFont val="Calibri"/>
            <scheme val="minor"/>
          </rPr>
          <t>======
ID#AAAAWYYsV9c
Elizangela Sulzbach Pasa    (2022-03-26 12:44:49)
R$1.950,00 EMPENHADO COMO rap na reitoria-liquidado em fevereiro2022</t>
        </r>
      </text>
    </comment>
    <comment ref="I10" authorId="0">
      <text>
        <r>
          <rPr>
            <sz val="11"/>
            <color rgb="FF000000"/>
            <rFont val="Calibri"/>
            <scheme val="minor"/>
          </rPr>
          <t>======
ID#AAAAV4jq90E
Carol    (2022-03-03 19:18:58)
33.90.39-05</t>
        </r>
      </text>
    </comment>
    <comment ref="AW17" authorId="0">
      <text>
        <r>
          <rPr>
            <sz val="11"/>
            <color rgb="FF000000"/>
            <rFont val="Calibri"/>
            <scheme val="minor"/>
          </rPr>
          <t>======
ID#AAAAV4jq90U
Setor Contabil    (2022-03-03 19:18:58)
comp.agosto/21</t>
        </r>
      </text>
    </comment>
    <comment ref="Z22" authorId="0">
      <text>
        <r>
          <rPr>
            <sz val="11"/>
            <color rgb="FF000000"/>
            <rFont val="Calibri"/>
            <scheme val="minor"/>
          </rPr>
          <t>======
ID#AAAAV4jq9ys
Setor Contabil    (2022-03-03 19:18:58)
COMP.11-2021 E 12-2021-Juliano estava de férias e atestou somente em janeiro2021</t>
        </r>
      </text>
    </comment>
    <comment ref="AF22" authorId="0">
      <text>
        <r>
          <rPr>
            <sz val="11"/>
            <color rgb="FF000000"/>
            <rFont val="Calibri"/>
            <scheme val="minor"/>
          </rPr>
          <t>======
ID#AAAAV4jq904
Setor Contabil    (2022-03-03 19:18:58)
COMP.01-2021</t>
        </r>
      </text>
    </comment>
    <comment ref="AH22" authorId="0">
      <text>
        <r>
          <rPr>
            <sz val="11"/>
            <color rgb="FF000000"/>
            <rFont val="Calibri"/>
            <scheme val="minor"/>
          </rPr>
          <t>======
ID#AAAAV4jq9xA
Setor Contabil    (2022-03-03 19:18:58)
COMP.02-2021</t>
        </r>
      </text>
    </comment>
    <comment ref="AK22" authorId="0">
      <text>
        <r>
          <rPr>
            <sz val="11"/>
            <color rgb="FF000000"/>
            <rFont val="Calibri"/>
            <scheme val="minor"/>
          </rPr>
          <t>======
ID#AAAAV4jq90w
Setor Contabil    (2022-03-03 19:18:58)
COMP.03-2021 E 04/2021</t>
        </r>
      </text>
    </comment>
    <comment ref="C26" authorId="0">
      <text>
        <r>
          <rPr>
            <sz val="11"/>
            <color rgb="FF000000"/>
            <rFont val="Calibri"/>
            <scheme val="minor"/>
          </rPr>
          <t>======
ID#AAAAV4jq9yU
Setor Contabil    (2022-03-03 19:18:58)
339039-79</t>
        </r>
      </text>
    </comment>
    <comment ref="J37" authorId="0">
      <text>
        <r>
          <rPr>
            <sz val="11"/>
            <color rgb="FF000000"/>
            <rFont val="Calibri"/>
            <scheme val="minor"/>
          </rPr>
          <t>======
ID#AAAAWYYsV9I
Elizangela Sulzbach Pasa    (2022-03-26 12:42:19)
deixado de RAP na reitoria em 2021</t>
        </r>
      </text>
    </comment>
    <comment ref="AK37" authorId="0">
      <text>
        <r>
          <rPr>
            <sz val="11"/>
            <color rgb="FF000000"/>
            <rFont val="Calibri"/>
            <scheme val="minor"/>
          </rPr>
          <t>======
ID#AAAAV4jq900
Setor Contabil    (2022-03-03 19:18:58)
desc.até maio/21 na reitoria</t>
        </r>
      </text>
    </comment>
    <comment ref="BF37" authorId="0">
      <text>
        <r>
          <rPr>
            <sz val="11"/>
            <color rgb="FF000000"/>
            <rFont val="Calibri"/>
            <scheme val="minor"/>
          </rPr>
          <t>======
ID#AAAAV4jq90s
Setor Contabil    (2022-03-03 19:18:58)
PAGO NA REITORIA</t>
        </r>
      </text>
    </comment>
    <comment ref="L42" authorId="0">
      <text>
        <r>
          <rPr>
            <sz val="11"/>
            <color rgb="FF000000"/>
            <rFont val="Calibri"/>
            <scheme val="minor"/>
          </rPr>
          <t>======
ID#AAAAV4jq9yA
Setor Contabil    (2022-03-03 19:18:58)
Emenda Bohn Gass</t>
        </r>
      </text>
    </comment>
    <comment ref="D43" authorId="0">
      <text>
        <r>
          <rPr>
            <sz val="11"/>
            <color rgb="FF000000"/>
            <rFont val="Calibri"/>
            <scheme val="minor"/>
          </rPr>
          <t>======
ID#AAAAV4jq90k
Setor Contabil    (2022-03-03 19:18:58)
Laboratórios de Ensino, Pesquisa, Extensão e Produção (LEPEPs)</t>
        </r>
      </text>
    </comment>
    <comment ref="J44" authorId="0">
      <text>
        <r>
          <rPr>
            <sz val="11"/>
            <color rgb="FF000000"/>
            <rFont val="Calibri"/>
            <scheme val="minor"/>
          </rPr>
          <t>======
ID#AAAAWiguQkU
Elizangela Sulzbach Pasa    (2022-03-23 12:40:45)
2020NE800153=413,00
2020NE800155=1.266,00
2020NE800170=3.806,39
2021NE800123=4.740,00</t>
        </r>
      </text>
    </comment>
    <comment ref="J45" authorId="0">
      <text>
        <r>
          <rPr>
            <sz val="11"/>
            <color rgb="FF000000"/>
            <rFont val="Calibri"/>
            <scheme val="minor"/>
          </rPr>
          <t>======
ID#AAAAWYYsV9Q
Elizangela Sulzbach Pasa    (2022-03-26 12:43:26)
r$ 30.000,00-empenhado no contrato da reitoria como RAP2021</t>
        </r>
      </text>
    </comment>
    <comment ref="L46" authorId="0">
      <text>
        <r>
          <rPr>
            <sz val="11"/>
            <color rgb="FF000000"/>
            <rFont val="Calibri"/>
            <scheme val="minor"/>
          </rPr>
          <t>======
ID#AAAAV4jq9zM
Setor Contabil    (2022-03-03 19:18:58)
TED SETEC para empenhar o reequelibrio Prédio D e Aditivo Predio D</t>
        </r>
      </text>
    </comment>
    <comment ref="B63" authorId="0">
      <text>
        <r>
          <rPr>
            <sz val="11"/>
            <color rgb="FF000000"/>
            <rFont val="Calibri"/>
            <scheme val="minor"/>
          </rPr>
          <t>======
ID#AAAAV4jq9z4
Setor Contabil    (2022-03-03 19:18:58)
DELFOS ENGENHARIA</t>
        </r>
      </text>
    </comment>
    <comment ref="AN65" authorId="0">
      <text>
        <r>
          <rPr>
            <sz val="11"/>
            <color rgb="FF000000"/>
            <rFont val="Calibri"/>
            <scheme val="minor"/>
          </rPr>
          <t>======
ID#AAAAV4jq9yo
Setor Contabil    (2022-03-03 19:18:58)
MULTA E JUROS S/FATURA DA ENERGIA ELETRICA</t>
        </r>
      </text>
    </comment>
    <comment ref="D71" authorId="0">
      <text>
        <r>
          <rPr>
            <sz val="11"/>
            <color rgb="FF000000"/>
            <rFont val="Calibri"/>
            <scheme val="minor"/>
          </rPr>
          <t>======
ID#AAAAV4jq9yw
Setor Contabil    (2022-03-03 19:18:58)
contrato finaliza em setembro e não pode ser prorrogado</t>
        </r>
      </text>
    </comment>
    <comment ref="C74" authorId="0">
      <text>
        <r>
          <rPr>
            <sz val="11"/>
            <color rgb="FF000000"/>
            <rFont val="Calibri"/>
            <scheme val="minor"/>
          </rPr>
          <t>======
ID#AAAAV4jq9yc
Setor Contabil    (2022-03-03 19:18:58)
339039-83</t>
        </r>
      </text>
    </comment>
    <comment ref="D75" authorId="0">
      <text>
        <r>
          <rPr>
            <sz val="11"/>
            <color rgb="FF000000"/>
            <rFont val="Calibri"/>
            <scheme val="minor"/>
          </rPr>
          <t>======
ID#AAAAV4jq9yI
    (2022-03-03 19:18:58)
Reitoria desconta do orçamento.
(Reserva Institucional 1%)
(até maio R$8.764,11)</t>
        </r>
      </text>
    </comment>
    <comment ref="D76" authorId="0">
      <text>
        <r>
          <rPr>
            <sz val="11"/>
            <color rgb="FF000000"/>
            <rFont val="Calibri"/>
            <scheme val="minor"/>
          </rPr>
          <t>======
ID#AAAAV4jq90Y
Gilson Parodes    (2021-03-26 01:22:38)
(Reitoria) 
(Reserva Institucional 1%)
(R$ X,XX)</t>
        </r>
      </text>
    </comment>
    <comment ref="D77" authorId="0">
      <text>
        <r>
          <rPr>
            <sz val="11"/>
            <color rgb="FF000000"/>
            <rFont val="Calibri"/>
            <scheme val="minor"/>
          </rPr>
          <t>======
ID#AAAAV4jq9xc
    (2022-03-03 19:18:58)
descontado do orçamento na reitoria
(Reserva Institucional 1%)
(até maio R$8.764,11)</t>
        </r>
      </text>
    </comment>
    <comment ref="BF81" authorId="0">
      <text>
        <r>
          <rPr>
            <sz val="11"/>
            <color rgb="FF000000"/>
            <rFont val="Calibri"/>
            <scheme val="minor"/>
          </rPr>
          <t>======
ID#AAAAV4jq9w0
Setor Contabil    (2022-03-03 19:18:58)
PAGO NA REITORIA</t>
        </r>
      </text>
    </comment>
    <comment ref="AZ83" authorId="0">
      <text>
        <r>
          <rPr>
            <sz val="11"/>
            <color rgb="FF000000"/>
            <rFont val="Calibri"/>
            <scheme val="minor"/>
          </rPr>
          <t>======
ID#AAAAV4jq9xE
Setor Contabil    (2022-03-03 19:18:58)
2.400,00 IFFAR SANTO AUGUSTO</t>
        </r>
      </text>
    </comment>
    <comment ref="D90" authorId="0">
      <text>
        <r>
          <rPr>
            <sz val="11"/>
            <color rgb="FF000000"/>
            <rFont val="Calibri"/>
            <scheme val="minor"/>
          </rPr>
          <t>======
ID#AAAAV4jq9z8
Gilson Parodes    (2021-03-26 01:33:15)
(Reitoria) 
(Reserva Institucional 2,5%)
(R$ X,XX) 
(Despesa de capital)</t>
        </r>
      </text>
    </comment>
    <comment ref="L92" authorId="0">
      <text>
        <r>
          <rPr>
            <sz val="11"/>
            <color rgb="FF000000"/>
            <rFont val="Calibri"/>
            <scheme val="minor"/>
          </rPr>
          <t>======
ID#AAAAV4jq9ww
Setor Contabil    (2022-03-03 19:18:58)
24.620,00 -5 Switch
-ENVIADO NC16 PARA FW EMPENHAR</t>
        </r>
      </text>
    </comment>
    <comment ref="D105" authorId="0">
      <text>
        <r>
          <rPr>
            <sz val="11"/>
            <color rgb="FF000000"/>
            <rFont val="Calibri"/>
            <scheme val="minor"/>
          </rPr>
          <t>======
ID#AAAAV4jq9zo
Setor Contabil    (2022-03-03 19:18:58)
descontado na reitoria, até maio/21=</t>
        </r>
      </text>
    </comment>
    <comment ref="D114" authorId="0">
      <text>
        <r>
          <rPr>
            <sz val="11"/>
            <color rgb="FF000000"/>
            <rFont val="Calibri"/>
            <scheme val="minor"/>
          </rPr>
          <t>======
ID#AAAAV4jq9ws
Gilson Parodes    (2021-03-26 01:35:50)
(Reserva Institucional 1%)
(R$ X,XX)</t>
        </r>
      </text>
    </comment>
    <comment ref="D116" authorId="0">
      <text>
        <r>
          <rPr>
            <sz val="11"/>
            <color rgb="FF000000"/>
            <rFont val="Calibri"/>
            <scheme val="minor"/>
          </rPr>
          <t>======
ID#AAAAV4jq9xg
Setor Contabil    (2022-03-03 19:18:58)
MATERIAL DE CONSUMO</t>
        </r>
      </text>
    </comment>
    <comment ref="AJ131" authorId="0">
      <text>
        <r>
          <rPr>
            <sz val="11"/>
            <color rgb="FF000000"/>
            <rFont val="Calibri"/>
            <scheme val="minor"/>
          </rPr>
          <t>======
ID#AAAAV4jq9zw
Setor Contabil    (2022-03-03 19:18:58)
RP03</t>
        </r>
      </text>
    </comment>
    <comment ref="D145" authorId="0">
      <text>
        <r>
          <rPr>
            <sz val="11"/>
            <color rgb="FF000000"/>
            <rFont val="Calibri"/>
            <scheme val="minor"/>
          </rPr>
          <t>======
ID#AAAAV4jq9xo
Gilson Parodes    (2021-03-26 01:40:31)
(Reserva Institucional 1,5%)
(R$ X,XX)</t>
        </r>
      </text>
    </comment>
    <comment ref="B151" authorId="0">
      <text>
        <r>
          <rPr>
            <sz val="11"/>
            <color rgb="FF000000"/>
            <rFont val="Calibri"/>
            <scheme val="minor"/>
          </rPr>
          <t>======
ID#AAAAV4jq9xY
Setor Contabil    (2022-03-03 19:18:58)
GD Distribuidora de Livros</t>
        </r>
      </text>
    </comment>
    <comment ref="F155" authorId="0">
      <text>
        <r>
          <rPr>
            <sz val="11"/>
            <color rgb="FF000000"/>
            <rFont val="Calibri"/>
            <scheme val="minor"/>
          </rPr>
          <t>======
ID#AAAAV4jq9w4
Setor Contabil    (2022-03-03 19:18:58)
Setor Contabil:fonte 8188-emenda bohn Gass</t>
        </r>
      </text>
    </comment>
    <comment ref="D161" authorId="0">
      <text>
        <r>
          <rPr>
            <sz val="11"/>
            <color rgb="FF000000"/>
            <rFont val="Calibri"/>
            <scheme val="minor"/>
          </rPr>
          <t>======
ID#AAAAV4jq91A
Gilson Parodes    (2021-03-26 01:45:44)
(Reserva Institucional 1,5%)
(R$ X,XX)</t>
        </r>
      </text>
    </comment>
    <comment ref="D173" authorId="0">
      <text>
        <r>
          <rPr>
            <sz val="11"/>
            <color rgb="FF000000"/>
            <rFont val="Calibri"/>
            <scheme val="minor"/>
          </rPr>
          <t>======
ID#AAAAV4jq9xs
Setor Contabil    (2022-03-03 19:18:58)
descontado ref. estagiária Giorgia e Karen- até maio R$ 5.254,16, correto R$ 12.478,68</t>
        </r>
      </text>
    </comment>
    <comment ref="AF175" authorId="0">
      <text>
        <r>
          <rPr>
            <sz val="11"/>
            <color rgb="FF000000"/>
            <rFont val="Calibri"/>
            <scheme val="minor"/>
          </rPr>
          <t>======
ID#AAAAV4jq90g
Setor Contabil    (2022-03-03 19:18:58)
EMPENHOS ANULADOS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dyvLA1KlRAd6NJhvWGnMkLmP37Q=="/>
    </ext>
  </extLst>
</comments>
</file>

<file path=xl/comments10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10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8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I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comments9.xml><?xml version="1.0" encoding="utf-8"?>
<comments xmlns="http://schemas.openxmlformats.org/spreadsheetml/2006/main">
  <authors>
    <author/>
  </authors>
  <commentList>
    <comment ref="D3" authorId="0">
      <text>
        <r>
          <rPr>
            <sz val="11"/>
            <color rgb="FF000000"/>
            <rFont val="Calibri"/>
            <scheme val="minor"/>
          </rPr>
          <t>Incluir o valor da MATRIZ PREVISTO PARA O CAMPUS
======</t>
        </r>
      </text>
    </comment>
    <comment ref="AJ9" authorId="0">
      <text>
        <r>
          <rPr>
            <sz val="11"/>
            <color rgb="FF000000"/>
            <rFont val="Calibri"/>
            <scheme val="minor"/>
          </rPr>
          <t>PAGO PELA REITORIA
======</t>
        </r>
      </text>
    </comment>
  </commentList>
</comments>
</file>

<file path=xl/sharedStrings.xml><?xml version="1.0" encoding="utf-8"?>
<sst xmlns="http://schemas.openxmlformats.org/spreadsheetml/2006/main" count="6265" uniqueCount="1040">
  <si>
    <t>c</t>
  </si>
  <si>
    <t>INSTRUÇÕES DE PREENCHIMENTO DA PLANILHA DE CONTROLE DA EXECUÇÃO ORÇAMENTÁRIA</t>
  </si>
  <si>
    <t>DICAS PARA CONFERÊNCIAS DA PLANILHA X SALDOS CONTÁBEIS</t>
  </si>
  <si>
    <t>Prezado Colega,</t>
  </si>
  <si>
    <t xml:space="preserve">No intuíto de auxiliar no preenchimento da Planilha de Controle da Execução Orçamentária, sugerimos que leiam </t>
  </si>
  <si>
    <t>Abaixo elencamos algumas conferências que poderão ser utilizadas, para verificação de eventuais divergências entres os dados digitados</t>
  </si>
  <si>
    <t>com bastante atenção as instruções abaixo:</t>
  </si>
  <si>
    <t>na planilha com a execução orçamentária e financeira realizada no SIAFI.</t>
  </si>
  <si>
    <r>
      <rPr>
        <sz val="11"/>
        <color theme="1"/>
        <rFont val="Calibri"/>
      </rPr>
      <t xml:space="preserve">1ª) Leia atentamente </t>
    </r>
    <r>
      <rPr>
        <b/>
        <sz val="11"/>
        <color rgb="FFFF0000"/>
        <rFont val="Calibri"/>
      </rPr>
      <t>TODAS</t>
    </r>
    <r>
      <rPr>
        <sz val="11"/>
        <color theme="1"/>
        <rFont val="Calibri"/>
      </rPr>
      <t xml:space="preserve"> as instruções abaixo;</t>
    </r>
  </si>
  <si>
    <t xml:space="preserve">Contas contábeis (SIAFI) e informações da Planilha </t>
  </si>
  <si>
    <r>
      <rPr>
        <sz val="11"/>
        <color theme="1"/>
        <rFont val="Calibri"/>
      </rPr>
      <t>2ª) A Planilha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está protegida e as células </t>
    </r>
    <r>
      <rPr>
        <b/>
        <sz val="11"/>
        <color rgb="FFFF0000"/>
        <rFont val="Calibri"/>
      </rPr>
      <t>NÃO</t>
    </r>
    <r>
      <rPr>
        <sz val="11"/>
        <color theme="1"/>
        <rFont val="Calibri"/>
      </rPr>
      <t xml:space="preserve"> estão bloqueadas para possibilitar a inclusão de linhas;</t>
    </r>
  </si>
  <si>
    <t xml:space="preserve">Conta / Comando (SIAFI) </t>
  </si>
  <si>
    <t xml:space="preserve">Linha/coluna da Planilha </t>
  </si>
  <si>
    <t>3ª) A inclusão de linhas se faz necessária para adequar a Planilha a realidade de cada unidade do IFFar;</t>
  </si>
  <si>
    <t>622110000 (conta)</t>
  </si>
  <si>
    <t>Orçamento (NCs) Recebidas</t>
  </si>
  <si>
    <r>
      <rPr>
        <sz val="11"/>
        <color theme="1"/>
        <rFont val="Calibri"/>
      </rPr>
      <t xml:space="preserve">4ª) Havendo inclusão de linhas </t>
    </r>
    <r>
      <rPr>
        <b/>
        <sz val="11"/>
        <color rgb="FFFF0000"/>
        <rFont val="Calibri"/>
      </rPr>
      <t>ATENTEM</t>
    </r>
    <r>
      <rPr>
        <sz val="11"/>
        <color theme="1"/>
        <rFont val="Calibri"/>
      </rPr>
      <t xml:space="preserve"> para as fórmulas, pois as mesmas precisarão ser ajustadas;</t>
    </r>
  </si>
  <si>
    <t>&gt;CONNC (comando)</t>
  </si>
  <si>
    <r>
      <rPr>
        <sz val="11"/>
        <color theme="1"/>
        <rFont val="Calibri"/>
      </rPr>
      <t xml:space="preserve">5ª) As informações deverão ser inseridas </t>
    </r>
    <r>
      <rPr>
        <b/>
        <sz val="11"/>
        <color rgb="FFFF0000"/>
        <rFont val="Calibri"/>
      </rPr>
      <t>SEMPRE</t>
    </r>
    <r>
      <rPr>
        <sz val="11"/>
        <color theme="1"/>
        <rFont val="Calibri"/>
      </rPr>
      <t xml:space="preserve"> nas células </t>
    </r>
    <r>
      <rPr>
        <b/>
        <sz val="11"/>
        <color rgb="FFFF0000"/>
        <rFont val="Calibri"/>
      </rPr>
      <t>"BRANCAS"</t>
    </r>
    <r>
      <rPr>
        <sz val="11"/>
        <color theme="1"/>
        <rFont val="Calibri"/>
      </rPr>
      <t>;</t>
    </r>
  </si>
  <si>
    <t>Rap não processado a Liquidar; total da coluna "I" (Valor empenhado); valores constantes na conta em 1° de Janeiro.</t>
  </si>
  <si>
    <r>
      <rPr>
        <sz val="11"/>
        <color theme="1"/>
        <rFont val="Calibri"/>
      </rPr>
      <t xml:space="preserve">6ª) As células que forem </t>
    </r>
    <r>
      <rPr>
        <b/>
        <sz val="11"/>
        <color rgb="FFFF0000"/>
        <rFont val="Calibri"/>
      </rPr>
      <t>COLORIDAS</t>
    </r>
    <r>
      <rPr>
        <sz val="11"/>
        <color theme="1"/>
        <rFont val="Calibri"/>
      </rPr>
      <t xml:space="preserve"> possuem fórmulas, </t>
    </r>
    <r>
      <rPr>
        <b/>
        <sz val="11"/>
        <color rgb="FFFF0000"/>
        <rFont val="Calibri"/>
      </rPr>
      <t>ATENÇÃO</t>
    </r>
    <r>
      <rPr>
        <sz val="11"/>
        <color theme="1"/>
        <rFont val="Calibri"/>
      </rPr>
      <t xml:space="preserve"> para não digitar em cima;</t>
    </r>
  </si>
  <si>
    <t xml:space="preserve">Rap não processado a Liquidar; total da coluna "R" (saldo do empenho); saldo atual ref. mês da consulta </t>
  </si>
  <si>
    <r>
      <rPr>
        <sz val="11"/>
        <color theme="1"/>
        <rFont val="Calibri"/>
      </rPr>
      <t xml:space="preserve">7ª) Todos os </t>
    </r>
    <r>
      <rPr>
        <b/>
        <sz val="11"/>
        <color rgb="FFFF0000"/>
        <rFont val="Calibri"/>
      </rPr>
      <t>GRÁFICOS</t>
    </r>
    <r>
      <rPr>
        <sz val="11"/>
        <color theme="1"/>
        <rFont val="Calibri"/>
      </rPr>
      <t xml:space="preserve"> serão atualizados automaticamentes, a partir das informaçoes digitadas na planilha;</t>
    </r>
  </si>
  <si>
    <t xml:space="preserve">Empenhos a liquidar; total da coluna "Q"; saldo atualizado mês da consulta </t>
  </si>
  <si>
    <r>
      <rPr>
        <sz val="11"/>
        <color theme="1"/>
        <rFont val="Calibri"/>
      </rPr>
      <t>8ª) A Coluna D</t>
    </r>
    <r>
      <rPr>
        <sz val="11"/>
        <color rgb="FFFF0000"/>
        <rFont val="Calibri"/>
      </rPr>
      <t xml:space="preserve"> </t>
    </r>
    <r>
      <rPr>
        <b/>
        <sz val="11"/>
        <color rgb="FFFF0000"/>
        <rFont val="Calibri"/>
      </rPr>
      <t>"MATRIZ"</t>
    </r>
    <r>
      <rPr>
        <sz val="11"/>
        <color theme="1"/>
        <rFont val="Calibri"/>
      </rPr>
      <t xml:space="preserve"> deverá ser alimentada com os valores de funcionamento do Plano de Ação a ser excutado;</t>
    </r>
  </si>
  <si>
    <t xml:space="preserve">Empenhos pagos (OBs por Notas Empenho) = totais das colunas BG-BI </t>
  </si>
  <si>
    <r>
      <rPr>
        <sz val="11"/>
        <color theme="1"/>
        <rFont val="Calibri"/>
      </rPr>
      <t xml:space="preserve">9ª) A Coluna E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deverá ser alimentada com os valores de outras fontes (Ex.: AE, RIP, FNDE, Emendas, etc.)</t>
    </r>
  </si>
  <si>
    <t>Empenhos pagos RAP Processados (OBs por Notas Empenho) = total da coluna BH</t>
  </si>
  <si>
    <r>
      <rPr>
        <sz val="11"/>
        <color theme="1"/>
        <rFont val="Calibri"/>
      </rPr>
      <t xml:space="preserve">10ª) A identificação das fontes específicas se dará na </t>
    </r>
    <r>
      <rPr>
        <b/>
        <sz val="11"/>
        <color rgb="FFFF0000"/>
        <rFont val="Calibri"/>
      </rPr>
      <t>"LINHA"</t>
    </r>
    <r>
      <rPr>
        <sz val="11"/>
        <color theme="1"/>
        <rFont val="Calibri"/>
      </rPr>
      <t xml:space="preserve">, a coluna </t>
    </r>
    <r>
      <rPr>
        <b/>
        <sz val="11"/>
        <color rgb="FFFF0000"/>
        <rFont val="Calibri"/>
      </rPr>
      <t>"OUTROS"</t>
    </r>
    <r>
      <rPr>
        <sz val="11"/>
        <color theme="1"/>
        <rFont val="Calibri"/>
      </rPr>
      <t xml:space="preserve"> consolida os valores; </t>
    </r>
  </si>
  <si>
    <t>Empenhos pagos RAP Não Processados (OBs por Notas Empenho) = total da coluna BH</t>
  </si>
  <si>
    <r>
      <rPr>
        <sz val="11"/>
        <color theme="1"/>
        <rFont val="Calibri"/>
      </rPr>
      <t xml:space="preserve">11ª) As Colunas H, I e J </t>
    </r>
    <r>
      <rPr>
        <b/>
        <sz val="11"/>
        <color rgb="FFFF0000"/>
        <rFont val="Calibri"/>
      </rPr>
      <t>"VALOR EMPENHADO"</t>
    </r>
    <r>
      <rPr>
        <sz val="11"/>
        <color theme="1"/>
        <rFont val="Calibri"/>
      </rPr>
      <t xml:space="preserve">, serão alimentadas com os valores dos </t>
    </r>
    <r>
      <rPr>
        <b/>
        <sz val="11"/>
        <color rgb="FFFF0000"/>
        <rFont val="Calibri"/>
      </rPr>
      <t xml:space="preserve">EMPENHOS </t>
    </r>
    <r>
      <rPr>
        <sz val="11"/>
        <color theme="1"/>
        <rFont val="Calibri"/>
      </rPr>
      <t>e</t>
    </r>
    <r>
      <rPr>
        <b/>
        <sz val="11"/>
        <color theme="1"/>
        <rFont val="Calibri"/>
      </rPr>
      <t xml:space="preserve"> </t>
    </r>
    <r>
      <rPr>
        <b/>
        <sz val="11"/>
        <color rgb="FFFF0000"/>
        <rFont val="Calibri"/>
      </rPr>
      <t>RAPs</t>
    </r>
    <r>
      <rPr>
        <sz val="11"/>
        <color theme="1"/>
        <rFont val="Calibri"/>
      </rPr>
      <t xml:space="preserve"> respectivamentes;</t>
    </r>
  </si>
  <si>
    <r>
      <rPr>
        <sz val="11"/>
        <color theme="1"/>
        <rFont val="Calibri"/>
      </rPr>
      <t>12ª) As Colunas K, L e M</t>
    </r>
    <r>
      <rPr>
        <b/>
        <sz val="11"/>
        <color rgb="FFFF0000"/>
        <rFont val="Calibri"/>
      </rPr>
      <t xml:space="preserve"> "VALOR LIQUIDADO" </t>
    </r>
    <r>
      <rPr>
        <sz val="11"/>
        <color theme="1"/>
        <rFont val="Calibri"/>
      </rPr>
      <t>serão alimentadas a partir das informações inseridas nas colunas da execução;</t>
    </r>
  </si>
  <si>
    <r>
      <rPr>
        <sz val="11"/>
        <color theme="1"/>
        <rFont val="Calibri"/>
      </rPr>
      <t xml:space="preserve">13ª) As informações referente </t>
    </r>
    <r>
      <rPr>
        <b/>
        <sz val="11"/>
        <color rgb="FFFF0000"/>
        <rFont val="Calibri"/>
      </rPr>
      <t>EXECUÇÃO</t>
    </r>
    <r>
      <rPr>
        <sz val="11"/>
        <color theme="1"/>
        <rFont val="Calibri"/>
      </rPr>
      <t xml:space="preserve"> serão informadas mês a mês nas colunas W a BF, pelos valores liquidados;</t>
    </r>
  </si>
  <si>
    <r>
      <rPr>
        <sz val="11"/>
        <color theme="1"/>
        <rFont val="Calibri"/>
      </rPr>
      <t>14ª) As Colunas N, O e P</t>
    </r>
    <r>
      <rPr>
        <b/>
        <sz val="11"/>
        <color rgb="FFFF0000"/>
        <rFont val="Calibri"/>
      </rPr>
      <t xml:space="preserve"> "VALOR PAGO"</t>
    </r>
    <r>
      <rPr>
        <sz val="11"/>
        <color theme="1"/>
        <rFont val="Calibri"/>
      </rPr>
      <t xml:space="preserve"> serão alimentadas automaticamente, replicando os valores liquidados quando as células</t>
    </r>
  </si>
  <si>
    <r>
      <rPr>
        <sz val="11"/>
        <color theme="1"/>
        <rFont val="Calibri"/>
      </rPr>
      <t xml:space="preserve">das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estiverem </t>
    </r>
    <r>
      <rPr>
        <b/>
        <sz val="11"/>
        <color rgb="FFFF0000"/>
        <rFont val="Calibri"/>
      </rPr>
      <t>ZERADOS</t>
    </r>
    <r>
      <rPr>
        <sz val="11"/>
        <color theme="1"/>
        <rFont val="Calibri"/>
      </rPr>
      <t xml:space="preserve"> ou </t>
    </r>
    <r>
      <rPr>
        <b/>
        <sz val="11"/>
        <color rgb="FFFF0000"/>
        <rFont val="Calibri"/>
      </rPr>
      <t>EM BRANCO</t>
    </r>
    <r>
      <rPr>
        <sz val="11"/>
        <color theme="1"/>
        <rFont val="Calibri"/>
      </rPr>
      <t xml:space="preserve"> e, assumirão os valores</t>
    </r>
  </si>
  <si>
    <r>
      <rPr>
        <sz val="11"/>
        <color theme="1"/>
        <rFont val="Calibri"/>
      </rPr>
      <t xml:space="preserve">destas quanto as mesmas estiverem preenchidas com valores </t>
    </r>
    <r>
      <rPr>
        <b/>
        <sz val="11"/>
        <color rgb="FFFF0000"/>
        <rFont val="Calibri"/>
      </rPr>
      <t>DIFERENTE DE ZERO</t>
    </r>
    <r>
      <rPr>
        <sz val="11"/>
        <color theme="1"/>
        <rFont val="Calibri"/>
      </rPr>
      <t>;</t>
    </r>
  </si>
  <si>
    <r>
      <rPr>
        <sz val="11"/>
        <color theme="1"/>
        <rFont val="Calibri"/>
      </rPr>
      <t xml:space="preserve">15ª) As Colunas BG, BH e BI </t>
    </r>
    <r>
      <rPr>
        <b/>
        <sz val="11"/>
        <color rgb="FFFF0000"/>
        <rFont val="Calibri"/>
      </rPr>
      <t>"PAGAMENTOS REALIZADOS NO EXERCÍCIO"</t>
    </r>
    <r>
      <rPr>
        <sz val="11"/>
        <color theme="1"/>
        <rFont val="Calibri"/>
      </rPr>
      <t xml:space="preserve"> poderão ser preenchidas periodicamente ou ao final do</t>
    </r>
  </si>
  <si>
    <t>exercício, sem prejuizo das análises de execução;</t>
  </si>
  <si>
    <t>16º) Nas Linhas 146 a 150, a partir da Coluna W, deverão ser informadas as NCs mês a mês e de acordo do a Fonte de Recurso;</t>
  </si>
  <si>
    <t>17ª) Caso seja detectada alguma falha na planilha, erro de fórmula, etc. Pedimos que seja comunicado a DOF(Reitoria), para que o erro</t>
  </si>
  <si>
    <t>Trabalho elaborado pelo GT formados pelos seguintes servidores:</t>
  </si>
  <si>
    <t>possa ser corrigido para todos os COFs;</t>
  </si>
  <si>
    <t>Denize Sott</t>
  </si>
  <si>
    <t>denize.sott@iffarroupilha.edu.br</t>
  </si>
  <si>
    <t>Reitoria</t>
  </si>
  <si>
    <t>18ª) Leia novamente a 1ª instrução;</t>
  </si>
  <si>
    <t>Lidiane Kasper</t>
  </si>
  <si>
    <t>lidiane.kasper@iffarroupilha.edu.br</t>
  </si>
  <si>
    <t>Campus Santa Rosa</t>
  </si>
  <si>
    <t>Gilson Parodes</t>
  </si>
  <si>
    <t>gilson.parodes@iffarroupilha.edu.br</t>
  </si>
  <si>
    <t>Campus São Vicente do Sul</t>
  </si>
  <si>
    <t>PLANO DE AÇÃO 2022</t>
  </si>
  <si>
    <t>RUBRICA</t>
  </si>
  <si>
    <t>DESCRIÇÃO AÇÃO</t>
  </si>
  <si>
    <t>PLANEJAMENTO</t>
  </si>
  <si>
    <t>MATRIZ 
(100%)</t>
  </si>
  <si>
    <t>EXTRA</t>
  </si>
  <si>
    <t>ASSISTÊNCIA</t>
  </si>
  <si>
    <t>RESERVA</t>
  </si>
  <si>
    <t>INVESTIMENTO</t>
  </si>
  <si>
    <t>CAPACITAÇÃO</t>
  </si>
  <si>
    <t>MATRIZ</t>
  </si>
  <si>
    <t>OUTROS</t>
  </si>
  <si>
    <t>ORÇAMENTO</t>
  </si>
  <si>
    <t>DIREÇÃO GERAL</t>
  </si>
  <si>
    <t>Locação de Imóveis-Aluguel de Sala (formaturas)</t>
  </si>
  <si>
    <t>Sonorização (eventos)</t>
  </si>
  <si>
    <t>Locações de bens móveis outras naturezas e intangiveis(eventos e formaturas)</t>
  </si>
  <si>
    <t>Fornecimento de coofebreak em eventos</t>
  </si>
  <si>
    <t>Contratação de servições gráficos</t>
  </si>
  <si>
    <t>Participação em feiras e eventos</t>
  </si>
  <si>
    <t>DIRETORIA DE ADMINISTRAÇÃO</t>
  </si>
  <si>
    <t>Deslocamento - Diárias a servidores</t>
  </si>
  <si>
    <t>Reembolso de Passagens (terrestres, aéreas, ...)</t>
  </si>
  <si>
    <t>Fornecimento de energia elétrica</t>
  </si>
  <si>
    <t>Serviços postais, Correios</t>
  </si>
  <si>
    <t>Vigilância Predial (4 postos de trabalho)</t>
  </si>
  <si>
    <t xml:space="preserve">Serviços de Limpeza </t>
  </si>
  <si>
    <t>Jardinagem (1 posto de trabalho)</t>
  </si>
  <si>
    <t>Coleta de Resíduos-laboratórios</t>
  </si>
  <si>
    <t>Manutenção predial Infra (1 posto de trabalho)</t>
  </si>
  <si>
    <t>Manutenção Agropecuária (1 posto de trabalho)</t>
  </si>
  <si>
    <t>Auxiliar  Administrativo ( 1posto de trabalho)</t>
  </si>
  <si>
    <t>Manutenção extintores e mangueiras</t>
  </si>
  <si>
    <t>Manutenção elétrica</t>
  </si>
  <si>
    <t>Manutenção persianas e cortinas</t>
  </si>
  <si>
    <t>Manutenção de ar condicionado</t>
  </si>
  <si>
    <t>Manutenção hidráulica</t>
  </si>
  <si>
    <t>Manutenção de equipamentos de laboratório</t>
  </si>
  <si>
    <t>Manutenção de maquinários agrícolas</t>
  </si>
  <si>
    <t>Manutenção do serviço de detetização</t>
  </si>
  <si>
    <t>Manutenção de frotas - Combustível</t>
  </si>
  <si>
    <t>Manutenção frota prestação de serviços</t>
  </si>
  <si>
    <t>Publicidade legal em jornais</t>
  </si>
  <si>
    <t>Obrigações tributárias</t>
  </si>
  <si>
    <t>Seguro veicular e IPVA</t>
  </si>
  <si>
    <t>Material de Consumo conservação Infra</t>
  </si>
  <si>
    <t>Material consumo LEPEPs Ensino</t>
  </si>
  <si>
    <t>Material consumo LEPEPs  Produção</t>
  </si>
  <si>
    <t>Materiais de expediente - Almoxarifado Virtual -Br Supply</t>
  </si>
  <si>
    <t>Aquisição de equipamentos de uso geral</t>
  </si>
  <si>
    <t xml:space="preserve"> </t>
  </si>
  <si>
    <t>Aquisição de mobiliário</t>
  </si>
  <si>
    <t>Projeto para vídeo segurança</t>
  </si>
  <si>
    <t>Aquisição de Câmeras e materais de vídeo segurança</t>
  </si>
  <si>
    <t>Aquisição materiais e utensílios para refeitório</t>
  </si>
  <si>
    <t>Aquisição de materiais para enfrentamento COVID 19</t>
  </si>
  <si>
    <t>Ampliação Prédio CAE - Aditivo</t>
  </si>
  <si>
    <t>Serviços de manutenção tabela SINAPI</t>
  </si>
  <si>
    <t>Execução dos Projetos de PPCI</t>
  </si>
  <si>
    <t>33.90.39.</t>
  </si>
  <si>
    <t>Cercamento nova área que será doado pela prefeitura</t>
  </si>
  <si>
    <t>Motorista terceirizado</t>
  </si>
  <si>
    <t>44.90.51</t>
  </si>
  <si>
    <t>Terminal de ônibus</t>
  </si>
  <si>
    <t>Projeto de Adaptação das Instalações para atendimento ao SIM-Serviço de Inspeção Municipal (ovos e leite) </t>
  </si>
  <si>
    <t>Ampliação Cantina</t>
  </si>
  <si>
    <t>Sala Motoristas</t>
  </si>
  <si>
    <t>Calçamento</t>
  </si>
  <si>
    <t>DPDI</t>
  </si>
  <si>
    <t>Telefonia e Internet - Telefonia Fixa</t>
  </si>
  <si>
    <t>Telefonia e Internet - Link Internet Tche Turbo</t>
  </si>
  <si>
    <t>Telefonia e Internet - Manutenção central telefônica</t>
  </si>
  <si>
    <t>Manutenção de Hardware</t>
  </si>
  <si>
    <t>Manutenção Impressoras</t>
  </si>
  <si>
    <t>Fundo TI</t>
  </si>
  <si>
    <t>Fundo TI aquisição de equipamentos</t>
  </si>
  <si>
    <t>Fundo TI manutenção e serviços de tecnologia</t>
  </si>
  <si>
    <t>Reserva PIIQP</t>
  </si>
  <si>
    <t>Reserva PIIQPE</t>
  </si>
  <si>
    <t>Reserva PID</t>
  </si>
  <si>
    <t>Capacitações de servidores</t>
  </si>
  <si>
    <t>Processo Seletivo - serviços de seleção e treinamento</t>
  </si>
  <si>
    <t>Processo Seletivo - serviços gráficos</t>
  </si>
  <si>
    <t>EBC</t>
  </si>
  <si>
    <t>Processo Seletivo - Carro de Som</t>
  </si>
  <si>
    <t>DIRETORIA DE ENSINO</t>
  </si>
  <si>
    <t>Fornecimento Alimentação (orçamento)</t>
  </si>
  <si>
    <t>Fornecimento Alimentação (extraorçamentário)</t>
  </si>
  <si>
    <t>Seguro de vida estudantes</t>
  </si>
  <si>
    <t>CAE</t>
  </si>
  <si>
    <t>(34.198,22 RETENÇÃO REITORIA)</t>
  </si>
  <si>
    <t>Reserva Assistência Estudantil</t>
  </si>
  <si>
    <t>Concessão de bolsas de auxílio (extraorçamentário)</t>
  </si>
  <si>
    <t>PNAE</t>
  </si>
  <si>
    <t>Fornecimento Alimentação FNDE (extraorçamentário)</t>
  </si>
  <si>
    <t>RAP</t>
  </si>
  <si>
    <t>Projetos de Ensino - Bolsa estudos</t>
  </si>
  <si>
    <t>Projetos de Ensino - Auxílio pesquisador</t>
  </si>
  <si>
    <t>Locação de Software</t>
  </si>
  <si>
    <t xml:space="preserve">Ações inclusivas </t>
  </si>
  <si>
    <t>Reserva Ações inclusivas</t>
  </si>
  <si>
    <t>Pagamento horas a palestrantes</t>
  </si>
  <si>
    <t>Fretamento de ônibus - contrato ACM</t>
  </si>
  <si>
    <t>DIRETORIA DE PESQUISA, EXTENSÃO E PRODUÇÃO</t>
  </si>
  <si>
    <t>Reserva Pesquisa</t>
  </si>
  <si>
    <t>Reserva Extensão - Bolsa de Estudo</t>
  </si>
  <si>
    <t>Reserva Extensão - Auxílio ao Pesquisador</t>
  </si>
  <si>
    <t>Estagiários (5 estagiários)</t>
  </si>
  <si>
    <t>Bolsa Coordenação Pós</t>
  </si>
  <si>
    <t>33.90.30</t>
  </si>
  <si>
    <t>Núcleos - Material de Consumo</t>
  </si>
  <si>
    <t>33.90.36</t>
  </si>
  <si>
    <t>Núcleos - Serviços</t>
  </si>
  <si>
    <t>44.90.52</t>
  </si>
  <si>
    <t>Núcleos - Investimento</t>
  </si>
  <si>
    <t>PLANILHA DE PLANEJAMENTO E CONTROLE DA EXECUÇÃO ORÇAMENTÁRIA</t>
  </si>
  <si>
    <t>VALOR PLANEJADO</t>
  </si>
  <si>
    <t>VALOR EMPENHADO</t>
  </si>
  <si>
    <t>VALOR LIQUIDADO</t>
  </si>
  <si>
    <t xml:space="preserve">VALOR PAGO </t>
  </si>
  <si>
    <t>SALDO (DISPONÍVEL NO EMPENHO)</t>
  </si>
  <si>
    <t>PERCENTUAL GASTO EM RELAÇÃO AO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</si>
  <si>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</si>
  <si>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</si>
  <si>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</si>
  <si>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</si>
  <si>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</si>
  <si>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</si>
  <si>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</si>
  <si>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</si>
  <si>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</si>
  <si>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</si>
  <si>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</si>
  <si>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</si>
  <si>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PAGAMENTOS REALIZADOS NO EXERCÍCIO</t>
  </si>
  <si>
    <t>DESCRIÇÃO DA AÇÃO</t>
  </si>
  <si>
    <t>MATRIZ ORÇAMENTÁRIA</t>
  </si>
  <si>
    <t>% empenhado da MATRIZ (planejado)</t>
  </si>
  <si>
    <t>% liquidado da MATRIZ (planejado)</t>
  </si>
  <si>
    <t>RAP ANULADO</t>
  </si>
  <si>
    <t>MATRIZ
(empenhado)</t>
  </si>
  <si>
    <t>OUTROS 
(empenhado)</t>
  </si>
  <si>
    <t>MATRIZ
(emp)</t>
  </si>
  <si>
    <t>OUTROS 
(emp.)</t>
  </si>
  <si>
    <t>NE ANO</t>
  </si>
  <si>
    <t>NE RAP</t>
  </si>
  <si>
    <t>TOTAL</t>
  </si>
  <si>
    <t>DG - DIREÇÃO GERAL</t>
  </si>
  <si>
    <t>33.90.14-14</t>
  </si>
  <si>
    <t>Diárias a servidores</t>
  </si>
  <si>
    <t>33.90.39-10</t>
  </si>
  <si>
    <t>Aluguel de Sala</t>
  </si>
  <si>
    <t>33.90.39-12</t>
  </si>
  <si>
    <t>Sonorização</t>
  </si>
  <si>
    <t>2021NE000121</t>
  </si>
  <si>
    <t>33.90.39-14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</si>
  <si>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</si>
  <si>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33.90.39-23</t>
  </si>
  <si>
    <t>33.90.39-05</t>
  </si>
  <si>
    <t>33.90.39-22</t>
  </si>
  <si>
    <t>DAD - DIRETORIA DE ADMINISTRAÇÃO</t>
  </si>
  <si>
    <t>33.90.33-01</t>
  </si>
  <si>
    <t>2021NE000002</t>
  </si>
  <si>
    <t>33.90.39-43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</si>
  <si>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</si>
  <si>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t>2021NE000057-2020NE800236</t>
  </si>
  <si>
    <t>33.90.39-47</t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</si>
  <si>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</si>
  <si>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t>2021NE000010</t>
  </si>
  <si>
    <t>33.90.37-03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</si>
  <si>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</si>
  <si>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2021NE000071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</si>
  <si>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</si>
  <si>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2021NE000007</t>
  </si>
  <si>
    <t>33.90.37-02</t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</si>
  <si>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</si>
  <si>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t>2021NE000008</t>
  </si>
  <si>
    <t>33.90.37-01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</si>
  <si>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</si>
  <si>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t>2021NE000041</t>
  </si>
  <si>
    <t>33.90.39-78</t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</si>
  <si>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</si>
  <si>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2021NE000009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</si>
  <si>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</si>
  <si>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t>2021NE000006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</si>
  <si>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</si>
  <si>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Auxiliar Administrativo terceirizado</t>
  </si>
  <si>
    <t>2021NE000085</t>
  </si>
  <si>
    <t>33.90.39-17</t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</si>
  <si>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</si>
  <si>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33.90.39-16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</si>
  <si>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</si>
  <si>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2021NE000109</t>
  </si>
  <si>
    <t>33.90.39-20</t>
  </si>
  <si>
    <t>2021NE000110</t>
  </si>
  <si>
    <t>Manutenção e conservação de bens móveis- hidráulica-reparos</t>
  </si>
  <si>
    <t>2021NE000035 E 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</si>
  <si>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</si>
  <si>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</si>
  <si>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</si>
  <si>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</si>
  <si>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2021NE000061</t>
  </si>
  <si>
    <t>2021NE000093</t>
  </si>
  <si>
    <t>44.90.52-99</t>
  </si>
  <si>
    <t>2021NE000118-2021NE000119-2020NE800172</t>
  </si>
  <si>
    <t>44.90.52-42</t>
  </si>
  <si>
    <t>2021NE000124</t>
  </si>
  <si>
    <t>44.90.52-19</t>
  </si>
  <si>
    <t>Aquisição de discotecas e filmotecas</t>
  </si>
  <si>
    <t>33.90.30-01</t>
  </si>
  <si>
    <t>33.90.39-19</t>
  </si>
  <si>
    <t>2021NE000004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</si>
  <si>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</si>
  <si>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2021NE000086</t>
  </si>
  <si>
    <t>33.91.47-12</t>
  </si>
  <si>
    <t>Obrigações tributárias (PIS)</t>
  </si>
  <si>
    <t>33.90.39-69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</si>
  <si>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</si>
  <si>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2020NE800144</t>
  </si>
  <si>
    <t>33.90.30-99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</si>
  <si>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</si>
  <si>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2021NE000097-2021NE000099-2021NE000100-2021NE000101-2021NE000102-2021NE000104-2021NE000105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</si>
  <si>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</si>
  <si>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33.90.30-16</t>
  </si>
  <si>
    <t>Material de expediente</t>
  </si>
  <si>
    <t>2021NE000047</t>
  </si>
  <si>
    <t>44.90.51-91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</si>
  <si>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</si>
  <si>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</si>
  <si>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</si>
  <si>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2021NE000108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</si>
  <si>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</si>
  <si>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t>2021NE000062-2021NE000063</t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</si>
  <si>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</si>
  <si>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2021NE000095-2021NE000096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</si>
  <si>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</si>
  <si>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2021NE000122 -2021NE000117</t>
  </si>
  <si>
    <t>Enfardadeira - Bebedouros</t>
  </si>
  <si>
    <t>2021NE000089-2021NE000092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</si>
  <si>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</si>
  <si>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33.91.39-05</t>
  </si>
  <si>
    <t>33.90.30-28</t>
  </si>
  <si>
    <t>33.90.30-21</t>
  </si>
  <si>
    <t>2021NE000067</t>
  </si>
  <si>
    <t>44.90.51-92</t>
  </si>
  <si>
    <t>44.90.51-99</t>
  </si>
  <si>
    <t>33.90.39</t>
  </si>
  <si>
    <t>Cercamento nova área doada pela prefeitura</t>
  </si>
  <si>
    <t>Projeto de Adaptação das Instalações para atendimento ao SIM</t>
  </si>
  <si>
    <t>DPDI - DIRETORIA DE PLANEJ E DESENV INSTITUCIONAL</t>
  </si>
  <si>
    <t>GERAL</t>
  </si>
  <si>
    <t>2021NE000037</t>
  </si>
  <si>
    <t>33.90.39-58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</si>
  <si>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</si>
  <si>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33.90.40-13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</si>
  <si>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</si>
  <si>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t>2021NE000012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</si>
  <si>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</si>
  <si>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33.90.39-56</t>
  </si>
  <si>
    <t>2020NE800119</t>
  </si>
  <si>
    <t>33.90.40-16</t>
  </si>
  <si>
    <t>Manutenção de Impressoras/Outsourcing de Impressão</t>
  </si>
  <si>
    <t>PIIQP (reserva institucional  1%=23.296,54)</t>
  </si>
  <si>
    <t>PIIQPPE (reserva institucional  1%=23.296,54)</t>
  </si>
  <si>
    <t>PID (reserva Institucional 1%= R$ 23.296,54)</t>
  </si>
  <si>
    <t>Material de consumo</t>
  </si>
  <si>
    <t>33.90.36-28</t>
  </si>
  <si>
    <t>Horas Curso/Concurso</t>
  </si>
  <si>
    <t>CAPACITAÇÃO DE SERVIDORES</t>
  </si>
  <si>
    <t>Inscrições</t>
  </si>
  <si>
    <t>PROCESSO SELETIVO</t>
  </si>
  <si>
    <t>33.90.39-63</t>
  </si>
  <si>
    <t>2021NE000036</t>
  </si>
  <si>
    <t>33.90.39-90</t>
  </si>
  <si>
    <t xml:space="preserve">Processo Seletivo - Carro de Som </t>
  </si>
  <si>
    <t>TI</t>
  </si>
  <si>
    <t xml:space="preserve">FUNDO DE TI (reserva instit. 2,5%= 59.491,34) 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</si>
  <si>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</si>
  <si>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 xml:space="preserve">Equipamentos - </t>
  </si>
  <si>
    <t xml:space="preserve">Manutenção de Equipamentos de Informática </t>
  </si>
  <si>
    <t>33.90.39-11</t>
  </si>
  <si>
    <t xml:space="preserve">Licença de softwares </t>
  </si>
  <si>
    <t>DE - DIRETORIA DE ENSINO</t>
  </si>
  <si>
    <t>33.90.36-02</t>
  </si>
  <si>
    <t>Diárias a colaboradores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</si>
  <si>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</si>
  <si>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</si>
  <si>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Locação de software</t>
  </si>
  <si>
    <t>33.90.40-21</t>
  </si>
  <si>
    <t xml:space="preserve">Outros Serviços de Terceiros P.J. </t>
  </si>
  <si>
    <t>Ações inclusivas - (cuidadores,...)</t>
  </si>
  <si>
    <t>2021NE000120</t>
  </si>
  <si>
    <t>33.90.33-09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</si>
  <si>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</si>
  <si>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t>2021NE000094</t>
  </si>
  <si>
    <t>44.90.52-35</t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</si>
  <si>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</si>
  <si>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t>33.90.47</t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</si>
  <si>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</si>
  <si>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</si>
  <si>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2021NE000112</t>
  </si>
  <si>
    <t>Serviços Gráficos</t>
  </si>
  <si>
    <t>33.90.36-69</t>
  </si>
  <si>
    <t>Seguro alunos (Reitoria)</t>
  </si>
  <si>
    <t>PROJETOS DE ENSINO (reserva institucional 1%=23.296,54)</t>
  </si>
  <si>
    <t>33.90.18-01</t>
  </si>
  <si>
    <t>Bolsas PROJEN / Monitorias</t>
  </si>
  <si>
    <t>33.90.20-01</t>
  </si>
  <si>
    <t>Aux. a pesquisadores projetos de ensino (fomento)</t>
  </si>
  <si>
    <t>Material de consumo para projetos de ensino</t>
  </si>
  <si>
    <t xml:space="preserve">Curso/Concurso </t>
  </si>
  <si>
    <t>ASSISTÊNCIA ESTUDANTIL</t>
  </si>
  <si>
    <t xml:space="preserve">5% CUSTEIO DO CAMPUS </t>
  </si>
  <si>
    <t>33.90.39.41</t>
  </si>
  <si>
    <t xml:space="preserve">Monitor de Aluno Especial </t>
  </si>
  <si>
    <t>33.90.47-18</t>
  </si>
  <si>
    <t>Patronal Monitores</t>
  </si>
  <si>
    <t xml:space="preserve">Material Saúde Consumo </t>
  </si>
  <si>
    <t>2020NE800194-2020NE800198-2020NE800206-2020NE800221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</si>
  <si>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</si>
  <si>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33.90.37.01</t>
  </si>
  <si>
    <t>Reserva Ações Inclusivas</t>
  </si>
  <si>
    <t>44.90.52.35</t>
  </si>
  <si>
    <t>Equipamentos para Áudio-Projetor Multimidia</t>
  </si>
  <si>
    <t>2021NE000116</t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</si>
  <si>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</si>
  <si>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Material de Consumo (sala de música)</t>
  </si>
  <si>
    <t>PNAES</t>
  </si>
  <si>
    <t>33.90.18</t>
  </si>
  <si>
    <t>Auxílios/Bolsa Estudantes (Permanência, Transporte, Eventos e Atleta)</t>
  </si>
  <si>
    <t xml:space="preserve">Auxílio Evento </t>
  </si>
  <si>
    <t>Auxílio Eventual</t>
  </si>
  <si>
    <t>Auxílio atleta</t>
  </si>
  <si>
    <t>33.90.32-05</t>
  </si>
  <si>
    <t xml:space="preserve">Alimentação Escolar (Agricultura Familiar) </t>
  </si>
  <si>
    <t>RIP</t>
  </si>
  <si>
    <t>33.90.39-41</t>
  </si>
  <si>
    <t>2021NE000127</t>
  </si>
  <si>
    <t>FNDE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</si>
  <si>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</si>
  <si>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Alimentação Escolar (Agricultura Familiar) -chamada Pública</t>
  </si>
  <si>
    <t>Chamada Pública (agricultura Familiar )</t>
  </si>
  <si>
    <t>2021NE000106</t>
  </si>
  <si>
    <t>33.90.32-20</t>
  </si>
  <si>
    <t>Fornecimento de Alimentação</t>
  </si>
  <si>
    <t xml:space="preserve">AÇÕES INCLUSIVAS </t>
  </si>
  <si>
    <t xml:space="preserve">Patronal </t>
  </si>
  <si>
    <t>2021NE000052</t>
  </si>
  <si>
    <t>Serviços de seleção e treinamento</t>
  </si>
  <si>
    <t>BIBLIOTECA</t>
  </si>
  <si>
    <t>2020NE800067</t>
  </si>
  <si>
    <t>44.90.52-18</t>
  </si>
  <si>
    <t>Material Permanente (móveis / livros)</t>
  </si>
  <si>
    <t>Biblioteca- Etiquetas RFD</t>
  </si>
  <si>
    <t>Biblioteca -Etiquetas</t>
  </si>
  <si>
    <t>COORDENAÇÕES EIXOS/CURSOS</t>
  </si>
  <si>
    <t>Material de Consumo</t>
  </si>
  <si>
    <t>2020NE800230</t>
  </si>
  <si>
    <t>Material permanente (equipamentos para laboratório) (NUGEDI, NUGEA)</t>
  </si>
  <si>
    <t>Material permanente (equipamentos) (NUGEDI, NUGEA)</t>
  </si>
  <si>
    <t xml:space="preserve">Material Permanente (Aquisição Bibliográfica) </t>
  </si>
  <si>
    <t>,</t>
  </si>
  <si>
    <t>DPEP - DIRETORIA DE PESQUISA, EXTENSÃO E PRODUÇÃO</t>
  </si>
  <si>
    <t xml:space="preserve">PESQUISA </t>
  </si>
  <si>
    <t>PROJETOS DE PESQUISA (reserva 1,5% = 34.944,80)</t>
  </si>
  <si>
    <t xml:space="preserve">Bolsas de Iniciação Científica e Tecn. </t>
  </si>
  <si>
    <t>OUTRAS DESPESAS COM PESQUISA</t>
  </si>
  <si>
    <t xml:space="preserve">Coordenação de Pós Graduação </t>
  </si>
  <si>
    <t>EXTENSÃO</t>
  </si>
  <si>
    <t>PROJETOS DE EXTENSÃO</t>
  </si>
  <si>
    <t>Reserva Extensão - Bolsas/Auxílio ao Pesquisador</t>
  </si>
  <si>
    <t>Bolsas / Projetos Extensão alunos</t>
  </si>
  <si>
    <t>33.90.36-07</t>
  </si>
  <si>
    <t xml:space="preserve">Estagiários </t>
  </si>
  <si>
    <t>2021NE000054</t>
  </si>
  <si>
    <t>OUTRAS DESPESAS COM EXTENSÃO</t>
  </si>
  <si>
    <t xml:space="preserve">Nugedis </t>
  </si>
  <si>
    <t>NUGEA</t>
  </si>
  <si>
    <t>NIT</t>
  </si>
  <si>
    <t>33.90.36-99</t>
  </si>
  <si>
    <t xml:space="preserve">Gráfica </t>
  </si>
  <si>
    <t>PRODUÇÃO</t>
  </si>
  <si>
    <t>2021NE000031</t>
  </si>
  <si>
    <t>33.90.30-18</t>
  </si>
  <si>
    <t>Material e Medicamentos p/ uso veterinário</t>
  </si>
  <si>
    <t>2020NE800232</t>
  </si>
  <si>
    <t>33.90.30-12</t>
  </si>
  <si>
    <t>Material de Coudelaria</t>
  </si>
  <si>
    <t xml:space="preserve">Serviço de Palestrante </t>
  </si>
  <si>
    <t>Apoio/Fomento as Ações de Extensão</t>
  </si>
  <si>
    <t>RESUMO GERAL DA EXECUÇÃO ORÇAMENTÁRIA</t>
  </si>
  <si>
    <t>PERCENTUAIS COMPARATIVOS</t>
  </si>
  <si>
    <t>CONTROLE DE NCs RECEBIDAS - LIBERAÇÃO DE ORÇAMENTO - MATRIZ</t>
  </si>
  <si>
    <t>CONTROLE DE NCs RECEBIDAS - LIBERAÇÃO DE ORÇAMENTO - ASSISTÊNCIA</t>
  </si>
  <si>
    <t>CONTROLE DE NCs RECEBIDAS - LIBERAÇÃO DE ORÇAMENTO - FNDE</t>
  </si>
  <si>
    <t>CONTROLE DE NCs RECEBIDAS - LIBERAÇÃO DE ORÇAMENTO - RECEITA PRÓPRIA</t>
  </si>
  <si>
    <t>CONTROLE DE NCs RECEBIDAS - LIBERAÇÃO DE ORÇAMENTO - OUTRAS FONTES</t>
  </si>
  <si>
    <t>ORÇAMENTO PLANEJADO</t>
  </si>
  <si>
    <t>ORÇAMENTO LIBERADO</t>
  </si>
  <si>
    <t>ORÇAMENTO EMPENHADO</t>
  </si>
  <si>
    <t>ORÇAMENTO EXECUTADO</t>
  </si>
  <si>
    <t>ORÇAMENTO PAGO</t>
  </si>
  <si>
    <t>SALDO PLANEJADO A LIBERAR</t>
  </si>
  <si>
    <t>SALDO LIBERADO A EMPENHAR</t>
  </si>
  <si>
    <t>SALDO EMPENHADO A EXECUTAR</t>
  </si>
  <si>
    <t>SALDO EXECUTADO A PAGAR</t>
  </si>
  <si>
    <t>4713,60- liberado em janeiro-não soma nessa planilha</t>
  </si>
  <si>
    <t>SALDO DE RESTOS A PAGAR</t>
  </si>
  <si>
    <t>alterar plano de ação 2021</t>
  </si>
  <si>
    <t>*Tirei 1.000,00 do ensino-adm e coloquei na DE-biblioteca</t>
  </si>
  <si>
    <t>EMENDA DEPUTADO BOHN GASS - CUSTEIO</t>
  </si>
  <si>
    <t>EMENDA PARLAMENTAR  DA BANCADA GAÚCHA - EQUIPAMENTOS</t>
  </si>
  <si>
    <t>ALIMENTAÇÃO ESCOLAR - PNAE - FNDE</t>
  </si>
  <si>
    <t>TED SETEC-REEQUELÍBRIO E ADITIVO PRÉDIO D</t>
  </si>
  <si>
    <t>EXTRA REITORIA-REEQUELÍBRIO REFEITÓRIO</t>
  </si>
  <si>
    <t>RECURSO ADITIVO REFEITORIO-NOSSO</t>
  </si>
  <si>
    <t>EXECUÇÃO E ADEQUAÇÃO PPCI</t>
  </si>
  <si>
    <t>REVERSÃO CAE P/OBRA</t>
  </si>
  <si>
    <t>REVERSÃO CUSTEIO P/BENS PERMANENTE</t>
  </si>
  <si>
    <t>REVERSÃO CAE P/BENS PERMANENTE</t>
  </si>
  <si>
    <t>2022NE000009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</si>
  <si>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</si>
  <si>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</t>
  </si>
  <si>
    <t>2022NE000012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</si>
  <si>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</si>
  <si>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</si>
  <si>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</si>
  <si>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</si>
  <si>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</si>
  <si>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</si>
  <si>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</si>
  <si>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t>2022NE000001</t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</si>
  <si>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</si>
  <si>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</si>
  <si>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</si>
  <si>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</si>
  <si>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2021NE000035 -2021NE000126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</si>
  <si>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</si>
  <si>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2021NE000113-2021NE000114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</si>
  <si>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</si>
  <si>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</si>
  <si>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</si>
  <si>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</si>
  <si>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</si>
  <si>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</si>
  <si>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</si>
  <si>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2022NE000004, 000005 E 000006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</si>
  <si>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</si>
  <si>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</si>
  <si>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</si>
  <si>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</si>
  <si>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</si>
  <si>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</si>
  <si>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</si>
  <si>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t>2021NE000122 e 2021NE000117</t>
  </si>
  <si>
    <t>2021NE000089-2021NE00090-2021NE000091-2021NE000092</t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</si>
  <si>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</si>
  <si>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2022NE000013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</si>
  <si>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</si>
  <si>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</si>
  <si>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</si>
  <si>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2022NE000002</t>
  </si>
  <si>
    <t>2022NE000011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</si>
  <si>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</si>
  <si>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2022NE000015</t>
  </si>
  <si>
    <t>2022NE000016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</si>
  <si>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</si>
  <si>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</si>
  <si>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</si>
  <si>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</si>
  <si>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</si>
  <si>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</si>
  <si>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</si>
  <si>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</si>
  <si>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</si>
  <si>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2022NE000014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</si>
  <si>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</si>
  <si>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</t>
  </si>
  <si>
    <t>2022NE000021</t>
  </si>
  <si>
    <t>2022NE000023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</si>
  <si>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</si>
  <si>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</si>
  <si>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</si>
  <si>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</si>
  <si>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</si>
  <si>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</si>
  <si>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</si>
  <si>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</si>
  <si>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</si>
  <si>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</si>
  <si>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</si>
  <si>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</si>
  <si>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</si>
  <si>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</si>
  <si>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</si>
  <si>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2022NE000018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</si>
  <si>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</si>
  <si>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</si>
  <si>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</si>
  <si>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</si>
  <si>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</si>
  <si>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</si>
  <si>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</si>
  <si>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</si>
  <si>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</si>
  <si>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</si>
  <si>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</si>
  <si>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</si>
  <si>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</si>
  <si>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</si>
  <si>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</si>
  <si>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</si>
  <si>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t>2022NE000027</t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</si>
  <si>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</si>
  <si>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</si>
  <si>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</si>
  <si>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</si>
  <si>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</si>
  <si>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</si>
  <si>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</si>
  <si>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</si>
  <si>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</si>
  <si>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</si>
  <si>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</si>
  <si>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</si>
  <si>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</si>
  <si>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</si>
  <si>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</si>
  <si>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</si>
  <si>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</si>
  <si>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</si>
  <si>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</si>
  <si>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</si>
  <si>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</si>
  <si>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</si>
  <si>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</si>
  <si>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</si>
  <si>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</si>
  <si>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</si>
  <si>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2022NE000033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</si>
  <si>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</si>
  <si>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</si>
  <si>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</si>
  <si>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2022NE000004-2022NE000005-2022NE000006-2022NE000017-2022NE000020-2022NE000022-2022NE000024-2022NE000025-2022NE000032-2022NE000036-NE000039-NE000040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</si>
  <si>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</si>
  <si>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</si>
  <si>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</si>
  <si>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</si>
  <si>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</si>
  <si>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</si>
  <si>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</si>
  <si>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</si>
  <si>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</si>
  <si>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</si>
  <si>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</si>
  <si>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t>2022NE000030</t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</si>
  <si>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</si>
  <si>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</si>
  <si>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</si>
  <si>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</si>
  <si>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</si>
  <si>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</si>
  <si>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t>2022NE000029</t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</si>
  <si>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</si>
  <si>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</si>
  <si>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</si>
  <si>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</si>
  <si>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</si>
  <si>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</si>
  <si>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</si>
  <si>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</si>
  <si>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</si>
  <si>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</si>
  <si>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</si>
  <si>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t>2022NE000053</t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</si>
  <si>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</si>
  <si>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t>2022NE000045 - 2022NE000046</t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</si>
  <si>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</si>
  <si>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</si>
  <si>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</si>
  <si>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</si>
  <si>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</si>
  <si>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</si>
  <si>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</si>
  <si>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</si>
  <si>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</si>
  <si>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t>2022NE000047-2022NE000048</t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</si>
  <si>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</si>
  <si>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</si>
  <si>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t>2022NE000042</t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</si>
  <si>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</si>
  <si>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</si>
  <si>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</si>
  <si>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</si>
  <si>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</si>
  <si>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t>2022NE000034-2022NE000035</t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</si>
  <si>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</si>
  <si>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t>2022NE000031</t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</si>
  <si>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</si>
  <si>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</si>
  <si>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</si>
  <si>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</si>
  <si>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</si>
  <si>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</si>
  <si>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</si>
  <si>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</si>
  <si>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</si>
  <si>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</si>
  <si>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</si>
  <si>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</si>
  <si>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</si>
  <si>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</si>
  <si>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</si>
  <si>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</si>
  <si>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</si>
  <si>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2022NE000049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</si>
  <si>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</si>
  <si>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</si>
  <si>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t>2022NE000050</t>
  </si>
  <si>
    <t>2022NE000054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</si>
  <si>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</si>
  <si>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2022NE000051-2022NE000052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</si>
  <si>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</si>
  <si>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</si>
  <si>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</si>
  <si>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</si>
  <si>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</si>
  <si>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</si>
  <si>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t>2022NE000067</t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</si>
  <si>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</si>
  <si>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</si>
  <si>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</si>
  <si>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t>2022NE000068</t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</si>
  <si>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</si>
  <si>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t>2022NE000057</t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</si>
  <si>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</si>
  <si>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</si>
  <si>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</si>
  <si>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</si>
  <si>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2022NE000056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</si>
  <si>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</si>
  <si>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</si>
  <si>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</si>
  <si>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</si>
  <si>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t>2022NE000008-2022NE000055</t>
  </si>
  <si>
    <t>2022NE000018-2022NE000058</t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</si>
  <si>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</si>
  <si>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t>2022NE000003-2022NE000060-2022NE000062-2022NE000063-2022NE000064-2022NE000065</t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</si>
  <si>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</si>
  <si>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2022NE000004-2022NE000005-2022NE000006-2022NE000017-2022NE000020-2022NE000022-2022NE000024-2022NE000025-2022NE000032-2022NE000036-2022NE000039-2022NE000040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</si>
  <si>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</si>
  <si>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</si>
  <si>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</si>
  <si>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</si>
  <si>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</si>
  <si>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</si>
  <si>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t>2022NE000026/2022NE000031</t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</si>
  <si>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</si>
  <si>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</si>
  <si>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t>2022NE000061</t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</si>
  <si>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</si>
  <si>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</si>
  <si>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t>2022NE000066</t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</si>
  <si>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</si>
  <si>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</si>
  <si>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</si>
  <si>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</si>
  <si>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</si>
  <si>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</si>
  <si>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</si>
  <si>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</si>
  <si>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2022NE000069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</si>
  <si>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</si>
  <si>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</si>
  <si>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</si>
  <si>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2022NE000059</t>
  </si>
  <si>
    <t>2021NE000111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</si>
  <si>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</si>
  <si>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</si>
  <si>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</si>
  <si>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</si>
  <si>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</si>
  <si>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</si>
  <si>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</si>
  <si>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</si>
  <si>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</si>
  <si>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</si>
  <si>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</si>
  <si>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</si>
  <si>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t>2022NE000075</t>
  </si>
  <si>
    <r>
      <rPr>
        <sz val="12"/>
        <color theme="1"/>
        <rFont val="Calibri"/>
      </rPr>
      <t xml:space="preserve">Interpréte de libras - </t>
    </r>
    <r>
      <rPr>
        <b/>
        <sz val="12"/>
        <color theme="1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</si>
  <si>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</si>
  <si>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t>2022NE000041 - 2022NE000043 - 2022NE000071</t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</si>
  <si>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</si>
  <si>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</si>
  <si>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</si>
  <si>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</si>
  <si>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</si>
  <si>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</si>
  <si>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</si>
  <si>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2022NE000017-2022NE000020-2022NE000022-2022NE000024-2022NE000025-2022NE000032-2022NE000036-2022NE000039-2022NE000040-2022NE000044-2022NE000077</t>
  </si>
  <si>
    <t>2022NE000004-2022NE000005-2022NE000006-2022NE000070-2022NE000072-2022NE000073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</si>
  <si>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</si>
  <si>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</si>
  <si>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</si>
  <si>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</si>
  <si>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</si>
  <si>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</si>
  <si>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</si>
  <si>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</si>
  <si>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</si>
  <si>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</si>
  <si>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</si>
  <si>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2022NE000027-2022NE000028-2022NE000074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</si>
  <si>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</si>
  <si>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</si>
  <si>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</si>
  <si>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</si>
  <si>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</si>
  <si>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</si>
  <si>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</si>
  <si>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</si>
  <si>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</si>
  <si>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</si>
  <si>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</si>
  <si>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2022NE000076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</si>
  <si>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</si>
  <si>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2022NE000007-2022NE000019-NE000037-NE000078-NE000081</t>
  </si>
  <si>
    <t>2022NE000021-2022NE000083</t>
  </si>
  <si>
    <t>2022NE000041-2022NE000043-2022NE000071</t>
  </si>
  <si>
    <t>2022NE000114</t>
  </si>
  <si>
    <t>2022NE000056-2022NE000082-2022NE000089</t>
  </si>
  <si>
    <t>2022NE000042-2022NE000084-</t>
  </si>
  <si>
    <t>2022NE000008-2022NE000055-2022NE000080</t>
  </si>
  <si>
    <t>2022NE000003-2022NE000060-2022NE000062-2022NE000063-2022NE000064-2022NE000065-2022NE000095-2022NE0000115</t>
  </si>
  <si>
    <t>2022NE000017-2022NE000020-2022NE000022-2022NE000024-2022NE000025-2022NE000032-2022NE000036-2022NE000039-2022NE000040-2022NE000044-2022NE000077-2022NE000086-2022NE000111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</si>
  <si>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</si>
  <si>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</si>
  <si>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t>2022NE000026-2022NE000094</t>
  </si>
  <si>
    <t>2022NE000085-2022NE000096-2022NE000097-2022NE000098-2022NE000099</t>
  </si>
  <si>
    <t>2022NE000113</t>
  </si>
  <si>
    <t>2022NE000027-2022NE000028-2022NE000074-2022NE000087-2022NE000088-2022NE000090-2022NE000091-2022NE000092-2022NE000093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</si>
  <si>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</si>
  <si>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</si>
  <si>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</si>
  <si>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</si>
  <si>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t>2022NE000100-2022NE000106</t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</si>
  <si>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</si>
  <si>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t>2022NE000101-2022NE000102-2022NE000103-2022NE000105</t>
  </si>
  <si>
    <t>2022NE000054-2022NE000104</t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</si>
  <si>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</si>
  <si>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2022NE000107-2022NE000109-2022NE000110-NE000112</t>
  </si>
  <si>
    <t>*Denize enviou a maior 10.000,00 e falta enviar de capital R$ 4.792,12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</si>
  <si>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</si>
  <si>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-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</si>
  <si>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</si>
  <si>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</si>
  <si>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</si>
  <si>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</si>
  <si>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- Saldo </t>
    </r>
    <r>
      <rPr>
        <b/>
        <sz val="12"/>
        <color theme="1"/>
        <rFont val="Calibri"/>
      </rPr>
      <t>LIMPADORA</t>
    </r>
    <r>
      <rPr>
        <sz val="12"/>
        <color theme="1"/>
        <rFont val="Calibri"/>
      </rPr>
      <t xml:space="preserve"> e novo </t>
    </r>
    <r>
      <rPr>
        <b/>
        <sz val="12"/>
        <color theme="1"/>
        <rFont val="Calibri"/>
      </rPr>
      <t>SULCLEAN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</si>
  <si>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</si>
  <si>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</si>
  <si>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</si>
  <si>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</si>
  <si>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theme="1"/>
        <rFont val="Calibri"/>
      </rPr>
      <t xml:space="preserve">Auxiliar Administrativo terceirizado - </t>
    </r>
    <r>
      <rPr>
        <b/>
        <sz val="12"/>
        <color theme="1"/>
        <rFont val="Calibri"/>
      </rPr>
      <t>SAMMA SERVIÇOS</t>
    </r>
  </si>
  <si>
    <r>
      <rPr>
        <sz val="12"/>
        <color rgb="FF000000"/>
        <rFont val="Calibri"/>
      </rPr>
      <t xml:space="preserve">Interpréte de libras - </t>
    </r>
    <r>
      <rPr>
        <b/>
        <sz val="12"/>
        <color rgb="FF000000"/>
        <rFont val="Calibri"/>
      </rPr>
      <t>SURICATE SERVIÇOS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</si>
  <si>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</si>
  <si>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</si>
  <si>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</si>
  <si>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</si>
  <si>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</si>
  <si>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</si>
  <si>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</si>
  <si>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</si>
  <si>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t>2022NE000044 - 2022NE000077</t>
  </si>
  <si>
    <t>2022NE000004-2022NE000005-2022NE000006-2022NE000017-2022NE000020-2022NE000022-2022NE000024-2022NE000025-2022NE000032-2022NE000036-2022NE000039-2022NE000040-2022NE000070-2022NE000072-2022NE000073</t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</si>
  <si>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</si>
  <si>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</si>
  <si>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</si>
  <si>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</si>
  <si>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t>reversão de orçamento</t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</si>
  <si>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</si>
  <si>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</si>
  <si>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</si>
  <si>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</si>
  <si>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</si>
  <si>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</si>
  <si>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</si>
  <si>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2022NE000027 - 2022NE000028 - 2022NE000074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</si>
  <si>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</si>
  <si>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</si>
  <si>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</si>
  <si>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>Ações inclusivas - (cuidadores,...)-</t>
    </r>
    <r>
      <rPr>
        <b/>
        <sz val="12"/>
        <color theme="1"/>
        <rFont val="Calibri"/>
      </rPr>
      <t>FRAC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</si>
  <si>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</si>
  <si>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</si>
  <si>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</si>
  <si>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</si>
  <si>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</si>
  <si>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</si>
  <si>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</si>
  <si>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MATRIZ ORÇAMENTÁRIA COM BLOQUEIO 14,5%</t>
  </si>
  <si>
    <t>saldo de rap vai dar para qtos meses?</t>
  </si>
  <si>
    <t>11 meses (abril a fev/23)</t>
  </si>
  <si>
    <t>orçamento 2022</t>
  </si>
  <si>
    <t>sobra do orçaemnto 2022</t>
  </si>
  <si>
    <r>
      <rPr>
        <sz val="12"/>
        <color rgb="FF000000"/>
        <rFont val="Calibri"/>
      </rPr>
      <t>Confecções, instalações e locações de bens imóveis -</t>
    </r>
    <r>
      <rPr>
        <b/>
        <sz val="12"/>
        <color rgb="FF000000"/>
        <rFont val="Calibri"/>
      </rPr>
      <t xml:space="preserve"> CIRANGELO</t>
    </r>
  </si>
  <si>
    <t>ver</t>
  </si>
  <si>
    <r>
      <rPr>
        <sz val="12"/>
        <color theme="1"/>
        <rFont val="Calibri"/>
      </rPr>
      <t>Energia elétrica -</t>
    </r>
    <r>
      <rPr>
        <b/>
        <sz val="12"/>
        <color theme="1"/>
        <rFont val="Calibri"/>
      </rPr>
      <t xml:space="preserve"> RGE </t>
    </r>
  </si>
  <si>
    <r>
      <rPr>
        <sz val="12"/>
        <color theme="1"/>
        <rFont val="Calibri"/>
      </rPr>
      <t xml:space="preserve">Serviços postais, Correios - </t>
    </r>
    <r>
      <rPr>
        <b/>
        <sz val="12"/>
        <color theme="1"/>
        <rFont val="Calibri"/>
      </rPr>
      <t>CORREIO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</si>
  <si>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PORTALSUL SEGURANÇA</t>
    </r>
  </si>
  <si>
    <r>
      <rPr>
        <sz val="12"/>
        <color theme="1"/>
        <rFont val="Calibri"/>
      </rPr>
      <t>Vigilância Predial (4 postos de trabalho)-</t>
    </r>
    <r>
      <rPr>
        <b/>
        <sz val="12"/>
        <color theme="1"/>
        <rFont val="Calibri"/>
      </rPr>
      <t>MW SEGURANÇA</t>
    </r>
  </si>
  <si>
    <r>
      <rPr>
        <sz val="12"/>
        <color theme="1"/>
        <rFont val="Calibri"/>
      </rPr>
      <t xml:space="preserve">Limpeza (10 postos de trabalhos) 6 meses 5 postos - </t>
    </r>
    <r>
      <rPr>
        <b/>
        <sz val="12"/>
        <color theme="1"/>
        <rFont val="Calibri"/>
      </rPr>
      <t>LIMPADORA (até dez/21)</t>
    </r>
  </si>
  <si>
    <r>
      <rPr>
        <sz val="12"/>
        <color rgb="FF000000"/>
        <rFont val="Calibri"/>
      </rPr>
      <t>Jardinagem (1 posto de trabalho)-</t>
    </r>
    <r>
      <rPr>
        <b/>
        <sz val="12"/>
        <color rgb="FF000000"/>
        <rFont val="Calibri"/>
      </rPr>
      <t>LIMPADORA</t>
    </r>
  </si>
  <si>
    <r>
      <rPr>
        <sz val="12"/>
        <color rgb="FF000000"/>
        <rFont val="Calibri"/>
      </rPr>
      <t xml:space="preserve">Coleta de Resíduos - </t>
    </r>
    <r>
      <rPr>
        <b/>
        <sz val="12"/>
        <color rgb="FF000000"/>
        <rFont val="Calibri"/>
      </rPr>
      <t>ABORGAMA</t>
    </r>
  </si>
  <si>
    <r>
      <rPr>
        <sz val="12"/>
        <color theme="1"/>
        <rFont val="Calibri"/>
      </rPr>
      <t>Manutenção predial Infra (1 posto de trabalho)-</t>
    </r>
    <r>
      <rPr>
        <b/>
        <sz val="12"/>
        <color theme="1"/>
        <rFont val="Calibri"/>
      </rPr>
      <t>DIONÉIA-limpadora</t>
    </r>
  </si>
  <si>
    <r>
      <rPr>
        <sz val="12"/>
        <color theme="1"/>
        <rFont val="Calibri"/>
      </rPr>
      <t>Manutenção Agropecuária (1 posto de trabalho) -</t>
    </r>
    <r>
      <rPr>
        <b/>
        <sz val="12"/>
        <color theme="1"/>
        <rFont val="Calibri"/>
      </rPr>
      <t xml:space="preserve"> FRAC</t>
    </r>
  </si>
  <si>
    <r>
      <rPr>
        <sz val="12"/>
        <color rgb="FF000000"/>
        <rFont val="Calibri"/>
      </rPr>
      <t xml:space="preserve">Manutenção extintores e mangueiras - </t>
    </r>
    <r>
      <rPr>
        <b/>
        <sz val="12"/>
        <color rgb="FF000000"/>
        <rFont val="Calibri"/>
      </rPr>
      <t>ELIANE RESTA</t>
    </r>
  </si>
  <si>
    <r>
      <rPr>
        <sz val="12"/>
        <color theme="1"/>
        <rFont val="Calibri"/>
      </rPr>
      <t xml:space="preserve">Manutenção elétrica - </t>
    </r>
    <r>
      <rPr>
        <b/>
        <sz val="12"/>
        <color theme="1"/>
        <rFont val="Calibri"/>
      </rPr>
      <t>ALFALOG</t>
    </r>
  </si>
  <si>
    <t>VER</t>
  </si>
  <si>
    <r>
      <rPr>
        <sz val="12"/>
        <color rgb="FF000000"/>
        <rFont val="Calibri"/>
      </rPr>
      <t>Manutenção de equipamentos de laboratório -</t>
    </r>
    <r>
      <rPr>
        <b/>
        <sz val="12"/>
        <color rgb="FF000000"/>
        <rFont val="Calibri"/>
      </rPr>
      <t xml:space="preserve"> MEGA</t>
    </r>
  </si>
  <si>
    <r>
      <rPr>
        <sz val="11"/>
        <color rgb="FF000000"/>
        <rFont val="Calibri"/>
      </rPr>
      <t xml:space="preserve">Manutenção Corretiva e Preventiva Equip.de Refrigeração - </t>
    </r>
    <r>
      <rPr>
        <b/>
        <sz val="11"/>
        <color rgb="FF333333"/>
        <rFont val="Calibri"/>
      </rPr>
      <t>CASQUEIRO</t>
    </r>
  </si>
  <si>
    <r>
      <rPr>
        <sz val="12"/>
        <color rgb="FF000000"/>
        <rFont val="Calibri"/>
      </rPr>
      <t>Manutenção de maquinários agrícolas</t>
    </r>
    <r>
      <rPr>
        <b/>
        <sz val="12"/>
        <color rgb="FF000000"/>
        <rFont val="Calibri"/>
      </rPr>
      <t>- HM</t>
    </r>
  </si>
  <si>
    <r>
      <rPr>
        <sz val="12"/>
        <color rgb="FF000000"/>
        <rFont val="Calibri"/>
      </rPr>
      <t>Publicidade legal em jornais -</t>
    </r>
    <r>
      <rPr>
        <b/>
        <sz val="12"/>
        <color rgb="FF000000"/>
        <rFont val="Calibri"/>
      </rPr>
      <t>GIBBOR</t>
    </r>
  </si>
  <si>
    <r>
      <rPr>
        <sz val="12"/>
        <color rgb="FF000000"/>
        <rFont val="Calibri"/>
      </rPr>
      <t xml:space="preserve">Seguro veicular e IPVA - </t>
    </r>
    <r>
      <rPr>
        <b/>
        <sz val="12"/>
        <color rgb="FF000000"/>
        <rFont val="Calibri"/>
      </rPr>
      <t>Seguradora</t>
    </r>
  </si>
  <si>
    <r>
      <rPr>
        <sz val="12"/>
        <color rgb="FF000000"/>
        <rFont val="Calibri"/>
      </rPr>
      <t xml:space="preserve">Material de Consumo conservação </t>
    </r>
    <r>
      <rPr>
        <b/>
        <sz val="12"/>
        <color rgb="FF000000"/>
        <rFont val="Calibri"/>
      </rPr>
      <t>INFRAESTRUTURA</t>
    </r>
    <r>
      <rPr>
        <sz val="12"/>
        <color rgb="FF000000"/>
        <rFont val="Calibri"/>
      </rPr>
      <t xml:space="preserve"> </t>
    </r>
  </si>
  <si>
    <r>
      <rPr>
        <sz val="11"/>
        <color theme="1"/>
        <rFont val="Calibri"/>
      </rPr>
      <t>2021NE000123-</t>
    </r>
    <r>
      <rPr>
        <sz val="11"/>
        <color theme="1"/>
        <rFont val="Calibri"/>
      </rPr>
      <t>2020NE800153-2020NE800155-2020NE800170</t>
    </r>
  </si>
  <si>
    <r>
      <rPr>
        <sz val="12"/>
        <color theme="1"/>
        <rFont val="Calibri"/>
      </rPr>
      <t xml:space="preserve">Ampliação do Prédio Administrativo - Prédio D - </t>
    </r>
    <r>
      <rPr>
        <b/>
        <sz val="12"/>
        <color theme="1"/>
        <rFont val="Calibri"/>
      </rPr>
      <t>DRZ</t>
    </r>
  </si>
  <si>
    <r>
      <rPr>
        <sz val="11"/>
        <color theme="1"/>
        <rFont val="Calibri"/>
      </rPr>
      <t>2021NE000048-</t>
    </r>
    <r>
      <rPr>
        <sz val="11"/>
        <color theme="1"/>
        <rFont val="Calibri"/>
      </rPr>
      <t>2020NE800193</t>
    </r>
  </si>
  <si>
    <r>
      <rPr>
        <sz val="12"/>
        <color rgb="FF000000"/>
        <rFont val="Calibri"/>
      </rPr>
      <t xml:space="preserve">Reforma do refeitório e rede de gás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</si>
  <si>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 xml:space="preserve">Aditivo obra do refeitório - </t>
    </r>
    <r>
      <rPr>
        <b/>
        <sz val="12"/>
        <color rgb="FF000000"/>
        <rFont val="Calibri"/>
      </rPr>
      <t>DRZ</t>
    </r>
  </si>
  <si>
    <r>
      <rPr>
        <sz val="12"/>
        <color rgb="FF000000"/>
        <rFont val="Calibri"/>
      </rPr>
      <t>Pintura dos Prédios do Campus-</t>
    </r>
    <r>
      <rPr>
        <b/>
        <sz val="12"/>
        <color rgb="FF000000"/>
        <rFont val="Calibri"/>
      </rPr>
      <t xml:space="preserve"> EDERSON TEIXEIRA</t>
    </r>
  </si>
  <si>
    <r>
      <rPr>
        <b/>
        <sz val="12"/>
        <color rgb="FF000000"/>
        <rFont val="Calibri"/>
      </rPr>
      <t xml:space="preserve">Execução dos Projetos de PPCI - </t>
    </r>
    <r>
      <rPr>
        <b/>
        <sz val="12"/>
        <color rgb="FF7030A0"/>
        <rFont val="Calibri"/>
      </rPr>
      <t>OBRA Eletrotec</t>
    </r>
  </si>
  <si>
    <r>
      <rPr>
        <sz val="12"/>
        <color rgb="FF000000"/>
        <rFont val="Calibri"/>
      </rPr>
      <t>Aquisição de móveis -</t>
    </r>
    <r>
      <rPr>
        <b/>
        <sz val="12"/>
        <color rgb="FF7030A0"/>
        <rFont val="Calibri"/>
      </rPr>
      <t xml:space="preserve"> Emenda da Bancada Gaúcha</t>
    </r>
  </si>
  <si>
    <r>
      <rPr>
        <sz val="12"/>
        <color rgb="FF000000"/>
        <rFont val="Calibri"/>
      </rPr>
      <t>Telefonia e Internet - Telefonia Fixa -</t>
    </r>
    <r>
      <rPr>
        <b/>
        <sz val="12"/>
        <color rgb="FF000000"/>
        <rFont val="Calibri"/>
      </rPr>
      <t>OI</t>
    </r>
  </si>
  <si>
    <r>
      <rPr>
        <sz val="12"/>
        <color rgb="FF000000"/>
        <rFont val="Calibri"/>
      </rPr>
      <t xml:space="preserve">Telefonia e Internet - Link Internet </t>
    </r>
    <r>
      <rPr>
        <b/>
        <sz val="12"/>
        <color rgb="FF000000"/>
        <rFont val="Calibri"/>
      </rPr>
      <t>Tche Turbo/Mendex</t>
    </r>
  </si>
  <si>
    <r>
      <rPr>
        <sz val="12"/>
        <color rgb="FF000000"/>
        <rFont val="Calibri"/>
      </rPr>
      <t xml:space="preserve">Telefonia e Internet - Manutenção central telefônica- </t>
    </r>
    <r>
      <rPr>
        <b/>
        <sz val="12"/>
        <color rgb="FF000000"/>
        <rFont val="Calibri"/>
      </rPr>
      <t>FG</t>
    </r>
  </si>
  <si>
    <t>2022NE000028/2022NE000038</t>
  </si>
  <si>
    <r>
      <rPr>
        <sz val="12"/>
        <color rgb="FF0000FF"/>
        <rFont val="Calibri"/>
      </rPr>
      <t xml:space="preserve">Equipamentos e 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</si>
  <si>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rgb="FF0000FF"/>
        <rFont val="Calibri"/>
      </rPr>
      <t xml:space="preserve">Material permanente </t>
    </r>
    <r>
      <rPr>
        <b/>
        <sz val="12"/>
        <color rgb="FF0000FF"/>
        <rFont val="Calibri"/>
      </rPr>
      <t>(Despesa de capital)</t>
    </r>
  </si>
  <si>
    <r>
      <rPr>
        <sz val="12"/>
        <color theme="1"/>
        <rFont val="Calibri"/>
      </rPr>
      <t>Manutenção Equipamentos Laboratórios</t>
    </r>
    <r>
      <rPr>
        <b/>
        <sz val="12"/>
        <color theme="1"/>
        <rFont val="Calibri"/>
      </rPr>
      <t xml:space="preserve"> (mega)</t>
    </r>
  </si>
  <si>
    <r>
      <rPr>
        <sz val="12"/>
        <color theme="1"/>
        <rFont val="Calibri"/>
      </rPr>
      <t xml:space="preserve">Fretamento de ônibus - </t>
    </r>
    <r>
      <rPr>
        <b/>
        <sz val="12"/>
        <color theme="1"/>
        <rFont val="Calibri"/>
      </rPr>
      <t>ACM</t>
    </r>
  </si>
  <si>
    <r>
      <rPr>
        <sz val="12"/>
        <color rgb="FF000000"/>
        <rFont val="Calibri"/>
      </rPr>
      <t xml:space="preserve">Material de Tic Permanente - </t>
    </r>
    <r>
      <rPr>
        <b/>
        <sz val="12"/>
        <color rgb="FF000000"/>
        <rFont val="Calibri"/>
      </rPr>
      <t>DELL COMPUTADORES</t>
    </r>
  </si>
  <si>
    <r>
      <rPr>
        <sz val="12"/>
        <color theme="1"/>
        <rFont val="Calibri"/>
      </rPr>
      <t>Tributos (</t>
    </r>
    <r>
      <rPr>
        <b/>
        <sz val="12"/>
        <color theme="1"/>
        <rFont val="Calibri"/>
      </rPr>
      <t>Patronal</t>
    </r>
    <r>
      <rPr>
        <sz val="12"/>
        <color rgb="FF000000"/>
        <rFont val="Calibri"/>
      </rPr>
      <t>)</t>
    </r>
  </si>
  <si>
    <r>
      <rPr>
        <b/>
        <sz val="12"/>
        <color rgb="FF000000"/>
        <rFont val="Calibri"/>
      </rPr>
      <t>Curso/Concurso</t>
    </r>
    <r>
      <rPr>
        <sz val="12"/>
        <color rgb="FF000000"/>
        <rFont val="Calibri"/>
      </rPr>
      <t xml:space="preserve"> </t>
    </r>
  </si>
  <si>
    <r>
      <rPr>
        <sz val="12"/>
        <color rgb="FF000000"/>
        <rFont val="Calibri"/>
      </rPr>
      <t>Material Saúde Consumo (</t>
    </r>
    <r>
      <rPr>
        <b/>
        <sz val="12"/>
        <color rgb="FF000000"/>
        <rFont val="Calibri"/>
      </rPr>
      <t>COVID 19</t>
    </r>
    <r>
      <rPr>
        <sz val="12"/>
        <color rgb="FF000000"/>
        <rFont val="Calibri"/>
      </rPr>
      <t>)</t>
    </r>
  </si>
  <si>
    <r>
      <rPr>
        <sz val="11"/>
        <color theme="1"/>
        <rFont val="Calibri"/>
      </rPr>
      <t>Obra de Ampliação CAE -</t>
    </r>
    <r>
      <rPr>
        <b/>
        <sz val="11"/>
        <color rgb="FF7030A0"/>
        <rFont val="Calibri"/>
      </rPr>
      <t xml:space="preserve"> DRZ</t>
    </r>
  </si>
  <si>
    <r>
      <rPr>
        <sz val="12"/>
        <color theme="1"/>
        <rFont val="Calibri"/>
      </rPr>
      <t xml:space="preserve">Alimentação Escolar </t>
    </r>
    <r>
      <rPr>
        <sz val="12"/>
        <color rgb="FF7030A0"/>
        <rFont val="Calibri"/>
      </rPr>
      <t>(FNDE)</t>
    </r>
  </si>
  <si>
    <t>REAL</t>
  </si>
  <si>
    <t xml:space="preserve"> ORÇAMENTO POR FONTE DE RECURSO</t>
  </si>
  <si>
    <t>DISTRIBUIÇÃO DAS RESERVAS ORÇAMENTÁRIAS</t>
  </si>
  <si>
    <t>ORÇAMENTO DA ASSISTÊNCIA ESTUDANTIL</t>
  </si>
  <si>
    <t>REFORMA E AMPLIAÇÃO PRÉDIO D - ADMINISTRATIVO</t>
  </si>
  <si>
    <t xml:space="preserve">REFORMA DO REFEITÓRIO </t>
  </si>
  <si>
    <t>DESPESA EXECUTADA POR DIRETORIA-DG</t>
  </si>
  <si>
    <t>DESPESA EXECUTADA POR DIRETORIA-DE</t>
  </si>
  <si>
    <t>RECEBIDO</t>
  </si>
  <si>
    <t>EMPENHADO</t>
  </si>
  <si>
    <t>DEVOLVIDO</t>
  </si>
  <si>
    <t>RECURSO LIVRE</t>
  </si>
  <si>
    <t xml:space="preserve">VALOR EMPENHADO </t>
  </si>
  <si>
    <t>PLANEJADO</t>
  </si>
  <si>
    <t>%</t>
  </si>
  <si>
    <t>BOLSAS</t>
  </si>
  <si>
    <t>VALOR EXECUTADO/PAGO</t>
  </si>
  <si>
    <t>ALIMENTAÇÃO</t>
  </si>
  <si>
    <t>SALDO À EXECUTAR</t>
  </si>
  <si>
    <t>VALOR DO REEQUILÍBRIO</t>
  </si>
  <si>
    <t>VALOR DO ADITIVO</t>
  </si>
  <si>
    <t>*BOLSAS EMPENHADAS ATÉ DEZ/2021 - R$ 142.873,55</t>
  </si>
  <si>
    <t>AUMENTO NO CONTRATO - FALTA LIBERAÇÃO TED SETEC</t>
  </si>
  <si>
    <t>*VALOR FNDE SERÁ UTILIZADA PARA DISTRIBUIÇÃO DE KITS DE ALIMENTAÇÃO.</t>
  </si>
  <si>
    <t>DESPESA EMPENHADA POR DIRETORIA</t>
  </si>
  <si>
    <t>DESPESA EXECUTADA POR DIRETORIA</t>
  </si>
  <si>
    <t>ORÇAMENTO PLANEJADO X ORÇAMENTO LIBERADO (POR MÊS)</t>
  </si>
  <si>
    <t>DESPESA EXECUTADA POR DIRETORIA-DAD</t>
  </si>
  <si>
    <t>DESPESA EXECUTADA POR DIRETORIA-DPEP</t>
  </si>
  <si>
    <t>MÊS DE REFERÊNCIA</t>
  </si>
  <si>
    <t>LIBERADO</t>
  </si>
  <si>
    <t>DISTRIBUIÇÃO DA MATRIZ ORÇAMENTÁRIA POR DIRETORIA</t>
  </si>
  <si>
    <t>DESPESAS EMPENHADAS, LIQUIDADAS E PAGAS       X ORÇAMENTO LIBERADO</t>
  </si>
  <si>
    <t>EXECUÇÃO DOS RESTOS A PAGAR - RAPs</t>
  </si>
  <si>
    <t>RAPs - INSCRITOS</t>
  </si>
  <si>
    <t>DESPESA EXECUTADA POR DIRETORIA-DPDI</t>
  </si>
  <si>
    <t>MATRIZ ORÇAMENTÁRIA 2021</t>
  </si>
  <si>
    <t>RAPs - PAGOS</t>
  </si>
  <si>
    <t>ORÇAMENTO INICIAL</t>
  </si>
  <si>
    <t>RAPs - SALDO</t>
  </si>
  <si>
    <t>CORTE NO ORÇAMENTO DE 4,8%(MEC)</t>
  </si>
  <si>
    <t>ORÇAMENTO DEVOLVIDO</t>
  </si>
  <si>
    <t>ALIMENTAÇÃO ESCOLAR  PNAE - FNDE</t>
  </si>
  <si>
    <t>OBRA PRÉDIO D - ADMINISTRATIVO</t>
  </si>
  <si>
    <t>EMPENHOS AGRICULTURA FAMILIAR</t>
  </si>
  <si>
    <t>RECURSO</t>
  </si>
  <si>
    <t>EMPENHO NO CONTRATO DE ALIMENTAÇÃO - RAP</t>
  </si>
  <si>
    <t>LICITAÇÃO-CONTRATO 07/2020</t>
  </si>
  <si>
    <t>RAP 2020</t>
  </si>
  <si>
    <t>REEQUELÍBRIO - 2021</t>
  </si>
  <si>
    <t>TED SETEC 2021</t>
  </si>
  <si>
    <t>ADITIVO FINANCEIRO - 2021</t>
  </si>
  <si>
    <t>* 226  ESTUDANTES BENEFICIADOS COM O KIT DE ALIMENTOS</t>
  </si>
  <si>
    <t>REVERSÃO PARA INVESTIMENTO</t>
  </si>
  <si>
    <t>REVERSÃO PARA INVESTIMENTO - OBRA</t>
  </si>
  <si>
    <t>OBRA REFEITÓRIO</t>
  </si>
  <si>
    <t>LICITAÇÃO-CONTRATO 10/2020</t>
  </si>
  <si>
    <t xml:space="preserve">REITORIA </t>
  </si>
  <si>
    <t>OBRA AMPLIAÇÃO PRÉDIO DA CAE</t>
  </si>
  <si>
    <t>LICITAÇÃO-CONTRATO 19/2021</t>
  </si>
  <si>
    <t>OBRA PPCI</t>
  </si>
  <si>
    <t>LICITAÇÃO-CONTRATO 16/2021</t>
  </si>
  <si>
    <t>TED SIMEC</t>
  </si>
  <si>
    <t>RESTOS A PAGAR</t>
  </si>
  <si>
    <t>Investimento-obras e equipamentos- REVERSÂO</t>
  </si>
  <si>
    <t>Energia Elétrica</t>
  </si>
  <si>
    <t>Material Expediente -Almoxarifado Virtual</t>
  </si>
  <si>
    <t>Frotas/Combustível</t>
  </si>
  <si>
    <t>EBC - Publicidade</t>
  </si>
  <si>
    <t>Infraestrutura - Pintura</t>
  </si>
  <si>
    <t>Contratos Serviços Terceirizados</t>
  </si>
  <si>
    <t>Alimentação Estudantes</t>
  </si>
  <si>
    <t>Bolsas Alunos-Ensino/Pesquisa/Extensão</t>
  </si>
  <si>
    <t>Transporte/Visitas Técnicas</t>
  </si>
  <si>
    <t>Material de Consumo Produção</t>
  </si>
  <si>
    <t>FONTE 8100000000</t>
  </si>
  <si>
    <t>Demais...(manutenção, internet, telefone, capacitação...)</t>
  </si>
  <si>
    <t>FONTE 0100000000</t>
  </si>
  <si>
    <t>FONTE</t>
  </si>
  <si>
    <t>OBRA PPCI - FONTE 8186261010</t>
  </si>
  <si>
    <t>OBRA CAE - FONTE 8100000000 -REVERSÃO FONTE 0100</t>
  </si>
  <si>
    <t>OBRA REFEIRÓRIO - FONTE 8100000000 -REVERSÃO FONTE 0100</t>
  </si>
  <si>
    <t>EMENDA DE BANCADA -EQUIPAMENTOS - FONTE 8188</t>
  </si>
  <si>
    <t>EMENDA BOHN GASS - FONTE 8188</t>
  </si>
  <si>
    <t>PNAE-SALDO EM ALIMENTAÇÃO - FONTE 0113150072</t>
  </si>
  <si>
    <t>SALDO FONTE 0100000000 - BOLSAS PARA ALIMENTAÇÃO</t>
  </si>
  <si>
    <t>ORÇAMENTO RECEBIDO POR FONTE DE RECURSO</t>
  </si>
  <si>
    <t>PLANO ANUAL</t>
  </si>
  <si>
    <t>SALDO</t>
  </si>
  <si>
    <t>RECURSO EXTRA ORÇAM.</t>
  </si>
  <si>
    <t>MATRIZ INVESTIMENTO</t>
  </si>
  <si>
    <t>slide sobre o valor recebido de investimento</t>
  </si>
  <si>
    <t>TOTAL DE EMPENHOS 2022</t>
  </si>
  <si>
    <t>DIÁRIAS</t>
  </si>
  <si>
    <t>AUXÍLIOS ESTUD.</t>
  </si>
  <si>
    <t>F0100</t>
  </si>
  <si>
    <t>CONTRATAÇÃO INT. LIBRAS</t>
  </si>
  <si>
    <t>F08100</t>
  </si>
  <si>
    <t>CONTRATAÇÃO AUX. ADM.</t>
  </si>
  <si>
    <t>BOLSA PÓS</t>
  </si>
  <si>
    <t>F8188</t>
  </si>
  <si>
    <t>EMENDA DE BANCADA</t>
  </si>
  <si>
    <t>CONSUMO/MANUTENÇÃO</t>
  </si>
  <si>
    <t>F8100</t>
  </si>
  <si>
    <t>ADITIVO OBRA PPCI</t>
  </si>
  <si>
    <t>CONTRATOS</t>
  </si>
  <si>
    <t>ADITIVO OBRA CAE - CONCLUSÃO</t>
  </si>
  <si>
    <t>IMPOSTOS E TAXAS</t>
  </si>
  <si>
    <t>F8100915082</t>
  </si>
  <si>
    <t>MANUTENÇÃO E REPAROS INFRA</t>
  </si>
  <si>
    <t>OBRAS</t>
  </si>
  <si>
    <t>AQUISIÇÃO DE EQUIPAMENTOS TI</t>
  </si>
  <si>
    <t>EQUIPAMENTOS</t>
  </si>
  <si>
    <t>RAPs</t>
  </si>
  <si>
    <t>INSCRITOS</t>
  </si>
  <si>
    <t>PAGOS</t>
  </si>
  <si>
    <t xml:space="preserve">ANULADOS </t>
  </si>
  <si>
    <t xml:space="preserve">Obra de Ampliação CAE </t>
  </si>
  <si>
    <t xml:space="preserve">Material de Tic Permanente </t>
  </si>
  <si>
    <t xml:space="preserve">Fretamento de ônibus </t>
  </si>
  <si>
    <t>Manutenção Equipamentos Laboratórios</t>
  </si>
  <si>
    <t xml:space="preserve">Telefonia e Internet - Link Internet </t>
  </si>
  <si>
    <t>Manutenção Corretiva e Preventiva Equip.de Refrigeração</t>
  </si>
  <si>
    <t xml:space="preserve">Energia elétrica </t>
  </si>
  <si>
    <t xml:space="preserve">Serviços postais, Correios </t>
  </si>
  <si>
    <t xml:space="preserve">Limpeza </t>
  </si>
  <si>
    <t xml:space="preserve">Coleta de Resíduos </t>
  </si>
  <si>
    <t xml:space="preserve">Manutenção Agropecuária (1 posto de trabalho) </t>
  </si>
  <si>
    <t xml:space="preserve">Auxiliar Administrativo terceirizado </t>
  </si>
  <si>
    <t xml:space="preserve">Interpréte de libras </t>
  </si>
  <si>
    <t xml:space="preserve">Manutenção extintores e mangueiras </t>
  </si>
  <si>
    <t xml:space="preserve">Manutenção elétrica </t>
  </si>
  <si>
    <t xml:space="preserve">Manutenção de equipamentos de laboratório </t>
  </si>
  <si>
    <t xml:space="preserve">Publicidade legal em jornais </t>
  </si>
  <si>
    <t xml:space="preserve">Material de Consumo conservação </t>
  </si>
  <si>
    <t xml:space="preserve">Ampliação do Prédio Administrativo - Prédio D </t>
  </si>
  <si>
    <t xml:space="preserve">Reforma do refeitório e rede de gás </t>
  </si>
  <si>
    <t xml:space="preserve">Aditivo obra do refeitório </t>
  </si>
  <si>
    <t>Pintura dos Prédios do Campus</t>
  </si>
  <si>
    <t xml:space="preserve">Execução dos Projetos de PPCI </t>
  </si>
  <si>
    <t>Aquisição de móveis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</si>
</sst>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[$R$ -416]#,##0.00"/>
    <numFmt numFmtId="165" formatCode="_-&quot;R$&quot;\ * #,##0.00_-;\-&quot;R$&quot;\ * #,##0.00_-;_-&quot;R$&quot;\ * &quot;-&quot;??_-;_-@"/>
    <numFmt numFmtId="166" formatCode="_-* #,##0.00_-;\-* #,##0.00_-;_-* &quot;-&quot;??_-;_-@"/>
    <numFmt numFmtId="167" formatCode="&quot;R$&quot;\ #,##0.00"/>
    <numFmt numFmtId="168" formatCode="[$R$-416]\ #,##0.00;[Red]\-[$R$-416]\ #,##0.00"/>
    <numFmt numFmtId="169" formatCode="&quot;R$ &quot;#,##0.00;[Red]&quot;-R$ &quot;#,##0.00"/>
    <numFmt numFmtId="170" formatCode="\$#,##0.00"/>
    <numFmt numFmtId="171" formatCode="[$R$]#,##0.00"/>
  </numFmts>
  <fonts count="68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000000"/>
      <name val="Roboto"/>
    </font>
    <font>
      <sz val="11"/>
      <color rgb="FF000000"/>
      <name val="Calibri"/>
    </font>
    <font>
      <b/>
      <sz val="26"/>
      <color theme="1"/>
      <name val="Calibri"/>
    </font>
    <font>
      <b/>
      <sz val="16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1"/>
      <color rgb="FFFF0000"/>
      <name val="Calibri"/>
    </font>
    <font>
      <sz val="11"/>
      <color rgb="FF0000FF"/>
      <name val="Calibri"/>
    </font>
    <font>
      <b/>
      <sz val="14"/>
      <color theme="1"/>
      <name val="Calibri"/>
    </font>
    <font>
      <sz val="16"/>
      <color rgb="FF000000"/>
      <name val="Calibri"/>
    </font>
    <font>
      <sz val="10"/>
      <color rgb="FF000000"/>
      <name val="Calibri"/>
    </font>
    <font>
      <b/>
      <sz val="12"/>
      <color rgb="FF9900FF"/>
      <name val="Calibri"/>
    </font>
    <font>
      <sz val="11"/>
      <color rgb="FF444444"/>
      <name val="Calibri"/>
    </font>
    <font>
      <b/>
      <sz val="12"/>
      <color rgb="FF0070C0"/>
      <name val="Calibri"/>
    </font>
    <font>
      <b/>
      <sz val="12"/>
      <color theme="4"/>
      <name val="Calibri"/>
    </font>
    <font>
      <b/>
      <sz val="11"/>
      <color rgb="FF0070C0"/>
      <name val="Calibri"/>
    </font>
    <font>
      <b/>
      <sz val="12"/>
      <color rgb="FF7030A0"/>
      <name val="Calibri"/>
    </font>
    <font>
      <sz val="12"/>
      <color rgb="FFAD5281"/>
      <name val="Calibri"/>
    </font>
    <font>
      <b/>
      <sz val="12"/>
      <color rgb="FFAD5281"/>
      <name val="Calibri"/>
    </font>
    <font>
      <b/>
      <i/>
      <sz val="12"/>
      <color rgb="FF000000"/>
      <name val="Calibri"/>
    </font>
    <font>
      <b/>
      <sz val="12"/>
      <color rgb="FFA64D79"/>
      <name val="Calibri"/>
    </font>
    <font>
      <sz val="12"/>
      <color rgb="FFFF0000"/>
      <name val="Calibri"/>
    </font>
    <font>
      <b/>
      <sz val="12"/>
      <color rgb="FF0000FF"/>
      <name val="Calibri"/>
    </font>
    <font>
      <sz val="12"/>
      <color rgb="FF0000FF"/>
      <name val="Calibri"/>
    </font>
    <font>
      <b/>
      <sz val="12"/>
      <color rgb="FFF1C232"/>
      <name val="Calibri"/>
    </font>
    <font>
      <b/>
      <sz val="12"/>
      <color rgb="FF00B050"/>
      <name val="Calibri"/>
    </font>
    <font>
      <b/>
      <sz val="12"/>
      <color rgb="FFE69138"/>
      <name val="Calibri"/>
    </font>
    <font>
      <sz val="12"/>
      <color rgb="FFA64D79"/>
      <name val="Calibri"/>
    </font>
    <font>
      <b/>
      <sz val="12"/>
      <color rgb="FF3D85C6"/>
      <name val="Calibri"/>
    </font>
    <font>
      <sz val="12"/>
      <color rgb="FF93C47D"/>
      <name val="Calibri"/>
    </font>
    <font>
      <b/>
      <i/>
      <sz val="12"/>
      <color rgb="FF0000FF"/>
      <name val="Calibri"/>
    </font>
    <font>
      <b/>
      <sz val="12"/>
      <color rgb="FF4A86E8"/>
      <name val="Calibri"/>
    </font>
    <font>
      <b/>
      <sz val="12"/>
      <color rgb="FF1155CC"/>
      <name val="Calibri"/>
    </font>
    <font>
      <sz val="10"/>
      <color theme="1"/>
      <name val="Calibri"/>
    </font>
    <font>
      <sz val="9"/>
      <color theme="1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sz val="12"/>
      <color theme="5"/>
      <name val="Calibri"/>
    </font>
    <font>
      <sz val="12"/>
      <color rgb="FFFF00FF"/>
      <name val="Calibri"/>
    </font>
    <font>
      <sz val="11"/>
      <color rgb="FF9900FF"/>
      <name val="Calibri"/>
    </font>
    <font>
      <sz val="11"/>
      <color rgb="FF000000"/>
      <name val="Inconsolata"/>
    </font>
    <font>
      <b/>
      <sz val="11"/>
      <color rgb="FF0000FF"/>
      <name val="Calibri"/>
    </font>
    <font>
      <sz val="11"/>
      <color rgb="FF00B050"/>
      <name val="Calibri"/>
    </font>
    <font>
      <b/>
      <sz val="11"/>
      <color rgb="FF00B050"/>
      <name val="Calibri"/>
    </font>
    <font>
      <b/>
      <sz val="12"/>
      <color theme="0"/>
      <name val="Calibri"/>
    </font>
    <font>
      <sz val="12"/>
      <color theme="0"/>
      <name val="Calibri"/>
    </font>
    <font>
      <sz val="11"/>
      <color theme="0"/>
      <name val="Calibri"/>
      <scheme val="minor"/>
    </font>
    <font>
      <sz val="14"/>
      <color theme="1"/>
      <name val="Calibri"/>
    </font>
    <font>
      <sz val="11"/>
      <color rgb="FFC9DAF8"/>
      <name val="Calibri"/>
    </font>
    <font>
      <b/>
      <sz val="14"/>
      <color rgb="FFFF0000"/>
      <name val="Calibri"/>
    </font>
    <font>
      <b/>
      <sz val="16"/>
      <color theme="1"/>
      <name val="Calibri"/>
    </font>
    <font>
      <b/>
      <sz val="20"/>
      <color theme="1"/>
      <name val="Calibri"/>
    </font>
    <font>
      <b/>
      <sz val="18"/>
      <color theme="1"/>
      <name val="Calibri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sz val="12"/>
      <color theme="1"/>
      <name val="Calibri"/>
      <scheme val="minor"/>
    </font>
    <font>
      <b/>
      <sz val="11"/>
      <color rgb="FF333333"/>
      <name val="Calibri"/>
    </font>
    <font>
      <b/>
      <sz val="11"/>
      <color rgb="FF7030A0"/>
      <name val="Calibri"/>
    </font>
    <font>
      <sz val="12"/>
      <color rgb="FF7030A0"/>
      <name val="Calibri"/>
    </font>
  </fonts>
  <fills count="37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6FA8DC"/>
        <bgColor rgb="FF6FA8DC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DA1DA"/>
        <bgColor rgb="FFDDA1DA"/>
      </patternFill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D8D8D8"/>
        <bgColor rgb="FFD8D8D8"/>
      </patternFill>
    </fill>
    <fill>
      <patternFill patternType="solid">
        <fgColor rgb="FFB7B7B7"/>
        <bgColor rgb="FFB7B7B7"/>
      </patternFill>
    </fill>
    <fill>
      <patternFill patternType="solid">
        <fgColor theme="6"/>
        <bgColor theme="6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666666"/>
        <bgColor rgb="FF666666"/>
      </patternFill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D99594"/>
        <bgColor rgb="FFD99594"/>
      </patternFill>
    </fill>
    <fill>
      <patternFill patternType="solid">
        <fgColor theme="9"/>
        <bgColor theme="9"/>
      </patternFill>
    </fill>
    <fill>
      <patternFill patternType="solid">
        <fgColor rgb="FFFFD966"/>
        <bgColor rgb="FFFFD966"/>
      </patternFill>
    </fill>
    <fill>
      <patternFill patternType="solid">
        <fgColor rgb="FF0000FF"/>
        <bgColor rgb="FF0000FF"/>
      </patternFill>
    </fill>
    <fill>
      <patternFill patternType="solid">
        <fgColor rgb="FF1155CC"/>
        <bgColor rgb="FF1155C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DBE5F1"/>
        <bgColor rgb="FFDBE5F1"/>
      </patternFill>
    </fill>
    <fill>
      <patternFill patternType="solid">
        <fgColor rgb="FFC9DAF8"/>
        <bgColor rgb="FFC9DAF8"/>
      </patternFill>
    </fill>
    <fill>
      <patternFill patternType="solid">
        <fgColor rgb="FFB8CCE4"/>
        <bgColor rgb="FFB8CCE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/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 style="thin">
        <color rgb="FF4F81BD"/>
      </right>
      <top/>
      <bottom style="thin">
        <color rgb="FF4F81BD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589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2" borderId="4" xfId="0" applyFont="1" applyFill="1" applyBorder="1"/>
    <xf numFmtId="0" fontId="5" fillId="4" borderId="4" xfId="0" applyFont="1" applyFill="1" applyBorder="1"/>
    <xf numFmtId="0" fontId="4" fillId="4" borderId="4" xfId="0" applyFont="1" applyFill="1" applyBorder="1"/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/>
    <xf numFmtId="0" fontId="4" fillId="0" borderId="0" xfId="0" applyFont="1" applyAlignment="1">
      <alignment horizontal="left"/>
    </xf>
    <xf numFmtId="0" fontId="4" fillId="6" borderId="4" xfId="0" applyFont="1" applyFill="1" applyBorder="1"/>
    <xf numFmtId="0" fontId="6" fillId="5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7" borderId="7" xfId="0" applyFont="1" applyFill="1" applyBorder="1"/>
    <xf numFmtId="0" fontId="4" fillId="5" borderId="8" xfId="0" applyFont="1" applyFill="1" applyBorder="1"/>
    <xf numFmtId="0" fontId="4" fillId="5" borderId="9" xfId="0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7" fillId="0" borderId="0" xfId="0" applyFont="1"/>
    <xf numFmtId="164" fontId="10" fillId="9" borderId="23" xfId="0" applyNumberFormat="1" applyFont="1" applyFill="1" applyBorder="1" applyAlignment="1">
      <alignment horizontal="right" vertical="center"/>
    </xf>
    <xf numFmtId="164" fontId="10" fillId="9" borderId="23" xfId="0" applyNumberFormat="1" applyFont="1" applyFill="1" applyBorder="1" applyAlignment="1">
      <alignment horizontal="center" vertical="center"/>
    </xf>
    <xf numFmtId="0" fontId="10" fillId="9" borderId="23" xfId="0" applyFont="1" applyFill="1" applyBorder="1" applyAlignment="1">
      <alignment vertical="center"/>
    </xf>
    <xf numFmtId="164" fontId="10" fillId="9" borderId="23" xfId="0" applyNumberFormat="1" applyFont="1" applyFill="1" applyBorder="1" applyAlignment="1">
      <alignment vertical="center"/>
    </xf>
    <xf numFmtId="0" fontId="10" fillId="8" borderId="0" xfId="0" applyFont="1" applyFill="1" applyAlignment="1">
      <alignment horizontal="center"/>
    </xf>
    <xf numFmtId="0" fontId="11" fillId="0" borderId="23" xfId="0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165" fontId="11" fillId="0" borderId="23" xfId="0" applyNumberFormat="1" applyFont="1" applyBorder="1" applyAlignment="1">
      <alignment horizontal="right" vertical="center"/>
    </xf>
    <xf numFmtId="164" fontId="7" fillId="8" borderId="0" xfId="0" applyNumberFormat="1" applyFont="1" applyFill="1"/>
    <xf numFmtId="166" fontId="7" fillId="8" borderId="0" xfId="0" applyNumberFormat="1" applyFont="1" applyFill="1"/>
    <xf numFmtId="166" fontId="7" fillId="0" borderId="0" xfId="0" applyNumberFormat="1" applyFont="1"/>
    <xf numFmtId="167" fontId="7" fillId="0" borderId="0" xfId="0" applyNumberFormat="1" applyFont="1"/>
    <xf numFmtId="165" fontId="10" fillId="10" borderId="23" xfId="0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12" fillId="11" borderId="23" xfId="0" applyNumberFormat="1" applyFont="1" applyFill="1" applyBorder="1" applyAlignment="1">
      <alignment horizontal="center" vertical="center" wrapText="1"/>
    </xf>
    <xf numFmtId="0" fontId="12" fillId="11" borderId="23" xfId="0" applyFont="1" applyFill="1" applyBorder="1" applyAlignment="1">
      <alignment vertical="center" wrapText="1"/>
    </xf>
    <xf numFmtId="165" fontId="7" fillId="11" borderId="23" xfId="0" applyNumberFormat="1" applyFont="1" applyFill="1" applyBorder="1" applyAlignment="1">
      <alignment horizontal="right" vertical="center" wrapText="1"/>
    </xf>
    <xf numFmtId="165" fontId="4" fillId="11" borderId="23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Alignment="1">
      <alignment horizontal="center"/>
    </xf>
    <xf numFmtId="0" fontId="13" fillId="11" borderId="23" xfId="0" applyFont="1" applyFill="1" applyBorder="1" applyAlignment="1">
      <alignment vertical="center" wrapText="1"/>
    </xf>
    <xf numFmtId="9" fontId="5" fillId="0" borderId="0" xfId="0" applyNumberFormat="1" applyFont="1"/>
    <xf numFmtId="0" fontId="13" fillId="11" borderId="23" xfId="0" applyFont="1" applyFill="1" applyBorder="1" applyAlignment="1">
      <alignment horizontal="left" vertical="center" wrapText="1"/>
    </xf>
    <xf numFmtId="165" fontId="14" fillId="11" borderId="23" xfId="0" applyNumberFormat="1" applyFont="1" applyFill="1" applyBorder="1" applyAlignment="1">
      <alignment horizontal="right" vertical="center" wrapText="1"/>
    </xf>
    <xf numFmtId="3" fontId="12" fillId="11" borderId="23" xfId="0" applyNumberFormat="1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vertical="center"/>
    </xf>
    <xf numFmtId="165" fontId="4" fillId="11" borderId="23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164" fontId="7" fillId="11" borderId="23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164" fontId="7" fillId="11" borderId="23" xfId="0" applyNumberFormat="1" applyFont="1" applyFill="1" applyBorder="1" applyAlignment="1">
      <alignment horizontal="right" vertical="center" wrapText="1"/>
    </xf>
    <xf numFmtId="164" fontId="4" fillId="11" borderId="23" xfId="0" applyNumberFormat="1" applyFont="1" applyFill="1" applyBorder="1" applyAlignment="1">
      <alignment horizontal="right" vertical="center" wrapText="1"/>
    </xf>
    <xf numFmtId="165" fontId="15" fillId="11" borderId="23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Alignment="1"/>
    <xf numFmtId="164" fontId="10" fillId="0" borderId="0" xfId="0" applyNumberFormat="1" applyFont="1" applyAlignment="1"/>
    <xf numFmtId="0" fontId="13" fillId="6" borderId="4" xfId="0" applyFont="1" applyFill="1" applyBorder="1" applyAlignment="1">
      <alignment vertical="center"/>
    </xf>
    <xf numFmtId="0" fontId="12" fillId="6" borderId="4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6" fillId="12" borderId="24" xfId="0" applyFont="1" applyFill="1" applyBorder="1" applyAlignment="1">
      <alignment horizontal="center" vertical="center"/>
    </xf>
    <xf numFmtId="0" fontId="16" fillId="12" borderId="25" xfId="0" applyFont="1" applyFill="1" applyBorder="1" applyAlignment="1">
      <alignment horizontal="center" vertical="center"/>
    </xf>
    <xf numFmtId="168" fontId="11" fillId="0" borderId="0" xfId="0" applyNumberFormat="1" applyFont="1" applyAlignment="1">
      <alignment horizontal="center"/>
    </xf>
    <xf numFmtId="0" fontId="11" fillId="12" borderId="24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168" fontId="11" fillId="13" borderId="27" xfId="0" applyNumberFormat="1" applyFont="1" applyFill="1" applyBorder="1" applyAlignment="1">
      <alignment horizontal="center" vertical="center" wrapText="1"/>
    </xf>
    <xf numFmtId="168" fontId="11" fillId="13" borderId="27" xfId="0" applyNumberFormat="1" applyFont="1" applyFill="1" applyBorder="1" applyAlignment="1">
      <alignment horizontal="center" vertical="center"/>
    </xf>
    <xf numFmtId="168" fontId="11" fillId="14" borderId="27" xfId="0" applyNumberFormat="1" applyFont="1" applyFill="1" applyBorder="1" applyAlignment="1">
      <alignment horizontal="center" vertical="center"/>
    </xf>
    <xf numFmtId="168" fontId="11" fillId="15" borderId="27" xfId="0" applyNumberFormat="1" applyFont="1" applyFill="1" applyBorder="1" applyAlignment="1">
      <alignment horizontal="center" vertical="center"/>
    </xf>
    <xf numFmtId="168" fontId="11" fillId="12" borderId="27" xfId="0" applyNumberFormat="1" applyFont="1" applyFill="1" applyBorder="1" applyAlignment="1">
      <alignment horizontal="center" vertical="center"/>
    </xf>
    <xf numFmtId="10" fontId="11" fillId="12" borderId="27" xfId="0" applyNumberFormat="1" applyFont="1" applyFill="1" applyBorder="1" applyAlignment="1">
      <alignment horizontal="center" vertical="center"/>
    </xf>
    <xf numFmtId="168" fontId="11" fillId="16" borderId="27" xfId="0" applyNumberFormat="1" applyFont="1" applyFill="1" applyBorder="1" applyAlignment="1">
      <alignment horizontal="center" vertical="center"/>
    </xf>
    <xf numFmtId="0" fontId="11" fillId="12" borderId="27" xfId="0" applyFont="1" applyFill="1" applyBorder="1" applyAlignment="1">
      <alignment horizontal="center" vertical="center"/>
    </xf>
    <xf numFmtId="0" fontId="2" fillId="12" borderId="27" xfId="0" applyFont="1" applyFill="1" applyBorder="1" applyAlignment="1">
      <alignment horizontal="center"/>
    </xf>
    <xf numFmtId="0" fontId="11" fillId="12" borderId="27" xfId="0" applyFont="1" applyFill="1" applyBorder="1" applyAlignment="1">
      <alignment horizontal="left" vertical="center" wrapText="1"/>
    </xf>
    <xf numFmtId="165" fontId="11" fillId="12" borderId="27" xfId="0" applyNumberFormat="1" applyFont="1" applyFill="1" applyBorder="1" applyAlignment="1">
      <alignment horizontal="center" vertical="center"/>
    </xf>
    <xf numFmtId="10" fontId="11" fillId="13" borderId="27" xfId="0" applyNumberFormat="1" applyFont="1" applyFill="1" applyBorder="1" applyAlignment="1">
      <alignment horizontal="center" vertical="center"/>
    </xf>
    <xf numFmtId="165" fontId="11" fillId="14" borderId="27" xfId="0" applyNumberFormat="1" applyFont="1" applyFill="1" applyBorder="1" applyAlignment="1">
      <alignment horizontal="center" vertical="center"/>
    </xf>
    <xf numFmtId="165" fontId="11" fillId="15" borderId="27" xfId="0" applyNumberFormat="1" applyFont="1" applyFill="1" applyBorder="1" applyAlignment="1">
      <alignment horizontal="center" vertical="center"/>
    </xf>
    <xf numFmtId="165" fontId="11" fillId="13" borderId="27" xfId="0" applyNumberFormat="1" applyFont="1" applyFill="1" applyBorder="1" applyAlignment="1">
      <alignment horizontal="center" vertical="center"/>
    </xf>
    <xf numFmtId="165" fontId="11" fillId="0" borderId="27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168" fontId="17" fillId="0" borderId="0" xfId="0" applyNumberFormat="1" applyFont="1" applyAlignment="1">
      <alignment vertical="center"/>
    </xf>
    <xf numFmtId="0" fontId="9" fillId="17" borderId="27" xfId="0" applyFont="1" applyFill="1" applyBorder="1" applyAlignment="1">
      <alignment vertical="center"/>
    </xf>
    <xf numFmtId="165" fontId="11" fillId="17" borderId="27" xfId="0" applyNumberFormat="1" applyFont="1" applyFill="1" applyBorder="1" applyAlignment="1">
      <alignment horizontal="center" vertical="center"/>
    </xf>
    <xf numFmtId="10" fontId="11" fillId="17" borderId="27" xfId="0" applyNumberFormat="1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0" fontId="12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14" fillId="11" borderId="27" xfId="0" applyNumberFormat="1" applyFont="1" applyFill="1" applyBorder="1" applyAlignment="1">
      <alignment horizontal="right" vertical="center" wrapText="1"/>
    </xf>
    <xf numFmtId="10" fontId="12" fillId="13" borderId="27" xfId="0" applyNumberFormat="1" applyFont="1" applyFill="1" applyBorder="1" applyAlignment="1">
      <alignment horizontal="center" vertical="center" wrapText="1"/>
    </xf>
    <xf numFmtId="165" fontId="12" fillId="6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12" fillId="13" borderId="27" xfId="0" applyNumberFormat="1" applyFont="1" applyFill="1" applyBorder="1" applyAlignment="1">
      <alignment horizontal="center" vertical="center"/>
    </xf>
    <xf numFmtId="10" fontId="12" fillId="13" borderId="27" xfId="0" applyNumberFormat="1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/>
    </xf>
    <xf numFmtId="10" fontId="12" fillId="0" borderId="0" xfId="0" applyNumberFormat="1" applyFont="1" applyAlignment="1">
      <alignment horizontal="center"/>
    </xf>
    <xf numFmtId="3" fontId="12" fillId="11" borderId="27" xfId="0" applyNumberFormat="1" applyFont="1" applyFill="1" applyBorder="1" applyAlignment="1">
      <alignment horizontal="left" vertical="center" wrapText="1"/>
    </xf>
    <xf numFmtId="0" fontId="18" fillId="11" borderId="27" xfId="0" applyFont="1" applyFill="1" applyBorder="1" applyAlignment="1">
      <alignment horizontal="left" vertical="center"/>
    </xf>
    <xf numFmtId="165" fontId="12" fillId="0" borderId="27" xfId="0" applyNumberFormat="1" applyFont="1" applyBorder="1" applyAlignment="1">
      <alignment horizontal="center" vertical="center"/>
    </xf>
    <xf numFmtId="3" fontId="12" fillId="11" borderId="27" xfId="0" applyNumberFormat="1" applyFont="1" applyFill="1" applyBorder="1" applyAlignment="1">
      <alignment horizontal="left" vertical="center" wrapText="1"/>
    </xf>
    <xf numFmtId="168" fontId="9" fillId="17" borderId="27" xfId="0" applyNumberFormat="1" applyFont="1" applyFill="1" applyBorder="1" applyAlignment="1">
      <alignment horizontal="left" vertical="center"/>
    </xf>
    <xf numFmtId="168" fontId="9" fillId="17" borderId="27" xfId="0" applyNumberFormat="1" applyFont="1" applyFill="1" applyBorder="1" applyAlignment="1">
      <alignment horizontal="center" vertical="center"/>
    </xf>
    <xf numFmtId="10" fontId="11" fillId="17" borderId="27" xfId="0" applyNumberFormat="1" applyFont="1" applyFill="1" applyBorder="1" applyAlignment="1">
      <alignment horizontal="center" vertical="center" wrapText="1"/>
    </xf>
    <xf numFmtId="168" fontId="11" fillId="17" borderId="27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12" fillId="11" borderId="27" xfId="0" applyFont="1" applyFill="1" applyBorder="1" applyAlignment="1">
      <alignment horizontal="center" vertical="center" wrapText="1"/>
    </xf>
    <xf numFmtId="9" fontId="12" fillId="13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27" xfId="0" applyFont="1" applyFill="1" applyBorder="1"/>
    <xf numFmtId="0" fontId="13" fillId="11" borderId="27" xfId="0" applyFont="1" applyFill="1" applyBorder="1" applyAlignment="1">
      <alignment horizontal="lef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12" fillId="0" borderId="27" xfId="0" applyNumberFormat="1" applyFont="1" applyBorder="1" applyAlignment="1">
      <alignment horizontal="right" vertical="center"/>
    </xf>
    <xf numFmtId="165" fontId="19" fillId="0" borderId="27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/>
    <xf numFmtId="0" fontId="13" fillId="11" borderId="27" xfId="0" applyFont="1" applyFill="1" applyBorder="1" applyAlignment="1">
      <alignment vertical="center" wrapText="1"/>
    </xf>
    <xf numFmtId="165" fontId="7" fillId="11" borderId="27" xfId="0" applyNumberFormat="1" applyFont="1" applyFill="1" applyBorder="1" applyAlignment="1">
      <alignment horizontal="right" vertical="center" wrapText="1"/>
    </xf>
    <xf numFmtId="165" fontId="4" fillId="11" borderId="27" xfId="0" applyNumberFormat="1" applyFont="1" applyFill="1" applyBorder="1" applyAlignment="1">
      <alignment horizontal="right" vertical="center" wrapText="1"/>
    </xf>
    <xf numFmtId="165" fontId="20" fillId="18" borderId="27" xfId="0" applyNumberFormat="1" applyFont="1" applyFill="1" applyBorder="1"/>
    <xf numFmtId="165" fontId="7" fillId="0" borderId="27" xfId="0" applyNumberFormat="1" applyFont="1" applyBorder="1"/>
    <xf numFmtId="165" fontId="7" fillId="14" borderId="27" xfId="0" applyNumberFormat="1" applyFont="1" applyFill="1" applyBorder="1"/>
    <xf numFmtId="165" fontId="12" fillId="14" borderId="27" xfId="0" applyNumberFormat="1" applyFont="1" applyFill="1" applyBorder="1" applyAlignment="1">
      <alignment horizontal="center" vertical="center"/>
    </xf>
    <xf numFmtId="165" fontId="12" fillId="18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vertical="center" wrapText="1"/>
    </xf>
    <xf numFmtId="165" fontId="13" fillId="0" borderId="27" xfId="0" applyNumberFormat="1" applyFont="1" applyBorder="1" applyAlignment="1">
      <alignment horizontal="center" vertical="center"/>
    </xf>
    <xf numFmtId="165" fontId="15" fillId="11" borderId="27" xfId="0" applyNumberFormat="1" applyFont="1" applyFill="1" applyBorder="1" applyAlignment="1">
      <alignment horizontal="right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22" fillId="13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right" vertical="center"/>
    </xf>
    <xf numFmtId="0" fontId="7" fillId="11" borderId="27" xfId="0" applyFont="1" applyFill="1" applyBorder="1"/>
    <xf numFmtId="165" fontId="23" fillId="11" borderId="27" xfId="0" applyNumberFormat="1" applyFont="1" applyFill="1" applyBorder="1" applyAlignment="1">
      <alignment horizontal="right" vertical="center" wrapText="1"/>
    </xf>
    <xf numFmtId="165" fontId="12" fillId="8" borderId="27" xfId="0" applyNumberFormat="1" applyFont="1" applyFill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7" fillId="11" borderId="27" xfId="0" applyFont="1" applyFill="1" applyBorder="1" applyAlignment="1"/>
    <xf numFmtId="0" fontId="4" fillId="11" borderId="27" xfId="0" applyFont="1" applyFill="1" applyBorder="1"/>
    <xf numFmtId="165" fontId="12" fillId="0" borderId="27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/>
    <xf numFmtId="0" fontId="11" fillId="11" borderId="27" xfId="0" applyFont="1" applyFill="1" applyBorder="1" applyAlignment="1">
      <alignment vertical="center" wrapText="1"/>
    </xf>
    <xf numFmtId="165" fontId="24" fillId="0" borderId="27" xfId="0" applyNumberFormat="1" applyFon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right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5" fontId="14" fillId="11" borderId="27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1" fillId="9" borderId="27" xfId="0" applyFont="1" applyFill="1" applyBorder="1" applyAlignment="1">
      <alignment horizontal="center" vertical="center"/>
    </xf>
    <xf numFmtId="0" fontId="11" fillId="9" borderId="27" xfId="0" applyFont="1" applyFill="1" applyBorder="1" applyAlignment="1">
      <alignment horizontal="left" vertical="center" wrapText="1"/>
    </xf>
    <xf numFmtId="0" fontId="11" fillId="9" borderId="27" xfId="0" applyFont="1" applyFill="1" applyBorder="1" applyAlignment="1">
      <alignment vertical="center" wrapText="1"/>
    </xf>
    <xf numFmtId="165" fontId="11" fillId="9" borderId="27" xfId="0" applyNumberFormat="1" applyFont="1" applyFill="1" applyBorder="1" applyAlignment="1">
      <alignment horizontal="center" vertical="center" wrapText="1"/>
    </xf>
    <xf numFmtId="10" fontId="11" fillId="13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0" fontId="7" fillId="0" borderId="27" xfId="0" applyFont="1" applyBorder="1"/>
    <xf numFmtId="3" fontId="12" fillId="0" borderId="27" xfId="0" applyNumberFormat="1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165" fontId="7" fillId="0" borderId="27" xfId="0" applyNumberFormat="1" applyFont="1" applyBorder="1" applyAlignment="1">
      <alignment horizontal="right" vertical="center" wrapText="1"/>
    </xf>
    <xf numFmtId="10" fontId="12" fillId="0" borderId="27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13" fillId="0" borderId="27" xfId="0" applyNumberFormat="1" applyFont="1" applyBorder="1" applyAlignment="1">
      <alignment horizontal="right" vertical="center"/>
    </xf>
    <xf numFmtId="0" fontId="25" fillId="19" borderId="27" xfId="0" applyFont="1" applyFill="1" applyBorder="1" applyAlignment="1">
      <alignment horizontal="center" vertical="center"/>
    </xf>
    <xf numFmtId="0" fontId="26" fillId="19" borderId="27" xfId="0" applyFont="1" applyFill="1" applyBorder="1" applyAlignment="1">
      <alignment horizontal="left" vertical="center" wrapText="1"/>
    </xf>
    <xf numFmtId="0" fontId="26" fillId="19" borderId="27" xfId="0" applyFont="1" applyFill="1" applyBorder="1" applyAlignment="1">
      <alignment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6" fillId="19" borderId="27" xfId="0" applyNumberFormat="1" applyFont="1" applyFill="1" applyBorder="1" applyAlignment="1">
      <alignment horizontal="center" vertical="center" wrapText="1"/>
    </xf>
    <xf numFmtId="165" fontId="25" fillId="19" borderId="27" xfId="0" applyNumberFormat="1" applyFont="1" applyFill="1" applyBorder="1" applyAlignment="1">
      <alignment vertical="center" wrapText="1"/>
    </xf>
    <xf numFmtId="165" fontId="25" fillId="19" borderId="27" xfId="0" applyNumberFormat="1" applyFont="1" applyFill="1" applyBorder="1" applyAlignment="1">
      <alignment horizontal="center" vertical="center"/>
    </xf>
    <xf numFmtId="165" fontId="25" fillId="13" borderId="27" xfId="0" applyNumberFormat="1" applyFont="1" applyFill="1" applyBorder="1" applyAlignment="1">
      <alignment horizontal="center" vertical="center"/>
    </xf>
    <xf numFmtId="10" fontId="26" fillId="13" borderId="27" xfId="0" applyNumberFormat="1" applyFont="1" applyFill="1" applyBorder="1" applyAlignment="1">
      <alignment horizontal="center" vertical="center" wrapText="1"/>
    </xf>
    <xf numFmtId="165" fontId="2" fillId="19" borderId="27" xfId="0" applyNumberFormat="1" applyFont="1" applyFill="1" applyBorder="1" applyAlignment="1">
      <alignment horizontal="center" vertical="center" wrapText="1"/>
    </xf>
    <xf numFmtId="165" fontId="26" fillId="18" borderId="27" xfId="0" applyNumberFormat="1" applyFont="1" applyFill="1" applyBorder="1" applyAlignment="1">
      <alignment horizontal="center" vertical="center" wrapText="1"/>
    </xf>
    <xf numFmtId="165" fontId="25" fillId="18" borderId="27" xfId="0" applyNumberFormat="1" applyFont="1" applyFill="1" applyBorder="1" applyAlignment="1">
      <alignment horizontal="center" vertical="center" wrapText="1"/>
    </xf>
    <xf numFmtId="165" fontId="27" fillId="18" borderId="4" xfId="0" applyNumberFormat="1" applyFont="1" applyFill="1" applyBorder="1" applyAlignment="1">
      <alignment horizontal="center"/>
    </xf>
    <xf numFmtId="168" fontId="27" fillId="18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horizontal="left" vertical="center" wrapText="1"/>
    </xf>
    <xf numFmtId="0" fontId="26" fillId="9" borderId="27" xfId="0" applyFont="1" applyFill="1" applyBorder="1" applyAlignment="1">
      <alignment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65" fontId="26" fillId="9" borderId="27" xfId="0" applyNumberFormat="1" applyFont="1" applyFill="1" applyBorder="1" applyAlignment="1">
      <alignment horizontal="center" vertical="center" wrapText="1"/>
    </xf>
    <xf numFmtId="10" fontId="28" fillId="13" borderId="27" xfId="0" applyNumberFormat="1" applyFont="1" applyFill="1" applyBorder="1" applyAlignment="1">
      <alignment horizontal="center" vertical="center" wrapText="1"/>
    </xf>
    <xf numFmtId="10" fontId="28" fillId="12" borderId="27" xfId="0" applyNumberFormat="1" applyFont="1" applyFill="1" applyBorder="1" applyAlignment="1">
      <alignment horizontal="center" vertical="center" wrapText="1"/>
    </xf>
    <xf numFmtId="10" fontId="26" fillId="9" borderId="27" xfId="0" applyNumberFormat="1" applyFont="1" applyFill="1" applyBorder="1" applyAlignment="1">
      <alignment horizontal="center" vertical="center" wrapText="1"/>
    </xf>
    <xf numFmtId="165" fontId="11" fillId="6" borderId="27" xfId="0" applyNumberFormat="1" applyFont="1" applyFill="1" applyBorder="1" applyAlignment="1">
      <alignment horizontal="center" vertical="center"/>
    </xf>
    <xf numFmtId="0" fontId="11" fillId="15" borderId="27" xfId="0" applyFont="1" applyFill="1" applyBorder="1" applyAlignment="1">
      <alignment horizontal="left" vertical="center" wrapText="1"/>
    </xf>
    <xf numFmtId="10" fontId="11" fillId="15" borderId="27" xfId="0" applyNumberFormat="1" applyFont="1" applyFill="1" applyBorder="1" applyAlignment="1">
      <alignment horizontal="center" vertical="center" wrapText="1"/>
    </xf>
    <xf numFmtId="10" fontId="11" fillId="9" borderId="27" xfId="0" applyNumberFormat="1" applyFont="1" applyFill="1" applyBorder="1" applyAlignment="1">
      <alignment horizontal="center" vertical="center" wrapText="1"/>
    </xf>
    <xf numFmtId="165" fontId="12" fillId="11" borderId="27" xfId="0" applyNumberFormat="1" applyFont="1" applyFill="1" applyBorder="1" applyAlignment="1">
      <alignment horizontal="center" vertical="center" wrapText="1"/>
    </xf>
    <xf numFmtId="165" fontId="29" fillId="11" borderId="27" xfId="0" applyNumberFormat="1" applyFont="1" applyFill="1" applyBorder="1" applyAlignment="1">
      <alignment horizontal="center" vertical="center" wrapText="1"/>
    </xf>
    <xf numFmtId="168" fontId="12" fillId="13" borderId="27" xfId="0" applyNumberFormat="1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center" vertical="center"/>
    </xf>
    <xf numFmtId="0" fontId="13" fillId="19" borderId="27" xfId="0" applyFont="1" applyFill="1" applyBorder="1" applyAlignment="1">
      <alignment horizontal="left" vertical="center" wrapText="1"/>
    </xf>
    <xf numFmtId="0" fontId="30" fillId="19" borderId="27" xfId="0" applyFont="1" applyFill="1" applyBorder="1" applyAlignment="1">
      <alignment vertical="center" wrapText="1"/>
    </xf>
    <xf numFmtId="165" fontId="30" fillId="19" borderId="27" xfId="0" applyNumberFormat="1" applyFont="1" applyFill="1" applyBorder="1" applyAlignment="1">
      <alignment horizontal="center" vertical="center" wrapText="1"/>
    </xf>
    <xf numFmtId="165" fontId="26" fillId="18" borderId="27" xfId="0" applyNumberFormat="1" applyFont="1" applyFill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165" fontId="31" fillId="0" borderId="27" xfId="0" applyNumberFormat="1" applyFont="1" applyBorder="1" applyAlignment="1">
      <alignment horizontal="right" vertical="center"/>
    </xf>
    <xf numFmtId="165" fontId="31" fillId="0" borderId="27" xfId="0" applyNumberFormat="1" applyFont="1" applyBorder="1" applyAlignment="1">
      <alignment horizontal="center" vertical="center"/>
    </xf>
    <xf numFmtId="0" fontId="7" fillId="11" borderId="27" xfId="0" applyFont="1" applyFill="1" applyBorder="1" applyAlignment="1">
      <alignment horizontal="left" vertical="center" wrapText="1"/>
    </xf>
    <xf numFmtId="0" fontId="7" fillId="11" borderId="27" xfId="0" applyFont="1" applyFill="1" applyBorder="1" applyAlignment="1">
      <alignment horizontal="left" vertical="center"/>
    </xf>
    <xf numFmtId="0" fontId="31" fillId="11" borderId="27" xfId="0" applyFont="1" applyFill="1" applyBorder="1" applyAlignment="1">
      <alignment vertical="center" wrapText="1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31" fillId="6" borderId="27" xfId="0" applyNumberFormat="1" applyFont="1" applyFill="1" applyBorder="1" applyAlignment="1">
      <alignment horizontal="center" vertical="center"/>
    </xf>
    <xf numFmtId="0" fontId="13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horizontal="left"/>
    </xf>
    <xf numFmtId="0" fontId="11" fillId="11" borderId="27" xfId="0" applyFont="1" applyFill="1" applyBorder="1" applyAlignment="1">
      <alignment vertical="center" wrapText="1"/>
    </xf>
    <xf numFmtId="165" fontId="11" fillId="11" borderId="27" xfId="0" applyNumberFormat="1" applyFont="1" applyFill="1" applyBorder="1" applyAlignment="1">
      <alignment horizontal="center" vertical="center" wrapText="1"/>
    </xf>
    <xf numFmtId="165" fontId="32" fillId="0" borderId="27" xfId="0" applyNumberFormat="1" applyFont="1" applyBorder="1" applyAlignment="1">
      <alignment horizontal="center" vertical="center"/>
    </xf>
    <xf numFmtId="165" fontId="29" fillId="0" borderId="27" xfId="0" applyNumberFormat="1" applyFont="1" applyBorder="1" applyAlignment="1">
      <alignment horizontal="center" vertical="center"/>
    </xf>
    <xf numFmtId="0" fontId="11" fillId="11" borderId="27" xfId="0" applyFont="1" applyFill="1" applyBorder="1" applyAlignment="1">
      <alignment horizontal="center" vertical="center"/>
    </xf>
    <xf numFmtId="0" fontId="11" fillId="11" borderId="27" xfId="0" applyFont="1" applyFill="1" applyBorder="1" applyAlignment="1">
      <alignment horizontal="left" vertical="center" wrapText="1"/>
    </xf>
    <xf numFmtId="165" fontId="11" fillId="18" borderId="27" xfId="0" applyNumberFormat="1" applyFont="1" applyFill="1" applyBorder="1" applyAlignment="1">
      <alignment horizontal="center" vertical="center" wrapText="1"/>
    </xf>
    <xf numFmtId="165" fontId="11" fillId="18" borderId="27" xfId="0" applyNumberFormat="1" applyFont="1" applyFill="1" applyBorder="1" applyAlignment="1">
      <alignment horizontal="center" vertical="center"/>
    </xf>
    <xf numFmtId="165" fontId="11" fillId="18" borderId="4" xfId="0" applyNumberFormat="1" applyFont="1" applyFill="1" applyBorder="1" applyAlignment="1">
      <alignment horizontal="center"/>
    </xf>
    <xf numFmtId="10" fontId="11" fillId="18" borderId="4" xfId="0" applyNumberFormat="1" applyFont="1" applyFill="1" applyBorder="1" applyAlignment="1">
      <alignment horizontal="center"/>
    </xf>
    <xf numFmtId="0" fontId="26" fillId="9" borderId="27" xfId="0" applyFont="1" applyFill="1" applyBorder="1" applyAlignment="1">
      <alignment horizontal="left" vertical="center" wrapText="1"/>
    </xf>
    <xf numFmtId="10" fontId="28" fillId="15" borderId="27" xfId="0" applyNumberFormat="1" applyFont="1" applyFill="1" applyBorder="1" applyAlignment="1">
      <alignment horizontal="center" vertical="center" wrapText="1"/>
    </xf>
    <xf numFmtId="0" fontId="26" fillId="9" borderId="27" xfId="0" applyFont="1" applyFill="1" applyBorder="1" applyAlignment="1">
      <alignment vertical="center" wrapText="1"/>
    </xf>
    <xf numFmtId="164" fontId="26" fillId="15" borderId="27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28" fillId="12" borderId="27" xfId="0" applyFont="1" applyFill="1" applyBorder="1" applyAlignment="1">
      <alignment horizontal="center" vertical="center" wrapText="1"/>
    </xf>
    <xf numFmtId="0" fontId="28" fillId="12" borderId="27" xfId="0" applyFont="1" applyFill="1" applyBorder="1" applyAlignment="1">
      <alignment horizontal="left" vertical="center" wrapText="1"/>
    </xf>
    <xf numFmtId="0" fontId="28" fillId="12" borderId="27" xfId="0" applyFont="1" applyFill="1" applyBorder="1" applyAlignment="1">
      <alignment vertical="center" wrapText="1"/>
    </xf>
    <xf numFmtId="165" fontId="28" fillId="12" borderId="27" xfId="0" applyNumberFormat="1" applyFont="1" applyFill="1" applyBorder="1" applyAlignment="1">
      <alignment horizontal="center" vertical="center" wrapText="1"/>
    </xf>
    <xf numFmtId="165" fontId="28" fillId="13" borderId="27" xfId="0" applyNumberFormat="1" applyFont="1" applyFill="1" applyBorder="1" applyAlignment="1">
      <alignment horizontal="center" vertical="center"/>
    </xf>
    <xf numFmtId="165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165" fontId="13" fillId="0" borderId="27" xfId="0" applyNumberFormat="1" applyFont="1" applyBorder="1" applyAlignment="1">
      <alignment horizontal="right" vertical="center"/>
    </xf>
    <xf numFmtId="0" fontId="12" fillId="11" borderId="27" xfId="0" applyFont="1" applyFill="1" applyBorder="1" applyAlignment="1">
      <alignment vertical="center" wrapText="1"/>
    </xf>
    <xf numFmtId="165" fontId="33" fillId="11" borderId="27" xfId="0" applyNumberFormat="1" applyFont="1" applyFill="1" applyBorder="1" applyAlignment="1">
      <alignment horizontal="center" vertical="center" wrapText="1"/>
    </xf>
    <xf numFmtId="165" fontId="28" fillId="15" borderId="27" xfId="0" applyNumberFormat="1" applyFont="1" applyFill="1" applyBorder="1" applyAlignment="1">
      <alignment horizontal="center" vertical="center"/>
    </xf>
    <xf numFmtId="165" fontId="34" fillId="0" borderId="27" xfId="0" applyNumberFormat="1" applyFont="1" applyBorder="1" applyAlignment="1">
      <alignment horizontal="center" vertical="center"/>
    </xf>
    <xf numFmtId="0" fontId="28" fillId="12" borderId="27" xfId="0" applyFont="1" applyFill="1" applyBorder="1" applyAlignment="1">
      <alignment horizontal="center" vertical="center"/>
    </xf>
    <xf numFmtId="0" fontId="28" fillId="13" borderId="27" xfId="0" applyFont="1" applyFill="1" applyBorder="1" applyAlignment="1">
      <alignment vertical="center" wrapText="1"/>
    </xf>
    <xf numFmtId="165" fontId="28" fillId="13" borderId="27" xfId="0" applyNumberFormat="1" applyFont="1" applyFill="1" applyBorder="1" applyAlignment="1">
      <alignment horizontal="center" vertical="center" wrapText="1"/>
    </xf>
    <xf numFmtId="165" fontId="35" fillId="15" borderId="27" xfId="0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165" fontId="12" fillId="15" borderId="27" xfId="0" applyNumberFormat="1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center" vertical="center"/>
    </xf>
    <xf numFmtId="0" fontId="28" fillId="9" borderId="27" xfId="0" applyFont="1" applyFill="1" applyBorder="1" applyAlignment="1">
      <alignment horizontal="left" vertical="center" wrapText="1"/>
    </xf>
    <xf numFmtId="0" fontId="28" fillId="9" borderId="27" xfId="0" applyFont="1" applyFill="1" applyBorder="1" applyAlignment="1">
      <alignment vertical="center" wrapText="1"/>
    </xf>
    <xf numFmtId="165" fontId="28" fillId="9" borderId="27" xfId="0" applyNumberFormat="1" applyFont="1" applyFill="1" applyBorder="1" applyAlignment="1">
      <alignment horizontal="center" vertical="center" wrapText="1"/>
    </xf>
    <xf numFmtId="10" fontId="28" fillId="9" borderId="27" xfId="0" applyNumberFormat="1" applyFont="1" applyFill="1" applyBorder="1" applyAlignment="1">
      <alignment horizontal="center" vertical="center" wrapText="1"/>
    </xf>
    <xf numFmtId="165" fontId="12" fillId="18" borderId="27" xfId="0" applyNumberFormat="1" applyFont="1" applyFill="1" applyBorder="1" applyAlignment="1">
      <alignment horizontal="center" vertical="center" wrapText="1"/>
    </xf>
    <xf numFmtId="165" fontId="37" fillId="0" borderId="27" xfId="0" applyNumberFormat="1" applyFont="1" applyBorder="1" applyAlignment="1">
      <alignment horizontal="center" vertical="center"/>
    </xf>
    <xf numFmtId="0" fontId="26" fillId="15" borderId="27" xfId="0" applyFont="1" applyFill="1" applyBorder="1" applyAlignment="1">
      <alignment horizontal="center" vertical="center"/>
    </xf>
    <xf numFmtId="0" fontId="26" fillId="15" borderId="27" xfId="0" applyFont="1" applyFill="1" applyBorder="1" applyAlignment="1">
      <alignment vertical="center" wrapText="1"/>
    </xf>
    <xf numFmtId="165" fontId="26" fillId="15" borderId="27" xfId="0" applyNumberFormat="1" applyFont="1" applyFill="1" applyBorder="1" applyAlignment="1">
      <alignment horizontal="center" vertical="center" wrapText="1"/>
    </xf>
    <xf numFmtId="10" fontId="26" fillId="15" borderId="27" xfId="0" applyNumberFormat="1" applyFont="1" applyFill="1" applyBorder="1" applyAlignment="1">
      <alignment horizontal="center" vertical="center" wrapText="1"/>
    </xf>
    <xf numFmtId="0" fontId="28" fillId="12" borderId="27" xfId="0" applyFont="1" applyFill="1" applyBorder="1" applyAlignment="1">
      <alignment vertical="center" wrapText="1"/>
    </xf>
    <xf numFmtId="165" fontId="35" fillId="13" borderId="27" xfId="0" applyNumberFormat="1" applyFont="1" applyFill="1" applyBorder="1" applyAlignment="1">
      <alignment horizontal="center" vertical="center"/>
    </xf>
    <xf numFmtId="10" fontId="28" fillId="12" borderId="27" xfId="0" applyNumberFormat="1" applyFont="1" applyFill="1" applyBorder="1" applyAlignment="1">
      <alignment horizontal="center" vertical="center"/>
    </xf>
    <xf numFmtId="165" fontId="12" fillId="18" borderId="27" xfId="0" applyNumberFormat="1" applyFont="1" applyFill="1" applyBorder="1" applyAlignment="1">
      <alignment horizontal="center" vertical="center"/>
    </xf>
    <xf numFmtId="165" fontId="38" fillId="6" borderId="27" xfId="0" applyNumberFormat="1" applyFont="1" applyFill="1" applyBorder="1" applyAlignment="1">
      <alignment horizontal="center" vertical="center"/>
    </xf>
    <xf numFmtId="165" fontId="12" fillId="11" borderId="27" xfId="0" applyNumberFormat="1" applyFont="1" applyFill="1" applyBorder="1" applyAlignment="1">
      <alignment horizontal="right" vertical="center" wrapText="1"/>
    </xf>
    <xf numFmtId="165" fontId="39" fillId="0" borderId="27" xfId="0" applyNumberFormat="1" applyFont="1" applyBorder="1" applyAlignment="1">
      <alignment horizontal="center" vertical="center"/>
    </xf>
    <xf numFmtId="165" fontId="12" fillId="19" borderId="27" xfId="0" applyNumberFormat="1" applyFont="1" applyFill="1" applyBorder="1" applyAlignment="1">
      <alignment horizontal="center" vertical="center"/>
    </xf>
    <xf numFmtId="0" fontId="29" fillId="11" borderId="27" xfId="0" applyFont="1" applyFill="1" applyBorder="1" applyAlignment="1">
      <alignment vertical="center" wrapText="1"/>
    </xf>
    <xf numFmtId="165" fontId="33" fillId="0" borderId="27" xfId="0" applyNumberFormat="1" applyFont="1" applyBorder="1" applyAlignment="1">
      <alignment horizontal="center" vertical="center"/>
    </xf>
    <xf numFmtId="0" fontId="28" fillId="15" borderId="27" xfId="0" applyFont="1" applyFill="1" applyBorder="1" applyAlignment="1">
      <alignment horizontal="center" vertical="center"/>
    </xf>
    <xf numFmtId="0" fontId="28" fillId="15" borderId="27" xfId="0" applyFont="1" applyFill="1" applyBorder="1" applyAlignment="1">
      <alignment horizontal="left" vertical="center" wrapText="1"/>
    </xf>
    <xf numFmtId="0" fontId="28" fillId="15" borderId="27" xfId="0" applyFont="1" applyFill="1" applyBorder="1" applyAlignment="1">
      <alignment vertical="center" wrapText="1"/>
    </xf>
    <xf numFmtId="165" fontId="28" fillId="15" borderId="27" xfId="0" applyNumberFormat="1" applyFont="1" applyFill="1" applyBorder="1" applyAlignment="1">
      <alignment horizontal="center" vertical="center" wrapText="1"/>
    </xf>
    <xf numFmtId="10" fontId="28" fillId="15" borderId="27" xfId="0" applyNumberFormat="1" applyFont="1" applyFill="1" applyBorder="1" applyAlignment="1">
      <alignment horizontal="center" vertical="center"/>
    </xf>
    <xf numFmtId="165" fontId="40" fillId="0" borderId="27" xfId="0" applyNumberFormat="1" applyFont="1" applyBorder="1" applyAlignment="1">
      <alignment horizontal="center" vertical="center"/>
    </xf>
    <xf numFmtId="0" fontId="13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left" vertical="center" wrapText="1"/>
    </xf>
    <xf numFmtId="165" fontId="13" fillId="6" borderId="27" xfId="0" applyNumberFormat="1" applyFont="1" applyFill="1" applyBorder="1" applyAlignment="1">
      <alignment horizontal="center" vertical="center"/>
    </xf>
    <xf numFmtId="165" fontId="30" fillId="6" borderId="2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8" fontId="12" fillId="0" borderId="0" xfId="0" applyNumberFormat="1" applyFont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9" fontId="11" fillId="20" borderId="28" xfId="0" applyNumberFormat="1" applyFont="1" applyFill="1" applyBorder="1" applyAlignment="1">
      <alignment horizontal="right" vertical="center" wrapText="1"/>
    </xf>
    <xf numFmtId="169" fontId="11" fillId="20" borderId="28" xfId="0" applyNumberFormat="1" applyFont="1" applyFill="1" applyBorder="1" applyAlignment="1">
      <alignment horizontal="center" vertical="center" wrapText="1"/>
    </xf>
    <xf numFmtId="168" fontId="11" fillId="20" borderId="28" xfId="0" applyNumberFormat="1" applyFont="1" applyFill="1" applyBorder="1" applyAlignment="1">
      <alignment horizontal="center" vertical="center"/>
    </xf>
    <xf numFmtId="168" fontId="11" fillId="18" borderId="4" xfId="0" applyNumberFormat="1" applyFont="1" applyFill="1" applyBorder="1" applyAlignment="1">
      <alignment horizontal="center" vertical="center"/>
    </xf>
    <xf numFmtId="10" fontId="11" fillId="18" borderId="4" xfId="0" applyNumberFormat="1" applyFont="1" applyFill="1" applyBorder="1" applyAlignment="1">
      <alignment horizontal="center" vertical="center"/>
    </xf>
    <xf numFmtId="170" fontId="13" fillId="0" borderId="0" xfId="0" applyNumberFormat="1" applyFont="1" applyAlignment="1">
      <alignment vertical="center"/>
    </xf>
    <xf numFmtId="170" fontId="13" fillId="0" borderId="0" xfId="0" applyNumberFormat="1" applyFont="1" applyAlignment="1">
      <alignment horizontal="left" vertical="center"/>
    </xf>
    <xf numFmtId="0" fontId="11" fillId="13" borderId="28" xfId="0" applyFont="1" applyFill="1" applyBorder="1" applyAlignment="1">
      <alignment horizontal="right" vertical="center"/>
    </xf>
    <xf numFmtId="164" fontId="11" fillId="13" borderId="28" xfId="0" applyNumberFormat="1" applyFont="1" applyFill="1" applyBorder="1" applyAlignment="1">
      <alignment horizontal="right" vertical="center"/>
    </xf>
    <xf numFmtId="0" fontId="11" fillId="22" borderId="28" xfId="0" applyFont="1" applyFill="1" applyBorder="1" applyAlignment="1">
      <alignment horizontal="center" vertical="center"/>
    </xf>
    <xf numFmtId="168" fontId="11" fillId="13" borderId="28" xfId="0" applyNumberFormat="1" applyFont="1" applyFill="1" applyBorder="1" applyAlignment="1">
      <alignment horizontal="center" vertical="center"/>
    </xf>
    <xf numFmtId="168" fontId="11" fillId="4" borderId="28" xfId="0" applyNumberFormat="1" applyFont="1" applyFill="1" applyBorder="1" applyAlignment="1">
      <alignment horizontal="center" vertical="center"/>
    </xf>
    <xf numFmtId="168" fontId="2" fillId="4" borderId="28" xfId="0" applyNumberFormat="1" applyFont="1" applyFill="1" applyBorder="1" applyAlignment="1">
      <alignment horizontal="center" vertical="center" wrapText="1"/>
    </xf>
    <xf numFmtId="168" fontId="2" fillId="4" borderId="28" xfId="0" applyNumberFormat="1" applyFont="1" applyFill="1" applyBorder="1" applyAlignment="1">
      <alignment horizontal="center" vertical="center"/>
    </xf>
    <xf numFmtId="170" fontId="12" fillId="0" borderId="0" xfId="0" applyNumberFormat="1" applyFont="1" applyAlignment="1">
      <alignment vertical="center"/>
    </xf>
    <xf numFmtId="170" fontId="12" fillId="0" borderId="0" xfId="0" applyNumberFormat="1" applyFont="1" applyAlignment="1">
      <alignment horizontal="left" vertical="center"/>
    </xf>
    <xf numFmtId="168" fontId="11" fillId="13" borderId="28" xfId="0" applyNumberFormat="1" applyFont="1" applyFill="1" applyBorder="1" applyAlignment="1">
      <alignment horizontal="right" vertical="center"/>
    </xf>
    <xf numFmtId="10" fontId="11" fillId="13" borderId="28" xfId="0" applyNumberFormat="1" applyFont="1" applyFill="1" applyBorder="1" applyAlignment="1">
      <alignment horizontal="center" vertical="center"/>
    </xf>
    <xf numFmtId="168" fontId="12" fillId="18" borderId="28" xfId="0" applyNumberFormat="1" applyFont="1" applyFill="1" applyBorder="1" applyAlignment="1">
      <alignment horizontal="center" vertical="center"/>
    </xf>
    <xf numFmtId="168" fontId="13" fillId="18" borderId="28" xfId="0" applyNumberFormat="1" applyFont="1" applyFill="1" applyBorder="1" applyAlignment="1">
      <alignment vertical="center"/>
    </xf>
    <xf numFmtId="171" fontId="13" fillId="18" borderId="28" xfId="0" applyNumberFormat="1" applyFont="1" applyFill="1" applyBorder="1" applyAlignment="1">
      <alignment horizontal="right" vertical="center"/>
    </xf>
    <xf numFmtId="168" fontId="11" fillId="13" borderId="28" xfId="0" applyNumberFormat="1" applyFont="1" applyFill="1" applyBorder="1"/>
    <xf numFmtId="168" fontId="2" fillId="4" borderId="28" xfId="0" applyNumberFormat="1" applyFont="1" applyFill="1" applyBorder="1" applyAlignment="1">
      <alignment vertical="center"/>
    </xf>
    <xf numFmtId="171" fontId="2" fillId="4" borderId="28" xfId="0" applyNumberFormat="1" applyFont="1" applyFill="1" applyBorder="1" applyAlignment="1">
      <alignment horizontal="right" vertical="center"/>
    </xf>
    <xf numFmtId="0" fontId="11" fillId="4" borderId="28" xfId="0" applyFont="1" applyFill="1" applyBorder="1" applyAlignment="1">
      <alignment vertical="center"/>
    </xf>
    <xf numFmtId="0" fontId="11" fillId="23" borderId="28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6" borderId="4" xfId="0" applyFont="1" applyFill="1" applyBorder="1" applyAlignment="1">
      <alignment vertical="center"/>
    </xf>
    <xf numFmtId="171" fontId="2" fillId="6" borderId="4" xfId="0" applyNumberFormat="1" applyFont="1" applyFill="1" applyBorder="1" applyAlignment="1">
      <alignment horizontal="right" vertical="center"/>
    </xf>
    <xf numFmtId="0" fontId="11" fillId="24" borderId="28" xfId="0" applyFont="1" applyFill="1" applyBorder="1" applyAlignment="1">
      <alignment horizontal="right" vertical="center"/>
    </xf>
    <xf numFmtId="164" fontId="11" fillId="24" borderId="28" xfId="0" applyNumberFormat="1" applyFont="1" applyFill="1" applyBorder="1" applyAlignment="1">
      <alignment horizontal="right" vertical="center"/>
    </xf>
    <xf numFmtId="10" fontId="11" fillId="24" borderId="28" xfId="0" applyNumberFormat="1" applyFont="1" applyFill="1" applyBorder="1" applyAlignment="1">
      <alignment horizontal="center" vertical="center"/>
    </xf>
    <xf numFmtId="168" fontId="11" fillId="24" borderId="28" xfId="0" applyNumberFormat="1" applyFont="1" applyFill="1" applyBorder="1" applyAlignment="1">
      <alignment horizontal="right" vertical="center"/>
    </xf>
    <xf numFmtId="168" fontId="2" fillId="6" borderId="4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2" fillId="2" borderId="28" xfId="0" applyFont="1" applyFill="1" applyBorder="1" applyAlignment="1">
      <alignment horizontal="right" vertical="center"/>
    </xf>
    <xf numFmtId="168" fontId="11" fillId="2" borderId="28" xfId="0" applyNumberFormat="1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10" fontId="2" fillId="2" borderId="2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vertical="center"/>
    </xf>
    <xf numFmtId="10" fontId="13" fillId="0" borderId="0" xfId="0" applyNumberFormat="1" applyFont="1" applyAlignment="1">
      <alignment vertical="center"/>
    </xf>
    <xf numFmtId="168" fontId="12" fillId="18" borderId="0" xfId="0" applyNumberFormat="1" applyFont="1" applyFill="1" applyAlignment="1">
      <alignment vertical="center"/>
    </xf>
    <xf numFmtId="0" fontId="12" fillId="18" borderId="0" xfId="0" applyFont="1" applyFill="1" applyAlignment="1">
      <alignment vertical="center"/>
    </xf>
    <xf numFmtId="0" fontId="13" fillId="18" borderId="0" xfId="0" applyFont="1" applyFill="1" applyAlignment="1">
      <alignment vertical="center"/>
    </xf>
    <xf numFmtId="0" fontId="13" fillId="6" borderId="4" xfId="0" applyFont="1" applyFill="1" applyBorder="1" applyAlignment="1">
      <alignment horizontal="left" vertical="center"/>
    </xf>
    <xf numFmtId="0" fontId="41" fillId="6" borderId="4" xfId="0" applyFont="1" applyFill="1" applyBorder="1" applyAlignment="1">
      <alignment vertical="center"/>
    </xf>
    <xf numFmtId="0" fontId="41" fillId="6" borderId="4" xfId="0" applyFont="1" applyFill="1" applyBorder="1" applyAlignment="1">
      <alignment horizontal="left" vertical="center"/>
    </xf>
    <xf numFmtId="168" fontId="12" fillId="18" borderId="4" xfId="0" applyNumberFormat="1" applyFont="1" applyFill="1" applyBorder="1" applyAlignment="1">
      <alignment vertical="center"/>
    </xf>
    <xf numFmtId="0" fontId="12" fillId="18" borderId="4" xfId="0" applyFont="1" applyFill="1" applyBorder="1" applyAlignment="1">
      <alignment vertical="center"/>
    </xf>
    <xf numFmtId="4" fontId="13" fillId="18" borderId="4" xfId="0" applyNumberFormat="1" applyFont="1" applyFill="1" applyBorder="1" applyAlignment="1">
      <alignment vertical="center"/>
    </xf>
    <xf numFmtId="4" fontId="13" fillId="18" borderId="0" xfId="0" applyNumberFormat="1" applyFont="1" applyFill="1" applyAlignment="1">
      <alignment vertical="center"/>
    </xf>
    <xf numFmtId="4" fontId="13" fillId="0" borderId="0" xfId="0" applyNumberFormat="1" applyFont="1" applyAlignment="1">
      <alignment vertical="center"/>
    </xf>
    <xf numFmtId="0" fontId="42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165" fontId="12" fillId="18" borderId="4" xfId="0" applyNumberFormat="1" applyFont="1" applyFill="1" applyBorder="1" applyAlignment="1">
      <alignment vertical="center"/>
    </xf>
    <xf numFmtId="0" fontId="13" fillId="18" borderId="4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4" fillId="0" borderId="0" xfId="0" applyFont="1"/>
    <xf numFmtId="0" fontId="44" fillId="0" borderId="0" xfId="0" applyFont="1" applyAlignment="1">
      <alignment horizontal="left"/>
    </xf>
    <xf numFmtId="10" fontId="4" fillId="0" borderId="0" xfId="0" applyNumberFormat="1" applyFont="1"/>
    <xf numFmtId="0" fontId="7" fillId="0" borderId="0" xfId="0" applyFont="1" applyAlignment="1">
      <alignment horizontal="left"/>
    </xf>
    <xf numFmtId="0" fontId="7" fillId="25" borderId="4" xfId="0" applyFont="1" applyFill="1" applyBorder="1"/>
    <xf numFmtId="0" fontId="7" fillId="25" borderId="4" xfId="0" applyFont="1" applyFill="1" applyBorder="1" applyAlignment="1">
      <alignment horizontal="left"/>
    </xf>
    <xf numFmtId="0" fontId="7" fillId="26" borderId="4" xfId="0" applyFont="1" applyFill="1" applyBorder="1"/>
    <xf numFmtId="4" fontId="7" fillId="26" borderId="4" xfId="0" applyNumberFormat="1" applyFont="1" applyFill="1" applyBorder="1"/>
    <xf numFmtId="165" fontId="7" fillId="18" borderId="27" xfId="0" applyNumberFormat="1" applyFont="1" applyFill="1" applyBorder="1"/>
    <xf numFmtId="168" fontId="13" fillId="18" borderId="28" xfId="0" applyNumberFormat="1" applyFont="1" applyFill="1" applyBorder="1" applyAlignment="1">
      <alignment vertical="center"/>
    </xf>
    <xf numFmtId="171" fontId="13" fillId="18" borderId="28" xfId="0" applyNumberFormat="1" applyFont="1" applyFill="1" applyBorder="1" applyAlignment="1">
      <alignment horizontal="right" vertical="center"/>
    </xf>
    <xf numFmtId="165" fontId="45" fillId="0" borderId="27" xfId="0" applyNumberFormat="1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165" fontId="7" fillId="18" borderId="27" xfId="0" applyNumberFormat="1" applyFont="1" applyFill="1" applyBorder="1" applyAlignment="1"/>
    <xf numFmtId="165" fontId="45" fillId="0" borderId="27" xfId="0" applyNumberFormat="1" applyFont="1" applyBorder="1" applyAlignment="1">
      <alignment horizontal="right" vertical="center"/>
    </xf>
    <xf numFmtId="0" fontId="18" fillId="11" borderId="27" xfId="0" applyFont="1" applyFill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165" fontId="21" fillId="0" borderId="27" xfId="0" applyNumberFormat="1" applyFont="1" applyBorder="1" applyAlignment="1">
      <alignment horizontal="center" vertical="center"/>
    </xf>
    <xf numFmtId="165" fontId="12" fillId="8" borderId="27" xfId="0" applyNumberFormat="1" applyFont="1" applyFill="1" applyBorder="1" applyAlignment="1">
      <alignment horizontal="center" vertical="center"/>
    </xf>
    <xf numFmtId="165" fontId="12" fillId="24" borderId="27" xfId="0" applyNumberFormat="1" applyFont="1" applyFill="1" applyBorder="1" applyAlignment="1">
      <alignment horizontal="center" vertical="center"/>
    </xf>
    <xf numFmtId="0" fontId="46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/>
    </xf>
    <xf numFmtId="165" fontId="13" fillId="19" borderId="27" xfId="0" applyNumberFormat="1" applyFont="1" applyFill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 wrapText="1"/>
    </xf>
    <xf numFmtId="165" fontId="30" fillId="0" borderId="27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68" fontId="12" fillId="18" borderId="28" xfId="0" applyNumberFormat="1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left" vertical="center"/>
    </xf>
    <xf numFmtId="165" fontId="12" fillId="11" borderId="27" xfId="0" applyNumberFormat="1" applyFont="1" applyFill="1" applyBorder="1" applyAlignment="1">
      <alignment horizontal="center" vertical="center"/>
    </xf>
    <xf numFmtId="165" fontId="12" fillId="27" borderId="27" xfId="0" applyNumberFormat="1" applyFont="1" applyFill="1" applyBorder="1" applyAlignment="1">
      <alignment horizontal="center" vertical="center"/>
    </xf>
    <xf numFmtId="0" fontId="41" fillId="11" borderId="27" xfId="0" applyFont="1" applyFill="1" applyBorder="1" applyAlignment="1">
      <alignment horizontal="center" vertical="center" wrapText="1"/>
    </xf>
    <xf numFmtId="0" fontId="13" fillId="19" borderId="27" xfId="0" applyFont="1" applyFill="1" applyBorder="1" applyAlignment="1">
      <alignment horizontal="center" vertical="center" wrapText="1"/>
    </xf>
    <xf numFmtId="165" fontId="31" fillId="0" borderId="27" xfId="0" applyNumberFormat="1" applyFont="1" applyBorder="1" applyAlignment="1">
      <alignment horizontal="center" vertical="center"/>
    </xf>
    <xf numFmtId="165" fontId="31" fillId="11" borderId="27" xfId="0" applyNumberFormat="1" applyFont="1" applyFill="1" applyBorder="1" applyAlignment="1">
      <alignment horizontal="center" vertical="center" wrapText="1"/>
    </xf>
    <xf numFmtId="165" fontId="12" fillId="13" borderId="27" xfId="0" applyNumberFormat="1" applyFont="1" applyFill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165" fontId="19" fillId="0" borderId="27" xfId="0" applyNumberFormat="1" applyFont="1" applyBorder="1" applyAlignment="1">
      <alignment horizontal="center" vertical="center"/>
    </xf>
    <xf numFmtId="165" fontId="47" fillId="11" borderId="27" xfId="0" applyNumberFormat="1" applyFont="1" applyFill="1" applyBorder="1" applyAlignment="1">
      <alignment horizontal="right" vertical="center" wrapText="1"/>
    </xf>
    <xf numFmtId="0" fontId="48" fillId="6" borderId="0" xfId="0" applyFont="1" applyFill="1" applyAlignment="1"/>
    <xf numFmtId="165" fontId="19" fillId="19" borderId="27" xfId="0" applyNumberFormat="1" applyFont="1" applyFill="1" applyBorder="1" applyAlignment="1">
      <alignment horizontal="center" vertical="center" wrapText="1"/>
    </xf>
    <xf numFmtId="165" fontId="19" fillId="19" borderId="27" xfId="0" applyNumberFormat="1" applyFont="1" applyFill="1" applyBorder="1" applyAlignment="1">
      <alignment horizontal="center" vertical="center"/>
    </xf>
    <xf numFmtId="165" fontId="13" fillId="11" borderId="27" xfId="0" applyNumberFormat="1" applyFont="1" applyFill="1" applyBorder="1" applyAlignment="1">
      <alignment horizontal="center" vertical="center" wrapText="1"/>
    </xf>
    <xf numFmtId="164" fontId="12" fillId="18" borderId="0" xfId="0" applyNumberFormat="1" applyFont="1" applyFill="1" applyAlignment="1">
      <alignment vertical="center"/>
    </xf>
    <xf numFmtId="168" fontId="12" fillId="18" borderId="4" xfId="0" applyNumberFormat="1" applyFont="1" applyFill="1" applyBorder="1" applyAlignment="1">
      <alignment vertical="center"/>
    </xf>
    <xf numFmtId="168" fontId="11" fillId="28" borderId="27" xfId="0" applyNumberFormat="1" applyFont="1" applyFill="1" applyBorder="1" applyAlignment="1">
      <alignment horizontal="center" vertical="center"/>
    </xf>
    <xf numFmtId="165" fontId="11" fillId="28" borderId="27" xfId="0" applyNumberFormat="1" applyFont="1" applyFill="1" applyBorder="1" applyAlignment="1">
      <alignment horizontal="center" vertical="center"/>
    </xf>
    <xf numFmtId="165" fontId="4" fillId="28" borderId="27" xfId="0" applyNumberFormat="1" applyFont="1" applyFill="1" applyBorder="1" applyAlignment="1">
      <alignment horizontal="right" vertical="center" wrapText="1"/>
    </xf>
    <xf numFmtId="165" fontId="4" fillId="28" borderId="27" xfId="0" applyNumberFormat="1" applyFont="1" applyFill="1" applyBorder="1" applyAlignment="1">
      <alignment horizontal="right" vertical="center" wrapText="1"/>
    </xf>
    <xf numFmtId="165" fontId="7" fillId="28" borderId="27" xfId="0" applyNumberFormat="1" applyFont="1" applyFill="1" applyBorder="1" applyAlignment="1">
      <alignment horizontal="right" vertical="center" wrapText="1"/>
    </xf>
    <xf numFmtId="165" fontId="7" fillId="28" borderId="27" xfId="0" applyNumberFormat="1" applyFont="1" applyFill="1" applyBorder="1" applyAlignment="1">
      <alignment horizontal="right" vertical="center" wrapText="1"/>
    </xf>
    <xf numFmtId="165" fontId="49" fillId="28" borderId="27" xfId="0" applyNumberFormat="1" applyFont="1" applyFill="1" applyBorder="1" applyAlignment="1">
      <alignment horizontal="right" vertical="center" wrapText="1"/>
    </xf>
    <xf numFmtId="165" fontId="50" fillId="11" borderId="27" xfId="0" applyNumberFormat="1" applyFont="1" applyFill="1" applyBorder="1" applyAlignment="1">
      <alignment horizontal="right" vertical="center" wrapText="1"/>
    </xf>
    <xf numFmtId="165" fontId="51" fillId="28" borderId="27" xfId="0" applyNumberFormat="1" applyFont="1" applyFill="1" applyBorder="1" applyAlignment="1">
      <alignment horizontal="right" vertical="center" wrapText="1"/>
    </xf>
    <xf numFmtId="165" fontId="49" fillId="24" borderId="27" xfId="0" applyNumberFormat="1" applyFont="1" applyFill="1" applyBorder="1" applyAlignment="1">
      <alignment horizontal="right" vertical="center" wrapText="1"/>
    </xf>
    <xf numFmtId="165" fontId="51" fillId="24" borderId="27" xfId="0" applyNumberFormat="1" applyFont="1" applyFill="1" applyBorder="1" applyAlignment="1">
      <alignment horizontal="right" vertical="center" wrapText="1"/>
    </xf>
    <xf numFmtId="165" fontId="11" fillId="28" borderId="27" xfId="0" applyNumberFormat="1" applyFont="1" applyFill="1" applyBorder="1" applyAlignment="1">
      <alignment horizontal="center" vertical="center" wrapText="1"/>
    </xf>
    <xf numFmtId="165" fontId="12" fillId="28" borderId="27" xfId="0" applyNumberFormat="1" applyFont="1" applyFill="1" applyBorder="1" applyAlignment="1">
      <alignment horizontal="center" vertical="center" wrapText="1"/>
    </xf>
    <xf numFmtId="165" fontId="30" fillId="28" borderId="27" xfId="0" applyNumberFormat="1" applyFont="1" applyFill="1" applyBorder="1" applyAlignment="1">
      <alignment horizontal="center" vertical="center" wrapText="1"/>
    </xf>
    <xf numFmtId="165" fontId="26" fillId="28" borderId="27" xfId="0" applyNumberFormat="1" applyFont="1" applyFill="1" applyBorder="1" applyAlignment="1">
      <alignment horizontal="center" vertical="center" wrapText="1"/>
    </xf>
    <xf numFmtId="165" fontId="33" fillId="28" borderId="27" xfId="0" applyNumberFormat="1" applyFont="1" applyFill="1" applyBorder="1" applyAlignment="1">
      <alignment horizontal="center" vertical="center" wrapText="1"/>
    </xf>
    <xf numFmtId="165" fontId="13" fillId="28" borderId="27" xfId="0" applyNumberFormat="1" applyFont="1" applyFill="1" applyBorder="1" applyAlignment="1">
      <alignment horizontal="center" vertical="center" wrapText="1"/>
    </xf>
    <xf numFmtId="165" fontId="29" fillId="28" borderId="27" xfId="0" applyNumberFormat="1" applyFont="1" applyFill="1" applyBorder="1" applyAlignment="1">
      <alignment horizontal="center" vertical="center" wrapText="1"/>
    </xf>
    <xf numFmtId="165" fontId="31" fillId="28" borderId="27" xfId="0" applyNumberFormat="1" applyFont="1" applyFill="1" applyBorder="1" applyAlignment="1">
      <alignment horizontal="center" vertical="center" wrapText="1"/>
    </xf>
    <xf numFmtId="165" fontId="14" fillId="28" borderId="27" xfId="0" applyNumberFormat="1" applyFont="1" applyFill="1" applyBorder="1" applyAlignment="1">
      <alignment horizontal="right" vertical="center" wrapText="1"/>
    </xf>
    <xf numFmtId="165" fontId="12" fillId="28" borderId="27" xfId="0" applyNumberFormat="1" applyFont="1" applyFill="1" applyBorder="1" applyAlignment="1">
      <alignment horizontal="center" vertical="center" wrapText="1"/>
    </xf>
    <xf numFmtId="165" fontId="28" fillId="28" borderId="27" xfId="0" applyNumberFormat="1" applyFont="1" applyFill="1" applyBorder="1" applyAlignment="1">
      <alignment horizontal="center" vertical="center" wrapText="1"/>
    </xf>
    <xf numFmtId="0" fontId="7" fillId="28" borderId="0" xfId="0" applyFont="1" applyFill="1"/>
    <xf numFmtId="165" fontId="31" fillId="28" borderId="27" xfId="0" applyNumberFormat="1" applyFont="1" applyFill="1" applyBorder="1" applyAlignment="1">
      <alignment horizontal="center" vertical="center" wrapText="1"/>
    </xf>
    <xf numFmtId="165" fontId="12" fillId="28" borderId="27" xfId="0" applyNumberFormat="1" applyFont="1" applyFill="1" applyBorder="1" applyAlignment="1">
      <alignment horizontal="right" vertical="center" wrapText="1"/>
    </xf>
    <xf numFmtId="0" fontId="12" fillId="28" borderId="0" xfId="0" applyFont="1" applyFill="1" applyAlignment="1">
      <alignment vertical="center" wrapText="1"/>
    </xf>
    <xf numFmtId="169" fontId="11" fillId="28" borderId="28" xfId="0" applyNumberFormat="1" applyFont="1" applyFill="1" applyBorder="1" applyAlignment="1">
      <alignment horizontal="center" vertical="center" wrapText="1"/>
    </xf>
    <xf numFmtId="164" fontId="11" fillId="28" borderId="28" xfId="0" applyNumberFormat="1" applyFont="1" applyFill="1" applyBorder="1" applyAlignment="1">
      <alignment horizontal="right" vertical="center"/>
    </xf>
    <xf numFmtId="168" fontId="11" fillId="28" borderId="28" xfId="0" applyNumberFormat="1" applyFont="1" applyFill="1" applyBorder="1" applyAlignment="1">
      <alignment horizontal="right" vertical="center"/>
    </xf>
    <xf numFmtId="0" fontId="11" fillId="28" borderId="28" xfId="0" applyFont="1" applyFill="1" applyBorder="1" applyAlignment="1">
      <alignment vertical="center"/>
    </xf>
    <xf numFmtId="0" fontId="12" fillId="28" borderId="0" xfId="0" applyFont="1" applyFill="1" applyAlignment="1">
      <alignment vertical="center"/>
    </xf>
    <xf numFmtId="0" fontId="12" fillId="28" borderId="4" xfId="0" applyFont="1" applyFill="1" applyBorder="1" applyAlignment="1">
      <alignment vertical="center"/>
    </xf>
    <xf numFmtId="0" fontId="1" fillId="28" borderId="0" xfId="0" applyFont="1" applyFill="1"/>
    <xf numFmtId="4" fontId="52" fillId="29" borderId="27" xfId="0" applyNumberFormat="1" applyFont="1" applyFill="1" applyBorder="1" applyAlignment="1">
      <alignment horizontal="center" vertical="center"/>
    </xf>
    <xf numFmtId="168" fontId="11" fillId="29" borderId="27" xfId="0" applyNumberFormat="1" applyFont="1" applyFill="1" applyBorder="1" applyAlignment="1">
      <alignment horizontal="center" vertical="center"/>
    </xf>
    <xf numFmtId="168" fontId="11" fillId="13" borderId="27" xfId="0" applyNumberFormat="1" applyFont="1" applyFill="1" applyBorder="1" applyAlignment="1">
      <alignment horizontal="center" vertical="center" wrapText="1"/>
    </xf>
    <xf numFmtId="168" fontId="52" fillId="29" borderId="27" xfId="0" applyNumberFormat="1" applyFont="1" applyFill="1" applyBorder="1" applyAlignment="1">
      <alignment horizontal="center" vertical="center" wrapText="1"/>
    </xf>
    <xf numFmtId="4" fontId="52" fillId="30" borderId="27" xfId="0" applyNumberFormat="1" applyFont="1" applyFill="1" applyBorder="1" applyAlignment="1">
      <alignment horizontal="center" vertical="center"/>
    </xf>
    <xf numFmtId="165" fontId="11" fillId="31" borderId="27" xfId="0" applyNumberFormat="1" applyFont="1" applyFill="1" applyBorder="1" applyAlignment="1">
      <alignment horizontal="center" vertical="center"/>
    </xf>
    <xf numFmtId="4" fontId="53" fillId="30" borderId="27" xfId="0" applyNumberFormat="1" applyFont="1" applyFill="1" applyBorder="1" applyAlignment="1">
      <alignment horizontal="center" vertical="center"/>
    </xf>
    <xf numFmtId="165" fontId="12" fillId="31" borderId="27" xfId="0" applyNumberFormat="1" applyFont="1" applyFill="1" applyBorder="1" applyAlignment="1">
      <alignment horizontal="center" vertical="center"/>
    </xf>
    <xf numFmtId="165" fontId="7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10" fillId="20" borderId="27" xfId="0" applyNumberFormat="1" applyFont="1" applyFill="1" applyBorder="1" applyAlignment="1">
      <alignment horizontal="right" vertical="center" wrapText="1"/>
    </xf>
    <xf numFmtId="165" fontId="7" fillId="20" borderId="27" xfId="0" applyNumberFormat="1" applyFont="1" applyFill="1" applyBorder="1" applyAlignment="1">
      <alignment horizontal="right" vertical="center" wrapText="1"/>
    </xf>
    <xf numFmtId="165" fontId="7" fillId="8" borderId="27" xfId="0" applyNumberFormat="1" applyFont="1" applyFill="1" applyBorder="1" applyAlignment="1">
      <alignment horizontal="right" vertical="center" wrapText="1"/>
    </xf>
    <xf numFmtId="165" fontId="4" fillId="8" borderId="27" xfId="0" applyNumberFormat="1" applyFont="1" applyFill="1" applyBorder="1" applyAlignment="1">
      <alignment horizontal="right" vertical="center" wrapText="1"/>
    </xf>
    <xf numFmtId="165" fontId="7" fillId="32" borderId="27" xfId="0" applyNumberFormat="1" applyFont="1" applyFill="1" applyBorder="1" applyAlignment="1">
      <alignment horizontal="right" vertical="center" wrapText="1"/>
    </xf>
    <xf numFmtId="165" fontId="7" fillId="33" borderId="27" xfId="0" applyNumberFormat="1" applyFont="1" applyFill="1" applyBorder="1" applyAlignment="1">
      <alignment horizontal="right" vertical="center" wrapText="1"/>
    </xf>
    <xf numFmtId="165" fontId="13" fillId="31" borderId="27" xfId="0" applyNumberFormat="1" applyFont="1" applyFill="1" applyBorder="1" applyAlignment="1">
      <alignment horizontal="center" vertical="center"/>
    </xf>
    <xf numFmtId="165" fontId="7" fillId="0" borderId="27" xfId="0" applyNumberFormat="1" applyFont="1" applyBorder="1" applyAlignment="1">
      <alignment horizontal="right" vertical="center" wrapText="1"/>
    </xf>
    <xf numFmtId="165" fontId="12" fillId="11" borderId="0" xfId="0" applyNumberFormat="1" applyFont="1" applyFill="1" applyAlignment="1">
      <alignment horizontal="center" vertical="center" wrapText="1"/>
    </xf>
    <xf numFmtId="165" fontId="28" fillId="12" borderId="27" xfId="0" applyNumberFormat="1" applyFont="1" applyFill="1" applyBorder="1" applyAlignment="1">
      <alignment horizontal="center" vertical="center" wrapText="1"/>
    </xf>
    <xf numFmtId="165" fontId="7" fillId="32" borderId="27" xfId="0" applyNumberFormat="1" applyFont="1" applyFill="1" applyBorder="1" applyAlignment="1">
      <alignment horizontal="right" vertical="center" wrapText="1"/>
    </xf>
    <xf numFmtId="4" fontId="53" fillId="30" borderId="0" xfId="0" applyNumberFormat="1" applyFont="1" applyFill="1" applyAlignment="1">
      <alignment horizontal="center" vertical="center"/>
    </xf>
    <xf numFmtId="168" fontId="12" fillId="31" borderId="0" xfId="0" applyNumberFormat="1" applyFont="1" applyFill="1" applyAlignment="1">
      <alignment horizontal="center" vertical="center"/>
    </xf>
    <xf numFmtId="4" fontId="52" fillId="30" borderId="0" xfId="0" applyNumberFormat="1" applyFont="1" applyFill="1" applyAlignment="1">
      <alignment horizontal="center" vertical="center"/>
    </xf>
    <xf numFmtId="168" fontId="11" fillId="20" borderId="0" xfId="0" applyNumberFormat="1" applyFont="1" applyFill="1" applyAlignment="1">
      <alignment horizontal="center" vertical="center"/>
    </xf>
    <xf numFmtId="168" fontId="11" fillId="31" borderId="0" xfId="0" applyNumberFormat="1" applyFont="1" applyFill="1" applyAlignment="1">
      <alignment horizontal="center" vertical="center"/>
    </xf>
    <xf numFmtId="168" fontId="11" fillId="4" borderId="0" xfId="0" applyNumberFormat="1" applyFont="1" applyFill="1" applyAlignment="1">
      <alignment horizontal="center" vertical="center"/>
    </xf>
    <xf numFmtId="168" fontId="12" fillId="18" borderId="0" xfId="0" applyNumberFormat="1" applyFont="1" applyFill="1" applyAlignment="1">
      <alignment horizontal="center" vertical="center"/>
    </xf>
    <xf numFmtId="4" fontId="52" fillId="30" borderId="4" xfId="0" applyNumberFormat="1" applyFont="1" applyFill="1" applyBorder="1" applyAlignment="1">
      <alignment horizontal="center" vertical="center"/>
    </xf>
    <xf numFmtId="168" fontId="11" fillId="31" borderId="4" xfId="0" applyNumberFormat="1" applyFont="1" applyFill="1" applyBorder="1" applyAlignment="1">
      <alignment horizontal="center" vertical="center"/>
    </xf>
    <xf numFmtId="4" fontId="53" fillId="30" borderId="0" xfId="0" applyNumberFormat="1" applyFont="1" applyFill="1" applyAlignment="1">
      <alignment vertical="center"/>
    </xf>
    <xf numFmtId="0" fontId="13" fillId="31" borderId="0" xfId="0" applyFont="1" applyFill="1" applyAlignment="1">
      <alignment vertical="center"/>
    </xf>
    <xf numFmtId="4" fontId="54" fillId="30" borderId="0" xfId="0" applyNumberFormat="1" applyFont="1" applyFill="1"/>
    <xf numFmtId="0" fontId="1" fillId="31" borderId="0" xfId="0" applyFont="1" applyFill="1"/>
    <xf numFmtId="0" fontId="7" fillId="34" borderId="4" xfId="0" applyFont="1" applyFill="1" applyBorder="1"/>
    <xf numFmtId="0" fontId="7" fillId="0" borderId="0" xfId="0" applyFont="1" applyAlignment="1">
      <alignment horizontal="center"/>
    </xf>
    <xf numFmtId="0" fontId="4" fillId="35" borderId="4" xfId="0" applyFont="1" applyFill="1" applyBorder="1"/>
    <xf numFmtId="0" fontId="55" fillId="35" borderId="4" xfId="0" applyFont="1" applyFill="1" applyBorder="1"/>
    <xf numFmtId="0" fontId="16" fillId="18" borderId="4" xfId="0" applyFont="1" applyFill="1" applyBorder="1" applyAlignment="1">
      <alignment horizontal="center"/>
    </xf>
    <xf numFmtId="0" fontId="5" fillId="35" borderId="4" xfId="0" applyFont="1" applyFill="1" applyBorder="1"/>
    <xf numFmtId="164" fontId="5" fillId="35" borderId="4" xfId="0" applyNumberFormat="1" applyFont="1" applyFill="1" applyBorder="1" applyAlignment="1">
      <alignment horizontal="right"/>
    </xf>
    <xf numFmtId="9" fontId="7" fillId="0" borderId="0" xfId="0" applyNumberFormat="1" applyFont="1"/>
    <xf numFmtId="0" fontId="2" fillId="35" borderId="4" xfId="0" applyFont="1" applyFill="1" applyBorder="1"/>
    <xf numFmtId="164" fontId="2" fillId="35" borderId="4" xfId="0" applyNumberFormat="1" applyFont="1" applyFill="1" applyBorder="1" applyAlignment="1">
      <alignment horizontal="right"/>
    </xf>
    <xf numFmtId="0" fontId="4" fillId="35" borderId="33" xfId="0" applyFont="1" applyFill="1" applyBorder="1"/>
    <xf numFmtId="165" fontId="5" fillId="34" borderId="34" xfId="0" applyNumberFormat="1" applyFont="1" applyFill="1" applyBorder="1" applyAlignment="1">
      <alignment horizontal="center"/>
    </xf>
    <xf numFmtId="0" fontId="16" fillId="35" borderId="4" xfId="0" applyFont="1" applyFill="1" applyBorder="1" applyAlignment="1">
      <alignment horizontal="center"/>
    </xf>
    <xf numFmtId="165" fontId="16" fillId="34" borderId="34" xfId="0" applyNumberFormat="1" applyFont="1" applyFill="1" applyBorder="1" applyAlignment="1">
      <alignment horizontal="center"/>
    </xf>
    <xf numFmtId="168" fontId="16" fillId="35" borderId="4" xfId="0" applyNumberFormat="1" applyFont="1" applyFill="1" applyBorder="1"/>
    <xf numFmtId="165" fontId="16" fillId="35" borderId="4" xfId="0" applyNumberFormat="1" applyFont="1" applyFill="1" applyBorder="1"/>
    <xf numFmtId="0" fontId="5" fillId="35" borderId="4" xfId="0" applyFont="1" applyFill="1" applyBorder="1" applyAlignment="1">
      <alignment horizontal="left"/>
    </xf>
    <xf numFmtId="0" fontId="2" fillId="35" borderId="4" xfId="0" applyFont="1" applyFill="1" applyBorder="1" applyAlignment="1">
      <alignment horizontal="left"/>
    </xf>
    <xf numFmtId="10" fontId="7" fillId="0" borderId="0" xfId="0" applyNumberFormat="1" applyFont="1"/>
    <xf numFmtId="0" fontId="13" fillId="35" borderId="34" xfId="0" applyFont="1" applyFill="1" applyBorder="1"/>
    <xf numFmtId="165" fontId="13" fillId="35" borderId="34" xfId="0" applyNumberFormat="1" applyFont="1" applyFill="1" applyBorder="1"/>
    <xf numFmtId="9" fontId="13" fillId="35" borderId="34" xfId="0" applyNumberFormat="1" applyFont="1" applyFill="1" applyBorder="1" applyAlignment="1">
      <alignment horizontal="center"/>
    </xf>
    <xf numFmtId="0" fontId="55" fillId="35" borderId="34" xfId="0" applyFont="1" applyFill="1" applyBorder="1"/>
    <xf numFmtId="165" fontId="55" fillId="35" borderId="34" xfId="0" applyNumberFormat="1" applyFont="1" applyFill="1" applyBorder="1"/>
    <xf numFmtId="0" fontId="16" fillId="35" borderId="4" xfId="0" applyFont="1" applyFill="1" applyBorder="1"/>
    <xf numFmtId="0" fontId="2" fillId="34" borderId="4" xfId="0" applyFont="1" applyFill="1" applyBorder="1" applyAlignment="1">
      <alignment horizontal="left"/>
    </xf>
    <xf numFmtId="164" fontId="2" fillId="34" borderId="4" xfId="0" applyNumberFormat="1" applyFont="1" applyFill="1" applyBorder="1" applyAlignment="1">
      <alignment horizontal="right"/>
    </xf>
    <xf numFmtId="168" fontId="2" fillId="36" borderId="4" xfId="0" applyNumberFormat="1" applyFont="1" applyFill="1" applyBorder="1" applyAlignment="1">
      <alignment horizontal="right"/>
    </xf>
    <xf numFmtId="164" fontId="2" fillId="36" borderId="4" xfId="0" applyNumberFormat="1" applyFont="1" applyFill="1" applyBorder="1" applyAlignment="1">
      <alignment horizontal="right"/>
    </xf>
    <xf numFmtId="0" fontId="5" fillId="18" borderId="4" xfId="0" applyFont="1" applyFill="1" applyBorder="1"/>
    <xf numFmtId="167" fontId="5" fillId="18" borderId="4" xfId="0" applyNumberFormat="1" applyFont="1" applyFill="1" applyBorder="1"/>
    <xf numFmtId="164" fontId="5" fillId="18" borderId="4" xfId="0" applyNumberFormat="1" applyFont="1" applyFill="1" applyBorder="1" applyAlignment="1">
      <alignment horizontal="right"/>
    </xf>
    <xf numFmtId="165" fontId="16" fillId="8" borderId="4" xfId="0" applyNumberFormat="1" applyFont="1" applyFill="1" applyBorder="1"/>
    <xf numFmtId="165" fontId="4" fillId="35" borderId="4" xfId="0" applyNumberFormat="1" applyFont="1" applyFill="1" applyBorder="1"/>
    <xf numFmtId="165" fontId="4" fillId="35" borderId="4" xfId="0" applyNumberFormat="1" applyFont="1" applyFill="1" applyBorder="1" applyAlignment="1">
      <alignment horizontal="center"/>
    </xf>
    <xf numFmtId="0" fontId="13" fillId="0" borderId="34" xfId="0" applyFont="1" applyBorder="1"/>
    <xf numFmtId="165" fontId="13" fillId="0" borderId="34" xfId="0" applyNumberFormat="1" applyFont="1" applyBorder="1"/>
    <xf numFmtId="0" fontId="56" fillId="35" borderId="4" xfId="0" applyFont="1" applyFill="1" applyBorder="1"/>
    <xf numFmtId="0" fontId="56" fillId="35" borderId="4" xfId="0" applyFont="1" applyFill="1" applyBorder="1" applyAlignment="1">
      <alignment horizontal="right"/>
    </xf>
    <xf numFmtId="164" fontId="5" fillId="35" borderId="4" xfId="0" applyNumberFormat="1" applyFont="1" applyFill="1" applyBorder="1"/>
    <xf numFmtId="164" fontId="56" fillId="35" borderId="4" xfId="0" applyNumberFormat="1" applyFont="1" applyFill="1" applyBorder="1"/>
    <xf numFmtId="168" fontId="56" fillId="35" borderId="4" xfId="0" applyNumberFormat="1" applyFont="1" applyFill="1" applyBorder="1"/>
    <xf numFmtId="0" fontId="2" fillId="35" borderId="4" xfId="0" applyFont="1" applyFill="1" applyBorder="1" applyAlignment="1">
      <alignment horizontal="center"/>
    </xf>
    <xf numFmtId="0" fontId="12" fillId="0" borderId="0" xfId="0" applyFont="1"/>
    <xf numFmtId="168" fontId="5" fillId="35" borderId="4" xfId="0" applyNumberFormat="1" applyFont="1" applyFill="1" applyBorder="1"/>
    <xf numFmtId="164" fontId="2" fillId="35" borderId="4" xfId="0" applyNumberFormat="1" applyFont="1" applyFill="1" applyBorder="1"/>
    <xf numFmtId="171" fontId="56" fillId="35" borderId="4" xfId="0" applyNumberFormat="1" applyFont="1" applyFill="1" applyBorder="1"/>
    <xf numFmtId="168" fontId="2" fillId="35" borderId="4" xfId="0" applyNumberFormat="1" applyFont="1" applyFill="1" applyBorder="1"/>
    <xf numFmtId="164" fontId="4" fillId="18" borderId="4" xfId="0" applyNumberFormat="1" applyFont="1" applyFill="1" applyBorder="1"/>
    <xf numFmtId="164" fontId="13" fillId="18" borderId="4" xfId="0" applyNumberFormat="1" applyFont="1" applyFill="1" applyBorder="1"/>
    <xf numFmtId="0" fontId="2" fillId="5" borderId="4" xfId="0" applyFont="1" applyFill="1" applyBorder="1"/>
    <xf numFmtId="168" fontId="2" fillId="5" borderId="4" xfId="0" applyNumberFormat="1" applyFont="1" applyFill="1" applyBorder="1"/>
    <xf numFmtId="164" fontId="2" fillId="5" borderId="4" xfId="0" applyNumberFormat="1" applyFont="1" applyFill="1" applyBorder="1"/>
    <xf numFmtId="0" fontId="16" fillId="35" borderId="39" xfId="0" applyFont="1" applyFill="1" applyBorder="1"/>
    <xf numFmtId="165" fontId="16" fillId="35" borderId="39" xfId="0" applyNumberFormat="1" applyFont="1" applyFill="1" applyBorder="1"/>
    <xf numFmtId="0" fontId="57" fillId="35" borderId="39" xfId="0" applyFont="1" applyFill="1" applyBorder="1"/>
    <xf numFmtId="165" fontId="57" fillId="35" borderId="39" xfId="0" applyNumberFormat="1" applyFont="1" applyFill="1" applyBorder="1"/>
    <xf numFmtId="165" fontId="57" fillId="35" borderId="4" xfId="0" applyNumberFormat="1" applyFont="1" applyFill="1" applyBorder="1"/>
    <xf numFmtId="0" fontId="13" fillId="35" borderId="4" xfId="0" applyFont="1" applyFill="1" applyBorder="1"/>
    <xf numFmtId="165" fontId="13" fillId="35" borderId="4" xfId="0" applyNumberFormat="1" applyFont="1" applyFill="1" applyBorder="1"/>
    <xf numFmtId="9" fontId="13" fillId="35" borderId="4" xfId="0" applyNumberFormat="1" applyFont="1" applyFill="1" applyBorder="1" applyAlignment="1">
      <alignment horizontal="center"/>
    </xf>
    <xf numFmtId="164" fontId="16" fillId="35" borderId="4" xfId="0" applyNumberFormat="1" applyFont="1" applyFill="1" applyBorder="1" applyAlignment="1">
      <alignment horizontal="right"/>
    </xf>
    <xf numFmtId="0" fontId="16" fillId="35" borderId="42" xfId="0" applyFont="1" applyFill="1" applyBorder="1" applyAlignment="1">
      <alignment horizontal="left"/>
    </xf>
    <xf numFmtId="164" fontId="16" fillId="35" borderId="42" xfId="0" applyNumberFormat="1" applyFont="1" applyFill="1" applyBorder="1" applyAlignment="1">
      <alignment horizontal="right"/>
    </xf>
    <xf numFmtId="0" fontId="58" fillId="35" borderId="43" xfId="0" applyFont="1" applyFill="1" applyBorder="1" applyAlignment="1">
      <alignment horizontal="center"/>
    </xf>
    <xf numFmtId="164" fontId="58" fillId="18" borderId="4" xfId="0" applyNumberFormat="1" applyFont="1" applyFill="1" applyBorder="1" applyAlignment="1">
      <alignment horizontal="center"/>
    </xf>
    <xf numFmtId="0" fontId="58" fillId="35" borderId="42" xfId="0" applyFont="1" applyFill="1" applyBorder="1" applyAlignment="1">
      <alignment horizontal="left"/>
    </xf>
    <xf numFmtId="165" fontId="58" fillId="35" borderId="42" xfId="0" applyNumberFormat="1" applyFont="1" applyFill="1" applyBorder="1" applyAlignment="1">
      <alignment horizontal="right"/>
    </xf>
    <xf numFmtId="164" fontId="58" fillId="35" borderId="42" xfId="0" applyNumberFormat="1" applyFont="1" applyFill="1" applyBorder="1" applyAlignment="1">
      <alignment horizontal="center"/>
    </xf>
    <xf numFmtId="0" fontId="16" fillId="35" borderId="4" xfId="0" applyFont="1" applyFill="1" applyBorder="1" applyAlignment="1">
      <alignment horizontal="left"/>
    </xf>
    <xf numFmtId="164" fontId="16" fillId="8" borderId="4" xfId="0" applyNumberFormat="1" applyFont="1" applyFill="1" applyBorder="1" applyAlignment="1">
      <alignment horizontal="right"/>
    </xf>
    <xf numFmtId="0" fontId="58" fillId="35" borderId="4" xfId="0" applyFont="1" applyFill="1" applyBorder="1" applyAlignment="1">
      <alignment horizontal="left"/>
    </xf>
    <xf numFmtId="165" fontId="58" fillId="8" borderId="4" xfId="0" applyNumberFormat="1" applyFont="1" applyFill="1" applyBorder="1" applyAlignment="1">
      <alignment horizontal="right"/>
    </xf>
    <xf numFmtId="164" fontId="58" fillId="35" borderId="4" xfId="0" applyNumberFormat="1" applyFont="1" applyFill="1" applyBorder="1" applyAlignment="1">
      <alignment horizontal="left"/>
    </xf>
    <xf numFmtId="165" fontId="58" fillId="8" borderId="42" xfId="0" applyNumberFormat="1" applyFont="1" applyFill="1" applyBorder="1" applyAlignment="1">
      <alignment horizontal="right"/>
    </xf>
    <xf numFmtId="0" fontId="60" fillId="35" borderId="4" xfId="0" applyFont="1" applyFill="1" applyBorder="1" applyAlignment="1">
      <alignment horizontal="center"/>
    </xf>
    <xf numFmtId="164" fontId="1" fillId="0" borderId="0" xfId="0" applyNumberFormat="1" applyFont="1" applyAlignment="1"/>
    <xf numFmtId="164" fontId="1" fillId="0" borderId="0" xfId="0" applyNumberFormat="1" applyFont="1"/>
    <xf numFmtId="165" fontId="1" fillId="0" borderId="0" xfId="0" applyNumberFormat="1" applyFont="1"/>
    <xf numFmtId="168" fontId="1" fillId="0" borderId="0" xfId="0" applyNumberFormat="1" applyFont="1"/>
    <xf numFmtId="164" fontId="1" fillId="0" borderId="0" xfId="0" applyNumberFormat="1" applyFont="1"/>
    <xf numFmtId="164" fontId="61" fillId="0" borderId="0" xfId="0" applyNumberFormat="1" applyFont="1" applyAlignment="1"/>
    <xf numFmtId="0" fontId="62" fillId="0" borderId="0" xfId="0" applyFont="1" applyAlignment="1"/>
    <xf numFmtId="0" fontId="62" fillId="0" borderId="0" xfId="0" applyFont="1"/>
    <xf numFmtId="0" fontId="0" fillId="0" borderId="0" xfId="0" applyFont="1" applyAlignment="1"/>
    <xf numFmtId="164" fontId="0" fillId="0" borderId="0" xfId="0" applyNumberFormat="1" applyFont="1" applyAlignment="1">
      <alignment horizontal="right"/>
    </xf>
    <xf numFmtId="0" fontId="63" fillId="0" borderId="0" xfId="0" applyFont="1" applyAlignment="1"/>
    <xf numFmtId="0" fontId="64" fillId="0" borderId="0" xfId="0" applyFont="1"/>
    <xf numFmtId="0" fontId="6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/>
    <xf numFmtId="0" fontId="5" fillId="3" borderId="1" xfId="0" applyFont="1" applyFill="1" applyBorder="1"/>
    <xf numFmtId="168" fontId="9" fillId="10" borderId="19" xfId="0" applyNumberFormat="1" applyFont="1" applyFill="1" applyBorder="1" applyAlignment="1">
      <alignment horizontal="left" vertical="center"/>
    </xf>
    <xf numFmtId="0" fontId="3" fillId="0" borderId="21" xfId="0" applyFont="1" applyBorder="1"/>
    <xf numFmtId="0" fontId="8" fillId="8" borderId="15" xfId="0" applyFont="1" applyFill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164" fontId="9" fillId="9" borderId="18" xfId="0" applyNumberFormat="1" applyFont="1" applyFill="1" applyBorder="1" applyAlignment="1">
      <alignment horizontal="center" vertical="center"/>
    </xf>
    <xf numFmtId="0" fontId="3" fillId="0" borderId="22" xfId="0" applyFont="1" applyBorder="1"/>
    <xf numFmtId="164" fontId="9" fillId="9" borderId="19" xfId="0" applyNumberFormat="1" applyFont="1" applyFill="1" applyBorder="1" applyAlignment="1">
      <alignment horizontal="center" vertical="center"/>
    </xf>
    <xf numFmtId="0" fontId="3" fillId="0" borderId="20" xfId="0" applyFont="1" applyBorder="1"/>
    <xf numFmtId="0" fontId="9" fillId="10" borderId="19" xfId="0" applyFont="1" applyFill="1" applyBorder="1" applyAlignment="1">
      <alignment vertical="center"/>
    </xf>
    <xf numFmtId="168" fontId="11" fillId="21" borderId="29" xfId="0" applyNumberFormat="1" applyFont="1" applyFill="1" applyBorder="1" applyAlignment="1">
      <alignment horizontal="center" vertical="center"/>
    </xf>
    <xf numFmtId="0" fontId="3" fillId="0" borderId="31" xfId="0" applyFont="1" applyBorder="1"/>
    <xf numFmtId="0" fontId="3" fillId="0" borderId="30" xfId="0" applyFont="1" applyBorder="1"/>
    <xf numFmtId="0" fontId="2" fillId="6" borderId="1" xfId="0" applyFont="1" applyFill="1" applyBorder="1" applyAlignment="1">
      <alignment vertical="center"/>
    </xf>
    <xf numFmtId="0" fontId="2" fillId="12" borderId="24" xfId="0" applyFont="1" applyFill="1" applyBorder="1" applyAlignment="1">
      <alignment horizontal="center" vertical="center"/>
    </xf>
    <xf numFmtId="0" fontId="3" fillId="0" borderId="26" xfId="0" applyFont="1" applyBorder="1"/>
    <xf numFmtId="0" fontId="11" fillId="1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168" fontId="11" fillId="14" borderId="24" xfId="0" applyNumberFormat="1" applyFont="1" applyFill="1" applyBorder="1" applyAlignment="1">
      <alignment horizontal="center" vertical="center"/>
    </xf>
    <xf numFmtId="168" fontId="11" fillId="15" borderId="24" xfId="0" applyNumberFormat="1" applyFont="1" applyFill="1" applyBorder="1" applyAlignment="1">
      <alignment horizontal="center" vertical="center"/>
    </xf>
    <xf numFmtId="168" fontId="11" fillId="16" borderId="24" xfId="0" applyNumberFormat="1" applyFont="1" applyFill="1" applyBorder="1" applyAlignment="1">
      <alignment horizontal="center" vertical="center"/>
    </xf>
    <xf numFmtId="168" fontId="11" fillId="12" borderId="24" xfId="0" applyNumberFormat="1" applyFont="1" applyFill="1" applyBorder="1" applyAlignment="1">
      <alignment horizontal="center" vertical="center" wrapText="1"/>
    </xf>
    <xf numFmtId="168" fontId="11" fillId="20" borderId="29" xfId="0" applyNumberFormat="1" applyFont="1" applyFill="1" applyBorder="1" applyAlignment="1">
      <alignment horizontal="center" vertical="center"/>
    </xf>
    <xf numFmtId="168" fontId="11" fillId="9" borderId="24" xfId="0" applyNumberFormat="1" applyFont="1" applyFill="1" applyBorder="1" applyAlignment="1">
      <alignment horizontal="center" vertical="center"/>
    </xf>
    <xf numFmtId="168" fontId="11" fillId="8" borderId="29" xfId="0" applyNumberFormat="1" applyFont="1" applyFill="1" applyBorder="1" applyAlignment="1">
      <alignment horizontal="center" vertical="center"/>
    </xf>
    <xf numFmtId="168" fontId="11" fillId="10" borderId="29" xfId="0" applyNumberFormat="1" applyFont="1" applyFill="1" applyBorder="1" applyAlignment="1">
      <alignment horizontal="center" vertical="center"/>
    </xf>
    <xf numFmtId="0" fontId="59" fillId="35" borderId="35" xfId="0" applyFont="1" applyFill="1" applyBorder="1" applyAlignment="1">
      <alignment horizontal="center"/>
    </xf>
    <xf numFmtId="0" fontId="3" fillId="0" borderId="36" xfId="0" applyFont="1" applyBorder="1"/>
    <xf numFmtId="0" fontId="3" fillId="0" borderId="40" xfId="0" applyFont="1" applyBorder="1"/>
    <xf numFmtId="0" fontId="3" fillId="0" borderId="41" xfId="0" applyFont="1" applyBorder="1"/>
    <xf numFmtId="0" fontId="16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6" fillId="35" borderId="1" xfId="0" applyFont="1" applyFill="1" applyBorder="1" applyAlignment="1">
      <alignment horizontal="center"/>
    </xf>
    <xf numFmtId="0" fontId="58" fillId="35" borderId="35" xfId="0" applyFont="1" applyFill="1" applyBorder="1" applyAlignment="1">
      <alignment horizontal="center"/>
    </xf>
    <xf numFmtId="0" fontId="16" fillId="5" borderId="35" xfId="0" applyFont="1" applyFill="1" applyBorder="1" applyAlignment="1">
      <alignment horizontal="center" wrapText="1"/>
    </xf>
    <xf numFmtId="0" fontId="3" fillId="0" borderId="37" xfId="0" applyFont="1" applyBorder="1"/>
    <xf numFmtId="0" fontId="3" fillId="0" borderId="38" xfId="0" applyFont="1" applyBorder="1"/>
    <xf numFmtId="0" fontId="16" fillId="35" borderId="32" xfId="0" applyFont="1" applyFill="1" applyBorder="1" applyAlignment="1">
      <alignment horizontal="center"/>
    </xf>
    <xf numFmtId="0" fontId="60" fillId="35" borderId="1" xfId="0" applyFont="1" applyFill="1" applyBorder="1" applyAlignment="1">
      <alignment horizontal="center"/>
    </xf>
    <xf numFmtId="0" fontId="5" fillId="35" borderId="1" xfId="0" applyFont="1" applyFill="1" applyBorder="1" applyAlignment="1">
      <alignment horizontal="center"/>
    </xf>
  </cellXfs>
  <cellStyles count="1">
    <cellStyle name="Normal" xfId="0" builtinId="0"/>
  </cellStyles>
  <dxfs count="22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F6B26B"/>
          <bgColor rgb="FFF6B26B"/>
        </patternFill>
      </fill>
    </dxf>
    <dxf>
      <fill>
        <patternFill patternType="solid">
          <fgColor rgb="FFFFD966"/>
          <bgColor rgb="FFFFD966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'!$B$38:$B$42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'!$C$38:$C$42</c:f>
              <c:numCache>
                <c:formatCode>[$R$-416]\ #,##0.00;[Red]\-[$R$-416]\ #,##0.00</c:formatCode>
                <c:ptCount val="5"/>
                <c:pt idx="0" formatCode="[$R$ -416]#,##0.00">
                  <c:v>48607.67</c:v>
                </c:pt>
                <c:pt idx="1">
                  <c:v>1669164.1900000002</c:v>
                </c:pt>
                <c:pt idx="2" formatCode="[$R$ -416]#,##0.00">
                  <c:v>267218.16000000003</c:v>
                </c:pt>
                <c:pt idx="3" formatCode="[$R$ -416]#,##0.00">
                  <c:v>273274.02</c:v>
                </c:pt>
                <c:pt idx="4" formatCode="[$R$ -416]#,##0.00">
                  <c:v>121389.6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E0666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'!$J$64:$J$66</c:f>
              <c:strCache>
                <c:ptCount val="3"/>
                <c:pt idx="0">
                  <c:v>RAPs - INSCRITOS</c:v>
                </c:pt>
                <c:pt idx="1">
                  <c:v>RAPs - PAGOS</c:v>
                </c:pt>
                <c:pt idx="2">
                  <c:v>RAPs - SALDO</c:v>
                </c:pt>
              </c:strCache>
            </c:strRef>
          </c:cat>
          <c:val>
            <c:numRef>
              <c:f>'Gráficos '!$K$64:$K$66</c:f>
              <c:numCache>
                <c:formatCode>[$R$-416]\ #,##0.00;[Red]\-[$R$-416]\ #,##0.00</c:formatCode>
                <c:ptCount val="3"/>
                <c:pt idx="0">
                  <c:v>2466010.4700000002</c:v>
                </c:pt>
                <c:pt idx="1">
                  <c:v>219216.24</c:v>
                </c:pt>
                <c:pt idx="2">
                  <c:v>2246794.2300000004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177856"/>
        <c:axId val="215200512"/>
      </c:barChart>
      <c:catAx>
        <c:axId val="21517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200512"/>
        <c:crosses val="autoZero"/>
        <c:auto val="1"/>
        <c:lblAlgn val="ctr"/>
        <c:lblOffset val="100"/>
        <c:noMultiLvlLbl val="1"/>
      </c:catAx>
      <c:valAx>
        <c:axId val="2152005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-416]\ #,##0.00;[Red]\-[$R$-416]\ 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17785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9.2185054049451876E-2"/>
          <c:y val="5.3921568627450983E-2"/>
          <c:w val="0.54287844891871739"/>
          <c:h val="0.8921568627450980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'!$M$5:$M$6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'!$N$5:$N$6</c:f>
              <c:numCache>
                <c:formatCode>[$R$ -416]#,##0.00</c:formatCode>
                <c:ptCount val="2"/>
                <c:pt idx="0">
                  <c:v>0</c:v>
                </c:pt>
                <c:pt idx="1">
                  <c:v>22098.39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cat>
            <c:strRef>
              <c:f>'Gráficos '!$P$5:$P$6</c:f>
              <c:strCache>
                <c:ptCount val="2"/>
                <c:pt idx="0">
                  <c:v>VALOR EXECUTADO/PAGO</c:v>
                </c:pt>
                <c:pt idx="1">
                  <c:v>SALDO À EXECUTAR</c:v>
                </c:pt>
              </c:strCache>
            </c:strRef>
          </c:cat>
          <c:val>
            <c:numRef>
              <c:f>'Gráficos '!$Q$5:$Q$6</c:f>
              <c:numCache>
                <c:formatCode>[$R$ -416]#,##0.00</c:formatCode>
                <c:ptCount val="2"/>
                <c:pt idx="0">
                  <c:v>49298.9</c:v>
                </c:pt>
                <c:pt idx="1">
                  <c:v>42973.1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5611264"/>
        <c:axId val="215285760"/>
      </c:barChart>
      <c:catAx>
        <c:axId val="21561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285760"/>
        <c:crosses val="autoZero"/>
        <c:auto val="1"/>
        <c:lblAlgn val="ctr"/>
        <c:lblOffset val="100"/>
        <c:noMultiLvlLbl val="1"/>
      </c:catAx>
      <c:valAx>
        <c:axId val="2152857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61126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'!$J$94:$J$96</c:f>
              <c:strCache>
                <c:ptCount val="2"/>
                <c:pt idx="0">
                  <c:v>EMPENHOS AGRICULTURA FAMILIAR</c:v>
                </c:pt>
                <c:pt idx="1">
                  <c:v>EMPENHO NO CONTRATO DE ALIMENTAÇÃO - RAP</c:v>
                </c:pt>
              </c:strCache>
            </c:strRef>
          </c:cat>
          <c:val>
            <c:numRef>
              <c:f>'Gráficos '!$K$94:$K$96</c:f>
              <c:numCache>
                <c:formatCode>[$R$ -416]#,##0.00</c:formatCode>
                <c:ptCount val="3"/>
                <c:pt idx="0">
                  <c:v>88551.43</c:v>
                </c:pt>
                <c:pt idx="1">
                  <c:v>4237.5</c:v>
                </c:pt>
                <c:pt idx="2">
                  <c:v>92788.93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'Gráficos 2022'!$C$31</c:f>
              <c:strCache>
                <c:ptCount val="1"/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2022'!$B$32:$B$42</c:f>
              <c:strCache>
                <c:ptCount val="9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2022'!$C$32:$C$42</c:f>
              <c:numCache>
                <c:formatCode>[$R$ -416]#,##0.00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2022'!$D$31</c:f>
              <c:strCache>
                <c:ptCount val="1"/>
              </c:strCache>
            </c:strRef>
          </c:tx>
          <c:invertIfNegative val="1"/>
          <c:cat>
            <c:strRef>
              <c:f>'Gráficos 2022'!$B$32:$B$42</c:f>
              <c:strCache>
                <c:ptCount val="9"/>
                <c:pt idx="0">
                  <c:v>DIÁRIAS</c:v>
                </c:pt>
                <c:pt idx="1">
                  <c:v>AUXÍLIOS ESTUD.</c:v>
                </c:pt>
                <c:pt idx="2">
                  <c:v>ALIMENTAÇÃO</c:v>
                </c:pt>
                <c:pt idx="3">
                  <c:v>BOLSA PÓS</c:v>
                </c:pt>
                <c:pt idx="4">
                  <c:v>CONSUMO/MANUTENÇÃO</c:v>
                </c:pt>
                <c:pt idx="5">
                  <c:v>CONTRATOS</c:v>
                </c:pt>
                <c:pt idx="6">
                  <c:v>IMPOSTOS E TAXAS</c:v>
                </c:pt>
                <c:pt idx="7">
                  <c:v>OBRAS</c:v>
                </c:pt>
                <c:pt idx="8">
                  <c:v>EQUIPAMENTOS</c:v>
                </c:pt>
              </c:strCache>
            </c:strRef>
          </c:cat>
          <c:val>
            <c:numRef>
              <c:f>'Gráficos 2022'!$D$32:$D$42</c:f>
              <c:numCache>
                <c:formatCode>[$R$ -416]#,##0.00</c:formatCode>
                <c:ptCount val="11"/>
                <c:pt idx="0">
                  <c:v>16808</c:v>
                </c:pt>
                <c:pt idx="1">
                  <c:v>150200</c:v>
                </c:pt>
                <c:pt idx="2">
                  <c:v>484542.99</c:v>
                </c:pt>
                <c:pt idx="3">
                  <c:v>4864.8599999999997</c:v>
                </c:pt>
                <c:pt idx="4">
                  <c:v>135771.57999999999</c:v>
                </c:pt>
                <c:pt idx="5">
                  <c:v>1653003.44</c:v>
                </c:pt>
                <c:pt idx="6">
                  <c:v>7001.31</c:v>
                </c:pt>
                <c:pt idx="7">
                  <c:v>244307.85</c:v>
                </c:pt>
                <c:pt idx="8">
                  <c:v>191975.38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379328"/>
        <c:axId val="215410176"/>
      </c:barChart>
      <c:catAx>
        <c:axId val="21537932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410176"/>
        <c:crosses val="autoZero"/>
        <c:auto val="1"/>
        <c:lblAlgn val="ctr"/>
        <c:lblOffset val="100"/>
        <c:noMultiLvlLbl val="1"/>
      </c:catAx>
      <c:valAx>
        <c:axId val="21541017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379328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r>
              <a:rPr lang="pt-BR" b="0">
                <a:solidFill>
                  <a:schemeClr val="dk1"/>
                </a:solidFill>
                <a:latin typeface="+mn-lt"/>
              </a:rPr>
              <a:t>Restos a Pagar 2020 e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2022'!$C$61</c:f>
              <c:strCache>
                <c:ptCount val="1"/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2022'!$C$62:$C$65</c:f>
              <c:numCache>
                <c:formatCode>General</c:formatCode>
                <c:ptCount val="4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2022'!$D$61</c:f>
              <c:strCache>
                <c:ptCount val="1"/>
              </c:strCache>
            </c:strRef>
          </c:tx>
          <c:invertIfNegative val="1"/>
          <c:cat>
            <c:strRef>
              <c:f>'Gráficos 2022'!$B$62:$B$65</c:f>
              <c:strCache>
                <c:ptCount val="4"/>
                <c:pt idx="0">
                  <c:v>INSCRITOS</c:v>
                </c:pt>
                <c:pt idx="1">
                  <c:v>PAGOS</c:v>
                </c:pt>
                <c:pt idx="2">
                  <c:v>ANULADOS </c:v>
                </c:pt>
                <c:pt idx="3">
                  <c:v>SALDO</c:v>
                </c:pt>
              </c:strCache>
            </c:strRef>
          </c:cat>
          <c:val>
            <c:numRef>
              <c:f>'Gráficos 2022'!$D$62:$D$65</c:f>
              <c:numCache>
                <c:formatCode>_-"R$"\ * #,##0.00_-;\-"R$"\ * #,##0.00_-;_-"R$"\ * "-"??_-;_-@</c:formatCode>
                <c:ptCount val="4"/>
                <c:pt idx="0">
                  <c:v>2466010.4700000002</c:v>
                </c:pt>
                <c:pt idx="1">
                  <c:v>721262.50999999989</c:v>
                </c:pt>
                <c:pt idx="2">
                  <c:v>16240</c:v>
                </c:pt>
                <c:pt idx="3">
                  <c:v>1728507.9600000004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460480"/>
        <c:axId val="215470848"/>
      </c:barChart>
      <c:catAx>
        <c:axId val="21546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pt-BR" b="0">
                    <a:solidFill>
                      <a:srgbClr val="000000"/>
                    </a:solidFill>
                    <a:latin typeface="+mn-lt"/>
                  </a:rPr>
                  <a:t>RAPs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5470848"/>
        <c:crosses val="autoZero"/>
        <c:auto val="1"/>
        <c:lblAlgn val="ctr"/>
        <c:lblOffset val="100"/>
        <c:noMultiLvlLbl val="1"/>
      </c:catAx>
      <c:valAx>
        <c:axId val="21547084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chemeClr val="dk1"/>
                </a:solidFill>
                <a:latin typeface="+mn-lt"/>
              </a:defRPr>
            </a:pPr>
            <a:endParaRPr lang="pt-BR"/>
          </a:p>
        </c:txPr>
        <c:crossAx val="21546048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Lbls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2044313.4</c:v>
                </c:pt>
                <c:pt idx="1">
                  <c:v>84032</c:v>
                </c:pt>
                <c:pt idx="2" formatCode="[$R$ -416]#,##0.00">
                  <c:v>487262</c:v>
                </c:pt>
                <c:pt idx="3" formatCode="[$R$ -416]#,##0.00">
                  <c:v>800915.05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649280"/>
        <c:axId val="215655552"/>
      </c:barChart>
      <c:catAx>
        <c:axId val="21564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655552"/>
        <c:crosses val="autoZero"/>
        <c:auto val="1"/>
        <c:lblAlgn val="ctr"/>
        <c:lblOffset val="100"/>
        <c:noMultiLvlLbl val="1"/>
      </c:catAx>
      <c:valAx>
        <c:axId val="21565555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649280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'Gráficos 2022'!$C$2:$C$3</c:f>
              <c:strCache>
                <c:ptCount val="1"/>
                <c:pt idx="0">
                  <c:v>ORÇAMENTO RECEBIDO POR FONTE DE RECURSO PLANO ANUAL</c:v>
                </c:pt>
              </c:strCache>
            </c:strRef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386653953186692E-3"/>
                  <c:y val="0.1633262644419252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2022'!$C$4:$C$7</c:f>
              <c:numCache>
                <c:formatCode>_-"R$"\ * #,##0.00_-;\-"R$"\ * #,##0.00_-;_-"R$"\ * "-"??_-;_-@</c:formatCode>
                <c:ptCount val="4"/>
                <c:pt idx="0" formatCode="[$R$ -416]#,##0.00">
                  <c:v>2379653.64</c:v>
                </c:pt>
                <c:pt idx="1">
                  <c:v>90000</c:v>
                </c:pt>
                <c:pt idx="2" formatCode="[$R$ -416]#,##0.00">
                  <c:v>649766.25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2022'!$D$2:$D$3</c:f>
              <c:strCache>
                <c:ptCount val="1"/>
                <c:pt idx="0">
                  <c:v>ORÇAMENTO RECEBIDO POR FONTE DE RECURSO RECEBIDO</c:v>
                </c:pt>
              </c:strCache>
            </c:strRef>
          </c:tx>
          <c:spPr>
            <a:solidFill>
              <a:srgbClr val="C0504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4.5858015076455606E-3"/>
                  <c:y val="-4.8207502582654556E-2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7082093540771837E-2"/>
                  <c:y val="0.11031718809843445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9516362124954234"/>
                  <c:y val="0.12856776370811904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lvl="0">
                    <a:defRPr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2022'!$D$4:$D$7</c:f>
              <c:numCache>
                <c:formatCode>[$R$-416]\ #,##0.00;[Red]\-[$R$-416]\ #,##0.00</c:formatCode>
                <c:ptCount val="4"/>
                <c:pt idx="0" formatCode="[$R$ -416]#,##0.00">
                  <c:v>2044313.4</c:v>
                </c:pt>
                <c:pt idx="1">
                  <c:v>84032</c:v>
                </c:pt>
                <c:pt idx="2" formatCode="[$R$ -416]#,##0.00">
                  <c:v>487262</c:v>
                </c:pt>
                <c:pt idx="3" formatCode="[$R$ -416]#,##0.00">
                  <c:v>800915.05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'Gráficos 2022'!$E$2:$E$3</c:f>
              <c:strCache>
                <c:ptCount val="1"/>
                <c:pt idx="0">
                  <c:v>ORÇAMENTO RECEBIDO POR FONTE DE RECURSO EMPENHADO</c:v>
                </c:pt>
              </c:strCache>
            </c:strRef>
          </c:tx>
          <c:spPr>
            <a:solidFill>
              <a:srgbClr val="38761D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</c:dPt>
          <c:dPt>
            <c:idx val="1"/>
            <c:invertIfNegative val="1"/>
            <c:bubble3D val="0"/>
          </c:dPt>
          <c:dPt>
            <c:idx val="2"/>
            <c:invertIfNegative val="1"/>
            <c:bubble3D val="0"/>
          </c:dPt>
          <c:dPt>
            <c:idx val="3"/>
            <c:invertIfNegative val="1"/>
            <c:bubble3D val="0"/>
          </c:dPt>
          <c:dLbls>
            <c:dLbl>
              <c:idx val="0"/>
              <c:layout>
                <c:manualLayout>
                  <c:x val="6.8886768796319123E-2"/>
                  <c:y val="0.15725968145798941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2076146093768332"/>
                  <c:y val="0.15545646440497543"/>
                </c:manualLayout>
              </c:layout>
              <c:spPr/>
              <c:txPr>
                <a:bodyPr/>
                <a:lstStyle/>
                <a:p>
                  <a:pPr lvl="0">
                    <a:defRPr sz="1400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199438554657806"/>
                  <c:y val="0.14035119226878079"/>
                </c:manualLayout>
              </c:layout>
              <c:spPr/>
              <c:txPr>
                <a:bodyPr/>
                <a:lstStyle/>
                <a:p>
                  <a:pPr lvl="0">
                    <a:defRPr sz="1400" b="1"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 lvl="0"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'Gráficos 2022'!$B$4:$B$7</c:f>
              <c:strCache>
                <c:ptCount val="4"/>
                <c:pt idx="0">
                  <c:v>MATRIZ ORÇAMENTÁRIA</c:v>
                </c:pt>
                <c:pt idx="1">
                  <c:v>PNAE</c:v>
                </c:pt>
                <c:pt idx="2">
                  <c:v>ASSISTÊNCIA ESTUDANTIL</c:v>
                </c:pt>
                <c:pt idx="3">
                  <c:v>RECURSO EXTRA ORÇAM.</c:v>
                </c:pt>
              </c:strCache>
            </c:strRef>
          </c:cat>
          <c:val>
            <c:numRef>
              <c:f>'Gráficos 2022'!$E$4:$E$7</c:f>
              <c:numCache>
                <c:formatCode>[$R$ -416]#,##0.00</c:formatCode>
                <c:ptCount val="4"/>
                <c:pt idx="0">
                  <c:v>1805793.89</c:v>
                </c:pt>
                <c:pt idx="1">
                  <c:v>82178.600000000006</c:v>
                </c:pt>
                <c:pt idx="2">
                  <c:v>392858.71</c:v>
                </c:pt>
                <c:pt idx="3">
                  <c:v>607644.21000000008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5998848"/>
        <c:axId val="216000768"/>
      </c:barChart>
      <c:catAx>
        <c:axId val="21599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6000768"/>
        <c:crosses val="autoZero"/>
        <c:auto val="1"/>
        <c:lblAlgn val="ctr"/>
        <c:lblOffset val="100"/>
        <c:noMultiLvlLbl val="1"/>
      </c:catAx>
      <c:valAx>
        <c:axId val="2160007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[$R$ -416]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1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599884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1200" b="1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</c:spPr>
          </c:dPt>
          <c:dPt>
            <c:idx val="1"/>
            <c:bubble3D val="0"/>
            <c:spPr>
              <a:solidFill>
                <a:schemeClr val="accent3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'Gráficos 2022'!$E$62:$E$63</c:f>
              <c:strCache>
                <c:ptCount val="2"/>
                <c:pt idx="0">
                  <c:v>INSCRITOS</c:v>
                </c:pt>
                <c:pt idx="1">
                  <c:v>SALDO</c:v>
                </c:pt>
              </c:strCache>
            </c:strRef>
          </c:cat>
          <c:val>
            <c:numRef>
              <c:f>'Gráficos 2022'!$F$62:$F$63</c:f>
              <c:numCache>
                <c:formatCode>[$R$ -416]#,##0.00</c:formatCode>
                <c:ptCount val="2"/>
                <c:pt idx="0" formatCode="_-&quot;R$&quot;\ * #,##0.00_-;\-&quot;R$&quot;\ * #,##0.00_-;_-&quot;R$&quot;\ * &quot;-&quot;??_-;_-@">
                  <c:v>2195298.58</c:v>
                </c:pt>
                <c:pt idx="1">
                  <c:v>270711.89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'!$G$35:$G$39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'!$H$35:$H$39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cat>
            <c:numRef>
              <c:f>'Gráficos '!$J$35:$J$39</c:f>
              <c:numCache>
                <c:formatCode>[$R$-416]\ #,##0.00;[Red]\-[$R$-416]\ #,##0.00</c:formatCode>
                <c:ptCount val="5"/>
                <c:pt idx="0" formatCode="General">
                  <c:v>0</c:v>
                </c:pt>
                <c:pt idx="1">
                  <c:v>0</c:v>
                </c:pt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</c:numCache>
            </c:numRef>
          </c:cat>
          <c:val>
            <c:numRef>
              <c:f>'Gráficos '!$K$35:$K$39</c:f>
              <c:numCache>
                <c:formatCode>[$R$-416]\ #,##0.00;[Red]\-[$R$-416]\ #,##0.00</c:formatCode>
                <c:ptCount val="5"/>
                <c:pt idx="0" formatCode="[$R$ -416]#,##0.00">
                  <c:v>0</c:v>
                </c:pt>
                <c:pt idx="1">
                  <c:v>0</c:v>
                </c:pt>
                <c:pt idx="2" formatCode="[$R$ -416]#,##0.00">
                  <c:v>0</c:v>
                </c:pt>
                <c:pt idx="3" formatCode="[$R$ -416]#,##0.00">
                  <c:v>0</c:v>
                </c:pt>
                <c:pt idx="4" formatCode="[$R$ -416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'!$B$68:$B$72</c:f>
              <c:strCache>
                <c:ptCount val="5"/>
                <c:pt idx="0">
                  <c:v>ORÇAMENTO PLANEJADO</c:v>
                </c:pt>
                <c:pt idx="1">
                  <c:v>ORÇAMENTO LIBERADO</c:v>
                </c:pt>
                <c:pt idx="2">
                  <c:v>ORÇAMENTO EMPENHADO</c:v>
                </c:pt>
                <c:pt idx="3">
                  <c:v>ORÇAMENTO DEVOLVIDO</c:v>
                </c:pt>
                <c:pt idx="4">
                  <c:v>ORÇAMENTO EXECUTADO</c:v>
                </c:pt>
              </c:strCache>
            </c:strRef>
          </c:cat>
          <c:val>
            <c:numRef>
              <c:f>'Gráficos '!$C$68:$C$72</c:f>
              <c:numCache>
                <c:formatCode>_-"R$"\ * #,##0.00_-;\-"R$"\ * #,##0.00_-;_-"R$"\ * "-"??_-;_-@</c:formatCode>
                <c:ptCount val="5"/>
                <c:pt idx="0">
                  <c:v>2379653.64</c:v>
                </c:pt>
                <c:pt idx="1">
                  <c:v>2168792.13</c:v>
                </c:pt>
                <c:pt idx="2">
                  <c:v>2168658.09</c:v>
                </c:pt>
                <c:pt idx="3">
                  <c:v>134.04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3754624"/>
        <c:axId val="213756544"/>
      </c:barChart>
      <c:catAx>
        <c:axId val="213754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11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756544"/>
        <c:crosses val="autoZero"/>
        <c:auto val="1"/>
        <c:lblAlgn val="ctr"/>
        <c:lblOffset val="100"/>
        <c:noMultiLvlLbl val="1"/>
      </c:catAx>
      <c:valAx>
        <c:axId val="2137565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-&quot;R$&quot;\ * #,##0.00_-;\-&quot;R$&quot;\ * #,##0.00_-;_-&quot;R$&quot;\ * &quot;-&quot;??_-;_-@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754624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0" i="0">
                <a:solidFill>
                  <a:srgbClr val="757575"/>
                </a:solidFill>
                <a:latin typeface="+mn-lt"/>
              </a:defRPr>
            </a:pPr>
            <a:r>
              <a:rPr b="0" i="0">
                <a:solidFill>
                  <a:srgbClr val="757575"/>
                </a:solidFill>
                <a:latin typeface="+mn-lt"/>
              </a:rPr>
              <a:t>ORÇAMENTO PLANEJADO X ORÇAMENTO LIBERADO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ORÇAMENTO PLANEJADO X ORÇAMENTO LIBERADO (POR MÊS) PLANEJADO</c:v>
          </c:tx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'!$N$35:$N$46</c:f>
              <c:numCache>
                <c:formatCode>[$R$ -416]#,##0.00</c:formatCode>
                <c:ptCount val="12"/>
                <c:pt idx="0">
                  <c:v>198304.47</c:v>
                </c:pt>
                <c:pt idx="1">
                  <c:v>198304.47</c:v>
                </c:pt>
                <c:pt idx="2">
                  <c:v>198304.47</c:v>
                </c:pt>
                <c:pt idx="3">
                  <c:v>198304.47</c:v>
                </c:pt>
                <c:pt idx="4">
                  <c:v>198304.47</c:v>
                </c:pt>
                <c:pt idx="5">
                  <c:v>198304.47</c:v>
                </c:pt>
                <c:pt idx="6">
                  <c:v>198304.47</c:v>
                </c:pt>
                <c:pt idx="7">
                  <c:v>198304.47</c:v>
                </c:pt>
                <c:pt idx="8">
                  <c:v>198304.47</c:v>
                </c:pt>
                <c:pt idx="9">
                  <c:v>198304.47</c:v>
                </c:pt>
                <c:pt idx="10">
                  <c:v>198304.47</c:v>
                </c:pt>
                <c:pt idx="11">
                  <c:v>198304.47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'Gráficos '!$O$33:$O$34</c:f>
              <c:strCache>
                <c:ptCount val="1"/>
                <c:pt idx="0">
                  <c:v>ORÇAMENTO PLANEJADO X ORÇAMENTO LIBERADO (POR MÊS) LIBERADO</c:v>
                </c:pt>
              </c:strCache>
            </c:strRef>
          </c:tx>
          <c:invertIfNegative val="1"/>
          <c:cat>
            <c:strRef>
              <c:f>'Gráficos '!$M$35:$M$46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'Gráficos '!$O$35:$O$46</c:f>
              <c:numCache>
                <c:formatCode>[$R$-416]\ #,##0.00;[Red]\-[$R$-416]\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[$R$]#,##0.00">
                  <c:v>0</c:v>
                </c:pt>
                <c:pt idx="4" formatCode="[$R$]#,##0.00">
                  <c:v>0</c:v>
                </c:pt>
                <c:pt idx="5" formatCode="[$R$]#,##0.00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[$R$]#,##0.00">
                  <c:v>0</c:v>
                </c:pt>
                <c:pt idx="10" formatCode="[$R$]#,##0.00">
                  <c:v>0</c:v>
                </c:pt>
                <c:pt idx="11" formatCode="[$R$]#,##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787776"/>
        <c:axId val="213789696"/>
      </c:barChart>
      <c:catAx>
        <c:axId val="21378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>
                    <a:solidFill>
                      <a:srgbClr val="000000"/>
                    </a:solidFill>
                    <a:latin typeface="+mn-lt"/>
                  </a:rPr>
                  <a:t>MÊS DE REFERÊNCIA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789696"/>
        <c:crosses val="autoZero"/>
        <c:auto val="1"/>
        <c:lblAlgn val="ctr"/>
        <c:lblOffset val="100"/>
        <c:noMultiLvlLbl val="1"/>
      </c:catAx>
      <c:valAx>
        <c:axId val="2137896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[$R$ -416]#,##0.0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78777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spPr>
            <a:solidFill>
              <a:srgbClr val="4F81BD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'Gráficos '!$G$64:$G$67</c:f>
              <c:strCache>
                <c:ptCount val="4"/>
                <c:pt idx="0">
                  <c:v>ORÇAMENTO LIBERADO</c:v>
                </c:pt>
                <c:pt idx="1">
                  <c:v>ORÇAMENTO EMPENHADO</c:v>
                </c:pt>
                <c:pt idx="2">
                  <c:v>ORÇAMENTO EXECUTADO</c:v>
                </c:pt>
                <c:pt idx="3">
                  <c:v>ORÇAMENTO PAGO</c:v>
                </c:pt>
              </c:strCache>
            </c:strRef>
          </c:cat>
          <c:val>
            <c:numRef>
              <c:f>'Gráficos '!$H$64:$H$67</c:f>
              <c:numCache>
                <c:formatCode>[$R$ -416]#,##0.00</c:formatCode>
                <c:ptCount val="4"/>
                <c:pt idx="0" formatCode="[$R$-416]\ #,##0.00;[Red]\-[$R$-416]\ #,##0.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818752"/>
        <c:axId val="213825024"/>
      </c:barChart>
      <c:catAx>
        <c:axId val="213818752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825024"/>
        <c:crosses val="autoZero"/>
        <c:auto val="1"/>
        <c:lblAlgn val="ctr"/>
        <c:lblOffset val="100"/>
        <c:noMultiLvlLbl val="1"/>
      </c:catAx>
      <c:valAx>
        <c:axId val="21382502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818752"/>
        <c:crosses val="max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ORÇAMENTO RECEBIDO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'Gráficos '!$B$5:$B$12</c:f>
              <c:strCache>
                <c:ptCount val="8"/>
                <c:pt idx="0">
                  <c:v>MATRIZ ORÇAMENTÁRIA</c:v>
                </c:pt>
                <c:pt idx="1">
                  <c:v>ASSISTÊNCIA ESTUDANTIL</c:v>
                </c:pt>
                <c:pt idx="2">
                  <c:v>ALIMENTAÇÃO ESCOLAR - PNAE - FNDE</c:v>
                </c:pt>
                <c:pt idx="3">
                  <c:v>TED SETEC-REEQUELÍBRIO E ADITIVO PRÉDIO D</c:v>
                </c:pt>
                <c:pt idx="4">
                  <c:v>EXTRA REITORIA-REEQUELÍBRIO REFEITÓRIO</c:v>
                </c:pt>
                <c:pt idx="5">
                  <c:v>EMENDA DEPUTADO BOHN GASS - CUSTEIO</c:v>
                </c:pt>
                <c:pt idx="6">
                  <c:v>EMENDA PARLAMENTAR  DA BANCADA GAÚCHA - EQUIPAMENTOS</c:v>
                </c:pt>
                <c:pt idx="7">
                  <c:v>EXECUÇÃO E ADEQUAÇÃO PPCI</c:v>
                </c:pt>
              </c:strCache>
            </c:strRef>
          </c:cat>
          <c:val>
            <c:numRef>
              <c:f>'Gráficos '!$C$5:$C$12</c:f>
              <c:numCache>
                <c:formatCode>_-"R$"\ * #,##0.00_-;\-"R$"\ * #,##0.00_-;_-"R$"\ * "-"??_-;_-@</c:formatCode>
                <c:ptCount val="8"/>
                <c:pt idx="0">
                  <c:v>2379653.64</c:v>
                </c:pt>
                <c:pt idx="1">
                  <c:v>598600.03</c:v>
                </c:pt>
                <c:pt idx="2">
                  <c:v>90000</c:v>
                </c:pt>
                <c:pt idx="3">
                  <c:v>249261.22</c:v>
                </c:pt>
                <c:pt idx="4">
                  <c:v>37013.43</c:v>
                </c:pt>
                <c:pt idx="5">
                  <c:v>70000</c:v>
                </c:pt>
                <c:pt idx="6">
                  <c:v>109295.41</c:v>
                </c:pt>
                <c:pt idx="7">
                  <c:v>572638.71999999997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dPt>
            <c:idx val="4"/>
            <c:bubble3D val="0"/>
            <c:spPr>
              <a:solidFill>
                <a:srgbClr val="4BACC6"/>
              </a:solidFill>
            </c:spPr>
          </c:dPt>
          <c:dPt>
            <c:idx val="5"/>
            <c:bubble3D val="0"/>
            <c:spPr>
              <a:solidFill>
                <a:srgbClr val="F79646"/>
              </a:solidFill>
            </c:spPr>
          </c:dPt>
          <c:dPt>
            <c:idx val="6"/>
            <c:bubble3D val="0"/>
            <c:spPr>
              <a:solidFill>
                <a:srgbClr val="84A7D1"/>
              </a:solidFill>
            </c:spPr>
          </c:dPt>
          <c:dPt>
            <c:idx val="7"/>
            <c:bubble3D val="0"/>
            <c:spPr>
              <a:solidFill>
                <a:srgbClr val="D38582"/>
              </a:solidFill>
            </c:spPr>
          </c:dPt>
          <c:dPt>
            <c:idx val="8"/>
            <c:bubble3D val="0"/>
            <c:spPr>
              <a:solidFill>
                <a:srgbClr val="B9CF8B"/>
              </a:solidFill>
            </c:spPr>
          </c:dPt>
          <c:dPt>
            <c:idx val="9"/>
            <c:bubble3D val="0"/>
            <c:spPr>
              <a:solidFill>
                <a:srgbClr val="A693BE"/>
              </a:solidFill>
            </c:spPr>
          </c:dPt>
          <c:dPt>
            <c:idx val="10"/>
            <c:bubble3D val="0"/>
          </c:dPt>
          <c:cat>
            <c:strRef>
              <c:f>'Gráficos '!$G$4:$G$14</c:f>
              <c:strCache>
                <c:ptCount val="11"/>
                <c:pt idx="0">
                  <c:v>RECURSO LIVRE</c:v>
                </c:pt>
                <c:pt idx="1">
                  <c:v>PIIQP (reserva institucional  1%=23.296,54)</c:v>
                </c:pt>
                <c:pt idx="2">
                  <c:v>PIIQPPE (reserva institucional  1%=23.296,54)</c:v>
                </c:pt>
                <c:pt idx="3">
                  <c:v>FUNDO DE TI (reserva instit. 2,5%= 59.491,34) </c:v>
                </c:pt>
                <c:pt idx="5">
                  <c:v>PID (reserva Institucional 1%= R$ 23.296,54)</c:v>
                </c:pt>
                <c:pt idx="6">
                  <c:v>PROJETOS DE ENSINO (reserva institucional 1%=23.296,54)</c:v>
                </c:pt>
                <c:pt idx="7">
                  <c:v>ASSISTÊNCIA ESTUDANTIL</c:v>
                </c:pt>
                <c:pt idx="8">
                  <c:v>AÇÕES INCLUSIVAS </c:v>
                </c:pt>
                <c:pt idx="9">
                  <c:v>PROJETOS DE PESQUISA (reserva 1,5% = 34.944,80)</c:v>
                </c:pt>
                <c:pt idx="10">
                  <c:v>PROJETOS DE EXTENSÃO</c:v>
                </c:pt>
              </c:strCache>
            </c:strRef>
          </c:cat>
          <c:val>
            <c:numRef>
              <c:f>'Gráficos '!$H$4:$H$14</c:f>
              <c:numCache>
                <c:formatCode>[$R$ -416]#,##0.00</c:formatCode>
                <c:ptCount val="11"/>
                <c:pt idx="0">
                  <c:v>2013409.06</c:v>
                </c:pt>
                <c:pt idx="1">
                  <c:v>23296.54</c:v>
                </c:pt>
                <c:pt idx="2">
                  <c:v>23296.54</c:v>
                </c:pt>
                <c:pt idx="3">
                  <c:v>69491.34</c:v>
                </c:pt>
                <c:pt idx="5">
                  <c:v>23296.54</c:v>
                </c:pt>
                <c:pt idx="6">
                  <c:v>23296.54</c:v>
                </c:pt>
                <c:pt idx="7">
                  <c:v>152177.47999999998</c:v>
                </c:pt>
                <c:pt idx="8">
                  <c:v>0</c:v>
                </c:pt>
                <c:pt idx="9">
                  <c:v>36444.800000000003</c:v>
                </c:pt>
                <c:pt idx="10">
                  <c:v>14944.8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c:style val="2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</c:dPt>
          <c:dPt>
            <c:idx val="1"/>
            <c:bubble3D val="0"/>
            <c:spPr>
              <a:solidFill>
                <a:srgbClr val="C0504D"/>
              </a:solidFill>
            </c:spPr>
          </c:dPt>
          <c:dPt>
            <c:idx val="2"/>
            <c:bubble3D val="0"/>
            <c:spPr>
              <a:solidFill>
                <a:srgbClr val="9BBB59"/>
              </a:solidFill>
            </c:spPr>
          </c:dPt>
          <c:dPt>
            <c:idx val="3"/>
            <c:bubble3D val="0"/>
            <c:spPr>
              <a:solidFill>
                <a:srgbClr val="8064A2"/>
              </a:solidFill>
            </c:spPr>
          </c:dPt>
          <c:cat>
            <c:strRef>
              <c:f>'Gráficos '!$J$4:$J$7</c:f>
              <c:strCache>
                <c:ptCount val="4"/>
                <c:pt idx="0">
                  <c:v>5% CUSTEIO DO CAMPUS </c:v>
                </c:pt>
                <c:pt idx="1">
                  <c:v>BOLSAS</c:v>
                </c:pt>
                <c:pt idx="2">
                  <c:v>ALIMENTAÇÃO</c:v>
                </c:pt>
                <c:pt idx="3">
                  <c:v>FNDE</c:v>
                </c:pt>
              </c:strCache>
            </c:strRef>
          </c:cat>
          <c:val>
            <c:numRef>
              <c:f>'Gráficos '!$K$4:$K$7</c:f>
              <c:numCache>
                <c:formatCode>[$R$ -416]#,##0.00</c:formatCode>
                <c:ptCount val="4"/>
                <c:pt idx="0">
                  <c:v>152177.47999999998</c:v>
                </c:pt>
                <c:pt idx="1">
                  <c:v>142873.54999999999</c:v>
                </c:pt>
                <c:pt idx="2">
                  <c:v>455726.48</c:v>
                </c:pt>
                <c:pt idx="3">
                  <c:v>90000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image" Target="../media/image1.png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42</xdr:row>
      <xdr:rowOff>180975</xdr:rowOff>
    </xdr:from>
    <xdr:ext cx="4772025" cy="3533775"/>
    <xdr:graphicFrame macro="">
      <xdr:nvGraphicFramePr>
        <xdr:cNvPr id="996851939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95250</xdr:colOff>
      <xdr:row>39</xdr:row>
      <xdr:rowOff>180975</xdr:rowOff>
    </xdr:from>
    <xdr:ext cx="4772025" cy="3533775"/>
    <xdr:graphicFrame macro="">
      <xdr:nvGraphicFramePr>
        <xdr:cNvPr id="1192699408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85725</xdr:colOff>
      <xdr:row>39</xdr:row>
      <xdr:rowOff>180975</xdr:rowOff>
    </xdr:from>
    <xdr:ext cx="4772025" cy="3533775"/>
    <xdr:graphicFrame macro="">
      <xdr:nvGraphicFramePr>
        <xdr:cNvPr id="1236376364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523875</xdr:colOff>
      <xdr:row>73</xdr:row>
      <xdr:rowOff>66675</xdr:rowOff>
    </xdr:from>
    <xdr:ext cx="4772025" cy="3533775"/>
    <xdr:graphicFrame macro="">
      <xdr:nvGraphicFramePr>
        <xdr:cNvPr id="1769131087" name="Chart 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12</xdr:col>
      <xdr:colOff>76200</xdr:colOff>
      <xdr:row>33</xdr:row>
      <xdr:rowOff>47625</xdr:rowOff>
    </xdr:from>
    <xdr:ext cx="4772025" cy="4810125"/>
    <xdr:graphicFrame macro="">
      <xdr:nvGraphicFramePr>
        <xdr:cNvPr id="522320044" name="Chart 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6</xdr:col>
      <xdr:colOff>76200</xdr:colOff>
      <xdr:row>67</xdr:row>
      <xdr:rowOff>28575</xdr:rowOff>
    </xdr:from>
    <xdr:ext cx="4772025" cy="3533775"/>
    <xdr:graphicFrame macro="">
      <xdr:nvGraphicFramePr>
        <xdr:cNvPr id="1710064013" name="Chart 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1371600</xdr:colOff>
      <xdr:row>16</xdr:row>
      <xdr:rowOff>0</xdr:rowOff>
    </xdr:from>
    <xdr:ext cx="5334000" cy="3562350"/>
    <xdr:graphicFrame macro="">
      <xdr:nvGraphicFramePr>
        <xdr:cNvPr id="1115584502" name="Chart 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6</xdr:col>
      <xdr:colOff>95250</xdr:colOff>
      <xdr:row>14</xdr:row>
      <xdr:rowOff>38100</xdr:rowOff>
    </xdr:from>
    <xdr:ext cx="4772025" cy="2886075"/>
    <xdr:graphicFrame macro="">
      <xdr:nvGraphicFramePr>
        <xdr:cNvPr id="1508282536" name="Chart 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9</xdr:col>
      <xdr:colOff>314325</xdr:colOff>
      <xdr:row>11</xdr:row>
      <xdr:rowOff>161925</xdr:rowOff>
    </xdr:from>
    <xdr:ext cx="4371975" cy="3038475"/>
    <xdr:graphicFrame macro="">
      <xdr:nvGraphicFramePr>
        <xdr:cNvPr id="1129352686" name="Chart 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9</xdr:col>
      <xdr:colOff>85725</xdr:colOff>
      <xdr:row>67</xdr:row>
      <xdr:rowOff>9525</xdr:rowOff>
    </xdr:from>
    <xdr:ext cx="4772025" cy="3533775"/>
    <xdr:graphicFrame macro="">
      <xdr:nvGraphicFramePr>
        <xdr:cNvPr id="28926726" name="Chart 10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  <xdr:oneCellAnchor>
    <xdr:from>
      <xdr:col>12</xdr:col>
      <xdr:colOff>323850</xdr:colOff>
      <xdr:row>10</xdr:row>
      <xdr:rowOff>57150</xdr:rowOff>
    </xdr:from>
    <xdr:ext cx="4257675" cy="2590800"/>
    <xdr:graphicFrame macro="">
      <xdr:nvGraphicFramePr>
        <xdr:cNvPr id="1705992128" name="Chart 1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oneCellAnchor>
  <xdr:oneCellAnchor>
    <xdr:from>
      <xdr:col>15</xdr:col>
      <xdr:colOff>571500</xdr:colOff>
      <xdr:row>10</xdr:row>
      <xdr:rowOff>95250</xdr:rowOff>
    </xdr:from>
    <xdr:ext cx="3790950" cy="2628900"/>
    <xdr:graphicFrame macro="">
      <xdr:nvGraphicFramePr>
        <xdr:cNvPr id="1988958595" name="Chart 1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oneCellAnchor>
  <xdr:oneCellAnchor>
    <xdr:from>
      <xdr:col>1</xdr:col>
      <xdr:colOff>523875</xdr:colOff>
      <xdr:row>104</xdr:row>
      <xdr:rowOff>66675</xdr:rowOff>
    </xdr:from>
    <xdr:ext cx="4772025" cy="3533775"/>
    <xdr:graphicFrame macro="">
      <xdr:nvGraphicFramePr>
        <xdr:cNvPr id="185554128" name="Chart 1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oneCellAnchor>
  <xdr:oneCellAnchor>
    <xdr:from>
      <xdr:col>9</xdr:col>
      <xdr:colOff>314325</xdr:colOff>
      <xdr:row>102</xdr:row>
      <xdr:rowOff>161925</xdr:rowOff>
    </xdr:from>
    <xdr:ext cx="4371975" cy="3038475"/>
    <xdr:graphicFrame macro="">
      <xdr:nvGraphicFramePr>
        <xdr:cNvPr id="1474881525" name="Chart 14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oneCellAnchor>
  <xdr:oneCellAnchor>
    <xdr:from>
      <xdr:col>12</xdr:col>
      <xdr:colOff>2038350</xdr:colOff>
      <xdr:row>14</xdr:row>
      <xdr:rowOff>171450</xdr:rowOff>
    </xdr:from>
    <xdr:ext cx="638175" cy="485775"/>
    <xdr:sp macro="" textlink="">
      <xdr:nvSpPr>
        <xdr:cNvPr id="3" name="Shape 3"/>
        <xdr:cNvSpPr txBox="1"/>
      </xdr:nvSpPr>
      <xdr:spPr>
        <a:xfrm>
          <a:off x="5026913" y="3541875"/>
          <a:ext cx="638175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47%</a:t>
          </a:r>
          <a:endParaRPr sz="1400"/>
        </a:p>
      </xdr:txBody>
    </xdr:sp>
    <xdr:clientData fLocksWithSheet="0"/>
  </xdr:oneCellAnchor>
  <xdr:oneCellAnchor>
    <xdr:from>
      <xdr:col>12</xdr:col>
      <xdr:colOff>981075</xdr:colOff>
      <xdr:row>14</xdr:row>
      <xdr:rowOff>161925</xdr:rowOff>
    </xdr:from>
    <xdr:ext cx="723900" cy="390525"/>
    <xdr:sp macro="" textlink="">
      <xdr:nvSpPr>
        <xdr:cNvPr id="4" name="Shape 4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53%</a:t>
          </a:r>
          <a:endParaRPr sz="1400"/>
        </a:p>
      </xdr:txBody>
    </xdr:sp>
    <xdr:clientData fLocksWithSheet="0"/>
  </xdr:oneCellAnchor>
  <xdr:oneCellAnchor>
    <xdr:from>
      <xdr:col>15</xdr:col>
      <xdr:colOff>2000250</xdr:colOff>
      <xdr:row>14</xdr:row>
      <xdr:rowOff>66675</xdr:rowOff>
    </xdr:from>
    <xdr:ext cx="638175" cy="533400"/>
    <xdr:sp macro="" textlink="">
      <xdr:nvSpPr>
        <xdr:cNvPr id="5" name="Shape 5"/>
        <xdr:cNvSpPr txBox="1"/>
      </xdr:nvSpPr>
      <xdr:spPr>
        <a:xfrm>
          <a:off x="5026913" y="3513300"/>
          <a:ext cx="638175" cy="5334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40,5%</a:t>
          </a:r>
          <a:endParaRPr sz="1400"/>
        </a:p>
      </xdr:txBody>
    </xdr:sp>
    <xdr:clientData fLocksWithSheet="0"/>
  </xdr:oneCellAnchor>
  <xdr:oneCellAnchor>
    <xdr:from>
      <xdr:col>15</xdr:col>
      <xdr:colOff>952500</xdr:colOff>
      <xdr:row>14</xdr:row>
      <xdr:rowOff>85725</xdr:rowOff>
    </xdr:from>
    <xdr:ext cx="723900" cy="390525"/>
    <xdr:sp macro="" textlink="">
      <xdr:nvSpPr>
        <xdr:cNvPr id="6" name="Shape 6"/>
        <xdr:cNvSpPr txBox="1"/>
      </xdr:nvSpPr>
      <xdr:spPr>
        <a:xfrm>
          <a:off x="4984050" y="3589500"/>
          <a:ext cx="72390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59,5%</a:t>
          </a:r>
          <a:endParaRPr sz="1400"/>
        </a:p>
      </xdr:txBody>
    </xdr:sp>
    <xdr:clientData fLocksWithSheet="0"/>
  </xdr:oneCellAnchor>
  <xdr:oneCellAnchor>
    <xdr:from>
      <xdr:col>9</xdr:col>
      <xdr:colOff>2714625</xdr:colOff>
      <xdr:row>71</xdr:row>
      <xdr:rowOff>47625</xdr:rowOff>
    </xdr:from>
    <xdr:ext cx="666750" cy="295275"/>
    <xdr:sp macro="" textlink="">
      <xdr:nvSpPr>
        <xdr:cNvPr id="7" name="Shape 7"/>
        <xdr:cNvSpPr txBox="1"/>
      </xdr:nvSpPr>
      <xdr:spPr>
        <a:xfrm>
          <a:off x="5017388" y="3632363"/>
          <a:ext cx="65722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65%</a:t>
          </a:r>
          <a:endParaRPr sz="1400"/>
        </a:p>
      </xdr:txBody>
    </xdr:sp>
    <xdr:clientData fLocksWithSheet="0"/>
  </xdr:oneCellAnchor>
  <xdr:oneCellAnchor>
    <xdr:from>
      <xdr:col>6</xdr:col>
      <xdr:colOff>2190750</xdr:colOff>
      <xdr:row>75</xdr:row>
      <xdr:rowOff>180975</xdr:rowOff>
    </xdr:from>
    <xdr:ext cx="514350" cy="257175"/>
    <xdr:sp macro="" textlink="">
      <xdr:nvSpPr>
        <xdr:cNvPr id="8" name="Shape 8"/>
        <xdr:cNvSpPr txBox="1"/>
      </xdr:nvSpPr>
      <xdr:spPr>
        <a:xfrm>
          <a:off x="5088825" y="3656175"/>
          <a:ext cx="514350" cy="2476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6</xdr:col>
      <xdr:colOff>2209800</xdr:colOff>
      <xdr:row>79</xdr:row>
      <xdr:rowOff>95250</xdr:rowOff>
    </xdr:from>
    <xdr:ext cx="514350" cy="276225"/>
    <xdr:sp macro="" textlink="">
      <xdr:nvSpPr>
        <xdr:cNvPr id="9" name="Shape 9"/>
        <xdr:cNvSpPr txBox="1"/>
      </xdr:nvSpPr>
      <xdr:spPr>
        <a:xfrm>
          <a:off x="5088825" y="3641888"/>
          <a:ext cx="514350" cy="2762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36%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19</xdr:row>
      <xdr:rowOff>38100</xdr:rowOff>
    </xdr:from>
    <xdr:ext cx="466725" cy="209550"/>
    <xdr:sp macro="" textlink="">
      <xdr:nvSpPr>
        <xdr:cNvPr id="10" name="Shape 10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57%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13</xdr:row>
      <xdr:rowOff>19050</xdr:rowOff>
    </xdr:from>
    <xdr:ext cx="466725" cy="209550"/>
    <xdr:sp macro="" textlink="">
      <xdr:nvSpPr>
        <xdr:cNvPr id="11" name="Shape 11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12%</a:t>
          </a:r>
          <a:endParaRPr sz="1400"/>
        </a:p>
      </xdr:txBody>
    </xdr:sp>
    <xdr:clientData fLocksWithSheet="0"/>
  </xdr:oneCellAnchor>
  <xdr:oneCellAnchor>
    <xdr:from>
      <xdr:col>9</xdr:col>
      <xdr:colOff>2152650</xdr:colOff>
      <xdr:row>13</xdr:row>
      <xdr:rowOff>66675</xdr:rowOff>
    </xdr:from>
    <xdr:ext cx="466725" cy="209550"/>
    <xdr:sp macro="" textlink="">
      <xdr:nvSpPr>
        <xdr:cNvPr id="12" name="Shape 12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13%</a:t>
          </a:r>
          <a:endParaRPr sz="1400"/>
        </a:p>
      </xdr:txBody>
    </xdr:sp>
    <xdr:clientData fLocksWithSheet="0"/>
  </xdr:oneCellAnchor>
  <xdr:oneCellAnchor>
    <xdr:from>
      <xdr:col>9</xdr:col>
      <xdr:colOff>2647950</xdr:colOff>
      <xdr:row>16</xdr:row>
      <xdr:rowOff>114300</xdr:rowOff>
    </xdr:from>
    <xdr:ext cx="466725" cy="209550"/>
    <xdr:sp macro="" textlink="">
      <xdr:nvSpPr>
        <xdr:cNvPr id="13" name="Shape 13"/>
        <xdr:cNvSpPr txBox="1"/>
      </xdr:nvSpPr>
      <xdr:spPr>
        <a:xfrm>
          <a:off x="5112638" y="3675225"/>
          <a:ext cx="46672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18%</a:t>
          </a:r>
          <a:endParaRPr sz="1400"/>
        </a:p>
      </xdr:txBody>
    </xdr:sp>
    <xdr:clientData fLocksWithSheet="0"/>
  </xdr:oneCellAnchor>
  <xdr:oneCellAnchor>
    <xdr:from>
      <xdr:col>9</xdr:col>
      <xdr:colOff>1276350</xdr:colOff>
      <xdr:row>110</xdr:row>
      <xdr:rowOff>38100</xdr:rowOff>
    </xdr:from>
    <xdr:ext cx="466725" cy="304800"/>
    <xdr:sp macro="" textlink="">
      <xdr:nvSpPr>
        <xdr:cNvPr id="14" name="Shape 14"/>
        <xdr:cNvSpPr txBox="1"/>
      </xdr:nvSpPr>
      <xdr:spPr>
        <a:xfrm>
          <a:off x="5112638" y="3627600"/>
          <a:ext cx="4667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1276350</xdr:colOff>
      <xdr:row>104</xdr:row>
      <xdr:rowOff>19050</xdr:rowOff>
    </xdr:from>
    <xdr:ext cx="466725" cy="200025"/>
    <xdr:sp macro="" textlink="">
      <xdr:nvSpPr>
        <xdr:cNvPr id="15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2152650</xdr:colOff>
      <xdr:row>104</xdr:row>
      <xdr:rowOff>66675</xdr:rowOff>
    </xdr:from>
    <xdr:ext cx="466725" cy="200025"/>
    <xdr:sp macro="" textlink="">
      <xdr:nvSpPr>
        <xdr:cNvPr id="2" name="Shape 15"/>
        <xdr:cNvSpPr txBox="1"/>
      </xdr:nvSpPr>
      <xdr:spPr>
        <a:xfrm>
          <a:off x="5112638" y="3679988"/>
          <a:ext cx="466725" cy="2000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2647950</xdr:colOff>
      <xdr:row>107</xdr:row>
      <xdr:rowOff>114300</xdr:rowOff>
    </xdr:from>
    <xdr:ext cx="466725" cy="257175"/>
    <xdr:sp macro="" textlink="">
      <xdr:nvSpPr>
        <xdr:cNvPr id="16" name="Shape 16"/>
        <xdr:cNvSpPr txBox="1"/>
      </xdr:nvSpPr>
      <xdr:spPr>
        <a:xfrm>
          <a:off x="5112638" y="3651413"/>
          <a:ext cx="466725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41</xdr:row>
      <xdr:rowOff>9525</xdr:rowOff>
    </xdr:from>
    <xdr:ext cx="6791325" cy="3533775"/>
    <xdr:graphicFrame macro="">
      <xdr:nvGraphicFramePr>
        <xdr:cNvPr id="1233632614" name="Chart 15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77</xdr:row>
      <xdr:rowOff>133350</xdr:rowOff>
    </xdr:from>
    <xdr:ext cx="5715000" cy="3533775"/>
    <xdr:graphicFrame macro="">
      <xdr:nvGraphicFramePr>
        <xdr:cNvPr id="283613388" name="Chart 16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542925</xdr:colOff>
      <xdr:row>8</xdr:row>
      <xdr:rowOff>171450</xdr:rowOff>
    </xdr:from>
    <xdr:ext cx="8229600" cy="3533775"/>
    <xdr:graphicFrame macro="">
      <xdr:nvGraphicFramePr>
        <xdr:cNvPr id="694302033" name="Chart 17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323850</xdr:colOff>
      <xdr:row>4</xdr:row>
      <xdr:rowOff>95250</xdr:rowOff>
    </xdr:from>
    <xdr:ext cx="8229600" cy="5095875"/>
    <xdr:graphicFrame macro="">
      <xdr:nvGraphicFramePr>
        <xdr:cNvPr id="1498824335" name="Chart 18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7</xdr:col>
      <xdr:colOff>133350</xdr:colOff>
      <xdr:row>59</xdr:row>
      <xdr:rowOff>57150</xdr:rowOff>
    </xdr:from>
    <xdr:ext cx="5715000" cy="3533775"/>
    <xdr:graphicFrame macro="">
      <xdr:nvGraphicFramePr>
        <xdr:cNvPr id="146477305" name="Chart 19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2</xdr:col>
      <xdr:colOff>0</xdr:colOff>
      <xdr:row>93</xdr:row>
      <xdr:rowOff>0</xdr:rowOff>
    </xdr:from>
    <xdr:ext cx="8505825" cy="658177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1000"/>
  <sheetViews>
    <sheetView showGridLines="0" workbookViewId="0"/>
  </sheetViews>
  <sheetFormatPr defaultColWidth="14.42578125" defaultRowHeight="15" customHeight="1"/>
  <cols>
    <col min="1" max="1" width="4.42578125" customWidth="1"/>
    <col min="2" max="8" width="16.28515625" customWidth="1"/>
    <col min="9" max="9" width="5.28515625" customWidth="1"/>
    <col min="10" max="10" width="24.7109375" customWidth="1"/>
    <col min="12" max="12" width="13.7109375" customWidth="1"/>
    <col min="16" max="16" width="30.28515625" customWidth="1"/>
  </cols>
  <sheetData>
    <row r="1" spans="1:16">
      <c r="A1" s="1" t="s">
        <v>0</v>
      </c>
    </row>
    <row r="2" spans="1:16" ht="15.75">
      <c r="B2" s="544" t="s">
        <v>1</v>
      </c>
      <c r="C2" s="545"/>
      <c r="D2" s="545"/>
      <c r="E2" s="545"/>
      <c r="F2" s="545"/>
      <c r="G2" s="545"/>
      <c r="H2" s="546"/>
      <c r="J2" s="547" t="s">
        <v>2</v>
      </c>
      <c r="K2" s="545"/>
      <c r="L2" s="545"/>
      <c r="M2" s="545"/>
      <c r="N2" s="545"/>
      <c r="O2" s="545"/>
      <c r="P2" s="546"/>
    </row>
    <row r="4" spans="1:16">
      <c r="B4" s="2" t="s">
        <v>3</v>
      </c>
      <c r="J4" s="2" t="s">
        <v>3</v>
      </c>
    </row>
    <row r="5" spans="1:16">
      <c r="B5" s="2" t="s">
        <v>4</v>
      </c>
      <c r="J5" s="2" t="s">
        <v>5</v>
      </c>
    </row>
    <row r="6" spans="1:16">
      <c r="B6" s="2" t="s">
        <v>6</v>
      </c>
      <c r="J6" s="2" t="s">
        <v>7</v>
      </c>
    </row>
    <row r="8" spans="1:16">
      <c r="B8" s="3" t="s">
        <v>8</v>
      </c>
      <c r="C8" s="3"/>
      <c r="D8" s="3"/>
      <c r="E8" s="3"/>
      <c r="F8" s="3"/>
      <c r="G8" s="3"/>
      <c r="H8" s="3"/>
      <c r="J8" s="548" t="s">
        <v>9</v>
      </c>
      <c r="K8" s="545"/>
      <c r="L8" s="545"/>
      <c r="M8" s="545"/>
      <c r="N8" s="545"/>
      <c r="O8" s="545"/>
      <c r="P8" s="546"/>
    </row>
    <row r="9" spans="1:16">
      <c r="B9" s="2" t="s">
        <v>10</v>
      </c>
      <c r="J9" s="4" t="s">
        <v>11</v>
      </c>
      <c r="K9" s="4" t="s">
        <v>12</v>
      </c>
      <c r="L9" s="5"/>
      <c r="M9" s="5"/>
      <c r="N9" s="5"/>
      <c r="O9" s="5"/>
      <c r="P9" s="5"/>
    </row>
    <row r="10" spans="1:16">
      <c r="B10" s="3" t="s">
        <v>13</v>
      </c>
      <c r="C10" s="3"/>
      <c r="D10" s="3"/>
      <c r="E10" s="3"/>
      <c r="F10" s="3"/>
      <c r="G10" s="3"/>
      <c r="H10" s="3"/>
      <c r="J10" s="6" t="s">
        <v>14</v>
      </c>
      <c r="K10" s="7" t="s">
        <v>15</v>
      </c>
      <c r="L10" s="7"/>
      <c r="M10" s="7"/>
      <c r="N10" s="7"/>
      <c r="O10" s="7"/>
      <c r="P10" s="7"/>
    </row>
    <row r="11" spans="1:16">
      <c r="B11" s="2" t="s">
        <v>16</v>
      </c>
      <c r="J11" s="7" t="s">
        <v>17</v>
      </c>
      <c r="K11" s="7" t="s">
        <v>15</v>
      </c>
      <c r="L11" s="7"/>
      <c r="M11" s="7"/>
      <c r="N11" s="7"/>
      <c r="O11" s="7"/>
      <c r="P11" s="7"/>
    </row>
    <row r="12" spans="1:16">
      <c r="B12" s="3" t="s">
        <v>18</v>
      </c>
      <c r="C12" s="3"/>
      <c r="D12" s="3"/>
      <c r="E12" s="3"/>
      <c r="F12" s="3"/>
      <c r="G12" s="3"/>
      <c r="H12" s="3"/>
      <c r="J12" s="8">
        <v>631100000</v>
      </c>
      <c r="K12" s="2" t="s">
        <v>19</v>
      </c>
    </row>
    <row r="13" spans="1:16">
      <c r="B13" s="2" t="s">
        <v>20</v>
      </c>
      <c r="J13" s="6">
        <v>631100000</v>
      </c>
      <c r="K13" s="7" t="s">
        <v>21</v>
      </c>
      <c r="L13" s="7"/>
      <c r="M13" s="7"/>
      <c r="N13" s="7"/>
      <c r="O13" s="7"/>
      <c r="P13" s="7"/>
    </row>
    <row r="14" spans="1:16">
      <c r="B14" s="3" t="s">
        <v>22</v>
      </c>
      <c r="C14" s="3"/>
      <c r="D14" s="3"/>
      <c r="E14" s="3"/>
      <c r="F14" s="3"/>
      <c r="G14" s="3"/>
      <c r="H14" s="3"/>
      <c r="J14" s="8">
        <v>622920101</v>
      </c>
      <c r="K14" s="2" t="s">
        <v>23</v>
      </c>
    </row>
    <row r="15" spans="1:16">
      <c r="B15" s="2" t="s">
        <v>24</v>
      </c>
      <c r="J15" s="6">
        <v>622920104</v>
      </c>
      <c r="K15" s="7" t="s">
        <v>25</v>
      </c>
      <c r="L15" s="7"/>
      <c r="M15" s="7"/>
      <c r="N15" s="7"/>
      <c r="O15" s="7"/>
      <c r="P15" s="7"/>
    </row>
    <row r="16" spans="1:16">
      <c r="B16" s="3" t="s">
        <v>26</v>
      </c>
      <c r="C16" s="3"/>
      <c r="D16" s="3"/>
      <c r="E16" s="3"/>
      <c r="F16" s="3"/>
      <c r="G16" s="3"/>
      <c r="H16" s="3"/>
      <c r="J16" s="8">
        <v>632200000</v>
      </c>
      <c r="K16" s="9" t="s">
        <v>27</v>
      </c>
    </row>
    <row r="17" spans="2:16">
      <c r="B17" s="2" t="s">
        <v>28</v>
      </c>
      <c r="J17" s="6">
        <v>631400000</v>
      </c>
      <c r="K17" s="10" t="s">
        <v>29</v>
      </c>
      <c r="L17" s="7"/>
      <c r="M17" s="7"/>
      <c r="N17" s="7"/>
      <c r="O17" s="7"/>
      <c r="P17" s="7"/>
    </row>
    <row r="18" spans="2:16">
      <c r="B18" s="3" t="s">
        <v>30</v>
      </c>
      <c r="C18" s="3"/>
      <c r="D18" s="3"/>
      <c r="E18" s="3"/>
      <c r="F18" s="3"/>
      <c r="G18" s="3"/>
      <c r="H18" s="3"/>
    </row>
    <row r="19" spans="2:16">
      <c r="B19" s="2" t="s">
        <v>31</v>
      </c>
    </row>
    <row r="20" spans="2:16">
      <c r="B20" s="3" t="s">
        <v>32</v>
      </c>
      <c r="C20" s="3"/>
      <c r="D20" s="3"/>
      <c r="E20" s="3"/>
      <c r="F20" s="3"/>
      <c r="G20" s="3"/>
      <c r="H20" s="3"/>
    </row>
    <row r="21" spans="2:16" ht="15.75" customHeight="1">
      <c r="B21" s="2" t="s">
        <v>33</v>
      </c>
    </row>
    <row r="22" spans="2:16" ht="15.75" customHeight="1">
      <c r="B22" s="2" t="s">
        <v>34</v>
      </c>
    </row>
    <row r="23" spans="2:16" ht="15.75" customHeight="1">
      <c r="B23" s="2" t="s">
        <v>35</v>
      </c>
    </row>
    <row r="24" spans="2:16" ht="15.75" customHeight="1">
      <c r="B24" s="3" t="s">
        <v>36</v>
      </c>
      <c r="C24" s="3"/>
      <c r="D24" s="3"/>
      <c r="E24" s="3"/>
      <c r="F24" s="3"/>
      <c r="G24" s="3"/>
      <c r="H24" s="3"/>
    </row>
    <row r="25" spans="2:16" ht="15.75" customHeight="1">
      <c r="B25" s="3" t="s">
        <v>37</v>
      </c>
      <c r="C25" s="3"/>
      <c r="D25" s="3"/>
      <c r="E25" s="3"/>
      <c r="F25" s="3"/>
      <c r="G25" s="3"/>
      <c r="H25" s="3"/>
    </row>
    <row r="26" spans="2:16" ht="15.75" customHeight="1">
      <c r="B26" s="2" t="s">
        <v>38</v>
      </c>
    </row>
    <row r="27" spans="2:16" ht="15.75" customHeight="1">
      <c r="B27" s="3" t="s">
        <v>39</v>
      </c>
      <c r="C27" s="3"/>
      <c r="D27" s="3"/>
      <c r="E27" s="3"/>
      <c r="F27" s="3"/>
      <c r="G27" s="3"/>
      <c r="H27" s="3"/>
      <c r="J27" s="11" t="s">
        <v>40</v>
      </c>
      <c r="K27" s="12"/>
      <c r="L27" s="12"/>
      <c r="M27" s="12"/>
      <c r="N27" s="12"/>
      <c r="O27" s="12"/>
      <c r="P27" s="13"/>
    </row>
    <row r="28" spans="2:16" ht="15.75" customHeight="1">
      <c r="B28" s="3" t="s">
        <v>41</v>
      </c>
      <c r="C28" s="3"/>
      <c r="D28" s="3"/>
      <c r="E28" s="3"/>
      <c r="F28" s="3"/>
      <c r="G28" s="3"/>
      <c r="H28" s="3"/>
      <c r="J28" s="14" t="s">
        <v>42</v>
      </c>
      <c r="K28" s="7" t="s">
        <v>43</v>
      </c>
      <c r="L28" s="7"/>
      <c r="M28" s="7"/>
      <c r="N28" s="7" t="s">
        <v>44</v>
      </c>
      <c r="O28" s="7"/>
      <c r="P28" s="15"/>
    </row>
    <row r="29" spans="2:16" ht="15.75" customHeight="1">
      <c r="B29" s="2" t="s">
        <v>45</v>
      </c>
      <c r="J29" s="16" t="s">
        <v>46</v>
      </c>
      <c r="K29" s="2" t="s">
        <v>47</v>
      </c>
      <c r="N29" s="2" t="s">
        <v>48</v>
      </c>
      <c r="P29" s="17"/>
    </row>
    <row r="30" spans="2:16" ht="15.75" customHeight="1">
      <c r="B30" s="3"/>
      <c r="C30" s="3"/>
      <c r="D30" s="3"/>
      <c r="E30" s="3"/>
      <c r="F30" s="3"/>
      <c r="G30" s="3"/>
      <c r="H30" s="3"/>
      <c r="J30" s="18" t="s">
        <v>49</v>
      </c>
      <c r="K30" s="19" t="s">
        <v>50</v>
      </c>
      <c r="L30" s="19"/>
      <c r="M30" s="19"/>
      <c r="N30" s="19" t="s">
        <v>51</v>
      </c>
      <c r="O30" s="19"/>
      <c r="P30" s="20"/>
    </row>
    <row r="31" spans="2:16" ht="15.75" customHeight="1"/>
    <row r="32" spans="2:1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J2:P2"/>
    <mergeCell ref="J8:P8"/>
  </mergeCells>
  <pageMargins left="0.511811024" right="0.511811024" top="0.78740157499999996" bottom="0.78740157499999996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tabSelected="1" workbookViewId="0">
      <pane xSplit="8" ySplit="4" topLeftCell="I5" activePane="bottomRight" state="frozen"/>
      <selection pane="topRight"/>
      <selection pane="bottomLeft"/>
      <selection pane="bottomRight" activeCell="C5" sqref="C5"/>
    </sheetView>
  </sheetViews>
  <sheetFormatPr defaultColWidth="14.42578125" defaultRowHeight="15" customHeight="1"/>
  <cols>
    <col min="1" max="1" width="16.85546875" hidden="1" customWidth="1"/>
    <col min="2" max="2" width="35.5703125" hidden="1" customWidth="1"/>
    <col min="3" max="3" width="14.85546875" customWidth="1"/>
    <col min="4" max="4" width="59.42578125" customWidth="1"/>
    <col min="5" max="5" width="23.5703125" hidden="1" customWidth="1"/>
    <col min="6" max="6" width="19.7109375" hidden="1" customWidth="1"/>
    <col min="7" max="8" width="15" hidden="1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hidden="1" customWidth="1"/>
    <col min="20" max="20" width="18.140625" hidden="1" customWidth="1"/>
    <col min="21" max="21" width="16.7109375" hidden="1" customWidth="1"/>
    <col min="22" max="22" width="12.28515625" hidden="1" customWidth="1"/>
    <col min="23" max="23" width="11.42578125" hidden="1" customWidth="1"/>
    <col min="24" max="24" width="12.140625" hidden="1" customWidth="1"/>
    <col min="25" max="25" width="16" hidden="1" customWidth="1"/>
    <col min="26" max="29" width="15.7109375" hidden="1" customWidth="1"/>
    <col min="30" max="30" width="16.85546875" hidden="1" customWidth="1"/>
    <col min="31" max="32" width="15.7109375" hidden="1" customWidth="1"/>
    <col min="33" max="33" width="16.42578125" hidden="1" customWidth="1"/>
    <col min="34" max="35" width="15.7109375" hidden="1" customWidth="1"/>
    <col min="36" max="36" width="17.7109375" hidden="1" customWidth="1"/>
    <col min="37" max="38" width="15.7109375" hidden="1" customWidth="1"/>
    <col min="39" max="39" width="14.7109375" hidden="1" customWidth="1"/>
    <col min="40" max="63" width="15.7109375" hidden="1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E4+E12+E68+E97+E160</f>
        <v>2379653.64</v>
      </c>
      <c r="F3" s="78">
        <f t="shared" si="0"/>
        <v>5282668.6900000004</v>
      </c>
      <c r="G3" s="79">
        <f t="shared" ref="G3:G4" si="1">I3/E3</f>
        <v>0.78928133843881609</v>
      </c>
      <c r="H3" s="79">
        <f t="shared" ref="H3:H4" si="2">M3/E3</f>
        <v>0.2705023870616734</v>
      </c>
      <c r="I3" s="80">
        <f t="shared" ref="I3:O3" si="3">I4+I12+I68+I97+I160</f>
        <v>1878216.2100000007</v>
      </c>
      <c r="J3" s="80">
        <f t="shared" si="3"/>
        <v>2466010.4700000002</v>
      </c>
      <c r="K3" s="80">
        <f t="shared" si="3"/>
        <v>53449.969999999994</v>
      </c>
      <c r="L3" s="80">
        <f t="shared" si="3"/>
        <v>1025807.3499999999</v>
      </c>
      <c r="M3" s="81">
        <f t="shared" si="3"/>
        <v>643701.99</v>
      </c>
      <c r="N3" s="81">
        <f t="shared" si="3"/>
        <v>2025963.3299999998</v>
      </c>
      <c r="O3" s="81">
        <f t="shared" si="3"/>
        <v>42240</v>
      </c>
      <c r="P3" s="82">
        <f t="shared" ref="P3:R3" si="4">IF(BI3=0,SUM(Y3+AB3+AE3+AH3+AK3+AN3+AQ3+AT3+AW3+AZ3+BC3+BF3),BI3)</f>
        <v>651958.93000000005</v>
      </c>
      <c r="Q3" s="82">
        <f t="shared" si="4"/>
        <v>2113068.0699999998</v>
      </c>
      <c r="R3" s="69">
        <f t="shared" si="4"/>
        <v>42240</v>
      </c>
      <c r="S3" s="71">
        <f t="shared" ref="S3:U3" si="5">S4+S12+S68+S97+S160</f>
        <v>1573971.5399999998</v>
      </c>
      <c r="T3" s="71">
        <f t="shared" si="5"/>
        <v>386597.17000000004</v>
      </c>
      <c r="U3" s="71">
        <f t="shared" si="5"/>
        <v>893327.34999999986</v>
      </c>
      <c r="V3" s="73">
        <f t="shared" ref="V3:W3" si="6">M3/I3</f>
        <v>0.34271985651747716</v>
      </c>
      <c r="W3" s="73">
        <f t="shared" si="6"/>
        <v>0.82155503986972112</v>
      </c>
      <c r="X3" s="73">
        <f t="shared" ref="X3:X4" si="7">O3/L3</f>
        <v>4.117732242803681E-2</v>
      </c>
      <c r="Y3" s="83">
        <f t="shared" ref="Y3:BK3" si="8">Y4+Y12+Y68+Y97+Y160</f>
        <v>0</v>
      </c>
      <c r="Z3" s="83">
        <f t="shared" si="8"/>
        <v>219966.24</v>
      </c>
      <c r="AA3" s="83">
        <f t="shared" si="8"/>
        <v>0</v>
      </c>
      <c r="AB3" s="83">
        <f t="shared" si="8"/>
        <v>34.909999999999997</v>
      </c>
      <c r="AC3" s="83">
        <f t="shared" si="8"/>
        <v>232440.47</v>
      </c>
      <c r="AD3" s="83">
        <f t="shared" si="8"/>
        <v>0</v>
      </c>
      <c r="AE3" s="83">
        <f t="shared" si="8"/>
        <v>2025.71</v>
      </c>
      <c r="AF3" s="83">
        <f t="shared" si="8"/>
        <v>268855.80999999994</v>
      </c>
      <c r="AG3" s="83">
        <f t="shared" si="8"/>
        <v>0</v>
      </c>
      <c r="AH3" s="83">
        <f t="shared" si="8"/>
        <v>18883.349999999999</v>
      </c>
      <c r="AI3" s="83">
        <f t="shared" si="8"/>
        <v>265043.90000000002</v>
      </c>
      <c r="AJ3" s="83">
        <f t="shared" si="8"/>
        <v>0</v>
      </c>
      <c r="AK3" s="83">
        <f t="shared" si="8"/>
        <v>55262.33</v>
      </c>
      <c r="AL3" s="83">
        <f t="shared" si="8"/>
        <v>468061.10000000003</v>
      </c>
      <c r="AM3" s="83">
        <f t="shared" si="8"/>
        <v>18000</v>
      </c>
      <c r="AN3" s="83">
        <f t="shared" si="8"/>
        <v>118074.31</v>
      </c>
      <c r="AO3" s="83">
        <f t="shared" si="8"/>
        <v>341107.38</v>
      </c>
      <c r="AP3" s="83">
        <f t="shared" si="8"/>
        <v>6000</v>
      </c>
      <c r="AQ3" s="83">
        <f t="shared" si="8"/>
        <v>262570.06000000006</v>
      </c>
      <c r="AR3" s="83">
        <f t="shared" si="8"/>
        <v>104382.16</v>
      </c>
      <c r="AS3" s="83">
        <f t="shared" si="8"/>
        <v>6000</v>
      </c>
      <c r="AT3" s="83">
        <f t="shared" si="8"/>
        <v>195108.26</v>
      </c>
      <c r="AU3" s="83">
        <f t="shared" si="8"/>
        <v>213211.01</v>
      </c>
      <c r="AV3" s="83">
        <f t="shared" si="8"/>
        <v>12240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5.1719615443406364E-2</v>
      </c>
      <c r="H4" s="88">
        <f t="shared" si="2"/>
        <v>7.2616111819389833E-3</v>
      </c>
      <c r="I4" s="87">
        <f>SUM(I5:I11)</f>
        <v>2513.9700000000003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352.97</v>
      </c>
      <c r="N4" s="87">
        <f t="shared" si="9"/>
        <v>12761.25</v>
      </c>
      <c r="O4" s="87">
        <f>SUM(O14)</f>
        <v>0</v>
      </c>
      <c r="P4" s="87">
        <f t="shared" ref="P4:R4" si="10">IF(BI4=0,SUM(Y4+AB4+AE4+AH4+AK4+AN4+AQ4+AT4+AW4+AZ4+BC4+BF4),BI4)</f>
        <v>352.97</v>
      </c>
      <c r="Q4" s="87">
        <f t="shared" si="10"/>
        <v>12761.25</v>
      </c>
      <c r="R4" s="87">
        <f t="shared" si="10"/>
        <v>0</v>
      </c>
      <c r="S4" s="87">
        <f t="shared" ref="S4:U4" si="11">SUM(S5:S11)</f>
        <v>2161</v>
      </c>
      <c r="T4" s="87">
        <f t="shared" si="11"/>
        <v>5022</v>
      </c>
      <c r="U4" s="87">
        <f t="shared" si="11"/>
        <v>0</v>
      </c>
      <c r="V4" s="87">
        <f t="shared" ref="V4:W4" si="12">M4/I4</f>
        <v>0.14040342565742631</v>
      </c>
      <c r="W4" s="88">
        <f t="shared" si="12"/>
        <v>0.71759942642655306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 t="shared" ref="AI4:AT4" si="15">SUM(AI5:AI11)</f>
        <v>1950</v>
      </c>
      <c r="AJ4" s="87">
        <f t="shared" si="15"/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10811.25</v>
      </c>
      <c r="AS4" s="87">
        <f t="shared" si="15"/>
        <v>0</v>
      </c>
      <c r="AT4" s="87">
        <f t="shared" si="15"/>
        <v>48.97</v>
      </c>
      <c r="AU4" s="87">
        <f t="shared" ref="AU4:BK4" si="16">SUM(AU14)</f>
        <v>0</v>
      </c>
      <c r="AV4" s="87">
        <f t="shared" si="16"/>
        <v>0</v>
      </c>
      <c r="AW4" s="87">
        <f t="shared" si="16"/>
        <v>0</v>
      </c>
      <c r="AX4" s="87">
        <f t="shared" si="16"/>
        <v>0</v>
      </c>
      <c r="AY4" s="87">
        <f t="shared" si="16"/>
        <v>0</v>
      </c>
      <c r="AZ4" s="87">
        <f t="shared" si="16"/>
        <v>0</v>
      </c>
      <c r="BA4" s="87">
        <f t="shared" si="16"/>
        <v>0</v>
      </c>
      <c r="BB4" s="87">
        <f t="shared" si="16"/>
        <v>0</v>
      </c>
      <c r="BC4" s="87">
        <f t="shared" si="16"/>
        <v>0</v>
      </c>
      <c r="BD4" s="87">
        <f t="shared" si="16"/>
        <v>0</v>
      </c>
      <c r="BE4" s="87">
        <f t="shared" si="16"/>
        <v>0</v>
      </c>
      <c r="BF4" s="87">
        <f t="shared" si="16"/>
        <v>0</v>
      </c>
      <c r="BG4" s="87">
        <f t="shared" si="16"/>
        <v>0</v>
      </c>
      <c r="BH4" s="87">
        <f t="shared" si="16"/>
        <v>0</v>
      </c>
      <c r="BI4" s="87">
        <f t="shared" si="16"/>
        <v>0</v>
      </c>
      <c r="BJ4" s="87">
        <f t="shared" si="16"/>
        <v>0</v>
      </c>
      <c r="BK4" s="87">
        <f t="shared" si="16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7">Y5+AB5+AE5+AH5+AK5+AN5+AQ5+AT5+AW5+AZ5+BC5+BF5</f>
        <v>0</v>
      </c>
      <c r="N5" s="97">
        <f t="shared" si="17"/>
        <v>0</v>
      </c>
      <c r="O5" s="97">
        <f t="shared" si="17"/>
        <v>0</v>
      </c>
      <c r="P5" s="82">
        <f t="shared" ref="P5:R5" si="18">IF(BI5=0,SUM(Y5+AB5+AE5+AH5+AK5+AN5+AQ5+AT5+AW5+AZ5+BC5+BF5),BI5)</f>
        <v>0</v>
      </c>
      <c r="Q5" s="82">
        <f t="shared" si="18"/>
        <v>0</v>
      </c>
      <c r="R5" s="82">
        <f t="shared" si="18"/>
        <v>0</v>
      </c>
      <c r="S5" s="97">
        <f t="shared" ref="S5:S11" si="19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24" si="20">I6/E6</f>
        <v>0</v>
      </c>
      <c r="H6" s="94">
        <f t="shared" ref="H6:H23" si="21">M6/E6</f>
        <v>0</v>
      </c>
      <c r="I6" s="95"/>
      <c r="J6" s="96"/>
      <c r="K6" s="96"/>
      <c r="L6" s="95"/>
      <c r="M6" s="97">
        <f t="shared" ref="M6:O6" si="22">Y6+AB6+AE6+AH6+AK6+AN6+AQ6+AT6+AW6+AZ6+BC6+BF6</f>
        <v>0</v>
      </c>
      <c r="N6" s="97">
        <f t="shared" si="22"/>
        <v>0</v>
      </c>
      <c r="O6" s="97">
        <f t="shared" si="22"/>
        <v>0</v>
      </c>
      <c r="P6" s="82">
        <f t="shared" ref="P6:R6" si="23">IF(BI6=0,SUM(Y6+AB6+AE6+AH6+AK6+AN6+AQ6+AT6+AW6+AZ6+BC6+BF6),BI6)</f>
        <v>0</v>
      </c>
      <c r="Q6" s="82">
        <f t="shared" si="23"/>
        <v>0</v>
      </c>
      <c r="R6" s="82">
        <f t="shared" si="23"/>
        <v>0</v>
      </c>
      <c r="S6" s="97">
        <f t="shared" si="19"/>
        <v>0</v>
      </c>
      <c r="T6" s="97">
        <f t="shared" ref="T6:T11" si="24">J6-K6-N6</f>
        <v>0</v>
      </c>
      <c r="U6" s="97">
        <f t="shared" ref="U6:U11" si="25">L6-O6</f>
        <v>0</v>
      </c>
      <c r="V6" s="97" t="e">
        <f t="shared" ref="V6:W6" si="26">M6/I6</f>
        <v>#DIV/0!</v>
      </c>
      <c r="W6" s="98" t="e">
        <f t="shared" si="26"/>
        <v>#DIV/0!</v>
      </c>
      <c r="X6" s="98" t="e">
        <f t="shared" ref="X6:X24" si="27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20"/>
        <v>0</v>
      </c>
      <c r="H7" s="94">
        <f t="shared" si="21"/>
        <v>0</v>
      </c>
      <c r="I7" s="95"/>
      <c r="J7" s="96"/>
      <c r="K7" s="96"/>
      <c r="L7" s="95"/>
      <c r="M7" s="97">
        <f t="shared" ref="M7:O7" si="28">Y7+AB7+AE7+AH7+AK7+AN7+AQ7+AT7+AW7+AZ7+BC7+BF7</f>
        <v>0</v>
      </c>
      <c r="N7" s="97">
        <f t="shared" si="28"/>
        <v>0</v>
      </c>
      <c r="O7" s="97">
        <f t="shared" si="28"/>
        <v>0</v>
      </c>
      <c r="P7" s="82">
        <f t="shared" ref="P7:R7" si="29">IF(BI7=0,SUM(Y7+AB7+AE7+AH7+AK7+AN7+AQ7+AT7+AW7+AZ7+BC7+BF7),BI7)</f>
        <v>0</v>
      </c>
      <c r="Q7" s="82">
        <f t="shared" si="29"/>
        <v>0</v>
      </c>
      <c r="R7" s="82">
        <f t="shared" si="29"/>
        <v>0</v>
      </c>
      <c r="S7" s="97">
        <f t="shared" si="19"/>
        <v>0</v>
      </c>
      <c r="T7" s="97">
        <f t="shared" si="24"/>
        <v>0</v>
      </c>
      <c r="U7" s="97">
        <f t="shared" si="25"/>
        <v>0</v>
      </c>
      <c r="V7" s="97" t="e">
        <f t="shared" ref="V7:W7" si="30">M7/I7</f>
        <v>#DIV/0!</v>
      </c>
      <c r="W7" s="98" t="e">
        <f t="shared" si="30"/>
        <v>#DIV/0!</v>
      </c>
      <c r="X7" s="98" t="e">
        <f t="shared" si="27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371" t="s">
        <v>728</v>
      </c>
      <c r="C8" s="101" t="s">
        <v>207</v>
      </c>
      <c r="D8" s="91" t="s">
        <v>778</v>
      </c>
      <c r="E8" s="92">
        <v>15127.2</v>
      </c>
      <c r="F8" s="93">
        <v>58483.53</v>
      </c>
      <c r="G8" s="94">
        <f t="shared" si="20"/>
        <v>0</v>
      </c>
      <c r="H8" s="94">
        <f t="shared" si="21"/>
        <v>0</v>
      </c>
      <c r="I8" s="95"/>
      <c r="J8" s="96">
        <v>15833.25</v>
      </c>
      <c r="K8" s="96"/>
      <c r="L8" s="95"/>
      <c r="M8" s="97">
        <f t="shared" ref="M8:O8" si="31">Y8+AB8+AE8+AH8+AK8+AN8+AQ8+AT8+AW8+AZ8+BC8+BF8</f>
        <v>0</v>
      </c>
      <c r="N8" s="97">
        <f t="shared" si="31"/>
        <v>10811.25</v>
      </c>
      <c r="O8" s="97">
        <f t="shared" si="31"/>
        <v>0</v>
      </c>
      <c r="P8" s="82">
        <f t="shared" ref="P8:R8" si="32">IF(BI8=0,SUM(Y8+AB8+AE8+AH8+AK8+AN8+AQ8+AT8+AW8+AZ8+BC8+BF8),BI8)</f>
        <v>0</v>
      </c>
      <c r="Q8" s="82">
        <f t="shared" si="32"/>
        <v>10811.25</v>
      </c>
      <c r="R8" s="82">
        <f t="shared" si="32"/>
        <v>0</v>
      </c>
      <c r="S8" s="97">
        <f t="shared" si="19"/>
        <v>0</v>
      </c>
      <c r="T8" s="128">
        <f t="shared" si="24"/>
        <v>5022</v>
      </c>
      <c r="U8" s="97">
        <f t="shared" si="25"/>
        <v>0</v>
      </c>
      <c r="V8" s="97" t="e">
        <f t="shared" ref="V8:W8" si="33">M8/I8</f>
        <v>#DIV/0!</v>
      </c>
      <c r="W8" s="98">
        <f t="shared" si="33"/>
        <v>0.68281938325991187</v>
      </c>
      <c r="X8" s="98" t="e">
        <f t="shared" si="27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>
        <f>5928.75+4882.5</f>
        <v>10811.25</v>
      </c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102"/>
      <c r="C9" s="101" t="s">
        <v>209</v>
      </c>
      <c r="D9" s="91" t="s">
        <v>69</v>
      </c>
      <c r="E9" s="92">
        <v>8029.07</v>
      </c>
      <c r="F9" s="93"/>
      <c r="G9" s="94">
        <f t="shared" si="20"/>
        <v>0</v>
      </c>
      <c r="H9" s="94">
        <f t="shared" si="21"/>
        <v>0</v>
      </c>
      <c r="I9" s="95"/>
      <c r="J9" s="353">
        <v>1950</v>
      </c>
      <c r="K9" s="96"/>
      <c r="L9" s="95"/>
      <c r="M9" s="97">
        <f t="shared" ref="M9:O9" si="34">Y9+AB9+AE9+AH9+AK9+AN9+AQ9+AT9+AW9+AZ9+BC9+BF9</f>
        <v>0</v>
      </c>
      <c r="N9" s="97">
        <f t="shared" si="34"/>
        <v>1950</v>
      </c>
      <c r="O9" s="97">
        <f t="shared" si="34"/>
        <v>0</v>
      </c>
      <c r="P9" s="82">
        <f t="shared" ref="P9:R9" si="35">IF(BI9=0,SUM(Y9+AB9+AE9+AH9+AK9+AN9+AQ9+AT9+AW9+AZ9+BC9+BF9),BI9)</f>
        <v>0</v>
      </c>
      <c r="Q9" s="82">
        <f t="shared" si="35"/>
        <v>1950</v>
      </c>
      <c r="R9" s="82">
        <f t="shared" si="35"/>
        <v>0</v>
      </c>
      <c r="S9" s="97">
        <f t="shared" si="19"/>
        <v>0</v>
      </c>
      <c r="T9" s="97">
        <f t="shared" si="24"/>
        <v>0</v>
      </c>
      <c r="U9" s="97">
        <f t="shared" si="25"/>
        <v>0</v>
      </c>
      <c r="V9" s="97" t="e">
        <f t="shared" ref="V9:W9" si="36">M9/I9</f>
        <v>#DIV/0!</v>
      </c>
      <c r="W9" s="98">
        <f t="shared" si="36"/>
        <v>1</v>
      </c>
      <c r="X9" s="98" t="e">
        <f t="shared" si="27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6" t="s">
        <v>779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20"/>
        <v>7.3123188092250449E-2</v>
      </c>
      <c r="H10" s="94">
        <f t="shared" si="21"/>
        <v>2.5454689686008107E-2</v>
      </c>
      <c r="I10" s="95">
        <f>304+183+361+48.97+117</f>
        <v>1013.97</v>
      </c>
      <c r="J10" s="96"/>
      <c r="K10" s="96"/>
      <c r="L10" s="95"/>
      <c r="M10" s="97">
        <f t="shared" ref="M10:O10" si="37">Y10+AB10+AE10+AH10+AK10+AN10+AQ10+AT10+AW10+AZ10+BC10+BF10</f>
        <v>352.97</v>
      </c>
      <c r="N10" s="97">
        <f t="shared" si="37"/>
        <v>0</v>
      </c>
      <c r="O10" s="97">
        <f t="shared" si="37"/>
        <v>0</v>
      </c>
      <c r="P10" s="82">
        <f t="shared" ref="P10:R10" si="38">IF(BI10=0,SUM(Y10+AB10+AE10+AH10+AK10+AN10+AQ10+AT10+AW10+AZ10+BC10+BF10),BI10)</f>
        <v>352.97</v>
      </c>
      <c r="Q10" s="82">
        <f t="shared" si="38"/>
        <v>0</v>
      </c>
      <c r="R10" s="82">
        <f t="shared" si="38"/>
        <v>0</v>
      </c>
      <c r="S10" s="97">
        <f t="shared" si="19"/>
        <v>661</v>
      </c>
      <c r="T10" s="97">
        <f t="shared" si="24"/>
        <v>0</v>
      </c>
      <c r="U10" s="97">
        <f t="shared" si="25"/>
        <v>0</v>
      </c>
      <c r="V10" s="97">
        <f t="shared" ref="V10:W10" si="39">M10/I10</f>
        <v>0.3481069459648708</v>
      </c>
      <c r="W10" s="98" t="e">
        <f t="shared" si="39"/>
        <v>#DIV/0!</v>
      </c>
      <c r="X10" s="98" t="e">
        <f t="shared" si="27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103">
        <v>48.97</v>
      </c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20"/>
        <v>0</v>
      </c>
      <c r="H11" s="94">
        <f t="shared" si="21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si="19"/>
        <v>0</v>
      </c>
      <c r="T11" s="97">
        <f t="shared" si="24"/>
        <v>0</v>
      </c>
      <c r="U11" s="97">
        <f t="shared" si="25"/>
        <v>0</v>
      </c>
      <c r="V11" s="97" t="e">
        <f t="shared" ref="V11:W11" si="42">M11/I11</f>
        <v>#DIV/0!</v>
      </c>
      <c r="W11" s="98" t="e">
        <f t="shared" si="42"/>
        <v>#DIV/0!</v>
      </c>
      <c r="X11" s="98" t="e">
        <f t="shared" si="27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3">SUM(E13:E67)</f>
        <v>1669164.1900000002</v>
      </c>
      <c r="F12" s="87">
        <f t="shared" si="43"/>
        <v>3786386.73</v>
      </c>
      <c r="G12" s="107">
        <f t="shared" si="20"/>
        <v>0.92263393213581957</v>
      </c>
      <c r="H12" s="107">
        <f t="shared" si="21"/>
        <v>0.23400866274275864</v>
      </c>
      <c r="I12" s="87">
        <f>SUM(I13:I67)</f>
        <v>1540027.5200000005</v>
      </c>
      <c r="J12" s="87">
        <f t="shared" ref="J12:L12" si="44">SUM(J15:J67)</f>
        <v>1611770.46</v>
      </c>
      <c r="K12" s="87">
        <f t="shared" si="44"/>
        <v>38898.909999999996</v>
      </c>
      <c r="L12" s="87">
        <f t="shared" si="44"/>
        <v>424780.43</v>
      </c>
      <c r="M12" s="87">
        <f t="shared" ref="M12:N12" si="45">SUM(M13:M67)</f>
        <v>390598.87999999995</v>
      </c>
      <c r="N12" s="87">
        <f t="shared" si="45"/>
        <v>1336847.76</v>
      </c>
      <c r="O12" s="108">
        <f>SUM(O13:O64)</f>
        <v>0</v>
      </c>
      <c r="P12" s="87">
        <f t="shared" ref="P12:R12" si="46">IF(BI12=0,SUM(Y12+AB12+AE12+AH12+AK12+AN12+AQ12+AT12+AW12+AZ12+BC12+BF12),BI12)</f>
        <v>394992.82000000007</v>
      </c>
      <c r="Q12" s="87">
        <f t="shared" si="46"/>
        <v>1423952.5</v>
      </c>
      <c r="R12" s="108">
        <f t="shared" si="46"/>
        <v>0</v>
      </c>
      <c r="S12" s="87">
        <f>SUM(S13:S67)</f>
        <v>1149428.6399999997</v>
      </c>
      <c r="T12" s="87">
        <f t="shared" ref="T12:U12" si="47">SUM(T15:T67)</f>
        <v>236023.79000000007</v>
      </c>
      <c r="U12" s="108">
        <f t="shared" si="47"/>
        <v>334540.43</v>
      </c>
      <c r="V12" s="88">
        <f t="shared" ref="V12:W12" si="48">M12/I12</f>
        <v>0.2536311039428697</v>
      </c>
      <c r="W12" s="88">
        <f t="shared" si="48"/>
        <v>0.82942813085183364</v>
      </c>
      <c r="X12" s="88">
        <f t="shared" si="27"/>
        <v>0</v>
      </c>
      <c r="Y12" s="87">
        <f t="shared" ref="Y12:AC12" si="49">SUM(Y15:Y67)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34.909999999999997</v>
      </c>
      <c r="AC12" s="87">
        <f t="shared" si="49"/>
        <v>163302.63</v>
      </c>
      <c r="AD12" s="87">
        <f>SUM(AD15:AD64)</f>
        <v>0</v>
      </c>
      <c r="AE12" s="87">
        <f>SUM(AE15:AE67)</f>
        <v>1721.71</v>
      </c>
      <c r="AF12" s="87">
        <f>SUM(AF15:AF66)</f>
        <v>200013.02999999997</v>
      </c>
      <c r="AG12" s="87">
        <f>SUM(AG15:AG64)</f>
        <v>0</v>
      </c>
      <c r="AH12" s="87">
        <f t="shared" ref="AH12:AI12" si="50">SUM(AH13:AH67)</f>
        <v>18883.349999999999</v>
      </c>
      <c r="AI12" s="87">
        <f t="shared" si="50"/>
        <v>93042.72</v>
      </c>
      <c r="AJ12" s="87">
        <f>SUM(AJ15:AJ64)</f>
        <v>0</v>
      </c>
      <c r="AK12" s="87">
        <f t="shared" ref="AK12:AL12" si="51">SUM(AK15:AK67)</f>
        <v>49634.33</v>
      </c>
      <c r="AL12" s="87">
        <f t="shared" si="51"/>
        <v>412798.4</v>
      </c>
      <c r="AM12" s="87">
        <f>SUM(AM15:AM64)</f>
        <v>0</v>
      </c>
      <c r="AN12" s="87">
        <f t="shared" ref="AN12:AO12" si="52">SUM(AN13:AN67)</f>
        <v>67241.679999999993</v>
      </c>
      <c r="AO12" s="87">
        <f t="shared" si="52"/>
        <v>236390.79</v>
      </c>
      <c r="AP12" s="87">
        <f>SUM(AP15:AP64)</f>
        <v>0</v>
      </c>
      <c r="AQ12" s="87">
        <f t="shared" ref="AQ12:AR12" si="53">SUM(AQ13:AQ67)</f>
        <v>139505.98000000004</v>
      </c>
      <c r="AR12" s="87">
        <f t="shared" si="53"/>
        <v>73977.010000000009</v>
      </c>
      <c r="AS12" s="87">
        <f>SUM(AS15:AS64)</f>
        <v>0</v>
      </c>
      <c r="AT12" s="87">
        <f>SUM(AT13:AT67)</f>
        <v>117970.86000000002</v>
      </c>
      <c r="AU12" s="87">
        <f>SUM(AU13:AU64)</f>
        <v>82367.569999999992</v>
      </c>
      <c r="AV12" s="87">
        <f>SUM(AV15:AV64)</f>
        <v>0</v>
      </c>
      <c r="AW12" s="87">
        <f t="shared" ref="AW12:AX12" si="54">SUM(AW15:AW67)</f>
        <v>0</v>
      </c>
      <c r="AX12" s="87">
        <f t="shared" si="54"/>
        <v>0</v>
      </c>
      <c r="AY12" s="87">
        <f t="shared" ref="AY12:BK12" si="55">SUM(AY15:AY64)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120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20"/>
        <v>1</v>
      </c>
      <c r="H13" s="94">
        <f t="shared" si="21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S24" si="58">I13-M13</f>
        <v>1500</v>
      </c>
      <c r="T13" s="97">
        <f t="shared" ref="T13:T67" si="59">J13-K13-N13</f>
        <v>0</v>
      </c>
      <c r="U13" s="97">
        <f t="shared" ref="U13:U24" si="60">L13-O13</f>
        <v>0</v>
      </c>
      <c r="V13" s="112">
        <f t="shared" ref="V13:W13" si="61">M13/I13</f>
        <v>0</v>
      </c>
      <c r="W13" s="98" t="e">
        <f t="shared" si="61"/>
        <v>#DIV/0!</v>
      </c>
      <c r="X13" s="98" t="e">
        <f t="shared" si="27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6" t="s">
        <v>780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20"/>
        <v>0.14967000000000003</v>
      </c>
      <c r="H14" s="94">
        <f t="shared" si="21"/>
        <v>4.5999999999999999E-2</v>
      </c>
      <c r="I14" s="355">
        <f>207.34+92</f>
        <v>299.34000000000003</v>
      </c>
      <c r="J14" s="96"/>
      <c r="K14" s="96"/>
      <c r="L14" s="95"/>
      <c r="M14" s="97">
        <f t="shared" ref="M14:O14" si="62">Y14+AB14+AE14+AH14+AK14+AN14+AQ14+AT14+AW14+AZ14+BC14+BF14</f>
        <v>92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92</v>
      </c>
      <c r="Q14" s="82">
        <f t="shared" si="63"/>
        <v>0</v>
      </c>
      <c r="R14" s="82">
        <f t="shared" si="63"/>
        <v>0</v>
      </c>
      <c r="S14" s="97">
        <f t="shared" si="58"/>
        <v>207.34000000000003</v>
      </c>
      <c r="T14" s="97">
        <f t="shared" si="59"/>
        <v>0</v>
      </c>
      <c r="U14" s="97">
        <f t="shared" si="60"/>
        <v>0</v>
      </c>
      <c r="V14" s="97">
        <f t="shared" ref="V14:W14" si="64">M14/I14</f>
        <v>0.3073428208725863</v>
      </c>
      <c r="W14" s="98" t="e">
        <f t="shared" si="64"/>
        <v>#DIV/0!</v>
      </c>
      <c r="X14" s="98" t="e">
        <f t="shared" si="27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103">
        <v>92</v>
      </c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1022</v>
      </c>
      <c r="E15" s="116">
        <v>280175</v>
      </c>
      <c r="F15" s="116"/>
      <c r="G15" s="94">
        <f t="shared" si="20"/>
        <v>1.03948599982154</v>
      </c>
      <c r="H15" s="94">
        <f t="shared" si="21"/>
        <v>1.784598911394664E-2</v>
      </c>
      <c r="I15" s="96">
        <f>5000+295574.67-30000-50000+70663.32</f>
        <v>291237.99</v>
      </c>
      <c r="J15" s="117">
        <v>194909.32</v>
      </c>
      <c r="K15" s="117"/>
      <c r="L15" s="118"/>
      <c r="M15" s="97">
        <f t="shared" ref="M15:O15" si="65">Y15+AB15+AE15+AH15+AK15+AN15+AQ15+AT15+AW15+AZ15+BC15+BF15</f>
        <v>5000</v>
      </c>
      <c r="N15" s="97">
        <f t="shared" si="65"/>
        <v>140332.43</v>
      </c>
      <c r="O15" s="97">
        <f t="shared" si="65"/>
        <v>0</v>
      </c>
      <c r="P15" s="82">
        <f t="shared" ref="P15:R15" si="66">IF(BI15=0,SUM(Y15+AB15+AE15+AH15+AK15+AN15+AQ15+AT15+AW15+AZ15+BC15+BF15),BI15)</f>
        <v>5000</v>
      </c>
      <c r="Q15" s="82">
        <f t="shared" si="66"/>
        <v>140332.43</v>
      </c>
      <c r="R15" s="82">
        <f t="shared" si="66"/>
        <v>0</v>
      </c>
      <c r="S15" s="97">
        <f t="shared" si="58"/>
        <v>286237.99</v>
      </c>
      <c r="T15" s="372">
        <f t="shared" si="59"/>
        <v>54576.890000000014</v>
      </c>
      <c r="U15" s="97">
        <f t="shared" si="60"/>
        <v>0</v>
      </c>
      <c r="V15" s="98">
        <f t="shared" ref="V15:W15" si="67">M15/I15</f>
        <v>1.7168089918489001E-2</v>
      </c>
      <c r="W15" s="98">
        <f t="shared" si="67"/>
        <v>0.71998830020031879</v>
      </c>
      <c r="X15" s="98" t="e">
        <f t="shared" si="27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260">
        <v>22238.34</v>
      </c>
      <c r="AP15" s="96"/>
      <c r="AQ15" s="96"/>
      <c r="AR15" s="96">
        <f>21478.13</f>
        <v>21478.13</v>
      </c>
      <c r="AS15" s="96"/>
      <c r="AT15" s="96"/>
      <c r="AU15" s="103">
        <v>14233.96</v>
      </c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1023</v>
      </c>
      <c r="E16" s="92">
        <v>2000</v>
      </c>
      <c r="F16" s="116"/>
      <c r="G16" s="94">
        <f t="shared" si="20"/>
        <v>0</v>
      </c>
      <c r="H16" s="94">
        <f t="shared" si="21"/>
        <v>0</v>
      </c>
      <c r="I16" s="96"/>
      <c r="J16" s="117">
        <f>2600+2712.58</f>
        <v>5312.58</v>
      </c>
      <c r="K16" s="117"/>
      <c r="L16" s="118"/>
      <c r="M16" s="97">
        <f t="shared" ref="M16:O16" si="68">Y16+AB16+AE16+AH16+AK16+AN16+AQ16+AT16+AW16+AZ16+BC16+BF16</f>
        <v>0</v>
      </c>
      <c r="N16" s="97">
        <f t="shared" si="68"/>
        <v>130.65</v>
      </c>
      <c r="O16" s="97">
        <f t="shared" si="68"/>
        <v>0</v>
      </c>
      <c r="P16" s="82">
        <f t="shared" ref="P16:R16" si="69">IF(BI16=0,SUM(Y16+AB16+AE16+AH16+AK16+AN16+AQ16+AT16+AW16+AZ16+BC16+BF16),BI16)</f>
        <v>0</v>
      </c>
      <c r="Q16" s="82">
        <f t="shared" si="69"/>
        <v>130.65</v>
      </c>
      <c r="R16" s="82">
        <f t="shared" si="69"/>
        <v>0</v>
      </c>
      <c r="S16" s="97">
        <f t="shared" si="58"/>
        <v>0</v>
      </c>
      <c r="T16" s="97">
        <f t="shared" si="59"/>
        <v>5181.93</v>
      </c>
      <c r="U16" s="97">
        <f t="shared" si="60"/>
        <v>0</v>
      </c>
      <c r="V16" s="98" t="e">
        <f t="shared" ref="V16:W16" si="70">M16/I16</f>
        <v>#DIV/0!</v>
      </c>
      <c r="W16" s="98">
        <f t="shared" si="70"/>
        <v>2.4592570841286156E-2</v>
      </c>
      <c r="X16" s="98" t="e">
        <f t="shared" si="27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260">
        <v>64.680000000000007</v>
      </c>
      <c r="AP16" s="96"/>
      <c r="AQ16" s="96"/>
      <c r="AR16" s="96">
        <f>16.35</f>
        <v>16.350000000000001</v>
      </c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77</v>
      </c>
      <c r="E17" s="123">
        <v>0</v>
      </c>
      <c r="F17" s="124">
        <v>0</v>
      </c>
      <c r="G17" s="94" t="e">
        <f t="shared" si="20"/>
        <v>#DIV/0!</v>
      </c>
      <c r="H17" s="94" t="e">
        <f t="shared" si="21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1">Y17+AB17+AE17+AH17+AK17+AN17+AQ17+AT17+AW17+AZ17+BC17+BF17</f>
        <v>0</v>
      </c>
      <c r="N17" s="97">
        <f t="shared" si="71"/>
        <v>12487.09</v>
      </c>
      <c r="O17" s="97">
        <f t="shared" si="71"/>
        <v>0</v>
      </c>
      <c r="P17" s="82">
        <f t="shared" ref="P17:R17" si="72">IF(BI17=0,SUM(Y17+AB17+AE17+AH17+AK17+AN17+AQ17+AT17+AW17+AZ17+BC17+BF17),BI17)</f>
        <v>0</v>
      </c>
      <c r="Q17" s="82">
        <f t="shared" si="72"/>
        <v>12487.09</v>
      </c>
      <c r="R17" s="82">
        <f t="shared" si="72"/>
        <v>0</v>
      </c>
      <c r="S17" s="97">
        <f t="shared" si="58"/>
        <v>0</v>
      </c>
      <c r="T17" s="97">
        <f t="shared" si="59"/>
        <v>0</v>
      </c>
      <c r="U17" s="97">
        <f t="shared" si="60"/>
        <v>0</v>
      </c>
      <c r="V17" s="98" t="e">
        <f t="shared" ref="V17:W17" si="73">M17/I17</f>
        <v>#DIV/0!</v>
      </c>
      <c r="W17" s="98">
        <f t="shared" si="73"/>
        <v>1</v>
      </c>
      <c r="X17" s="98" t="e">
        <f t="shared" si="27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29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77</v>
      </c>
      <c r="E18" s="92">
        <v>309000</v>
      </c>
      <c r="F18" s="116"/>
      <c r="G18" s="94">
        <f t="shared" si="20"/>
        <v>0.69126174757281555</v>
      </c>
      <c r="H18" s="94">
        <f t="shared" si="21"/>
        <v>0.15745404530744336</v>
      </c>
      <c r="I18" s="103">
        <f>160199.91+53399.97</f>
        <v>213599.88</v>
      </c>
      <c r="J18" s="117">
        <v>93746.62</v>
      </c>
      <c r="K18" s="117"/>
      <c r="L18" s="118"/>
      <c r="M18" s="97">
        <f t="shared" ref="M18:O18" si="74">Y18+AB18+AE18+AH18+AK18+AN18+AQ18+AT18+AW18+AZ18+BC18+BF18</f>
        <v>48653.3</v>
      </c>
      <c r="N18" s="97">
        <f t="shared" si="74"/>
        <v>93746.62000000001</v>
      </c>
      <c r="O18" s="97">
        <f t="shared" si="74"/>
        <v>0</v>
      </c>
      <c r="P18" s="82">
        <f t="shared" ref="P18:R18" si="75">IF(BI18=0,SUM(Y18+AB18+AE18+AH18+AK18+AN18+AQ18+AT18+AW18+AZ18+BC18+BF18),BI18)</f>
        <v>48653.3</v>
      </c>
      <c r="Q18" s="82">
        <f t="shared" si="75"/>
        <v>93746.62000000001</v>
      </c>
      <c r="R18" s="82">
        <f t="shared" si="75"/>
        <v>0</v>
      </c>
      <c r="S18" s="97">
        <f t="shared" si="58"/>
        <v>164946.58000000002</v>
      </c>
      <c r="T18" s="97">
        <f t="shared" si="59"/>
        <v>0</v>
      </c>
      <c r="U18" s="97">
        <f t="shared" si="60"/>
        <v>0</v>
      </c>
      <c r="V18" s="98">
        <f t="shared" ref="V18:W18" si="76">M18/I18</f>
        <v>0.22777774968787437</v>
      </c>
      <c r="W18" s="98">
        <f t="shared" si="76"/>
        <v>1.0000000000000002</v>
      </c>
      <c r="X18" s="98" t="e">
        <f t="shared" si="27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260">
        <v>17799.990000000002</v>
      </c>
      <c r="AP18" s="96"/>
      <c r="AQ18" s="103">
        <v>13053.32</v>
      </c>
      <c r="AR18" s="103">
        <f>17799.99-13053.32</f>
        <v>4746.6700000000019</v>
      </c>
      <c r="AS18" s="96"/>
      <c r="AT18" s="103">
        <f>17799.99+17799.99</f>
        <v>35599.980000000003</v>
      </c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1024</v>
      </c>
      <c r="E19" s="92">
        <v>610000</v>
      </c>
      <c r="F19" s="116"/>
      <c r="G19" s="94">
        <f t="shared" si="20"/>
        <v>1.2842410163934426</v>
      </c>
      <c r="H19" s="94">
        <f t="shared" si="21"/>
        <v>0.30794657377049178</v>
      </c>
      <c r="I19" s="103">
        <f>36673.86+499778.72+124944.68+124944.68-2954.92</f>
        <v>783387.0199999999</v>
      </c>
      <c r="J19" s="117">
        <v>180180.54</v>
      </c>
      <c r="K19" s="117"/>
      <c r="L19" s="118"/>
      <c r="M19" s="97">
        <f t="shared" ref="M19:M21" si="77">Y19+AB19+AE19+AH19+AK19+AN19+AQ19+AT19+AW19+AZ19+BC19+BF19</f>
        <v>187847.41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78">IF(BI19=0,SUM(Y19+AB19+AE19+AH19+AK19+AN19+AQ19+AT19+AW19+AZ19+BC19+BF19),BI19)</f>
        <v>187847.41</v>
      </c>
      <c r="Q19" s="82">
        <f t="shared" si="78"/>
        <v>180180.53999999998</v>
      </c>
      <c r="R19" s="82">
        <f t="shared" si="78"/>
        <v>0</v>
      </c>
      <c r="S19" s="97">
        <f t="shared" si="58"/>
        <v>595539.60999999987</v>
      </c>
      <c r="T19" s="97">
        <f t="shared" si="59"/>
        <v>73248.510000000009</v>
      </c>
      <c r="U19" s="97">
        <f t="shared" si="60"/>
        <v>0</v>
      </c>
      <c r="V19" s="98">
        <f t="shared" ref="V19:W19" si="79">M19/I19</f>
        <v>0.23978877005135985</v>
      </c>
      <c r="W19" s="98">
        <f t="shared" si="79"/>
        <v>0.59347158133725209</v>
      </c>
      <c r="X19" s="98" t="e">
        <f t="shared" si="27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>
        <f>19029.55</f>
        <v>19029.55</v>
      </c>
      <c r="AO19" s="129"/>
      <c r="AP19" s="96"/>
      <c r="AQ19" s="96">
        <f>29183.79+62472.34</f>
        <v>91656.13</v>
      </c>
      <c r="AR19" s="96"/>
      <c r="AS19" s="96"/>
      <c r="AT19" s="103">
        <v>62472.34</v>
      </c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359" t="s">
        <v>680</v>
      </c>
      <c r="B20" s="114" t="s">
        <v>228</v>
      </c>
      <c r="C20" s="101" t="s">
        <v>229</v>
      </c>
      <c r="D20" s="91" t="s">
        <v>79</v>
      </c>
      <c r="E20" s="92">
        <v>43000</v>
      </c>
      <c r="F20" s="92"/>
      <c r="G20" s="94">
        <f t="shared" si="20"/>
        <v>0.70610046511627911</v>
      </c>
      <c r="H20" s="94">
        <f t="shared" si="21"/>
        <v>0.20456348837209301</v>
      </c>
      <c r="I20" s="103">
        <v>30362.32</v>
      </c>
      <c r="J20" s="117">
        <v>20565.900000000001</v>
      </c>
      <c r="K20" s="117"/>
      <c r="L20" s="118"/>
      <c r="M20" s="97">
        <f t="shared" si="77"/>
        <v>8796.23</v>
      </c>
      <c r="N20" s="97">
        <f t="shared" ref="N20:O20" si="80">Z20+AC20+AF20+AI20+AL20+AO20+AR20+AU20+AX20+BA20+BD20+BG20</f>
        <v>20565.900000000001</v>
      </c>
      <c r="O20" s="97">
        <f t="shared" si="80"/>
        <v>0</v>
      </c>
      <c r="P20" s="82">
        <f t="shared" ref="P20:R20" si="81">IF(BI20=0,SUM(Y20+AB20+AE20+AH20+AK20+AN20+AQ20+AT20+AW20+AZ20+BC20+BF20),BI20)</f>
        <v>8796.23</v>
      </c>
      <c r="Q20" s="82">
        <f t="shared" si="81"/>
        <v>20565.900000000001</v>
      </c>
      <c r="R20" s="82">
        <f t="shared" si="81"/>
        <v>0</v>
      </c>
      <c r="S20" s="97">
        <f t="shared" si="58"/>
        <v>21566.09</v>
      </c>
      <c r="T20" s="97">
        <f t="shared" si="59"/>
        <v>0</v>
      </c>
      <c r="U20" s="97">
        <f t="shared" si="60"/>
        <v>0</v>
      </c>
      <c r="V20" s="98">
        <f t="shared" ref="V20:W20" si="82">M20/I20</f>
        <v>0.28970875743355579</v>
      </c>
      <c r="W20" s="98">
        <f t="shared" si="82"/>
        <v>1</v>
      </c>
      <c r="X20" s="98" t="e">
        <f t="shared" si="27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103">
        <v>1205.6500000000001</v>
      </c>
      <c r="AO20" s="260">
        <v>2589.64</v>
      </c>
      <c r="AP20" s="96"/>
      <c r="AQ20" s="96">
        <f>3795.29</f>
        <v>3795.29</v>
      </c>
      <c r="AR20" s="96"/>
      <c r="AS20" s="96"/>
      <c r="AT20" s="103">
        <v>3795.29</v>
      </c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1025</v>
      </c>
      <c r="E21" s="92">
        <v>2000</v>
      </c>
      <c r="F21" s="92"/>
      <c r="G21" s="94">
        <f t="shared" si="20"/>
        <v>0</v>
      </c>
      <c r="H21" s="94">
        <f t="shared" si="21"/>
        <v>0</v>
      </c>
      <c r="I21" s="96"/>
      <c r="J21" s="117">
        <v>1838.67</v>
      </c>
      <c r="K21" s="117"/>
      <c r="L21" s="118"/>
      <c r="M21" s="97">
        <f t="shared" si="77"/>
        <v>0</v>
      </c>
      <c r="N21" s="97">
        <f t="shared" ref="N21:O21" si="83">Z21+AC21+AF21+AI21+AL21+AO21+AR21+AU21+AX21+BA21+BD21+BG21</f>
        <v>1163.06</v>
      </c>
      <c r="O21" s="97">
        <f t="shared" si="83"/>
        <v>0</v>
      </c>
      <c r="P21" s="82">
        <f t="shared" ref="P21:R21" si="84">IF(BI21=0,SUM(Y21+AB21+AE21+AH21+AK21+AN21+AQ21+AT21+AW21+AZ21+BC21+BF21),BI21)</f>
        <v>0</v>
      </c>
      <c r="Q21" s="82">
        <f t="shared" si="84"/>
        <v>1163.06</v>
      </c>
      <c r="R21" s="82">
        <f t="shared" si="84"/>
        <v>0</v>
      </c>
      <c r="S21" s="97">
        <f t="shared" si="58"/>
        <v>0</v>
      </c>
      <c r="T21" s="97">
        <f t="shared" si="59"/>
        <v>675.61000000000013</v>
      </c>
      <c r="U21" s="97">
        <f t="shared" si="60"/>
        <v>0</v>
      </c>
      <c r="V21" s="98" t="e">
        <f t="shared" ref="V21:W21" si="85">M21/I21</f>
        <v>#DIV/0!</v>
      </c>
      <c r="W21" s="98">
        <f t="shared" si="85"/>
        <v>0.6325550533809764</v>
      </c>
      <c r="X21" s="98" t="e">
        <f t="shared" si="27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129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81</v>
      </c>
      <c r="E22" s="92">
        <v>45000</v>
      </c>
      <c r="F22" s="116"/>
      <c r="G22" s="94">
        <f t="shared" si="20"/>
        <v>1.0740742222222224</v>
      </c>
      <c r="H22" s="94">
        <f t="shared" si="21"/>
        <v>0.41661044444444439</v>
      </c>
      <c r="I22" s="103">
        <f>4393.94+43939.4</f>
        <v>48333.340000000004</v>
      </c>
      <c r="J22" s="117">
        <v>16833.330000000002</v>
      </c>
      <c r="K22" s="135">
        <v>2977.1</v>
      </c>
      <c r="L22" s="118"/>
      <c r="M22" s="97">
        <f>Y22+AB22+AE22+AH22+AL22+AN22+AQ22+AT22+AW22+AZ22+BC22+BF22</f>
        <v>18747.469999999998</v>
      </c>
      <c r="N22" s="97"/>
      <c r="O22" s="97">
        <f>AA22+AD22+AG22+AJ22+AM22+AP22+AS22+AV22+AY22+BB22+BE22+BH22</f>
        <v>0</v>
      </c>
      <c r="P22" s="82">
        <f>IF(BI22=0,SUM(Y22+AB22+AE22+AH22+AL22+AN22+AQ22+AT22+AW22+AZ22+BC22+BF22),BI22)</f>
        <v>18747.469999999998</v>
      </c>
      <c r="Q22" s="82">
        <f t="shared" ref="Q22:R22" si="86">IF(BJ22=0,SUM(Z22+AC22+AF22+AI22+AL22+AO22+AR22+AU22+AX22+BA22+BD22+BG22),BJ22)</f>
        <v>13856.23</v>
      </c>
      <c r="R22" s="82">
        <f t="shared" si="86"/>
        <v>0</v>
      </c>
      <c r="S22" s="97">
        <f t="shared" si="58"/>
        <v>29585.870000000006</v>
      </c>
      <c r="T22" s="97">
        <f t="shared" si="59"/>
        <v>13856.230000000001</v>
      </c>
      <c r="U22" s="97">
        <f t="shared" si="60"/>
        <v>0</v>
      </c>
      <c r="V22" s="98">
        <f t="shared" ref="V22:W22" si="87">M22/I22</f>
        <v>0.38787863615467078</v>
      </c>
      <c r="W22" s="98">
        <f t="shared" si="87"/>
        <v>0</v>
      </c>
      <c r="X22" s="98" t="e">
        <f t="shared" si="27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103">
        <v>4393.9399999999996</v>
      </c>
      <c r="AO22" s="129"/>
      <c r="AP22" s="96"/>
      <c r="AQ22" s="103">
        <v>4393.9399999999996</v>
      </c>
      <c r="AR22" s="96"/>
      <c r="AS22" s="96"/>
      <c r="AT22" s="103">
        <v>4393.9399999999996</v>
      </c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359" t="s">
        <v>684</v>
      </c>
      <c r="B23" s="114" t="s">
        <v>236</v>
      </c>
      <c r="C23" s="101" t="s">
        <v>229</v>
      </c>
      <c r="D23" s="122" t="s">
        <v>1026</v>
      </c>
      <c r="E23" s="92">
        <v>43000</v>
      </c>
      <c r="F23" s="116"/>
      <c r="G23" s="94">
        <f t="shared" si="20"/>
        <v>0.6188762790697675</v>
      </c>
      <c r="H23" s="94">
        <f t="shared" si="21"/>
        <v>0.18883046511627907</v>
      </c>
      <c r="I23" s="103">
        <v>26611.68</v>
      </c>
      <c r="J23" s="117">
        <v>18798.599999999999</v>
      </c>
      <c r="K23" s="117"/>
      <c r="L23" s="118"/>
      <c r="M23" s="97">
        <f t="shared" ref="M23:O23" si="88">Y23+AB23+AE23+AH23+AK23+AN23+AQ23+AT23+AW23+AZ23+BC23+BF23</f>
        <v>8119.71</v>
      </c>
      <c r="N23" s="97">
        <f t="shared" si="88"/>
        <v>18798.599999999999</v>
      </c>
      <c r="O23" s="97">
        <f t="shared" si="88"/>
        <v>0</v>
      </c>
      <c r="P23" s="82">
        <f t="shared" ref="P23:R23" si="89">IF(BI23=0,SUM(Y23+AB23+AE23+AH23+AK23+AN23+AQ23+AT23+AW23+AZ23+BC23+BF23),BI23)</f>
        <v>8119.71</v>
      </c>
      <c r="Q23" s="82">
        <f t="shared" si="89"/>
        <v>18798.599999999999</v>
      </c>
      <c r="R23" s="82">
        <f t="shared" si="89"/>
        <v>0</v>
      </c>
      <c r="S23" s="97">
        <f t="shared" si="58"/>
        <v>18491.97</v>
      </c>
      <c r="T23" s="97">
        <f t="shared" si="59"/>
        <v>0</v>
      </c>
      <c r="U23" s="97">
        <f t="shared" si="60"/>
        <v>0</v>
      </c>
      <c r="V23" s="98">
        <f t="shared" ref="V23:W23" si="90">M23/I23</f>
        <v>0.3051182788910734</v>
      </c>
      <c r="W23" s="98">
        <f t="shared" si="90"/>
        <v>1</v>
      </c>
      <c r="X23" s="98" t="e">
        <f t="shared" si="27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103">
        <v>1466.79</v>
      </c>
      <c r="AO23" s="260">
        <v>1859.67</v>
      </c>
      <c r="AP23" s="96"/>
      <c r="AQ23" s="96">
        <f>3326.46</f>
        <v>3326.46</v>
      </c>
      <c r="AR23" s="96"/>
      <c r="AS23" s="96"/>
      <c r="AT23" s="103">
        <v>3326.46</v>
      </c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359" t="s">
        <v>686</v>
      </c>
      <c r="B24" s="114"/>
      <c r="C24" s="101" t="s">
        <v>229</v>
      </c>
      <c r="D24" s="210" t="s">
        <v>1027</v>
      </c>
      <c r="E24" s="92">
        <v>44707.32</v>
      </c>
      <c r="F24" s="379">
        <v>19555.38</v>
      </c>
      <c r="G24" s="94">
        <f t="shared" si="20"/>
        <v>0.61751856295568608</v>
      </c>
      <c r="H24" s="94"/>
      <c r="I24" s="103">
        <f>3450.95+24156.65</f>
        <v>27607.600000000002</v>
      </c>
      <c r="J24" s="117"/>
      <c r="K24" s="117"/>
      <c r="L24" s="118"/>
      <c r="M24" s="97">
        <f t="shared" ref="M24:O24" si="91">Y24+AB24+AE24+AH24+AK24+AN24+AQ24+AT24+AW24+AZ24+BC24+BF24</f>
        <v>0</v>
      </c>
      <c r="N24" s="97">
        <f t="shared" si="91"/>
        <v>0</v>
      </c>
      <c r="O24" s="97">
        <f t="shared" si="91"/>
        <v>0</v>
      </c>
      <c r="P24" s="82">
        <f t="shared" ref="P24:R24" si="92">IF(BI24=0,SUM(Y24+AB24+AE24+AH24+AK24+AN24+AQ24+AT24+AW24+AZ24+BC24+BF24),BI24)</f>
        <v>0</v>
      </c>
      <c r="Q24" s="82">
        <f t="shared" si="92"/>
        <v>0</v>
      </c>
      <c r="R24" s="82">
        <f t="shared" si="92"/>
        <v>0</v>
      </c>
      <c r="S24" s="97">
        <f t="shared" si="58"/>
        <v>27607.600000000002</v>
      </c>
      <c r="T24" s="97">
        <f t="shared" si="59"/>
        <v>0</v>
      </c>
      <c r="U24" s="97">
        <f t="shared" si="60"/>
        <v>0</v>
      </c>
      <c r="V24" s="98">
        <f t="shared" ref="V24:W24" si="93">M24/I24</f>
        <v>0</v>
      </c>
      <c r="W24" s="98" t="e">
        <f t="shared" si="93"/>
        <v>#DIV/0!</v>
      </c>
      <c r="X24" s="98" t="e">
        <f t="shared" si="27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129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359" t="s">
        <v>741</v>
      </c>
      <c r="B25" s="114"/>
      <c r="C25" s="101" t="s">
        <v>229</v>
      </c>
      <c r="D25" s="210" t="s">
        <v>1028</v>
      </c>
      <c r="E25" s="92"/>
      <c r="F25" s="379">
        <v>90240</v>
      </c>
      <c r="G25" s="94"/>
      <c r="H25" s="94"/>
      <c r="I25" s="103">
        <v>0</v>
      </c>
      <c r="J25" s="117"/>
      <c r="K25" s="117"/>
      <c r="L25" s="118">
        <v>90240</v>
      </c>
      <c r="M25" s="97"/>
      <c r="N25" s="97"/>
      <c r="O25" s="97"/>
      <c r="P25" s="82"/>
      <c r="Q25" s="82"/>
      <c r="R25" s="82"/>
      <c r="S25" s="97"/>
      <c r="T25" s="97">
        <f t="shared" si="59"/>
        <v>0</v>
      </c>
      <c r="U25" s="97"/>
      <c r="V25" s="98"/>
      <c r="W25" s="98"/>
      <c r="X25" s="98"/>
      <c r="Y25" s="96"/>
      <c r="Z25" s="96"/>
      <c r="AA25" s="96"/>
      <c r="AB25" s="119"/>
      <c r="AC25" s="119"/>
      <c r="AD25" s="96"/>
      <c r="AE25" s="96"/>
      <c r="AF25" s="350"/>
      <c r="AG25" s="129"/>
      <c r="AH25" s="129"/>
      <c r="AI25" s="129"/>
      <c r="AJ25" s="129"/>
      <c r="AK25" s="96"/>
      <c r="AL25" s="129"/>
      <c r="AM25" s="129"/>
      <c r="AN25" s="96"/>
      <c r="AO25" s="129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 t="s">
        <v>239</v>
      </c>
      <c r="C26" s="101" t="s">
        <v>240</v>
      </c>
      <c r="D26" s="91" t="s">
        <v>1029</v>
      </c>
      <c r="E26" s="92">
        <v>7000</v>
      </c>
      <c r="F26" s="92"/>
      <c r="G26" s="94">
        <f t="shared" ref="G26:G57" si="94">I26/E26</f>
        <v>0</v>
      </c>
      <c r="H26" s="94">
        <f t="shared" ref="H26:H55" si="95">M26/E26</f>
        <v>0</v>
      </c>
      <c r="I26" s="96"/>
      <c r="J26" s="117">
        <v>5583.4</v>
      </c>
      <c r="K26" s="117"/>
      <c r="L26" s="118"/>
      <c r="M26" s="97">
        <f t="shared" ref="M26:O26" si="96">Y26+AB26+AE26+AH26+AK26+AN26+AQ26+AT26+AW26+AZ26+BC26+BF26</f>
        <v>0</v>
      </c>
      <c r="N26" s="97">
        <f t="shared" si="96"/>
        <v>5583.4</v>
      </c>
      <c r="O26" s="97">
        <f t="shared" si="96"/>
        <v>0</v>
      </c>
      <c r="P26" s="82">
        <f t="shared" ref="P26:R26" si="97">IF(BI26=0,SUM(Y26+AB26+AE26+AH26+AK26+AN26+AQ26+AT26+AW26+AZ26+BC26+BF26),BI26)</f>
        <v>0</v>
      </c>
      <c r="Q26" s="82">
        <f t="shared" si="97"/>
        <v>5583.4</v>
      </c>
      <c r="R26" s="82">
        <f t="shared" si="97"/>
        <v>0</v>
      </c>
      <c r="S26" s="97">
        <f t="shared" ref="S26:S67" si="98">I26-M26</f>
        <v>0</v>
      </c>
      <c r="T26" s="97">
        <f t="shared" si="59"/>
        <v>0</v>
      </c>
      <c r="U26" s="97">
        <f t="shared" ref="U26:U67" si="99">L26-O26</f>
        <v>0</v>
      </c>
      <c r="V26" s="98" t="e">
        <f t="shared" ref="V26:W26" si="100">M26/I26</f>
        <v>#DIV/0!</v>
      </c>
      <c r="W26" s="98">
        <f t="shared" si="100"/>
        <v>1</v>
      </c>
      <c r="X26" s="98" t="e">
        <f t="shared" ref="X26:X90" si="101">O26/L26</f>
        <v>#DIV/0!</v>
      </c>
      <c r="Y26" s="96"/>
      <c r="Z26" s="96"/>
      <c r="AA26" s="96"/>
      <c r="AB26" s="119"/>
      <c r="AC26" s="119"/>
      <c r="AD26" s="96"/>
      <c r="AE26" s="96"/>
      <c r="AF26" s="103">
        <v>5583.4</v>
      </c>
      <c r="AG26" s="96"/>
      <c r="AH26" s="96"/>
      <c r="AI26" s="96"/>
      <c r="AJ26" s="96"/>
      <c r="AK26" s="96"/>
      <c r="AL26" s="96"/>
      <c r="AM26" s="96"/>
      <c r="AN26" s="96"/>
      <c r="AO26" s="129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356" t="s">
        <v>781</v>
      </c>
      <c r="B27" s="114"/>
      <c r="C27" s="101" t="s">
        <v>242</v>
      </c>
      <c r="D27" s="122" t="s">
        <v>1030</v>
      </c>
      <c r="E27" s="116">
        <v>8404</v>
      </c>
      <c r="F27" s="116"/>
      <c r="G27" s="94">
        <f t="shared" si="94"/>
        <v>0.87495240361732518</v>
      </c>
      <c r="H27" s="94">
        <f t="shared" si="95"/>
        <v>0.87495240361732518</v>
      </c>
      <c r="I27" s="103">
        <f>2874.5+4478.6</f>
        <v>7353.1</v>
      </c>
      <c r="J27" s="117"/>
      <c r="K27" s="117"/>
      <c r="L27" s="118"/>
      <c r="M27" s="97">
        <f t="shared" ref="M27:O27" si="102">Y27+AB27+AE27+AH27+AK27+AN27+AQ27+AT27+AW27+AZ27+BC27+BF27</f>
        <v>7353.1</v>
      </c>
      <c r="N27" s="97">
        <f t="shared" si="102"/>
        <v>0</v>
      </c>
      <c r="O27" s="97">
        <f t="shared" si="102"/>
        <v>0</v>
      </c>
      <c r="P27" s="82">
        <f t="shared" ref="P27:R27" si="103">IF(BI27=0,SUM(Y27+AB27+AE27+AH27+AK27+AN27+AQ27+AT27+AW27+AZ27+BC27+BF27),BI27)</f>
        <v>7353.1</v>
      </c>
      <c r="Q27" s="82">
        <f t="shared" si="103"/>
        <v>0</v>
      </c>
      <c r="R27" s="82">
        <f t="shared" si="103"/>
        <v>0</v>
      </c>
      <c r="S27" s="97">
        <f t="shared" si="98"/>
        <v>0</v>
      </c>
      <c r="T27" s="97">
        <f t="shared" si="59"/>
        <v>0</v>
      </c>
      <c r="U27" s="97">
        <f t="shared" si="99"/>
        <v>0</v>
      </c>
      <c r="V27" s="98">
        <f t="shared" ref="V27:W27" si="104">M27/I27</f>
        <v>1</v>
      </c>
      <c r="W27" s="98" t="e">
        <f t="shared" si="104"/>
        <v>#DIV/0!</v>
      </c>
      <c r="X27" s="98" t="e">
        <f t="shared" si="101"/>
        <v>#DIV/0!</v>
      </c>
      <c r="Y27" s="96"/>
      <c r="Z27" s="96"/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103">
        <v>2874.5</v>
      </c>
      <c r="AO27" s="129"/>
      <c r="AP27" s="96"/>
      <c r="AQ27" s="103">
        <v>4478.6000000000004</v>
      </c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356" t="s">
        <v>782</v>
      </c>
      <c r="B28" s="114" t="s">
        <v>244</v>
      </c>
      <c r="C28" s="101" t="s">
        <v>245</v>
      </c>
      <c r="D28" s="91" t="s">
        <v>86</v>
      </c>
      <c r="E28" s="92">
        <v>10000</v>
      </c>
      <c r="F28" s="92"/>
      <c r="G28" s="94">
        <f t="shared" si="94"/>
        <v>0.33500000000000002</v>
      </c>
      <c r="H28" s="94">
        <f t="shared" si="95"/>
        <v>0</v>
      </c>
      <c r="I28" s="103">
        <v>3350</v>
      </c>
      <c r="J28" s="117">
        <v>13095</v>
      </c>
      <c r="K28" s="117"/>
      <c r="L28" s="118"/>
      <c r="M28" s="97">
        <f t="shared" ref="M28:O28" si="105">Y28+AB28+AE28+AH28+AK28+AN28+AQ28+AT28+AW28+AZ28+BC28+BF28</f>
        <v>0</v>
      </c>
      <c r="N28" s="97">
        <f t="shared" si="105"/>
        <v>13095</v>
      </c>
      <c r="O28" s="97">
        <f t="shared" si="105"/>
        <v>0</v>
      </c>
      <c r="P28" s="82">
        <f t="shared" ref="P28:R28" si="106">IF(BI28=0,SUM(Y28+AB28+AE28+AH28+AK28+AN28+AQ28+AT28+AW28+AZ28+BC28+BF28),BI28)</f>
        <v>0</v>
      </c>
      <c r="Q28" s="82">
        <f t="shared" si="106"/>
        <v>13095</v>
      </c>
      <c r="R28" s="82">
        <f t="shared" si="106"/>
        <v>0</v>
      </c>
      <c r="S28" s="97">
        <f t="shared" si="98"/>
        <v>3350</v>
      </c>
      <c r="T28" s="97">
        <f t="shared" si="59"/>
        <v>0</v>
      </c>
      <c r="U28" s="97">
        <f t="shared" si="99"/>
        <v>0</v>
      </c>
      <c r="V28" s="98">
        <f t="shared" ref="V28:W28" si="107">M28/I28</f>
        <v>0</v>
      </c>
      <c r="W28" s="98">
        <f t="shared" si="107"/>
        <v>1</v>
      </c>
      <c r="X28" s="98" t="e">
        <f t="shared" si="101"/>
        <v>#DIV/0!</v>
      </c>
      <c r="Y28" s="96"/>
      <c r="Z28" s="96">
        <f>13095</f>
        <v>13095</v>
      </c>
      <c r="AA28" s="96"/>
      <c r="AB28" s="119"/>
      <c r="AC28" s="119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129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92"/>
      <c r="G29" s="94">
        <f t="shared" si="94"/>
        <v>0</v>
      </c>
      <c r="H29" s="94">
        <f t="shared" si="95"/>
        <v>0</v>
      </c>
      <c r="I29" s="96"/>
      <c r="J29" s="117">
        <v>16850</v>
      </c>
      <c r="K29" s="117"/>
      <c r="L29" s="118"/>
      <c r="M29" s="97">
        <f t="shared" ref="M29:O29" si="108">Y29+AB29+AE29+AH29+AK29+AN29+AQ29+AT29+AW29+AZ29+BC29+BF29</f>
        <v>0</v>
      </c>
      <c r="N29" s="97">
        <f t="shared" si="108"/>
        <v>15245</v>
      </c>
      <c r="O29" s="97">
        <f t="shared" si="108"/>
        <v>0</v>
      </c>
      <c r="P29" s="82">
        <f t="shared" ref="P29:R29" si="109">IF(BI29=0,SUM(Y29+AB29+AE29+AH29+AK29+AN29+AQ29+AT29+AW29+AZ29+BC29+BF29),BI29)</f>
        <v>0</v>
      </c>
      <c r="Q29" s="82">
        <f t="shared" si="109"/>
        <v>15245</v>
      </c>
      <c r="R29" s="82">
        <f t="shared" si="109"/>
        <v>0</v>
      </c>
      <c r="S29" s="97">
        <f t="shared" si="98"/>
        <v>0</v>
      </c>
      <c r="T29" s="97">
        <f t="shared" si="59"/>
        <v>1605</v>
      </c>
      <c r="U29" s="97">
        <f t="shared" si="99"/>
        <v>0</v>
      </c>
      <c r="V29" s="98" t="e">
        <f t="shared" ref="V29:W29" si="110">M29/I29</f>
        <v>#DIV/0!</v>
      </c>
      <c r="W29" s="98">
        <f t="shared" si="110"/>
        <v>0.9047477744807122</v>
      </c>
      <c r="X29" s="98" t="e">
        <f t="shared" si="101"/>
        <v>#DIV/0!</v>
      </c>
      <c r="Y29" s="96"/>
      <c r="Z29" s="96"/>
      <c r="AA29" s="96"/>
      <c r="AB29" s="119"/>
      <c r="AC29" s="131">
        <v>5229.5</v>
      </c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260">
        <v>4306.75</v>
      </c>
      <c r="AP29" s="96"/>
      <c r="AQ29" s="96"/>
      <c r="AR29" s="96">
        <f>3650+2058.75</f>
        <v>5708.75</v>
      </c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356" t="s">
        <v>783</v>
      </c>
      <c r="B30" s="114"/>
      <c r="C30" s="101" t="s">
        <v>242</v>
      </c>
      <c r="D30" s="91" t="s">
        <v>247</v>
      </c>
      <c r="E30" s="92">
        <v>4202</v>
      </c>
      <c r="F30" s="92"/>
      <c r="G30" s="94">
        <f t="shared" si="94"/>
        <v>4.6201808662541648</v>
      </c>
      <c r="H30" s="94">
        <f t="shared" si="95"/>
        <v>1.3764873869585912</v>
      </c>
      <c r="I30" s="103">
        <f>5784+9816+3814</f>
        <v>19414</v>
      </c>
      <c r="J30" s="117"/>
      <c r="K30" s="117"/>
      <c r="L30" s="118"/>
      <c r="M30" s="97">
        <f t="shared" ref="M30:O30" si="111">Y30+AB30+AE30+AH30+AK30+AN30+AQ30+AT30+AW30+AZ30+BC30+BF30</f>
        <v>5784</v>
      </c>
      <c r="N30" s="97">
        <f t="shared" si="111"/>
        <v>0</v>
      </c>
      <c r="O30" s="97">
        <f t="shared" si="111"/>
        <v>0</v>
      </c>
      <c r="P30" s="82">
        <f t="shared" ref="P30:R30" si="112">IF(BI30=0,SUM(Y30+AB30+AE30+AH30+AK30+AN30+AQ30+AT30+AW30+AZ30+BC30+BF30),BI30)</f>
        <v>5784</v>
      </c>
      <c r="Q30" s="82">
        <f t="shared" si="112"/>
        <v>0</v>
      </c>
      <c r="R30" s="82">
        <f t="shared" si="112"/>
        <v>0</v>
      </c>
      <c r="S30" s="97">
        <f t="shared" si="98"/>
        <v>13630</v>
      </c>
      <c r="T30" s="97">
        <f t="shared" si="59"/>
        <v>0</v>
      </c>
      <c r="U30" s="97">
        <f t="shared" si="99"/>
        <v>0</v>
      </c>
      <c r="V30" s="98">
        <f t="shared" ref="V30:W30" si="113">M30/I30</f>
        <v>0.29792932934995364</v>
      </c>
      <c r="W30" s="98" t="e">
        <f t="shared" si="113"/>
        <v>#DIV/0!</v>
      </c>
      <c r="X30" s="98" t="e">
        <f t="shared" si="101"/>
        <v>#DIV/0!</v>
      </c>
      <c r="Y30" s="96"/>
      <c r="Z30" s="129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103">
        <v>5784</v>
      </c>
      <c r="AO30" s="129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488</v>
      </c>
      <c r="C31" s="101" t="s">
        <v>240</v>
      </c>
      <c r="D31" s="91" t="s">
        <v>1031</v>
      </c>
      <c r="E31" s="92">
        <v>18404</v>
      </c>
      <c r="F31" s="92"/>
      <c r="G31" s="94">
        <f t="shared" si="94"/>
        <v>0</v>
      </c>
      <c r="H31" s="94">
        <f t="shared" si="95"/>
        <v>0</v>
      </c>
      <c r="I31" s="96"/>
      <c r="J31" s="117">
        <f>2515+5718.85</f>
        <v>8233.85</v>
      </c>
      <c r="K31" s="117"/>
      <c r="L31" s="118"/>
      <c r="M31" s="97">
        <f t="shared" ref="M31:O31" si="114">Y31+AB31+AE31+AH31+AK31+AN31+AQ31+AT31+AW31+AZ31+BC31+BF31</f>
        <v>0</v>
      </c>
      <c r="N31" s="97">
        <f t="shared" si="114"/>
        <v>3965.87</v>
      </c>
      <c r="O31" s="97">
        <f t="shared" si="114"/>
        <v>0</v>
      </c>
      <c r="P31" s="82">
        <f t="shared" ref="P31:R31" si="115">IF(BI31=0,SUM(Y31+AB31+AE31+AH31+AK31+AN31+AQ31+AT31+AW31+AZ31+BC31+BF31),BI31)</f>
        <v>0</v>
      </c>
      <c r="Q31" s="82">
        <f t="shared" si="115"/>
        <v>3965.87</v>
      </c>
      <c r="R31" s="82">
        <f t="shared" si="115"/>
        <v>0</v>
      </c>
      <c r="S31" s="97">
        <f t="shared" si="98"/>
        <v>0</v>
      </c>
      <c r="T31" s="97">
        <f t="shared" si="59"/>
        <v>4267.9800000000005</v>
      </c>
      <c r="U31" s="97">
        <f t="shared" si="99"/>
        <v>0</v>
      </c>
      <c r="V31" s="98" t="e">
        <f t="shared" ref="V31:W31" si="116">M31/I31</f>
        <v>#DIV/0!</v>
      </c>
      <c r="W31" s="98">
        <f t="shared" si="116"/>
        <v>0.4816543901091227</v>
      </c>
      <c r="X31" s="98" t="e">
        <f t="shared" si="101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129"/>
      <c r="AP31" s="96"/>
      <c r="AQ31" s="96"/>
      <c r="AR31" s="103">
        <f>991.9+1523.1+1450.87</f>
        <v>3965.87</v>
      </c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356" t="s">
        <v>638</v>
      </c>
      <c r="B32" s="121" t="s">
        <v>490</v>
      </c>
      <c r="C32" s="101" t="s">
        <v>240</v>
      </c>
      <c r="D32" s="130" t="s">
        <v>1021</v>
      </c>
      <c r="E32" s="92"/>
      <c r="F32" s="92"/>
      <c r="G32" s="94" t="e">
        <f t="shared" si="94"/>
        <v>#DIV/0!</v>
      </c>
      <c r="H32" s="94" t="e">
        <f t="shared" si="95"/>
        <v>#DIV/0!</v>
      </c>
      <c r="I32" s="96">
        <f>431.95+943.55</f>
        <v>1375.5</v>
      </c>
      <c r="J32" s="117">
        <f>977.38+2861.28</f>
        <v>3838.6600000000003</v>
      </c>
      <c r="K32" s="117"/>
      <c r="L32" s="118"/>
      <c r="M32" s="97">
        <f t="shared" ref="M32:O32" si="117">Y32+AB32+AE32+AH32+AK32+AN32+AQ32+AT32+AW32+AZ32+BC32+BF32</f>
        <v>1375.5</v>
      </c>
      <c r="N32" s="97">
        <f t="shared" si="117"/>
        <v>3838.66</v>
      </c>
      <c r="O32" s="97">
        <f t="shared" si="117"/>
        <v>0</v>
      </c>
      <c r="P32" s="82">
        <f t="shared" ref="P32:R32" si="118">IF(BI32=0,SUM(Y32+AB32+AE32+AH32+AK32+AN32+AQ32+AT32+AW32+AZ32+BC32+BF32),BI32)</f>
        <v>1375.5</v>
      </c>
      <c r="Q32" s="82">
        <f t="shared" si="118"/>
        <v>3838.66</v>
      </c>
      <c r="R32" s="82">
        <f t="shared" si="118"/>
        <v>0</v>
      </c>
      <c r="S32" s="97">
        <f t="shared" si="98"/>
        <v>0</v>
      </c>
      <c r="T32" s="97">
        <f t="shared" si="59"/>
        <v>0</v>
      </c>
      <c r="U32" s="97">
        <f t="shared" si="99"/>
        <v>0</v>
      </c>
      <c r="V32" s="98">
        <f t="shared" ref="V32:W32" si="119">M32/I32</f>
        <v>1</v>
      </c>
      <c r="W32" s="98">
        <f t="shared" si="119"/>
        <v>0.99999999999999989</v>
      </c>
      <c r="X32" s="98" t="e">
        <f t="shared" si="101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103">
        <v>3838.66</v>
      </c>
      <c r="AJ32" s="96"/>
      <c r="AK32" s="96"/>
      <c r="AL32" s="96"/>
      <c r="AM32" s="96"/>
      <c r="AN32" s="96"/>
      <c r="AO32" s="129"/>
      <c r="AP32" s="96"/>
      <c r="AQ32" s="96">
        <f>431.95+943.55</f>
        <v>1375.5</v>
      </c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/>
      <c r="C33" s="101" t="s">
        <v>240</v>
      </c>
      <c r="D33" s="91" t="s">
        <v>90</v>
      </c>
      <c r="E33" s="92">
        <v>20000</v>
      </c>
      <c r="F33" s="92"/>
      <c r="G33" s="94">
        <f t="shared" si="94"/>
        <v>0</v>
      </c>
      <c r="H33" s="94">
        <f t="shared" si="95"/>
        <v>0</v>
      </c>
      <c r="I33" s="96"/>
      <c r="J33" s="117"/>
      <c r="K33" s="117"/>
      <c r="L33" s="118"/>
      <c r="M33" s="97">
        <f t="shared" ref="M33:O33" si="120">Y33+AB33+AE33+AH33+AK33+AN33+AQ33+AT33+AW33+AZ33+BC33+BF33</f>
        <v>0</v>
      </c>
      <c r="N33" s="97">
        <f t="shared" si="120"/>
        <v>0</v>
      </c>
      <c r="O33" s="97">
        <f t="shared" si="120"/>
        <v>0</v>
      </c>
      <c r="P33" s="82">
        <f t="shared" ref="P33:R33" si="121">IF(BI33=0,SUM(Y33+AB33+AE33+AH33+AK33+AN33+AQ33+AT33+AW33+AZ33+BC33+BF33),BI33)</f>
        <v>0</v>
      </c>
      <c r="Q33" s="82">
        <f t="shared" si="121"/>
        <v>0</v>
      </c>
      <c r="R33" s="82">
        <f t="shared" si="121"/>
        <v>0</v>
      </c>
      <c r="S33" s="97">
        <f t="shared" si="98"/>
        <v>0</v>
      </c>
      <c r="T33" s="97">
        <f t="shared" si="59"/>
        <v>0</v>
      </c>
      <c r="U33" s="97">
        <f t="shared" si="99"/>
        <v>0</v>
      </c>
      <c r="V33" s="98" t="e">
        <f t="shared" ref="V33:W33" si="122">M33/I33</f>
        <v>#DIV/0!</v>
      </c>
      <c r="W33" s="98" t="e">
        <f t="shared" si="122"/>
        <v>#DIV/0!</v>
      </c>
      <c r="X33" s="98" t="e">
        <f t="shared" si="101"/>
        <v>#DIV/0!</v>
      </c>
      <c r="Y33" s="96"/>
      <c r="Z33" s="96"/>
      <c r="AA33" s="96"/>
      <c r="AB33" s="119"/>
      <c r="AC33" s="119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129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92"/>
      <c r="G34" s="94">
        <f t="shared" si="94"/>
        <v>0</v>
      </c>
      <c r="H34" s="94">
        <f t="shared" si="95"/>
        <v>0</v>
      </c>
      <c r="I34" s="96"/>
      <c r="J34" s="117">
        <v>3374.7</v>
      </c>
      <c r="K34" s="117"/>
      <c r="L34" s="118"/>
      <c r="M34" s="97">
        <f t="shared" ref="M34:O34" si="123">Y34+AB34+AE34+AH34+AK34+AN34+AQ34+AT34+AW34+AZ34+BC34+BF34</f>
        <v>0</v>
      </c>
      <c r="N34" s="97">
        <f t="shared" si="123"/>
        <v>3374.7</v>
      </c>
      <c r="O34" s="97">
        <f t="shared" si="123"/>
        <v>0</v>
      </c>
      <c r="P34" s="82">
        <f t="shared" ref="P34:R34" si="124">IF(BI34=0,SUM(Y34+AB34+AE34+AH34+AK34+AN34+AQ34+AT34+AW34+AZ34+BC34+BF34),BI34)</f>
        <v>0</v>
      </c>
      <c r="Q34" s="82">
        <f t="shared" si="124"/>
        <v>3374.7</v>
      </c>
      <c r="R34" s="82">
        <f t="shared" si="124"/>
        <v>0</v>
      </c>
      <c r="S34" s="97">
        <f t="shared" si="98"/>
        <v>0</v>
      </c>
      <c r="T34" s="97">
        <f t="shared" si="59"/>
        <v>0</v>
      </c>
      <c r="U34" s="97">
        <f t="shared" si="99"/>
        <v>0</v>
      </c>
      <c r="V34" s="98" t="e">
        <f t="shared" ref="V34:W34" si="125">M34/I34</f>
        <v>#DIV/0!</v>
      </c>
      <c r="W34" s="98">
        <f t="shared" si="125"/>
        <v>1</v>
      </c>
      <c r="X34" s="98" t="e">
        <f t="shared" si="101"/>
        <v>#DIV/0!</v>
      </c>
      <c r="Y34" s="96"/>
      <c r="Z34" s="96"/>
      <c r="AA34" s="96"/>
      <c r="AB34" s="119"/>
      <c r="AC34" s="131">
        <v>3374.7</v>
      </c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129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784</v>
      </c>
      <c r="B35" s="114" t="s">
        <v>254</v>
      </c>
      <c r="C35" s="101" t="s">
        <v>255</v>
      </c>
      <c r="D35" s="122" t="s">
        <v>101</v>
      </c>
      <c r="E35" s="132">
        <v>30000</v>
      </c>
      <c r="F35" s="116"/>
      <c r="G35" s="94">
        <f t="shared" si="94"/>
        <v>0.518625</v>
      </c>
      <c r="H35" s="94">
        <f t="shared" si="95"/>
        <v>0.45</v>
      </c>
      <c r="I35" s="361">
        <f>13500+2058.75</f>
        <v>15558.75</v>
      </c>
      <c r="J35" s="117">
        <v>4100</v>
      </c>
      <c r="K35" s="117"/>
      <c r="L35" s="118"/>
      <c r="M35" s="97">
        <f t="shared" ref="M35:O35" si="126">Y35+AB35+AE35+AH35+AK35+AN35+AQ35+AT35+AW35+AZ35+BC35+BF35</f>
        <v>13500</v>
      </c>
      <c r="N35" s="97">
        <f t="shared" si="126"/>
        <v>4100</v>
      </c>
      <c r="O35" s="97">
        <f t="shared" si="126"/>
        <v>0</v>
      </c>
      <c r="P35" s="82">
        <f t="shared" ref="P35:R35" si="127">IF(BI35=0,SUM(Y35+AB35+AE35+AH35+AK35+AN35+AQ35+AT35+AW35+AZ35+BC35+BF35),BI35)</f>
        <v>13500</v>
      </c>
      <c r="Q35" s="82">
        <f t="shared" si="127"/>
        <v>4100</v>
      </c>
      <c r="R35" s="82">
        <f t="shared" si="127"/>
        <v>0</v>
      </c>
      <c r="S35" s="134">
        <f t="shared" si="98"/>
        <v>2058.75</v>
      </c>
      <c r="T35" s="97">
        <f t="shared" si="59"/>
        <v>0</v>
      </c>
      <c r="U35" s="97">
        <f t="shared" si="99"/>
        <v>0</v>
      </c>
      <c r="V35" s="98">
        <f t="shared" ref="V35:W35" si="128">M35/I35</f>
        <v>0.86767895878524948</v>
      </c>
      <c r="W35" s="98">
        <f t="shared" si="128"/>
        <v>1</v>
      </c>
      <c r="X35" s="98" t="e">
        <f t="shared" si="101"/>
        <v>#DIV/0!</v>
      </c>
      <c r="Y35" s="119"/>
      <c r="Z35" s="96"/>
      <c r="AA35" s="96"/>
      <c r="AB35" s="119"/>
      <c r="AC35" s="119"/>
      <c r="AD35" s="96"/>
      <c r="AE35" s="96"/>
      <c r="AF35" s="96"/>
      <c r="AG35" s="96"/>
      <c r="AH35" s="96"/>
      <c r="AI35" s="103">
        <v>4100</v>
      </c>
      <c r="AJ35" s="96"/>
      <c r="AK35" s="96"/>
      <c r="AL35" s="96"/>
      <c r="AM35" s="96"/>
      <c r="AN35" s="96">
        <f>13500</f>
        <v>13500</v>
      </c>
      <c r="AO35" s="129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359" t="s">
        <v>591</v>
      </c>
      <c r="B36" s="114" t="s">
        <v>256</v>
      </c>
      <c r="C36" s="101" t="s">
        <v>257</v>
      </c>
      <c r="D36" s="122" t="s">
        <v>103</v>
      </c>
      <c r="E36" s="132">
        <v>10000</v>
      </c>
      <c r="F36" s="116"/>
      <c r="G36" s="94">
        <f t="shared" si="94"/>
        <v>0.17576</v>
      </c>
      <c r="H36" s="94">
        <f t="shared" si="95"/>
        <v>0.17576</v>
      </c>
      <c r="I36" s="361">
        <f>1757.6</f>
        <v>1757.6</v>
      </c>
      <c r="J36" s="117">
        <f>19903.04+4541.3+16240</f>
        <v>40684.339999999997</v>
      </c>
      <c r="K36" s="117">
        <v>16240</v>
      </c>
      <c r="L36" s="118"/>
      <c r="M36" s="97">
        <f t="shared" ref="M36:O36" si="129">Y36+AB36+AE36+AH36+AK36+AN36+AQ36+AT36+AW36+AZ36+BC36+BF36</f>
        <v>1757.6</v>
      </c>
      <c r="N36" s="97">
        <f t="shared" si="129"/>
        <v>24444.34</v>
      </c>
      <c r="O36" s="97">
        <f t="shared" si="129"/>
        <v>0</v>
      </c>
      <c r="P36" s="82">
        <f t="shared" ref="P36:R36" si="130">IF(BI36=0,SUM(Y36+AB36+AE36+AH36+AK36+AN36+AQ36+AT36+AW36+AZ36+BC36+BF36),BI36)</f>
        <v>1757.6</v>
      </c>
      <c r="Q36" s="82">
        <f t="shared" si="130"/>
        <v>24444.34</v>
      </c>
      <c r="R36" s="82">
        <f t="shared" si="130"/>
        <v>0</v>
      </c>
      <c r="S36" s="134">
        <f t="shared" si="98"/>
        <v>0</v>
      </c>
      <c r="T36" s="97">
        <f t="shared" si="59"/>
        <v>0</v>
      </c>
      <c r="U36" s="97">
        <f t="shared" si="99"/>
        <v>0</v>
      </c>
      <c r="V36" s="98">
        <f t="shared" ref="V36:W36" si="131">M36/I36</f>
        <v>1</v>
      </c>
      <c r="W36" s="98">
        <f t="shared" si="131"/>
        <v>0.60082921340250328</v>
      </c>
      <c r="X36" s="98" t="e">
        <f t="shared" si="101"/>
        <v>#DIV/0!</v>
      </c>
      <c r="Y36" s="119"/>
      <c r="Z36" s="96"/>
      <c r="AA36" s="96"/>
      <c r="AB36" s="119"/>
      <c r="AC36" s="119">
        <f>19903.04</f>
        <v>19903.04</v>
      </c>
      <c r="AD36" s="96"/>
      <c r="AE36" s="96"/>
      <c r="AF36" s="96"/>
      <c r="AG36" s="96"/>
      <c r="AH36" s="96"/>
      <c r="AI36" s="103">
        <v>4541.3</v>
      </c>
      <c r="AJ36" s="96"/>
      <c r="AK36" s="96"/>
      <c r="AL36" s="96"/>
      <c r="AM36" s="96"/>
      <c r="AN36" s="96">
        <v>1757.6</v>
      </c>
      <c r="AO36" s="129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116"/>
      <c r="G37" s="94" t="e">
        <f t="shared" si="94"/>
        <v>#DIV/0!</v>
      </c>
      <c r="H37" s="94" t="e">
        <f t="shared" si="95"/>
        <v>#DIV/0!</v>
      </c>
      <c r="I37" s="96"/>
      <c r="J37" s="117">
        <v>949.5</v>
      </c>
      <c r="K37" s="117"/>
      <c r="L37" s="118"/>
      <c r="M37" s="97">
        <f t="shared" ref="M37:O37" si="132">Y37+AB37+AE37+AH37+AK37+AN37+AQ37+AT37+AW37+AZ37+BC37+BF37</f>
        <v>0</v>
      </c>
      <c r="N37" s="97">
        <f t="shared" si="132"/>
        <v>949.5</v>
      </c>
      <c r="O37" s="97">
        <f t="shared" si="132"/>
        <v>0</v>
      </c>
      <c r="P37" s="82">
        <f t="shared" ref="P37:R37" si="133">IF(BI37=0,SUM(Y37+AB37+AE37+AH37+AK37+AN37+AQ37+AT37+AW37+AZ37+BC37+BF37),BI37)</f>
        <v>0</v>
      </c>
      <c r="Q37" s="82">
        <f t="shared" si="133"/>
        <v>949.5</v>
      </c>
      <c r="R37" s="82">
        <f t="shared" si="133"/>
        <v>0</v>
      </c>
      <c r="S37" s="97">
        <f t="shared" si="98"/>
        <v>0</v>
      </c>
      <c r="T37" s="97">
        <f t="shared" si="59"/>
        <v>0</v>
      </c>
      <c r="U37" s="97">
        <f t="shared" si="99"/>
        <v>0</v>
      </c>
      <c r="V37" s="98" t="e">
        <f t="shared" ref="V37:W37" si="134">M37/I37</f>
        <v>#DIV/0!</v>
      </c>
      <c r="W37" s="98">
        <f t="shared" si="134"/>
        <v>1</v>
      </c>
      <c r="X37" s="98" t="e">
        <f t="shared" si="101"/>
        <v>#DIV/0!</v>
      </c>
      <c r="Y37" s="96"/>
      <c r="Z37" s="96"/>
      <c r="AA37" s="96"/>
      <c r="AB37" s="119"/>
      <c r="AC37" s="131">
        <v>949.5</v>
      </c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129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92"/>
      <c r="G38" s="94">
        <f t="shared" si="94"/>
        <v>0</v>
      </c>
      <c r="H38" s="94">
        <f t="shared" si="95"/>
        <v>0</v>
      </c>
      <c r="I38" s="96"/>
      <c r="J38" s="358">
        <v>50813</v>
      </c>
      <c r="K38" s="117"/>
      <c r="L38" s="118"/>
      <c r="M38" s="97">
        <f t="shared" ref="M38:O38" si="135">Y38+AB38+AE38+AH38+AK38+AN38+AQ38+AT38+AW38+AZ38+BC38+BF38</f>
        <v>0</v>
      </c>
      <c r="N38" s="97">
        <f t="shared" si="135"/>
        <v>50813</v>
      </c>
      <c r="O38" s="97">
        <f t="shared" si="135"/>
        <v>0</v>
      </c>
      <c r="P38" s="82">
        <f t="shared" ref="P38:R38" si="136">IF(BI38=0,SUM(Y38+AB38+AE38+AH38+AK38+AN38+AQ38+AT38+AW38+AZ38+BC38+BF38),BI38)</f>
        <v>0</v>
      </c>
      <c r="Q38" s="82">
        <f t="shared" si="136"/>
        <v>50813</v>
      </c>
      <c r="R38" s="82">
        <f t="shared" si="136"/>
        <v>0</v>
      </c>
      <c r="S38" s="97">
        <f t="shared" si="98"/>
        <v>0</v>
      </c>
      <c r="T38" s="373">
        <f t="shared" si="59"/>
        <v>0</v>
      </c>
      <c r="U38" s="97">
        <f t="shared" si="99"/>
        <v>0</v>
      </c>
      <c r="V38" s="98" t="e">
        <f t="shared" ref="V38:W38" si="137">M38/I38</f>
        <v>#DIV/0!</v>
      </c>
      <c r="W38" s="98">
        <f t="shared" si="137"/>
        <v>1</v>
      </c>
      <c r="X38" s="98" t="e">
        <f t="shared" si="101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129"/>
      <c r="AL38" s="103">
        <v>50813</v>
      </c>
      <c r="AM38" s="96"/>
      <c r="AN38" s="96"/>
      <c r="AO38" s="129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129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92"/>
      <c r="G39" s="94">
        <f t="shared" si="94"/>
        <v>0</v>
      </c>
      <c r="H39" s="94">
        <f t="shared" si="95"/>
        <v>0</v>
      </c>
      <c r="I39" s="96"/>
      <c r="J39" s="117"/>
      <c r="K39" s="117"/>
      <c r="L39" s="118"/>
      <c r="M39" s="97">
        <f t="shared" ref="M39:O39" si="138">Y39+AB39+AE39+AH39+AK39+AN39+AQ39+AT39+AW39+AZ39+BC39+BF39</f>
        <v>0</v>
      </c>
      <c r="N39" s="97">
        <f t="shared" si="138"/>
        <v>0</v>
      </c>
      <c r="O39" s="97">
        <f t="shared" si="138"/>
        <v>0</v>
      </c>
      <c r="P39" s="82">
        <f t="shared" ref="P39:R39" si="139">IF(BI39=0,SUM(Y39+AB39+AE39+AH39+AK39+AN39+AQ39+AT39+AW39+AZ39+BC39+BF39),BI39)</f>
        <v>0</v>
      </c>
      <c r="Q39" s="82">
        <f t="shared" si="139"/>
        <v>0</v>
      </c>
      <c r="R39" s="82">
        <f t="shared" si="139"/>
        <v>0</v>
      </c>
      <c r="S39" s="97">
        <f t="shared" si="98"/>
        <v>0</v>
      </c>
      <c r="T39" s="97">
        <f t="shared" si="59"/>
        <v>0</v>
      </c>
      <c r="U39" s="97">
        <f t="shared" si="99"/>
        <v>0</v>
      </c>
      <c r="V39" s="98" t="e">
        <f t="shared" ref="V39:W39" si="140">M39/I39</f>
        <v>#DIV/0!</v>
      </c>
      <c r="W39" s="98" t="e">
        <f t="shared" si="140"/>
        <v>#DIV/0!</v>
      </c>
      <c r="X39" s="98" t="e">
        <f t="shared" si="101"/>
        <v>#DIV/0!</v>
      </c>
      <c r="Y39" s="96"/>
      <c r="Z39" s="96"/>
      <c r="AA39" s="96"/>
      <c r="AB39" s="119"/>
      <c r="AC39" s="119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129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/>
      <c r="B40" s="136" t="s">
        <v>263</v>
      </c>
      <c r="C40" s="101" t="s">
        <v>218</v>
      </c>
      <c r="D40" s="91" t="s">
        <v>1032</v>
      </c>
      <c r="E40" s="116">
        <v>2344.5</v>
      </c>
      <c r="F40" s="92"/>
      <c r="G40" s="94">
        <f t="shared" si="94"/>
        <v>0</v>
      </c>
      <c r="H40" s="94">
        <f t="shared" si="95"/>
        <v>0</v>
      </c>
      <c r="I40" s="96"/>
      <c r="J40" s="117">
        <v>1424.02</v>
      </c>
      <c r="K40" s="117"/>
      <c r="L40" s="118"/>
      <c r="M40" s="97">
        <f t="shared" ref="M40:O40" si="141">Y40+AB40+AE40+AH40+AK40+AN40+AQ40+AT40+AW40+AZ40+BC40+BF40</f>
        <v>0</v>
      </c>
      <c r="N40" s="97">
        <f t="shared" si="141"/>
        <v>710.32</v>
      </c>
      <c r="O40" s="97">
        <f t="shared" si="141"/>
        <v>0</v>
      </c>
      <c r="P40" s="82">
        <f t="shared" ref="P40:R40" si="142">IF(BI40=0,SUM(Y40+AB40+AE40+AH40+AK40+AN40+AQ40+AT40+AW40+AZ40+BC40+BF40),BI40)</f>
        <v>0</v>
      </c>
      <c r="Q40" s="82">
        <f t="shared" si="142"/>
        <v>710.32</v>
      </c>
      <c r="R40" s="82">
        <f t="shared" si="142"/>
        <v>0</v>
      </c>
      <c r="S40" s="97">
        <f t="shared" si="98"/>
        <v>0</v>
      </c>
      <c r="T40" s="97">
        <f t="shared" si="59"/>
        <v>713.69999999999993</v>
      </c>
      <c r="U40" s="97">
        <f t="shared" si="99"/>
        <v>0</v>
      </c>
      <c r="V40" s="98" t="e">
        <f t="shared" ref="V40:W40" si="143">M40/I40</f>
        <v>#DIV/0!</v>
      </c>
      <c r="W40" s="98">
        <f t="shared" si="143"/>
        <v>0.49881321891546471</v>
      </c>
      <c r="X40" s="98" t="e">
        <f t="shared" si="101"/>
        <v>#DIV/0!</v>
      </c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129"/>
      <c r="AP40" s="96"/>
      <c r="AQ40" s="96"/>
      <c r="AR40" s="96">
        <f>191.24+136.6</f>
        <v>327.84000000000003</v>
      </c>
      <c r="AS40" s="96"/>
      <c r="AT40" s="96"/>
      <c r="AU40" s="103">
        <v>382.48</v>
      </c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9" t="s">
        <v>785</v>
      </c>
      <c r="B41" s="136" t="s">
        <v>265</v>
      </c>
      <c r="C41" s="101" t="s">
        <v>266</v>
      </c>
      <c r="D41" s="236" t="s">
        <v>95</v>
      </c>
      <c r="E41" s="116">
        <v>2000</v>
      </c>
      <c r="F41" s="92"/>
      <c r="G41" s="94">
        <f t="shared" si="94"/>
        <v>3.0759850000000002</v>
      </c>
      <c r="H41" s="94">
        <f t="shared" si="95"/>
        <v>1.7454999999999998E-2</v>
      </c>
      <c r="I41" s="96">
        <f>34.91+5081.51+1035.55</f>
        <v>6151.97</v>
      </c>
      <c r="J41" s="117">
        <v>576.45000000000005</v>
      </c>
      <c r="K41" s="117"/>
      <c r="L41" s="118"/>
      <c r="M41" s="97">
        <f t="shared" ref="M41:O41" si="144">Y41+AB41+AE41+AH41+AK41+AN41+AQ41+AT41+AW41+AZ41+BC41+BF41</f>
        <v>34.909999999999997</v>
      </c>
      <c r="N41" s="97">
        <f t="shared" si="144"/>
        <v>220.75</v>
      </c>
      <c r="O41" s="97">
        <f t="shared" si="144"/>
        <v>0</v>
      </c>
      <c r="P41" s="82">
        <f t="shared" ref="P41:R41" si="145">IF(BI41=0,SUM(Y41+AB41+AE41+AH41+AK41+AN41+AQ41+AT41+AW41+AZ41+BC41+BF41),BI41)</f>
        <v>34.909999999999997</v>
      </c>
      <c r="Q41" s="82">
        <f t="shared" si="145"/>
        <v>220.75</v>
      </c>
      <c r="R41" s="82">
        <f t="shared" si="145"/>
        <v>0</v>
      </c>
      <c r="S41" s="97">
        <f t="shared" si="98"/>
        <v>6117.06</v>
      </c>
      <c r="T41" s="97">
        <f t="shared" si="59"/>
        <v>355.70000000000005</v>
      </c>
      <c r="U41" s="97">
        <f t="shared" si="99"/>
        <v>0</v>
      </c>
      <c r="V41" s="98">
        <f t="shared" ref="V41:W41" si="146">M41/I41</f>
        <v>5.6746050452131588E-3</v>
      </c>
      <c r="W41" s="98">
        <f t="shared" si="146"/>
        <v>0.38294735016046488</v>
      </c>
      <c r="X41" s="98" t="e">
        <f t="shared" si="101"/>
        <v>#DIV/0!</v>
      </c>
      <c r="Y41" s="96"/>
      <c r="Z41" s="103"/>
      <c r="AA41" s="96"/>
      <c r="AB41" s="131">
        <v>34.909999999999997</v>
      </c>
      <c r="AC41" s="119"/>
      <c r="AD41" s="96"/>
      <c r="AE41" s="103"/>
      <c r="AF41" s="103">
        <v>3.61</v>
      </c>
      <c r="AG41" s="96"/>
      <c r="AH41" s="96"/>
      <c r="AI41" s="103">
        <v>29.32</v>
      </c>
      <c r="AJ41" s="96"/>
      <c r="AK41" s="96"/>
      <c r="AL41" s="103">
        <v>54.95</v>
      </c>
      <c r="AM41" s="96"/>
      <c r="AN41" s="96"/>
      <c r="AO41" s="260">
        <v>45.53</v>
      </c>
      <c r="AP41" s="96"/>
      <c r="AQ41" s="96"/>
      <c r="AR41" s="103">
        <v>40.19</v>
      </c>
      <c r="AS41" s="96"/>
      <c r="AT41" s="96"/>
      <c r="AU41" s="103">
        <v>47.15</v>
      </c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356" t="s">
        <v>697</v>
      </c>
      <c r="B42" s="114"/>
      <c r="C42" s="101" t="s">
        <v>268</v>
      </c>
      <c r="D42" s="91" t="s">
        <v>96</v>
      </c>
      <c r="E42" s="116">
        <f>5000+1000</f>
        <v>6000</v>
      </c>
      <c r="F42" s="92"/>
      <c r="G42" s="94">
        <f t="shared" si="94"/>
        <v>0.92500000000000004</v>
      </c>
      <c r="H42" s="94">
        <f t="shared" si="95"/>
        <v>0.92500000000000004</v>
      </c>
      <c r="I42" s="103">
        <f>550+5000</f>
        <v>5550</v>
      </c>
      <c r="J42" s="117"/>
      <c r="K42" s="117"/>
      <c r="L42" s="118"/>
      <c r="M42" s="97">
        <f t="shared" ref="M42:O42" si="147">Y42+AB42+AE42+AH42+AK42+AN42+AQ42+AT42+AW42+AZ42+BC42+BF42</f>
        <v>5550</v>
      </c>
      <c r="N42" s="97">
        <f t="shared" si="147"/>
        <v>0</v>
      </c>
      <c r="O42" s="97">
        <f t="shared" si="147"/>
        <v>0</v>
      </c>
      <c r="P42" s="82">
        <f t="shared" ref="P42:R42" si="148">IF(BI42=0,SUM(Y42+AB42+AE42+AH42+AK42+AN42+AQ42+AT42+AW42+AZ42+BC42+BF42),BI42)</f>
        <v>5550</v>
      </c>
      <c r="Q42" s="82">
        <f t="shared" si="148"/>
        <v>0</v>
      </c>
      <c r="R42" s="82">
        <f t="shared" si="148"/>
        <v>0</v>
      </c>
      <c r="S42" s="97">
        <f t="shared" si="98"/>
        <v>0</v>
      </c>
      <c r="T42" s="97">
        <f t="shared" si="59"/>
        <v>0</v>
      </c>
      <c r="U42" s="97">
        <f t="shared" si="99"/>
        <v>0</v>
      </c>
      <c r="V42" s="98">
        <f t="shared" ref="V42:W42" si="149">M42/I42</f>
        <v>1</v>
      </c>
      <c r="W42" s="98" t="e">
        <f t="shared" si="149"/>
        <v>#DIV/0!</v>
      </c>
      <c r="X42" s="98" t="e">
        <f t="shared" si="101"/>
        <v>#DIV/0!</v>
      </c>
      <c r="Y42" s="96"/>
      <c r="Z42" s="96"/>
      <c r="AA42" s="96"/>
      <c r="AB42" s="119"/>
      <c r="AC42" s="119"/>
      <c r="AD42" s="96"/>
      <c r="AE42" s="103">
        <v>550</v>
      </c>
      <c r="AF42" s="96"/>
      <c r="AG42" s="96"/>
      <c r="AH42" s="96"/>
      <c r="AI42" s="96"/>
      <c r="AJ42" s="96"/>
      <c r="AK42" s="96"/>
      <c r="AL42" s="96"/>
      <c r="AM42" s="96"/>
      <c r="AN42" s="96">
        <f>5000</f>
        <v>5000</v>
      </c>
      <c r="AO42" s="129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786</v>
      </c>
      <c r="B43" s="136" t="s">
        <v>270</v>
      </c>
      <c r="C43" s="101" t="s">
        <v>271</v>
      </c>
      <c r="D43" s="91" t="s">
        <v>1033</v>
      </c>
      <c r="E43" s="116">
        <v>30000</v>
      </c>
      <c r="F43" s="379">
        <v>46988.75</v>
      </c>
      <c r="G43" s="94">
        <f t="shared" si="94"/>
        <v>0.76145333333333332</v>
      </c>
      <c r="H43" s="94">
        <f t="shared" si="95"/>
        <v>0.71968900000000002</v>
      </c>
      <c r="I43" s="96">
        <f>17500-6240+597+447.6+1083.4+648+255.1+7900+652.5</f>
        <v>22843.599999999999</v>
      </c>
      <c r="J43" s="135">
        <v>362.4</v>
      </c>
      <c r="K43" s="135">
        <v>362.4</v>
      </c>
      <c r="L43" s="380">
        <v>41560</v>
      </c>
      <c r="M43" s="97">
        <f t="shared" ref="M43:O43" si="150">Y43+AB43+AE43+AH43+AK43+AN43+AQ43+AT43+AW43+AZ43+BC43+BF43</f>
        <v>21590.670000000002</v>
      </c>
      <c r="N43" s="97">
        <f t="shared" si="150"/>
        <v>0</v>
      </c>
      <c r="O43" s="97">
        <f t="shared" si="150"/>
        <v>0</v>
      </c>
      <c r="P43" s="82">
        <f t="shared" ref="P43:R43" si="151">IF(BI43=0,SUM(Y43+AB43+AE43+AH43+AK43+AN43+AQ43+AT43+AW43+AZ43+BC43+BF43),BI43)</f>
        <v>21590.670000000002</v>
      </c>
      <c r="Q43" s="82">
        <f t="shared" si="151"/>
        <v>0</v>
      </c>
      <c r="R43" s="82">
        <f t="shared" si="151"/>
        <v>0</v>
      </c>
      <c r="S43" s="97">
        <f t="shared" si="98"/>
        <v>1252.9299999999967</v>
      </c>
      <c r="T43" s="97">
        <f t="shared" si="59"/>
        <v>0</v>
      </c>
      <c r="U43" s="97">
        <f t="shared" si="99"/>
        <v>41560</v>
      </c>
      <c r="V43" s="98">
        <f t="shared" ref="V43:W43" si="152">M43/I43</f>
        <v>0.94515181495035827</v>
      </c>
      <c r="W43" s="98">
        <f t="shared" si="152"/>
        <v>0</v>
      </c>
      <c r="X43" s="98">
        <f t="shared" si="101"/>
        <v>0</v>
      </c>
      <c r="Y43" s="96"/>
      <c r="Z43" s="96"/>
      <c r="AA43" s="96"/>
      <c r="AB43" s="119"/>
      <c r="AC43" s="119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103">
        <v>9548.75</v>
      </c>
      <c r="AO43" s="129"/>
      <c r="AP43" s="96"/>
      <c r="AQ43" s="103">
        <f>648+255.1+447.6+1083.4+8579.66</f>
        <v>11013.76</v>
      </c>
      <c r="AR43" s="96"/>
      <c r="AS43" s="96"/>
      <c r="AT43" s="103">
        <v>1028.1600000000001</v>
      </c>
      <c r="AU43" s="103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787</v>
      </c>
      <c r="B44" s="140" t="s">
        <v>273</v>
      </c>
      <c r="C44" s="101" t="s">
        <v>161</v>
      </c>
      <c r="D44" s="91" t="s">
        <v>98</v>
      </c>
      <c r="E44" s="116">
        <v>20000</v>
      </c>
      <c r="F44" s="92"/>
      <c r="G44" s="94">
        <f t="shared" si="94"/>
        <v>1.0356644999999998</v>
      </c>
      <c r="H44" s="94">
        <f t="shared" si="95"/>
        <v>0.20333299999999999</v>
      </c>
      <c r="I44" s="103">
        <f>5511.95+3821.32+104.82+319.96+1524+3081+145.33+303.98+107.96+2658.6+1475+1281.12+378.25</f>
        <v>20713.289999999997</v>
      </c>
      <c r="J44" s="117">
        <f>1256.9+740+1407.15+678.68+610.54+4654.38+742.72+1006.2+186.96</f>
        <v>11283.53</v>
      </c>
      <c r="K44" s="135">
        <v>186.96</v>
      </c>
      <c r="L44" s="118"/>
      <c r="M44" s="97">
        <f t="shared" ref="M44:O44" si="153">Y44+AB44+AE44+AH44+AK44+AN44+AQ44+AT44+AW44+AZ44+BC44+BF44</f>
        <v>4066.66</v>
      </c>
      <c r="N44" s="97">
        <f t="shared" si="153"/>
        <v>4959.4699999999993</v>
      </c>
      <c r="O44" s="97">
        <f t="shared" si="153"/>
        <v>0</v>
      </c>
      <c r="P44" s="82">
        <f t="shared" ref="P44:R44" si="154">IF(BI44=0,SUM(Y44+AB44+AE44+AH44+AK44+AN44+AQ44+AT44+AW44+AZ44+BC44+BF44),BI44)</f>
        <v>4066.66</v>
      </c>
      <c r="Q44" s="82">
        <f t="shared" si="154"/>
        <v>4959.4699999999993</v>
      </c>
      <c r="R44" s="82">
        <f t="shared" si="154"/>
        <v>0</v>
      </c>
      <c r="S44" s="97">
        <f t="shared" si="98"/>
        <v>16646.629999999997</v>
      </c>
      <c r="T44" s="97">
        <f t="shared" si="59"/>
        <v>6137.1000000000022</v>
      </c>
      <c r="U44" s="97">
        <f t="shared" si="99"/>
        <v>0</v>
      </c>
      <c r="V44" s="98">
        <f t="shared" ref="V44:W44" si="155">M44/I44</f>
        <v>0.19633095466726919</v>
      </c>
      <c r="W44" s="98">
        <f t="shared" si="155"/>
        <v>0.43953177773267754</v>
      </c>
      <c r="X44" s="98" t="e">
        <f t="shared" si="101"/>
        <v>#DIV/0!</v>
      </c>
      <c r="Y44" s="96"/>
      <c r="Z44" s="96"/>
      <c r="AA44" s="96"/>
      <c r="AB44" s="119"/>
      <c r="AC44" s="119">
        <f>427.8</f>
        <v>427.8</v>
      </c>
      <c r="AD44" s="96"/>
      <c r="AE44" s="96"/>
      <c r="AF44" s="103">
        <f>1006.2+2085.83+182.74</f>
        <v>3274.7699999999995</v>
      </c>
      <c r="AG44" s="96"/>
      <c r="AH44" s="96"/>
      <c r="AI44" s="96"/>
      <c r="AJ44" s="96"/>
      <c r="AK44" s="96"/>
      <c r="AL44" s="96"/>
      <c r="AM44" s="96"/>
      <c r="AN44" s="96"/>
      <c r="AO44" s="129"/>
      <c r="AP44" s="96"/>
      <c r="AQ44" s="96">
        <f>2591.66</f>
        <v>2591.66</v>
      </c>
      <c r="AR44" s="96">
        <f>1256.9</f>
        <v>1256.9000000000001</v>
      </c>
      <c r="AS44" s="96"/>
      <c r="AT44" s="96">
        <f>1475</f>
        <v>1475</v>
      </c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9"/>
      <c r="BM44" s="100"/>
      <c r="BN44" s="100"/>
      <c r="BO44" s="100"/>
      <c r="BP44" s="100"/>
    </row>
    <row r="45" spans="1:68" ht="15.75" customHeight="1">
      <c r="A45" s="359" t="s">
        <v>753</v>
      </c>
      <c r="B45" s="141" t="s">
        <v>788</v>
      </c>
      <c r="C45" s="101" t="s">
        <v>271</v>
      </c>
      <c r="D45" s="91" t="s">
        <v>99</v>
      </c>
      <c r="E45" s="116">
        <v>60000</v>
      </c>
      <c r="F45" s="93">
        <v>50000</v>
      </c>
      <c r="G45" s="94">
        <f t="shared" si="94"/>
        <v>0.16867816666666668</v>
      </c>
      <c r="H45" s="94">
        <f t="shared" si="95"/>
        <v>0.32306216666666665</v>
      </c>
      <c r="I45" s="142">
        <f>1890+2443+727.8+2284.4+1796+979.49</f>
        <v>10120.69</v>
      </c>
      <c r="J45" s="117">
        <f>4740+413+1266+3806.39</f>
        <v>10225.39</v>
      </c>
      <c r="K45" s="117">
        <f>413+1266+3806.39</f>
        <v>5485.3899999999994</v>
      </c>
      <c r="L45" s="118"/>
      <c r="M45" s="97">
        <f t="shared" ref="M45:O45" si="156">Y45+AB45+AE45+AH45+AK45+AN45+AQ45+AT45+AW45+AZ45+BC45+BF45</f>
        <v>19383.73</v>
      </c>
      <c r="N45" s="97">
        <f t="shared" si="156"/>
        <v>4740</v>
      </c>
      <c r="O45" s="97">
        <f t="shared" si="156"/>
        <v>0</v>
      </c>
      <c r="P45" s="82">
        <f t="shared" ref="P45:R45" si="157">IF(BI45=0,SUM(Y45+AB45+AE45+AH45+AK45+AN45+AQ45+AT45+AW45+AZ45+BC45+BF45),BI45)</f>
        <v>19383.73</v>
      </c>
      <c r="Q45" s="82">
        <f t="shared" si="157"/>
        <v>4740</v>
      </c>
      <c r="R45" s="82">
        <f t="shared" si="157"/>
        <v>0</v>
      </c>
      <c r="S45" s="97">
        <f t="shared" si="98"/>
        <v>-9263.0399999999991</v>
      </c>
      <c r="T45" s="97">
        <f t="shared" si="59"/>
        <v>0</v>
      </c>
      <c r="U45" s="97">
        <f t="shared" si="99"/>
        <v>0</v>
      </c>
      <c r="V45" s="98">
        <f t="shared" ref="V45:W45" si="158">M45/I45</f>
        <v>1.9152577541649827</v>
      </c>
      <c r="W45" s="98">
        <f t="shared" si="158"/>
        <v>0.46355200143955394</v>
      </c>
      <c r="X45" s="98" t="e">
        <f t="shared" si="101"/>
        <v>#DIV/0!</v>
      </c>
      <c r="Y45" s="129"/>
      <c r="Z45" s="103">
        <v>4740</v>
      </c>
      <c r="AA45" s="129"/>
      <c r="AB45" s="119"/>
      <c r="AC45" s="119"/>
      <c r="AD45" s="129"/>
      <c r="AE45" s="129"/>
      <c r="AF45" s="129"/>
      <c r="AG45" s="129"/>
      <c r="AH45" s="260">
        <f>1890+2443+104.82</f>
        <v>4437.82</v>
      </c>
      <c r="AI45" s="129"/>
      <c r="AJ45" s="129"/>
      <c r="AK45" s="260">
        <f>3081+1524</f>
        <v>4605</v>
      </c>
      <c r="AL45" s="129"/>
      <c r="AM45" s="129"/>
      <c r="AN45" s="129">
        <f>303.98+319.96+107.96</f>
        <v>731.90000000000009</v>
      </c>
      <c r="AO45" s="129"/>
      <c r="AP45" s="129"/>
      <c r="AQ45" s="129">
        <f>3821.32</f>
        <v>3821.32</v>
      </c>
      <c r="AR45" s="129"/>
      <c r="AS45" s="129"/>
      <c r="AT45" s="260">
        <f>727.8+1796+2284.4+979.49</f>
        <v>5787.6900000000005</v>
      </c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374" t="s">
        <v>647</v>
      </c>
      <c r="B46" s="136"/>
      <c r="C46" s="101" t="s">
        <v>275</v>
      </c>
      <c r="D46" s="91" t="s">
        <v>276</v>
      </c>
      <c r="E46" s="116">
        <v>13000</v>
      </c>
      <c r="F46" s="92"/>
      <c r="G46" s="94">
        <f t="shared" si="94"/>
        <v>0.22306538461538464</v>
      </c>
      <c r="H46" s="94">
        <f t="shared" si="95"/>
        <v>0.22299615384615384</v>
      </c>
      <c r="I46" s="103">
        <f>1949.9+949.95</f>
        <v>2899.8500000000004</v>
      </c>
      <c r="J46" s="358">
        <v>30000</v>
      </c>
      <c r="K46" s="117"/>
      <c r="L46" s="118"/>
      <c r="M46" s="97">
        <f t="shared" ref="M46:M67" si="159">Y46+AB46+AE46+AH46+AK46+AN46+AQ46+AT46+AW46+AZ46+BC46+BF46</f>
        <v>2898.95</v>
      </c>
      <c r="N46" s="97">
        <f>AC46+AF46+AI46+AL46+AO46+AR46+AU46+AX46+BA46+BD46+BG46</f>
        <v>0</v>
      </c>
      <c r="O46" s="97">
        <f>AA46+AD46+AG46+AJ46+AM46+AP46+AS46+AV46+AY46+BB46+BE46+BH46</f>
        <v>0</v>
      </c>
      <c r="P46" s="82">
        <f t="shared" ref="P46:R46" si="160">IF(BI46=0,SUM(Y46+AB46+AE46+AH46+AK46+AN46+AQ46+AT46+AW46+AZ46+BC46+BF46),BI46)</f>
        <v>2898.95</v>
      </c>
      <c r="Q46" s="82">
        <f t="shared" si="160"/>
        <v>0</v>
      </c>
      <c r="R46" s="82">
        <f t="shared" si="160"/>
        <v>0</v>
      </c>
      <c r="S46" s="97">
        <f t="shared" si="98"/>
        <v>0.9000000000005457</v>
      </c>
      <c r="T46" s="373">
        <f t="shared" si="59"/>
        <v>30000</v>
      </c>
      <c r="U46" s="97">
        <f t="shared" si="99"/>
        <v>0</v>
      </c>
      <c r="V46" s="98">
        <f t="shared" ref="V46:W46" si="161">M46/I46</f>
        <v>0.99968963911926456</v>
      </c>
      <c r="W46" s="98">
        <f t="shared" si="161"/>
        <v>0</v>
      </c>
      <c r="X46" s="98" t="e">
        <f t="shared" si="101"/>
        <v>#DIV/0!</v>
      </c>
      <c r="Y46" s="129"/>
      <c r="Z46" s="12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260">
        <v>949.95</v>
      </c>
      <c r="AL46" s="129"/>
      <c r="AM46" s="129"/>
      <c r="AN46" s="260">
        <v>1949</v>
      </c>
      <c r="AO46" s="129"/>
      <c r="AP46" s="129"/>
      <c r="AQ46" s="129"/>
      <c r="AR46" s="260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374"/>
      <c r="B47" s="136" t="s">
        <v>277</v>
      </c>
      <c r="C47" s="101" t="s">
        <v>278</v>
      </c>
      <c r="D47" s="91" t="s">
        <v>1034</v>
      </c>
      <c r="E47" s="116"/>
      <c r="F47" s="92"/>
      <c r="G47" s="94" t="e">
        <f t="shared" si="94"/>
        <v>#DIV/0!</v>
      </c>
      <c r="H47" s="94" t="e">
        <f t="shared" si="95"/>
        <v>#DIV/0!</v>
      </c>
      <c r="I47" s="103">
        <v>0</v>
      </c>
      <c r="J47" s="358">
        <v>22098.39</v>
      </c>
      <c r="K47" s="117">
        <v>13647.06</v>
      </c>
      <c r="L47" s="118"/>
      <c r="M47" s="97">
        <f t="shared" si="159"/>
        <v>0</v>
      </c>
      <c r="N47" s="97">
        <f t="shared" ref="N47:O47" si="162">Z47+AC47+AF47+AI47+AL47+AO47+AR47+AU47+AX47+BA47+BD47+BG47</f>
        <v>8451.33</v>
      </c>
      <c r="O47" s="97">
        <f t="shared" si="162"/>
        <v>0</v>
      </c>
      <c r="P47" s="82">
        <f t="shared" ref="P47:R47" si="163">IF(BI47=0,SUM(Y47+AB47+AE47+AH47+AK47+AN47+AQ47+AT47+AW47+AZ47+BC47+BF47),BI47)</f>
        <v>0</v>
      </c>
      <c r="Q47" s="82">
        <f t="shared" si="163"/>
        <v>8451.33</v>
      </c>
      <c r="R47" s="82">
        <f t="shared" si="163"/>
        <v>0</v>
      </c>
      <c r="S47" s="97">
        <f t="shared" si="98"/>
        <v>0</v>
      </c>
      <c r="T47" s="373">
        <f t="shared" si="59"/>
        <v>0</v>
      </c>
      <c r="U47" s="97">
        <f t="shared" si="99"/>
        <v>0</v>
      </c>
      <c r="V47" s="98" t="e">
        <f t="shared" ref="V47:W47" si="164">M47/I47</f>
        <v>#DIV/0!</v>
      </c>
      <c r="W47" s="98">
        <f t="shared" si="164"/>
        <v>0.38244098325715131</v>
      </c>
      <c r="X47" s="98" t="e">
        <f t="shared" si="101"/>
        <v>#DIV/0!</v>
      </c>
      <c r="Y47" s="129"/>
      <c r="Z47" s="126"/>
      <c r="AA47" s="129"/>
      <c r="AB47" s="119"/>
      <c r="AC47" s="119"/>
      <c r="AD47" s="129"/>
      <c r="AE47" s="129"/>
      <c r="AF47" s="129">
        <v>8367.65</v>
      </c>
      <c r="AG47" s="129"/>
      <c r="AH47" s="129"/>
      <c r="AI47" s="129"/>
      <c r="AJ47" s="129"/>
      <c r="AK47" s="260"/>
      <c r="AL47" s="129">
        <v>83.68</v>
      </c>
      <c r="AM47" s="129"/>
      <c r="AN47" s="260"/>
      <c r="AO47" s="129"/>
      <c r="AP47" s="129"/>
      <c r="AQ47" s="129"/>
      <c r="AR47" s="260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356" t="s">
        <v>649</v>
      </c>
      <c r="B48" s="143" t="s">
        <v>789</v>
      </c>
      <c r="C48" s="101" t="s">
        <v>278</v>
      </c>
      <c r="D48" s="91" t="s">
        <v>1035</v>
      </c>
      <c r="E48" s="116"/>
      <c r="F48" s="381">
        <v>33207.879999999997</v>
      </c>
      <c r="G48" s="94" t="e">
        <f t="shared" si="94"/>
        <v>#DIV/0!</v>
      </c>
      <c r="H48" s="94" t="e">
        <f t="shared" si="95"/>
        <v>#DIV/0!</v>
      </c>
      <c r="I48" s="103">
        <v>0</v>
      </c>
      <c r="J48" s="117">
        <f>50068.66+42203.34</f>
        <v>92272</v>
      </c>
      <c r="K48" s="117"/>
      <c r="L48" s="103">
        <v>33207.879999999997</v>
      </c>
      <c r="M48" s="97">
        <f t="shared" si="159"/>
        <v>19996.05</v>
      </c>
      <c r="N48" s="97">
        <f t="shared" ref="N48:O48" si="165">Z48+AC48+AF48+AI48+AL48+AO48+AR48+AU48+AX48+BA48+BD48+BG48</f>
        <v>92272</v>
      </c>
      <c r="O48" s="97">
        <f t="shared" si="165"/>
        <v>0</v>
      </c>
      <c r="P48" s="82">
        <f t="shared" ref="P48:R48" si="166">IF(BI48=0,SUM(Y48+AB48+AE48+AH48+AK48+AN48+AQ48+AT48+AW48+AZ48+BC48+BF48),BI48)</f>
        <v>19996.05</v>
      </c>
      <c r="Q48" s="82">
        <f t="shared" si="166"/>
        <v>92272</v>
      </c>
      <c r="R48" s="82">
        <f t="shared" si="166"/>
        <v>0</v>
      </c>
      <c r="S48" s="97">
        <f t="shared" si="98"/>
        <v>-19996.05</v>
      </c>
      <c r="T48" s="97">
        <f t="shared" si="59"/>
        <v>0</v>
      </c>
      <c r="U48" s="97">
        <f t="shared" si="99"/>
        <v>33207.879999999997</v>
      </c>
      <c r="V48" s="98" t="e">
        <f t="shared" ref="V48:W48" si="167">M48/I48</f>
        <v>#DIV/0!</v>
      </c>
      <c r="W48" s="98">
        <f t="shared" si="167"/>
        <v>1</v>
      </c>
      <c r="X48" s="98">
        <f t="shared" si="101"/>
        <v>0</v>
      </c>
      <c r="Y48" s="129"/>
      <c r="Z48" s="103">
        <v>49298.9</v>
      </c>
      <c r="AA48" s="129"/>
      <c r="AB48" s="119"/>
      <c r="AC48" s="119"/>
      <c r="AD48" s="129"/>
      <c r="AE48" s="129"/>
      <c r="AF48" s="129">
        <f>24069.07-6782.31</f>
        <v>17286.759999999998</v>
      </c>
      <c r="AG48" s="129"/>
      <c r="AH48" s="129"/>
      <c r="AI48" s="129"/>
      <c r="AJ48" s="129"/>
      <c r="AK48" s="260">
        <v>19996.05</v>
      </c>
      <c r="AL48" s="260">
        <f>12474.51+13211.83</f>
        <v>25686.34</v>
      </c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36" t="s">
        <v>282</v>
      </c>
      <c r="C49" s="101" t="s">
        <v>278</v>
      </c>
      <c r="D49" s="91" t="s">
        <v>1036</v>
      </c>
      <c r="E49" s="116"/>
      <c r="F49" s="92"/>
      <c r="G49" s="94" t="e">
        <f t="shared" si="94"/>
        <v>#DIV/0!</v>
      </c>
      <c r="H49" s="94" t="e">
        <f t="shared" si="95"/>
        <v>#DIV/0!</v>
      </c>
      <c r="I49" s="96"/>
      <c r="J49" s="117">
        <v>6782.31</v>
      </c>
      <c r="K49" s="117"/>
      <c r="L49" s="96"/>
      <c r="M49" s="97">
        <f t="shared" si="159"/>
        <v>0</v>
      </c>
      <c r="N49" s="97">
        <f t="shared" ref="N49:O49" si="168">Z49+AC49+AF49+AI49+AL49+AO49+AR49+AU49+AX49+BA49+BD49+BG49</f>
        <v>6782.31</v>
      </c>
      <c r="O49" s="97">
        <f t="shared" si="168"/>
        <v>0</v>
      </c>
      <c r="P49" s="82">
        <f t="shared" ref="P49:R49" si="169">IF(BI49=0,SUM(Y49+AB49+AE49+AH49+AK49+AN49+AQ49+AT49+AW49+AZ49+BC49+BF49),BI49)</f>
        <v>0</v>
      </c>
      <c r="Q49" s="82">
        <f t="shared" si="169"/>
        <v>6782.31</v>
      </c>
      <c r="R49" s="82">
        <f t="shared" si="169"/>
        <v>0</v>
      </c>
      <c r="S49" s="97">
        <f t="shared" si="98"/>
        <v>0</v>
      </c>
      <c r="T49" s="97">
        <f t="shared" si="59"/>
        <v>0</v>
      </c>
      <c r="U49" s="97">
        <f t="shared" si="99"/>
        <v>0</v>
      </c>
      <c r="V49" s="98" t="e">
        <f t="shared" ref="V49:W49" si="170">M49/I49</f>
        <v>#DIV/0!</v>
      </c>
      <c r="W49" s="98">
        <f t="shared" si="170"/>
        <v>1</v>
      </c>
      <c r="X49" s="98" t="e">
        <f t="shared" si="101"/>
        <v>#DIV/0!</v>
      </c>
      <c r="Y49" s="129"/>
      <c r="Z49" s="96"/>
      <c r="AA49" s="129"/>
      <c r="AB49" s="119"/>
      <c r="AC49" s="119"/>
      <c r="AD49" s="129"/>
      <c r="AE49" s="129"/>
      <c r="AF49" s="129">
        <f>6782.31</f>
        <v>6782.31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284</v>
      </c>
      <c r="C50" s="101" t="s">
        <v>242</v>
      </c>
      <c r="D50" s="91" t="s">
        <v>1037</v>
      </c>
      <c r="E50" s="116"/>
      <c r="F50" s="92"/>
      <c r="G50" s="94" t="e">
        <f t="shared" si="94"/>
        <v>#DIV/0!</v>
      </c>
      <c r="H50" s="94" t="e">
        <f t="shared" si="95"/>
        <v>#DIV/0!</v>
      </c>
      <c r="I50" s="133"/>
      <c r="J50" s="117">
        <f>51880+30383</f>
        <v>82263</v>
      </c>
      <c r="K50" s="117"/>
      <c r="L50" s="96"/>
      <c r="M50" s="97">
        <f t="shared" si="159"/>
        <v>0</v>
      </c>
      <c r="N50" s="97">
        <f t="shared" ref="N50:O50" si="171">Z50+AC50+AF50+AI50+AL50+AO50+AR50+AU50+AX50+BA50+BD50+BG50</f>
        <v>82263</v>
      </c>
      <c r="O50" s="97">
        <f t="shared" si="171"/>
        <v>0</v>
      </c>
      <c r="P50" s="82">
        <f t="shared" ref="P50:R50" si="172">IF(BI50=0,SUM(Y50+AB50+AE50+AH50+AK50+AN50+AQ50+AT50+AW50+AZ50+BC50+BF50),BI50)</f>
        <v>0</v>
      </c>
      <c r="Q50" s="82">
        <f t="shared" si="172"/>
        <v>82263</v>
      </c>
      <c r="R50" s="82">
        <f t="shared" si="172"/>
        <v>0</v>
      </c>
      <c r="S50" s="97">
        <f t="shared" si="98"/>
        <v>0</v>
      </c>
      <c r="T50" s="97">
        <f t="shared" si="59"/>
        <v>0</v>
      </c>
      <c r="U50" s="97">
        <f t="shared" si="99"/>
        <v>0</v>
      </c>
      <c r="V50" s="98" t="e">
        <f t="shared" ref="V50:W50" si="173">M50/I50</f>
        <v>#DIV/0!</v>
      </c>
      <c r="W50" s="98">
        <f t="shared" si="173"/>
        <v>1</v>
      </c>
      <c r="X50" s="98" t="e">
        <f t="shared" si="101"/>
        <v>#DIV/0!</v>
      </c>
      <c r="Y50" s="129"/>
      <c r="Z50" s="96"/>
      <c r="AA50" s="129"/>
      <c r="AB50" s="119"/>
      <c r="AC50" s="119">
        <f>11880+31280</f>
        <v>43160</v>
      </c>
      <c r="AD50" s="129"/>
      <c r="AE50" s="129"/>
      <c r="AF50" s="129">
        <f>39103</f>
        <v>39103</v>
      </c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356" t="s">
        <v>790</v>
      </c>
      <c r="B51" s="140" t="s">
        <v>286</v>
      </c>
      <c r="C51" s="101" t="s">
        <v>278</v>
      </c>
      <c r="D51" s="144" t="s">
        <v>1038</v>
      </c>
      <c r="E51" s="116"/>
      <c r="F51" s="379">
        <v>170192.81</v>
      </c>
      <c r="G51" s="94" t="e">
        <f t="shared" si="94"/>
        <v>#DIV/0!</v>
      </c>
      <c r="H51" s="94" t="e">
        <f t="shared" si="95"/>
        <v>#DIV/0!</v>
      </c>
      <c r="I51" s="361"/>
      <c r="J51" s="117">
        <f>572638.78+46434.84</f>
        <v>619073.62</v>
      </c>
      <c r="K51" s="117"/>
      <c r="L51" s="380">
        <v>170192.81</v>
      </c>
      <c r="M51" s="97">
        <f t="shared" si="159"/>
        <v>10051.59</v>
      </c>
      <c r="N51" s="97">
        <f t="shared" ref="N51:O51" si="174">Z51+AC51+AF51+AI51+AL51+AO51+AR51+AU51+AX51+BA51+BD51+BG51</f>
        <v>573668.48</v>
      </c>
      <c r="O51" s="97">
        <f t="shared" si="174"/>
        <v>0</v>
      </c>
      <c r="P51" s="82">
        <f t="shared" ref="P51:R51" si="175">IF(BI51=0,SUM(Y51+AB51+AE51+AH51+AK51+AN51+AQ51+AT51+AW51+AZ51+BC51+BF51),BI51)</f>
        <v>10051.59</v>
      </c>
      <c r="Q51" s="82">
        <f t="shared" si="175"/>
        <v>573668.48</v>
      </c>
      <c r="R51" s="82">
        <f t="shared" si="175"/>
        <v>0</v>
      </c>
      <c r="S51" s="97">
        <f t="shared" si="98"/>
        <v>-10051.59</v>
      </c>
      <c r="T51" s="97">
        <f t="shared" si="59"/>
        <v>45405.140000000014</v>
      </c>
      <c r="U51" s="97">
        <f t="shared" si="99"/>
        <v>170192.81</v>
      </c>
      <c r="V51" s="98" t="e">
        <f t="shared" ref="V51:W51" si="176">M51/I51</f>
        <v>#DIV/0!</v>
      </c>
      <c r="W51" s="98">
        <f t="shared" si="176"/>
        <v>0.92665631593218267</v>
      </c>
      <c r="X51" s="98">
        <f t="shared" si="101"/>
        <v>0</v>
      </c>
      <c r="Y51" s="129"/>
      <c r="Z51" s="96"/>
      <c r="AA51" s="129"/>
      <c r="AB51" s="119"/>
      <c r="AC51" s="119"/>
      <c r="AD51" s="129"/>
      <c r="AE51" s="129"/>
      <c r="AF51" s="129">
        <f>23186.24</f>
        <v>23186.240000000002</v>
      </c>
      <c r="AG51" s="129"/>
      <c r="AH51" s="260">
        <v>10051.59</v>
      </c>
      <c r="AI51" s="260">
        <v>18924.84</v>
      </c>
      <c r="AJ51" s="129"/>
      <c r="AK51" s="260"/>
      <c r="AL51" s="260">
        <v>239930.92</v>
      </c>
      <c r="AM51" s="129"/>
      <c r="AN51" s="129"/>
      <c r="AO51" s="260">
        <v>187486.19</v>
      </c>
      <c r="AP51" s="129"/>
      <c r="AQ51" s="129"/>
      <c r="AR51" s="260">
        <v>36436.31</v>
      </c>
      <c r="AS51" s="129"/>
      <c r="AT51" s="129"/>
      <c r="AU51" s="260">
        <f>66674.28+1029.7</f>
        <v>67703.98</v>
      </c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92"/>
      <c r="G52" s="94" t="e">
        <f t="shared" si="94"/>
        <v>#DIV/0!</v>
      </c>
      <c r="H52" s="94" t="e">
        <f t="shared" si="95"/>
        <v>#DIV/0!</v>
      </c>
      <c r="I52" s="133"/>
      <c r="J52" s="117">
        <f>5855+6447</f>
        <v>12302</v>
      </c>
      <c r="K52" s="117"/>
      <c r="L52" s="96"/>
      <c r="M52" s="97">
        <f t="shared" si="159"/>
        <v>0</v>
      </c>
      <c r="N52" s="97">
        <f t="shared" ref="N52:O52" si="177">Z52+AC52+AF52+AI52+AL52+AO52+AR52+AU52+AX52+BA52+BD52+BG52</f>
        <v>12302</v>
      </c>
      <c r="O52" s="97">
        <f t="shared" si="177"/>
        <v>0</v>
      </c>
      <c r="P52" s="82">
        <f t="shared" ref="P52:R52" si="178">IF(BI52=0,SUM(Y52+AB52+AE52+AH52+AK52+AN52+AQ52+AT52+AW52+AZ52+BC52+BF52),BI52)</f>
        <v>0</v>
      </c>
      <c r="Q52" s="82">
        <f t="shared" si="178"/>
        <v>12302</v>
      </c>
      <c r="R52" s="82">
        <f t="shared" si="178"/>
        <v>0</v>
      </c>
      <c r="S52" s="97">
        <f t="shared" si="98"/>
        <v>0</v>
      </c>
      <c r="T52" s="97">
        <f t="shared" si="59"/>
        <v>0</v>
      </c>
      <c r="U52" s="97">
        <f t="shared" si="99"/>
        <v>0</v>
      </c>
      <c r="V52" s="98" t="e">
        <f t="shared" ref="V52:W52" si="179">M52/I52</f>
        <v>#DIV/0!</v>
      </c>
      <c r="W52" s="98">
        <f t="shared" si="179"/>
        <v>1</v>
      </c>
      <c r="X52" s="98" t="e">
        <f t="shared" si="101"/>
        <v>#DIV/0!</v>
      </c>
      <c r="Y52" s="129"/>
      <c r="Z52" s="103">
        <v>5855</v>
      </c>
      <c r="AA52" s="129"/>
      <c r="AB52" s="119"/>
      <c r="AC52" s="119">
        <f>6447</f>
        <v>6447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382" t="s">
        <v>791</v>
      </c>
      <c r="B53" s="140" t="s">
        <v>507</v>
      </c>
      <c r="C53" s="101" t="s">
        <v>165</v>
      </c>
      <c r="D53" s="91" t="s">
        <v>1039</v>
      </c>
      <c r="E53" s="116"/>
      <c r="F53" s="379">
        <v>222166.6</v>
      </c>
      <c r="G53" s="94" t="e">
        <f t="shared" si="94"/>
        <v>#DIV/0!</v>
      </c>
      <c r="H53" s="94" t="e">
        <f t="shared" si="95"/>
        <v>#DIV/0!</v>
      </c>
      <c r="I53" s="133"/>
      <c r="J53" s="117">
        <f>2874.45+8500+15300+2420</f>
        <v>29094.45</v>
      </c>
      <c r="K53" s="117"/>
      <c r="L53" s="380">
        <f>21901.05+638+1514.28+7140+4351.1</f>
        <v>35544.43</v>
      </c>
      <c r="M53" s="97">
        <f t="shared" si="159"/>
        <v>0</v>
      </c>
      <c r="N53" s="97">
        <f t="shared" ref="N53:O53" si="180">Z53+AC53+AF53+AI53+AL53+AO53+AR53+AU53+AX53+BA53+BD53+BG53</f>
        <v>29094.45</v>
      </c>
      <c r="O53" s="97">
        <f t="shared" si="180"/>
        <v>0</v>
      </c>
      <c r="P53" s="82">
        <f t="shared" ref="P53:R53" si="181">IF(BI53=0,SUM(Y53+AB53+AE53+AH53+AK53+AN53+AQ53+AT53+AW53+AZ53+BC53+BF53),BI53)</f>
        <v>0</v>
      </c>
      <c r="Q53" s="82">
        <f t="shared" si="181"/>
        <v>29094.45</v>
      </c>
      <c r="R53" s="82">
        <f t="shared" si="181"/>
        <v>0</v>
      </c>
      <c r="S53" s="97">
        <f t="shared" si="98"/>
        <v>0</v>
      </c>
      <c r="T53" s="97">
        <f t="shared" si="59"/>
        <v>0</v>
      </c>
      <c r="U53" s="97">
        <f t="shared" si="99"/>
        <v>35544.43</v>
      </c>
      <c r="V53" s="98" t="e">
        <f t="shared" ref="V53:W53" si="182">M53/I53</f>
        <v>#DIV/0!</v>
      </c>
      <c r="W53" s="98">
        <f t="shared" si="182"/>
        <v>1</v>
      </c>
      <c r="X53" s="98">
        <f t="shared" si="101"/>
        <v>0</v>
      </c>
      <c r="Y53" s="129"/>
      <c r="Z53" s="103">
        <f>2420+15300</f>
        <v>17720</v>
      </c>
      <c r="AA53" s="129"/>
      <c r="AB53" s="119"/>
      <c r="AC53" s="119">
        <f>8500</f>
        <v>8500</v>
      </c>
      <c r="AD53" s="129"/>
      <c r="AE53" s="129"/>
      <c r="AF53" s="129"/>
      <c r="AG53" s="129"/>
      <c r="AH53" s="129"/>
      <c r="AI53" s="260">
        <v>2874.45</v>
      </c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93">
        <v>10000</v>
      </c>
      <c r="G54" s="94" t="e">
        <f t="shared" si="94"/>
        <v>#DIV/0!</v>
      </c>
      <c r="H54" s="94" t="e">
        <f t="shared" si="95"/>
        <v>#DIV/0!</v>
      </c>
      <c r="I54" s="133"/>
      <c r="J54" s="117"/>
      <c r="K54" s="117"/>
      <c r="L54" s="145"/>
      <c r="M54" s="97">
        <f t="shared" si="159"/>
        <v>0</v>
      </c>
      <c r="N54" s="97">
        <f t="shared" ref="N54:O54" si="183">Z54+AC54+AF54+AI54+AL54+AO54+AR54+AU54+AX54+BA54+BD54+BG54</f>
        <v>0</v>
      </c>
      <c r="O54" s="97">
        <f t="shared" si="183"/>
        <v>0</v>
      </c>
      <c r="P54" s="82">
        <f t="shared" ref="P54:R54" si="184">IF(BI54=0,SUM(Y54+AB54+AE54+AH54+AK54+AN54+AQ54+AT54+AW54+AZ54+BC54+BF54),BI54)</f>
        <v>0</v>
      </c>
      <c r="Q54" s="82">
        <f t="shared" si="184"/>
        <v>0</v>
      </c>
      <c r="R54" s="82">
        <f t="shared" si="184"/>
        <v>0</v>
      </c>
      <c r="S54" s="97">
        <f t="shared" si="98"/>
        <v>0</v>
      </c>
      <c r="T54" s="97">
        <f t="shared" si="59"/>
        <v>0</v>
      </c>
      <c r="U54" s="97">
        <f t="shared" si="99"/>
        <v>0</v>
      </c>
      <c r="V54" s="98" t="e">
        <f t="shared" ref="V54:W54" si="185">M54/I54</f>
        <v>#DIV/0!</v>
      </c>
      <c r="W54" s="98" t="e">
        <f t="shared" si="185"/>
        <v>#DIV/0!</v>
      </c>
      <c r="X54" s="98" t="e">
        <f t="shared" si="101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93">
        <v>160000</v>
      </c>
      <c r="G55" s="94" t="e">
        <f t="shared" si="94"/>
        <v>#DIV/0!</v>
      </c>
      <c r="H55" s="94" t="e">
        <f t="shared" si="95"/>
        <v>#DIV/0!</v>
      </c>
      <c r="I55" s="133"/>
      <c r="J55" s="117"/>
      <c r="K55" s="117"/>
      <c r="L55" s="145"/>
      <c r="M55" s="97">
        <f t="shared" si="159"/>
        <v>0</v>
      </c>
      <c r="N55" s="97">
        <f t="shared" ref="N55:O55" si="186">Z55+AC55+AF55+AI55+AL55+AO55+AR55+AU55+AX55+BA55+BD55+BG55</f>
        <v>0</v>
      </c>
      <c r="O55" s="97">
        <f t="shared" si="186"/>
        <v>0</v>
      </c>
      <c r="P55" s="82">
        <f t="shared" ref="P55:R55" si="187">IF(BI55=0,SUM(Y55+AB55+AE55+AH55+AK55+AN55+AQ55+AT55+AW55+AZ55+BC55+BF55),BI55)</f>
        <v>0</v>
      </c>
      <c r="Q55" s="82">
        <f t="shared" si="187"/>
        <v>0</v>
      </c>
      <c r="R55" s="82">
        <f t="shared" si="187"/>
        <v>0</v>
      </c>
      <c r="S55" s="97">
        <f t="shared" si="98"/>
        <v>0</v>
      </c>
      <c r="T55" s="97">
        <f t="shared" si="59"/>
        <v>0</v>
      </c>
      <c r="U55" s="97">
        <f t="shared" si="99"/>
        <v>0</v>
      </c>
      <c r="V55" s="98" t="e">
        <f t="shared" ref="V55:W55" si="188">M55/I55</f>
        <v>#DIV/0!</v>
      </c>
      <c r="W55" s="98" t="e">
        <f t="shared" si="188"/>
        <v>#DIV/0!</v>
      </c>
      <c r="X55" s="98" t="e">
        <f t="shared" si="101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14"/>
      <c r="C56" s="101" t="s">
        <v>294</v>
      </c>
      <c r="D56" s="122" t="s">
        <v>106</v>
      </c>
      <c r="E56" s="116"/>
      <c r="F56" s="93">
        <v>50000</v>
      </c>
      <c r="G56" s="94" t="e">
        <f t="shared" si="94"/>
        <v>#DIV/0!</v>
      </c>
      <c r="H56" s="94">
        <f t="shared" ref="H56:H61" si="189">M56/F56</f>
        <v>0</v>
      </c>
      <c r="I56" s="96"/>
      <c r="J56" s="117"/>
      <c r="K56" s="117"/>
      <c r="L56" s="118"/>
      <c r="M56" s="97">
        <f t="shared" si="159"/>
        <v>0</v>
      </c>
      <c r="N56" s="97">
        <f t="shared" ref="N56:O56" si="190">Z56+AC56+AF56+AI56+AL56+AO56+AR56+AU56+AX56+BA56+BD56+BG56</f>
        <v>0</v>
      </c>
      <c r="O56" s="97">
        <f t="shared" si="190"/>
        <v>0</v>
      </c>
      <c r="P56" s="82">
        <f t="shared" ref="P56:R56" si="191">IF(BI56=0,SUM(Y56+AB56+AE56+AH56+AK56+AN56+AQ56+AT56+AW56+AZ56+BC56+BF56),BI56)</f>
        <v>0</v>
      </c>
      <c r="Q56" s="82">
        <f t="shared" si="191"/>
        <v>0</v>
      </c>
      <c r="R56" s="82">
        <f t="shared" si="191"/>
        <v>0</v>
      </c>
      <c r="S56" s="97">
        <f t="shared" si="98"/>
        <v>0</v>
      </c>
      <c r="T56" s="97">
        <f t="shared" si="59"/>
        <v>0</v>
      </c>
      <c r="U56" s="97">
        <f t="shared" si="99"/>
        <v>0</v>
      </c>
      <c r="V56" s="98" t="e">
        <f t="shared" ref="V56:W56" si="192">M56/I56</f>
        <v>#DIV/0!</v>
      </c>
      <c r="W56" s="98" t="e">
        <f t="shared" si="192"/>
        <v>#DIV/0!</v>
      </c>
      <c r="X56" s="98" t="e">
        <f t="shared" si="101"/>
        <v>#DIV/0!</v>
      </c>
      <c r="Y56" s="129"/>
      <c r="Z56" s="96"/>
      <c r="AA56" s="129"/>
      <c r="AB56" s="119"/>
      <c r="AC56" s="11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93">
        <v>20000</v>
      </c>
      <c r="G57" s="94" t="e">
        <f t="shared" si="94"/>
        <v>#DIV/0!</v>
      </c>
      <c r="H57" s="94">
        <f t="shared" si="189"/>
        <v>0</v>
      </c>
      <c r="I57" s="96"/>
      <c r="J57" s="117">
        <v>1817.8</v>
      </c>
      <c r="K57" s="117"/>
      <c r="L57" s="118"/>
      <c r="M57" s="97">
        <f t="shared" si="159"/>
        <v>0</v>
      </c>
      <c r="N57" s="97">
        <f t="shared" ref="N57:O57" si="193">Z57+AC57+AF57+AI57+AL57+AO57+AR57+AU57+AX57+BA57+BD57+BG57</f>
        <v>1817.8</v>
      </c>
      <c r="O57" s="97">
        <f t="shared" si="193"/>
        <v>0</v>
      </c>
      <c r="P57" s="82">
        <f t="shared" ref="P57:R57" si="194">IF(BI57=0,SUM(Y57+AB57+AE57+AH57+AK57+AN57+AQ57+AT57+AW57+AZ57+BC57+BF57),BI57)</f>
        <v>0</v>
      </c>
      <c r="Q57" s="82">
        <f t="shared" si="194"/>
        <v>1817.8</v>
      </c>
      <c r="R57" s="82">
        <f t="shared" si="194"/>
        <v>0</v>
      </c>
      <c r="S57" s="97">
        <f t="shared" si="98"/>
        <v>0</v>
      </c>
      <c r="T57" s="97">
        <f t="shared" si="59"/>
        <v>0</v>
      </c>
      <c r="U57" s="97">
        <f t="shared" si="99"/>
        <v>0</v>
      </c>
      <c r="V57" s="98" t="e">
        <f t="shared" ref="V57:W57" si="195">M57/I57</f>
        <v>#DIV/0!</v>
      </c>
      <c r="W57" s="98">
        <f t="shared" si="195"/>
        <v>1</v>
      </c>
      <c r="X57" s="98" t="e">
        <f t="shared" si="101"/>
        <v>#DIV/0!</v>
      </c>
      <c r="Y57" s="129"/>
      <c r="Z57" s="96"/>
      <c r="AA57" s="129"/>
      <c r="AB57" s="119"/>
      <c r="AC57" s="119">
        <f>1817.8</f>
        <v>1817.8</v>
      </c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A58" s="359" t="s">
        <v>792</v>
      </c>
      <c r="B58" s="114"/>
      <c r="C58" s="101" t="s">
        <v>296</v>
      </c>
      <c r="D58" s="122" t="s">
        <v>108</v>
      </c>
      <c r="E58" s="116"/>
      <c r="F58" s="379">
        <v>54035.31</v>
      </c>
      <c r="G58" s="94">
        <f t="shared" ref="G58:G63" si="196">I58/F58</f>
        <v>0</v>
      </c>
      <c r="H58" s="94">
        <f t="shared" si="189"/>
        <v>0</v>
      </c>
      <c r="I58" s="103">
        <v>0</v>
      </c>
      <c r="J58" s="117"/>
      <c r="K58" s="117"/>
      <c r="L58" s="380">
        <v>54035.31</v>
      </c>
      <c r="M58" s="97">
        <f t="shared" si="159"/>
        <v>0</v>
      </c>
      <c r="N58" s="97">
        <f t="shared" ref="N58:O58" si="197">Z58+AC58+AF58+AI58+AL58+AO58+AR58+AU58+AX58+BA58+BD58+BG58</f>
        <v>0</v>
      </c>
      <c r="O58" s="97">
        <f t="shared" si="197"/>
        <v>0</v>
      </c>
      <c r="P58" s="82">
        <f t="shared" ref="P58:R58" si="198">IF(BI58=0,SUM(Y58+AB58+AE58+AH58+AK58+AN58+AQ58+AT58+AW58+AZ58+BC58+BF58),BI58)</f>
        <v>0</v>
      </c>
      <c r="Q58" s="82">
        <f t="shared" si="198"/>
        <v>0</v>
      </c>
      <c r="R58" s="82">
        <f t="shared" si="198"/>
        <v>0</v>
      </c>
      <c r="S58" s="97">
        <f t="shared" si="98"/>
        <v>0</v>
      </c>
      <c r="T58" s="97">
        <f t="shared" si="59"/>
        <v>0</v>
      </c>
      <c r="U58" s="97">
        <f t="shared" si="99"/>
        <v>54035.31</v>
      </c>
      <c r="V58" s="98" t="e">
        <f t="shared" ref="V58:W58" si="199">M58/I58</f>
        <v>#DIV/0!</v>
      </c>
      <c r="W58" s="98" t="e">
        <f t="shared" si="199"/>
        <v>#DIV/0!</v>
      </c>
      <c r="X58" s="98">
        <f t="shared" si="101"/>
        <v>0</v>
      </c>
      <c r="Y58" s="129"/>
      <c r="Z58" s="96"/>
      <c r="AA58" s="129"/>
      <c r="AB58" s="119"/>
      <c r="AC58" s="11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99"/>
      <c r="BM58" s="100"/>
      <c r="BN58" s="100"/>
      <c r="BO58" s="100"/>
      <c r="BP58" s="100"/>
    </row>
    <row r="59" spans="1:68" ht="15.75" customHeight="1">
      <c r="B59" s="114"/>
      <c r="C59" s="101" t="s">
        <v>242</v>
      </c>
      <c r="D59" s="122" t="s">
        <v>109</v>
      </c>
      <c r="E59" s="116"/>
      <c r="F59" s="93">
        <v>350000</v>
      </c>
      <c r="G59" s="94">
        <f t="shared" si="196"/>
        <v>0</v>
      </c>
      <c r="H59" s="94">
        <f t="shared" si="189"/>
        <v>0</v>
      </c>
      <c r="I59" s="142"/>
      <c r="J59" s="117"/>
      <c r="K59" s="117"/>
      <c r="L59" s="118"/>
      <c r="M59" s="97">
        <f t="shared" si="159"/>
        <v>0</v>
      </c>
      <c r="N59" s="97">
        <f t="shared" ref="N59:O59" si="200">Z59+AC59+AF59+AI59+AL59+AO59+AR59+AU59+AX59+BA59+BD59+BG59</f>
        <v>0</v>
      </c>
      <c r="O59" s="97">
        <f t="shared" si="200"/>
        <v>0</v>
      </c>
      <c r="P59" s="82">
        <f t="shared" ref="P59:R59" si="201">IF(BI59=0,SUM(Y59+AB59+AE59+AH59+AK59+AN59+AQ59+AT59+AW59+AZ59+BC59+BF59),BI59)</f>
        <v>0</v>
      </c>
      <c r="Q59" s="82">
        <f t="shared" si="201"/>
        <v>0</v>
      </c>
      <c r="R59" s="82">
        <f t="shared" si="201"/>
        <v>0</v>
      </c>
      <c r="S59" s="97">
        <f t="shared" si="98"/>
        <v>0</v>
      </c>
      <c r="T59" s="97">
        <f t="shared" si="59"/>
        <v>0</v>
      </c>
      <c r="U59" s="97">
        <f t="shared" si="99"/>
        <v>0</v>
      </c>
      <c r="V59" s="98" t="e">
        <f t="shared" ref="V59:W59" si="202">M59/I59</f>
        <v>#DIV/0!</v>
      </c>
      <c r="W59" s="98" t="e">
        <f t="shared" si="202"/>
        <v>#DIV/0!</v>
      </c>
      <c r="X59" s="98" t="e">
        <f t="shared" si="101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129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297</v>
      </c>
      <c r="D60" s="122" t="s">
        <v>110</v>
      </c>
      <c r="E60" s="116"/>
      <c r="F60" s="93">
        <v>200000</v>
      </c>
      <c r="G60" s="94">
        <f t="shared" si="196"/>
        <v>0</v>
      </c>
      <c r="H60" s="94">
        <f t="shared" si="189"/>
        <v>0</v>
      </c>
      <c r="I60" s="96"/>
      <c r="J60" s="117"/>
      <c r="K60" s="117"/>
      <c r="L60" s="118"/>
      <c r="M60" s="97">
        <f t="shared" si="159"/>
        <v>0</v>
      </c>
      <c r="N60" s="97">
        <f t="shared" ref="N60:O60" si="203">Z60+AC60+AF60+AI60+AL60+AO60+AR60+AU60+AX60+BA60+BD60+BG60</f>
        <v>0</v>
      </c>
      <c r="O60" s="97">
        <f t="shared" si="203"/>
        <v>0</v>
      </c>
      <c r="P60" s="82">
        <f t="shared" ref="P60:R60" si="204">IF(BI60=0,SUM(Y60+AB60+AE60+AH60+AK60+AN60+AQ60+AT60+AW60+AZ60+BC60+BF60),BI60)</f>
        <v>0</v>
      </c>
      <c r="Q60" s="82">
        <f t="shared" si="204"/>
        <v>0</v>
      </c>
      <c r="R60" s="82">
        <f t="shared" si="204"/>
        <v>0</v>
      </c>
      <c r="S60" s="97">
        <f t="shared" si="98"/>
        <v>0</v>
      </c>
      <c r="T60" s="97">
        <f t="shared" si="59"/>
        <v>0</v>
      </c>
      <c r="U60" s="97">
        <f t="shared" si="99"/>
        <v>0</v>
      </c>
      <c r="V60" s="98" t="e">
        <f t="shared" ref="V60:W60" si="205">M60/I60</f>
        <v>#DIV/0!</v>
      </c>
      <c r="W60" s="98" t="e">
        <f t="shared" si="205"/>
        <v>#DIV/0!</v>
      </c>
      <c r="X60" s="98" t="e">
        <f t="shared" si="101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129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298</v>
      </c>
      <c r="D61" s="122" t="s">
        <v>299</v>
      </c>
      <c r="E61" s="92"/>
      <c r="F61" s="93">
        <v>200000</v>
      </c>
      <c r="G61" s="94">
        <f t="shared" si="196"/>
        <v>0</v>
      </c>
      <c r="H61" s="94">
        <f t="shared" si="189"/>
        <v>0</v>
      </c>
      <c r="I61" s="96"/>
      <c r="J61" s="146"/>
      <c r="K61" s="146"/>
      <c r="L61" s="118"/>
      <c r="M61" s="97">
        <f t="shared" si="159"/>
        <v>0</v>
      </c>
      <c r="N61" s="97">
        <f t="shared" ref="N61:O61" si="206">Z61+AC61+AF61+AI61+AL61+AO61+AR61+AU61+AX61+BA61+BD61+BG61</f>
        <v>0</v>
      </c>
      <c r="O61" s="97">
        <f t="shared" si="206"/>
        <v>0</v>
      </c>
      <c r="P61" s="82">
        <f t="shared" ref="P61:R61" si="207">IF(BI61=0,SUM(Y61+AB61+AE61+AH61+AK61+AN61+AQ61+AT61+AW61+AZ61+BC61+BF61),BI61)</f>
        <v>0</v>
      </c>
      <c r="Q61" s="82">
        <f t="shared" si="207"/>
        <v>0</v>
      </c>
      <c r="R61" s="82">
        <f t="shared" si="207"/>
        <v>0</v>
      </c>
      <c r="S61" s="97">
        <f t="shared" si="98"/>
        <v>0</v>
      </c>
      <c r="T61" s="97">
        <f t="shared" si="59"/>
        <v>0</v>
      </c>
      <c r="U61" s="97">
        <f t="shared" si="99"/>
        <v>0</v>
      </c>
      <c r="V61" s="98" t="e">
        <f t="shared" ref="V61:W61" si="208">M61/I61</f>
        <v>#DIV/0!</v>
      </c>
      <c r="W61" s="98" t="e">
        <f t="shared" si="208"/>
        <v>#DIV/0!</v>
      </c>
      <c r="X61" s="98" t="e">
        <f t="shared" si="101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129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229</v>
      </c>
      <c r="D62" s="122" t="s">
        <v>113</v>
      </c>
      <c r="E62" s="92"/>
      <c r="F62" s="93">
        <v>60000</v>
      </c>
      <c r="G62" s="94">
        <f t="shared" si="196"/>
        <v>0</v>
      </c>
      <c r="H62" s="94"/>
      <c r="I62" s="96"/>
      <c r="J62" s="146"/>
      <c r="K62" s="146"/>
      <c r="L62" s="118"/>
      <c r="M62" s="97">
        <f t="shared" si="159"/>
        <v>0</v>
      </c>
      <c r="N62" s="97">
        <f t="shared" ref="N62:O62" si="209">Z62+AC62+AF62+AI62+AL62+AO62+AR62+AU62+AX62+BA62+BD62+BG62</f>
        <v>0</v>
      </c>
      <c r="O62" s="97">
        <f t="shared" si="209"/>
        <v>0</v>
      </c>
      <c r="P62" s="82">
        <f t="shared" ref="P62:R62" si="210">IF(BI62=0,SUM(Y62+AB62+AE62+AH62+AK62+AN62+AQ62+AT62+AW62+AZ62+BC62+BF62),BI62)</f>
        <v>0</v>
      </c>
      <c r="Q62" s="82">
        <f t="shared" si="210"/>
        <v>0</v>
      </c>
      <c r="R62" s="82">
        <f t="shared" si="210"/>
        <v>0</v>
      </c>
      <c r="S62" s="97">
        <f t="shared" si="98"/>
        <v>0</v>
      </c>
      <c r="T62" s="97">
        <f t="shared" si="59"/>
        <v>0</v>
      </c>
      <c r="U62" s="97">
        <f t="shared" si="99"/>
        <v>0</v>
      </c>
      <c r="V62" s="98" t="e">
        <f t="shared" ref="V62:W62" si="211">M62/I62</f>
        <v>#DIV/0!</v>
      </c>
      <c r="W62" s="98" t="e">
        <f t="shared" si="211"/>
        <v>#DIV/0!</v>
      </c>
      <c r="X62" s="98" t="e">
        <f t="shared" si="101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129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101" t="s">
        <v>114</v>
      </c>
      <c r="D63" s="122" t="s">
        <v>115</v>
      </c>
      <c r="E63" s="92"/>
      <c r="F63" s="93">
        <v>1200000</v>
      </c>
      <c r="G63" s="94">
        <f t="shared" si="196"/>
        <v>0</v>
      </c>
      <c r="H63" s="94"/>
      <c r="I63" s="96"/>
      <c r="J63" s="146"/>
      <c r="K63" s="146"/>
      <c r="L63" s="118"/>
      <c r="M63" s="97">
        <f t="shared" si="159"/>
        <v>0</v>
      </c>
      <c r="N63" s="97">
        <f t="shared" ref="N63:O63" si="212">Z63+AC63+AF63+AI63+AL63+AO63+AR63+AU63+AX63+BA63+BD63+BG63</f>
        <v>0</v>
      </c>
      <c r="O63" s="97">
        <f t="shared" si="212"/>
        <v>0</v>
      </c>
      <c r="P63" s="82">
        <f t="shared" ref="P63:R63" si="213">IF(BI63=0,SUM(Y63+AB63+AE63+AH63+AK63+AN63+AQ63+AT63+AW63+AZ63+BC63+BF63),BI63)</f>
        <v>0</v>
      </c>
      <c r="Q63" s="82">
        <f t="shared" si="213"/>
        <v>0</v>
      </c>
      <c r="R63" s="82">
        <f t="shared" si="213"/>
        <v>0</v>
      </c>
      <c r="S63" s="97">
        <f t="shared" si="98"/>
        <v>0</v>
      </c>
      <c r="T63" s="97">
        <f t="shared" si="59"/>
        <v>0</v>
      </c>
      <c r="U63" s="97">
        <f t="shared" si="99"/>
        <v>0</v>
      </c>
      <c r="V63" s="98" t="e">
        <f t="shared" ref="V63:W63" si="214">M63/I63</f>
        <v>#DIV/0!</v>
      </c>
      <c r="W63" s="98" t="e">
        <f t="shared" si="214"/>
        <v>#DIV/0!</v>
      </c>
      <c r="X63" s="98" t="e">
        <f t="shared" si="101"/>
        <v>#DIV/0!</v>
      </c>
      <c r="Y63" s="96"/>
      <c r="Z63" s="96"/>
      <c r="AA63" s="96"/>
      <c r="AB63" s="119"/>
      <c r="AC63" s="119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129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300</v>
      </c>
      <c r="E64" s="147"/>
      <c r="F64" s="148">
        <v>100000</v>
      </c>
      <c r="G64" s="94" t="e">
        <f t="shared" ref="G64:G81" si="215">I64/E64</f>
        <v>#DIV/0!</v>
      </c>
      <c r="H64" s="94" t="e">
        <f t="shared" ref="H64:H81" si="216">M64/E64</f>
        <v>#DIV/0!</v>
      </c>
      <c r="I64" s="96"/>
      <c r="J64" s="146"/>
      <c r="K64" s="146"/>
      <c r="L64" s="118"/>
      <c r="M64" s="97">
        <f t="shared" si="159"/>
        <v>0</v>
      </c>
      <c r="N64" s="97">
        <f t="shared" ref="N64:O64" si="217">Z64+AC64+AF64+AI64+AL64+AO64+AR64+AU64+AX64+BA64+BD64+BG64</f>
        <v>0</v>
      </c>
      <c r="O64" s="97">
        <f t="shared" si="217"/>
        <v>0</v>
      </c>
      <c r="P64" s="82">
        <f t="shared" ref="P64:R64" si="218">IF(BI64=0,SUM(Y64+AB64+AE64+AH64+AK64+AN64+AQ64+AT64+AW64+AZ64+BC64+BF64),BI64)</f>
        <v>0</v>
      </c>
      <c r="Q64" s="82">
        <f t="shared" si="218"/>
        <v>0</v>
      </c>
      <c r="R64" s="82">
        <f t="shared" si="218"/>
        <v>0</v>
      </c>
      <c r="S64" s="97">
        <f t="shared" si="98"/>
        <v>0</v>
      </c>
      <c r="T64" s="97">
        <f t="shared" si="59"/>
        <v>0</v>
      </c>
      <c r="U64" s="97">
        <f t="shared" si="99"/>
        <v>0</v>
      </c>
      <c r="V64" s="98" t="e">
        <f t="shared" ref="V64:W64" si="219">M64/I64</f>
        <v>#DIV/0!</v>
      </c>
      <c r="W64" s="98" t="e">
        <f t="shared" si="219"/>
        <v>#DIV/0!</v>
      </c>
      <c r="X64" s="98" t="e">
        <f t="shared" si="101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9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117</v>
      </c>
      <c r="E65" s="147"/>
      <c r="F65" s="148">
        <v>500000</v>
      </c>
      <c r="G65" s="94" t="e">
        <f t="shared" si="215"/>
        <v>#DIV/0!</v>
      </c>
      <c r="H65" s="94" t="e">
        <f t="shared" si="216"/>
        <v>#DIV/0!</v>
      </c>
      <c r="I65" s="96"/>
      <c r="J65" s="146"/>
      <c r="K65" s="146"/>
      <c r="L65" s="118"/>
      <c r="M65" s="97">
        <f t="shared" si="159"/>
        <v>0</v>
      </c>
      <c r="N65" s="97">
        <f t="shared" ref="N65:O65" si="220">Z65+AC65+AF65+AI65+AL65+AO65+AR65+AU65+AX65+BA65+BD65+BG65</f>
        <v>0</v>
      </c>
      <c r="O65" s="97">
        <f t="shared" si="220"/>
        <v>0</v>
      </c>
      <c r="P65" s="82">
        <f t="shared" ref="P65:R65" si="221">IF(BI65=0,SUM(Y65+AB65+AE65+AH65+AK65+AN65+AQ65+AT65+AW65+AZ65+BC65+BF65),BI65)</f>
        <v>0</v>
      </c>
      <c r="Q65" s="82">
        <f t="shared" si="221"/>
        <v>0</v>
      </c>
      <c r="R65" s="82">
        <f t="shared" si="221"/>
        <v>0</v>
      </c>
      <c r="S65" s="97">
        <f t="shared" si="98"/>
        <v>0</v>
      </c>
      <c r="T65" s="97">
        <f t="shared" si="59"/>
        <v>0</v>
      </c>
      <c r="U65" s="97">
        <f t="shared" si="99"/>
        <v>0</v>
      </c>
      <c r="V65" s="98" t="e">
        <f t="shared" ref="V65:W65" si="222">M65/I65</f>
        <v>#DIV/0!</v>
      </c>
      <c r="W65" s="98" t="e">
        <f t="shared" si="222"/>
        <v>#DIV/0!</v>
      </c>
      <c r="X65" s="98" t="e">
        <f t="shared" si="101"/>
        <v>#DIV/0!</v>
      </c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129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114"/>
      <c r="C66" s="90" t="s">
        <v>114</v>
      </c>
      <c r="D66" s="122" t="s">
        <v>118</v>
      </c>
      <c r="E66" s="147"/>
      <c r="F66" s="148">
        <v>100000</v>
      </c>
      <c r="G66" s="94" t="e">
        <f t="shared" si="215"/>
        <v>#DIV/0!</v>
      </c>
      <c r="H66" s="94" t="e">
        <f t="shared" si="216"/>
        <v>#DIV/0!</v>
      </c>
      <c r="I66" s="96"/>
      <c r="J66" s="126"/>
      <c r="K66" s="126"/>
      <c r="L66" s="118"/>
      <c r="M66" s="97">
        <f t="shared" si="159"/>
        <v>0</v>
      </c>
      <c r="N66" s="97">
        <f t="shared" ref="N66:O66" si="223">Z66+AC66+AF66+AI66+AL66+AO66+AR66+AU66+AX66+BA66+BD66+BG66</f>
        <v>0</v>
      </c>
      <c r="O66" s="97">
        <f t="shared" si="223"/>
        <v>0</v>
      </c>
      <c r="P66" s="82">
        <f t="shared" ref="P66:R66" si="224">IF(BI66=0,SUM(Y66+AB66+AE66+AH66+AK66+AN66+AQ66+AT66+AW66+AZ66+BC66+BF66),BI66)</f>
        <v>0</v>
      </c>
      <c r="Q66" s="82">
        <f t="shared" si="224"/>
        <v>0</v>
      </c>
      <c r="R66" s="82">
        <f t="shared" si="224"/>
        <v>0</v>
      </c>
      <c r="S66" s="97">
        <f t="shared" si="98"/>
        <v>0</v>
      </c>
      <c r="T66" s="97">
        <f t="shared" si="59"/>
        <v>0</v>
      </c>
      <c r="U66" s="97">
        <f t="shared" si="99"/>
        <v>0</v>
      </c>
      <c r="V66" s="98" t="e">
        <f t="shared" ref="V66:W66" si="225">M66/I66</f>
        <v>#DIV/0!</v>
      </c>
      <c r="W66" s="98" t="e">
        <f t="shared" si="225"/>
        <v>#DIV/0!</v>
      </c>
      <c r="X66" s="98" t="e">
        <f t="shared" si="101"/>
        <v>#DIV/0!</v>
      </c>
      <c r="Y66" s="103">
        <v>0</v>
      </c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129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9"/>
      <c r="B67" s="89"/>
      <c r="C67" s="90" t="s">
        <v>114</v>
      </c>
      <c r="D67" s="122" t="s">
        <v>119</v>
      </c>
      <c r="E67" s="147"/>
      <c r="F67" s="148">
        <v>150000</v>
      </c>
      <c r="G67" s="94" t="e">
        <f t="shared" si="215"/>
        <v>#DIV/0!</v>
      </c>
      <c r="H67" s="94" t="e">
        <f t="shared" si="216"/>
        <v>#DIV/0!</v>
      </c>
      <c r="I67" s="96"/>
      <c r="J67" s="146"/>
      <c r="K67" s="146"/>
      <c r="L67" s="95"/>
      <c r="M67" s="97">
        <f t="shared" si="159"/>
        <v>0</v>
      </c>
      <c r="N67" s="97">
        <f t="shared" ref="N67:O67" si="226">Z67+AC67+AF67+AI67+AL67+AO67+AR67+AU67+AX67+BA67+BD67+BG67</f>
        <v>0</v>
      </c>
      <c r="O67" s="97">
        <f t="shared" si="226"/>
        <v>0</v>
      </c>
      <c r="P67" s="82">
        <f t="shared" ref="P67:R67" si="227">IF(BI67=0,SUM(Y67+AB67+AE67+AH67+AK67+AN67+AQ67+AT67+AW67+AZ67+BC67+BF67),BI67)</f>
        <v>0</v>
      </c>
      <c r="Q67" s="82">
        <f t="shared" si="227"/>
        <v>0</v>
      </c>
      <c r="R67" s="82">
        <f t="shared" si="227"/>
        <v>0</v>
      </c>
      <c r="S67" s="97">
        <f t="shared" si="98"/>
        <v>0</v>
      </c>
      <c r="T67" s="97">
        <f t="shared" si="59"/>
        <v>0</v>
      </c>
      <c r="U67" s="97">
        <f t="shared" si="99"/>
        <v>0</v>
      </c>
      <c r="V67" s="98" t="e">
        <f t="shared" ref="V67:W67" si="228">M67/I67</f>
        <v>#DIV/0!</v>
      </c>
      <c r="W67" s="98" t="e">
        <f t="shared" si="228"/>
        <v>#DIV/0!</v>
      </c>
      <c r="X67" s="98" t="e">
        <f t="shared" si="101"/>
        <v>#DIV/0!</v>
      </c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9"/>
      <c r="BM67" s="100"/>
      <c r="BN67" s="100"/>
      <c r="BO67" s="100"/>
      <c r="BP67" s="100"/>
    </row>
    <row r="68" spans="1:68" ht="15.75" customHeight="1">
      <c r="A68" s="86"/>
      <c r="B68" s="86"/>
      <c r="C68" s="86" t="s">
        <v>301</v>
      </c>
      <c r="D68" s="86"/>
      <c r="E68" s="87">
        <f>E69+E81+E85+E90</f>
        <v>267218.16000000003</v>
      </c>
      <c r="F68" s="87">
        <f>F69+F81+F90</f>
        <v>148024.93</v>
      </c>
      <c r="G68" s="107">
        <f t="shared" si="215"/>
        <v>0.28679955733547446</v>
      </c>
      <c r="H68" s="107">
        <f t="shared" si="216"/>
        <v>0.15943317624820108</v>
      </c>
      <c r="I68" s="87">
        <f t="shared" ref="I68:Q68" si="229">I69+I76+I77+I78+I81+I85+I90</f>
        <v>76638.05</v>
      </c>
      <c r="J68" s="87">
        <f t="shared" si="229"/>
        <v>84340.34</v>
      </c>
      <c r="K68" s="87">
        <f t="shared" si="229"/>
        <v>0</v>
      </c>
      <c r="L68" s="87">
        <f t="shared" si="229"/>
        <v>125763.06</v>
      </c>
      <c r="M68" s="87">
        <f t="shared" si="229"/>
        <v>42603.44</v>
      </c>
      <c r="N68" s="87">
        <f t="shared" si="229"/>
        <v>25270.99</v>
      </c>
      <c r="O68" s="87">
        <f t="shared" si="229"/>
        <v>0</v>
      </c>
      <c r="P68" s="87">
        <f t="shared" si="229"/>
        <v>43166.44</v>
      </c>
      <c r="Q68" s="87">
        <f t="shared" si="229"/>
        <v>25270.99</v>
      </c>
      <c r="R68" s="87">
        <f>IF(BK68=0,SUM(AA68+AD68+AG68+AJ68+AM68+AP68+AS68+AV68+AY68+BB68+BE68+BH68),BK68)</f>
        <v>0</v>
      </c>
      <c r="S68" s="87">
        <f>S69+S76+S77+S78+S81+S85+S90</f>
        <v>34034.61</v>
      </c>
      <c r="T68" s="87">
        <f>T69+T85</f>
        <v>59069.35</v>
      </c>
      <c r="U68" s="87">
        <f>U69+U76+U77+U78+U81+U85+U90</f>
        <v>125763.06</v>
      </c>
      <c r="V68" s="88">
        <f t="shared" ref="V68:W68" si="230">M68/I68</f>
        <v>0.55590454089058894</v>
      </c>
      <c r="W68" s="88">
        <f t="shared" si="230"/>
        <v>0.29963111365213851</v>
      </c>
      <c r="X68" s="88">
        <f t="shared" si="101"/>
        <v>0</v>
      </c>
      <c r="Y68" s="87">
        <f t="shared" ref="Y68:BK68" si="231">Y69+Y76+Y77+Y78+Y81+Y85+Y90</f>
        <v>0</v>
      </c>
      <c r="Z68" s="87">
        <f t="shared" si="231"/>
        <v>4595.8899999999994</v>
      </c>
      <c r="AA68" s="87">
        <f t="shared" si="231"/>
        <v>0</v>
      </c>
      <c r="AB68" s="87">
        <f t="shared" si="231"/>
        <v>0</v>
      </c>
      <c r="AC68" s="87">
        <f t="shared" si="231"/>
        <v>7931.1</v>
      </c>
      <c r="AD68" s="87">
        <f t="shared" si="231"/>
        <v>0</v>
      </c>
      <c r="AE68" s="87">
        <f t="shared" si="231"/>
        <v>0</v>
      </c>
      <c r="AF68" s="87">
        <f t="shared" si="231"/>
        <v>5181.2700000000004</v>
      </c>
      <c r="AG68" s="87">
        <f t="shared" si="231"/>
        <v>0</v>
      </c>
      <c r="AH68" s="87">
        <f t="shared" si="231"/>
        <v>0</v>
      </c>
      <c r="AI68" s="87">
        <f t="shared" si="231"/>
        <v>3205.84</v>
      </c>
      <c r="AJ68" s="87">
        <f t="shared" si="231"/>
        <v>0</v>
      </c>
      <c r="AK68" s="87">
        <f t="shared" si="231"/>
        <v>3228</v>
      </c>
      <c r="AL68" s="87">
        <f t="shared" si="231"/>
        <v>855.3</v>
      </c>
      <c r="AM68" s="87">
        <f t="shared" si="231"/>
        <v>0</v>
      </c>
      <c r="AN68" s="87">
        <f t="shared" si="231"/>
        <v>12039.86</v>
      </c>
      <c r="AO68" s="87">
        <f t="shared" si="231"/>
        <v>333.62</v>
      </c>
      <c r="AP68" s="87">
        <f t="shared" si="231"/>
        <v>0</v>
      </c>
      <c r="AQ68" s="87">
        <f t="shared" si="231"/>
        <v>6142.53</v>
      </c>
      <c r="AR68" s="87">
        <f t="shared" si="231"/>
        <v>3167.9700000000003</v>
      </c>
      <c r="AS68" s="87">
        <f t="shared" si="231"/>
        <v>0</v>
      </c>
      <c r="AT68" s="87">
        <f t="shared" si="231"/>
        <v>21756.05</v>
      </c>
      <c r="AU68" s="87">
        <f t="shared" si="231"/>
        <v>0</v>
      </c>
      <c r="AV68" s="87">
        <f t="shared" si="231"/>
        <v>0</v>
      </c>
      <c r="AW68" s="87">
        <f t="shared" si="231"/>
        <v>0</v>
      </c>
      <c r="AX68" s="87">
        <f t="shared" si="231"/>
        <v>0</v>
      </c>
      <c r="AY68" s="87">
        <f t="shared" si="231"/>
        <v>0</v>
      </c>
      <c r="AZ68" s="87">
        <f t="shared" si="231"/>
        <v>0</v>
      </c>
      <c r="BA68" s="87">
        <f t="shared" si="231"/>
        <v>0</v>
      </c>
      <c r="BB68" s="87">
        <f t="shared" si="231"/>
        <v>0</v>
      </c>
      <c r="BC68" s="87">
        <f t="shared" si="231"/>
        <v>0</v>
      </c>
      <c r="BD68" s="87">
        <f t="shared" si="231"/>
        <v>0</v>
      </c>
      <c r="BE68" s="87">
        <f t="shared" si="231"/>
        <v>0</v>
      </c>
      <c r="BF68" s="87">
        <f t="shared" si="231"/>
        <v>0</v>
      </c>
      <c r="BG68" s="87">
        <f t="shared" si="231"/>
        <v>0</v>
      </c>
      <c r="BH68" s="87">
        <f t="shared" si="231"/>
        <v>0</v>
      </c>
      <c r="BI68" s="87">
        <f t="shared" si="231"/>
        <v>0</v>
      </c>
      <c r="BJ68" s="87">
        <f t="shared" si="231"/>
        <v>0</v>
      </c>
      <c r="BK68" s="87">
        <f t="shared" si="231"/>
        <v>0</v>
      </c>
      <c r="BL68" s="149"/>
      <c r="BM68" s="150"/>
      <c r="BN68" s="150"/>
      <c r="BO68" s="150"/>
      <c r="BP68" s="150"/>
    </row>
    <row r="69" spans="1:68" ht="15.75" customHeight="1">
      <c r="A69" s="151"/>
      <c r="B69" s="151"/>
      <c r="C69" s="152"/>
      <c r="D69" s="153" t="s">
        <v>302</v>
      </c>
      <c r="E69" s="154">
        <f>SUM(E70:E78)</f>
        <v>151589.62000000002</v>
      </c>
      <c r="F69" s="154">
        <f>SUM(F71:F78)</f>
        <v>0</v>
      </c>
      <c r="G69" s="155">
        <f t="shared" si="215"/>
        <v>0.42473257733609987</v>
      </c>
      <c r="H69" s="155">
        <f t="shared" si="216"/>
        <v>0.22904892828413975</v>
      </c>
      <c r="I69" s="154">
        <f>SUM(I70:I75)</f>
        <v>64385.05</v>
      </c>
      <c r="J69" s="154">
        <f t="shared" ref="J69:K69" si="232">SUM(J71:J75)</f>
        <v>10402.67</v>
      </c>
      <c r="K69" s="154">
        <f t="shared" si="232"/>
        <v>0</v>
      </c>
      <c r="L69" s="154">
        <f>SUM(L71:L72)</f>
        <v>0</v>
      </c>
      <c r="M69" s="154">
        <f>SUM(M70:M75)</f>
        <v>34721.440000000002</v>
      </c>
      <c r="N69" s="154">
        <f>SUM(N71:N75)</f>
        <v>6527.5900000000011</v>
      </c>
      <c r="O69" s="154">
        <f>SUM(O70:O75)</f>
        <v>0</v>
      </c>
      <c r="P69" s="81">
        <f t="shared" ref="P69:R69" si="233">IF(BI69=0,SUM(Y69+AB69+AE69+AH69+AK69+AN69+AQ69+AT69+AW69+AZ69+BC69+BF69),BI69)</f>
        <v>34721.440000000002</v>
      </c>
      <c r="Q69" s="81">
        <f t="shared" si="233"/>
        <v>6527.59</v>
      </c>
      <c r="R69" s="81">
        <f t="shared" si="233"/>
        <v>0</v>
      </c>
      <c r="S69" s="154">
        <f t="shared" ref="S69:T69" si="234">SUM(S70:S75)</f>
        <v>29663.61</v>
      </c>
      <c r="T69" s="154">
        <f t="shared" si="234"/>
        <v>3875.08</v>
      </c>
      <c r="U69" s="154">
        <f>SUM(U71:U75)</f>
        <v>0</v>
      </c>
      <c r="V69" s="156">
        <f t="shared" ref="V69:W69" si="235">M69/I69</f>
        <v>0.53927798456318665</v>
      </c>
      <c r="W69" s="156">
        <f t="shared" si="235"/>
        <v>0.62749178816592288</v>
      </c>
      <c r="X69" s="156" t="e">
        <f t="shared" si="101"/>
        <v>#DIV/0!</v>
      </c>
      <c r="Y69" s="154">
        <f>SUM(Y71:Y72)</f>
        <v>0</v>
      </c>
      <c r="Z69" s="154">
        <f>SUM(Z71:Z75)</f>
        <v>324.49</v>
      </c>
      <c r="AA69" s="154">
        <f t="shared" ref="AA69:AB69" si="236">SUM(AA71:AA72)</f>
        <v>0</v>
      </c>
      <c r="AB69" s="154">
        <f t="shared" si="236"/>
        <v>0</v>
      </c>
      <c r="AC69" s="154">
        <f>SUM(AC71:AC75)</f>
        <v>1301.0999999999999</v>
      </c>
      <c r="AD69" s="154">
        <f>SUM(AD71:AD72)</f>
        <v>0</v>
      </c>
      <c r="AE69" s="154">
        <f t="shared" ref="AE69:AF69" si="237">SUM(AE71:AE75)</f>
        <v>0</v>
      </c>
      <c r="AF69" s="154">
        <f t="shared" si="237"/>
        <v>2089.27</v>
      </c>
      <c r="AG69" s="154">
        <f>SUM(AG71:AG72)</f>
        <v>0</v>
      </c>
      <c r="AH69" s="154">
        <f t="shared" ref="AH69:AI69" si="238">SUM(AH71:AH75)</f>
        <v>0</v>
      </c>
      <c r="AI69" s="154">
        <f t="shared" si="238"/>
        <v>1265.8399999999999</v>
      </c>
      <c r="AJ69" s="154">
        <f>SUM(AJ71:AJ72)</f>
        <v>0</v>
      </c>
      <c r="AK69" s="154">
        <f t="shared" ref="AK69:AL69" si="239">SUM(AK71:AK75)</f>
        <v>3228</v>
      </c>
      <c r="AL69" s="154">
        <f t="shared" si="239"/>
        <v>855.3</v>
      </c>
      <c r="AM69" s="154">
        <f>SUM(AM71:AM72)</f>
        <v>0</v>
      </c>
      <c r="AN69" s="154">
        <f t="shared" ref="AN69:AO69" si="240">SUM(AN71:AN75)</f>
        <v>9224.86</v>
      </c>
      <c r="AO69" s="154">
        <f t="shared" si="240"/>
        <v>333.62</v>
      </c>
      <c r="AP69" s="154">
        <f>SUM(AP71:AP72)</f>
        <v>0</v>
      </c>
      <c r="AQ69" s="154">
        <f t="shared" ref="AQ69:AR69" si="241">SUM(AQ70:AQ75)</f>
        <v>6142.53</v>
      </c>
      <c r="AR69" s="154">
        <f t="shared" si="241"/>
        <v>357.97</v>
      </c>
      <c r="AS69" s="154">
        <f>SUM(AS71:AS72)</f>
        <v>0</v>
      </c>
      <c r="AT69" s="154">
        <f>SUM(AT70:AT75)</f>
        <v>16126.05</v>
      </c>
      <c r="AU69" s="154">
        <f>SUM(AU71:AU77)</f>
        <v>0</v>
      </c>
      <c r="AV69" s="154">
        <f>SUM(AV71:AV72)</f>
        <v>0</v>
      </c>
      <c r="AW69" s="154">
        <f t="shared" ref="AW69:AX69" si="242">SUM(AW71:AW75)</f>
        <v>0</v>
      </c>
      <c r="AX69" s="154">
        <f t="shared" si="242"/>
        <v>0</v>
      </c>
      <c r="AY69" s="154">
        <f t="shared" ref="AY69:AZ69" si="243">SUM(AY71:AY72)</f>
        <v>0</v>
      </c>
      <c r="AZ69" s="154">
        <f t="shared" si="243"/>
        <v>0</v>
      </c>
      <c r="BA69" s="154">
        <f>SUM(BA71:BA77)</f>
        <v>0</v>
      </c>
      <c r="BB69" s="154">
        <f t="shared" ref="BB69:BH69" si="244">SUM(BB71:BB72)</f>
        <v>0</v>
      </c>
      <c r="BC69" s="154">
        <f t="shared" si="244"/>
        <v>0</v>
      </c>
      <c r="BD69" s="154">
        <f t="shared" si="244"/>
        <v>0</v>
      </c>
      <c r="BE69" s="154">
        <f t="shared" si="244"/>
        <v>0</v>
      </c>
      <c r="BF69" s="154">
        <f t="shared" si="244"/>
        <v>0</v>
      </c>
      <c r="BG69" s="154">
        <f t="shared" si="244"/>
        <v>0</v>
      </c>
      <c r="BH69" s="154">
        <f t="shared" si="244"/>
        <v>0</v>
      </c>
      <c r="BI69" s="154">
        <f t="shared" ref="BI69:BK69" si="245">SUM(BI70:BI75)</f>
        <v>0</v>
      </c>
      <c r="BJ69" s="154">
        <f t="shared" si="245"/>
        <v>0</v>
      </c>
      <c r="BK69" s="154">
        <f t="shared" si="245"/>
        <v>0</v>
      </c>
      <c r="BL69" s="157"/>
      <c r="BM69" s="158"/>
      <c r="BN69" s="158"/>
      <c r="BO69" s="158"/>
      <c r="BP69" s="158"/>
    </row>
    <row r="70" spans="1:68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142"/>
      <c r="G70" s="94">
        <f t="shared" si="215"/>
        <v>1</v>
      </c>
      <c r="H70" s="94">
        <f t="shared" si="216"/>
        <v>0</v>
      </c>
      <c r="I70" s="142">
        <v>1500</v>
      </c>
      <c r="J70" s="117"/>
      <c r="K70" s="117"/>
      <c r="L70" s="118"/>
      <c r="M70" s="97">
        <f t="shared" ref="M70:O70" si="246">Y70+AB70+AE70+AH70+AK70+AN70+AQ70+AT70+AW70+AZ70+BC70+BF70</f>
        <v>0</v>
      </c>
      <c r="N70" s="97">
        <f t="shared" si="246"/>
        <v>0</v>
      </c>
      <c r="O70" s="97">
        <f t="shared" si="246"/>
        <v>0</v>
      </c>
      <c r="P70" s="82">
        <f t="shared" ref="P70:R70" si="247">IF(BI70=0,SUM(Y70+AB70+AE70+AH70+AK70+AN70+AQ70+AT70+AW70+AZ70+BC70+BF70),BI70)</f>
        <v>0</v>
      </c>
      <c r="Q70" s="82">
        <f t="shared" si="247"/>
        <v>0</v>
      </c>
      <c r="R70" s="82">
        <f t="shared" si="247"/>
        <v>0</v>
      </c>
      <c r="S70" s="97">
        <f t="shared" ref="S70:S77" si="248">I70-M70</f>
        <v>1500</v>
      </c>
      <c r="T70" s="97">
        <f t="shared" ref="T70:T77" si="249">J70-K70-N70</f>
        <v>0</v>
      </c>
      <c r="U70" s="97">
        <f t="shared" ref="U70:U77" si="250">L70-O70</f>
        <v>0</v>
      </c>
      <c r="V70" s="98">
        <f t="shared" ref="V70:W70" si="251">M70/I70</f>
        <v>0</v>
      </c>
      <c r="W70" s="98" t="e">
        <f t="shared" si="251"/>
        <v>#DIV/0!</v>
      </c>
      <c r="X70" s="98" t="e">
        <f t="shared" si="101"/>
        <v>#DIV/0!</v>
      </c>
      <c r="Y70" s="96"/>
      <c r="Z70" s="96"/>
      <c r="AA70" s="96"/>
      <c r="AB70" s="96"/>
      <c r="AC70" s="119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83"/>
      <c r="AW70" s="96"/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69" t="s">
        <v>711</v>
      </c>
      <c r="B71" s="159" t="s">
        <v>303</v>
      </c>
      <c r="C71" s="160" t="s">
        <v>304</v>
      </c>
      <c r="D71" s="161" t="s">
        <v>121</v>
      </c>
      <c r="E71" s="162">
        <v>10000</v>
      </c>
      <c r="F71" s="142"/>
      <c r="G71" s="94">
        <f t="shared" si="215"/>
        <v>0.29244000000000003</v>
      </c>
      <c r="H71" s="94">
        <f t="shared" si="216"/>
        <v>7.1016999999999997E-2</v>
      </c>
      <c r="I71" s="367">
        <v>2924.4</v>
      </c>
      <c r="J71" s="117">
        <v>5435.51</v>
      </c>
      <c r="K71" s="117"/>
      <c r="L71" s="118"/>
      <c r="M71" s="97">
        <f t="shared" ref="M71:O71" si="252">Y71+AB71+AE71+AH71+AK71+AN71+AQ71+AT71+AW71+AZ71+BC71+BF71</f>
        <v>710.17</v>
      </c>
      <c r="N71" s="97">
        <f t="shared" si="252"/>
        <v>2206.1000000000004</v>
      </c>
      <c r="O71" s="97">
        <f t="shared" si="252"/>
        <v>0</v>
      </c>
      <c r="P71" s="82">
        <f t="shared" ref="P71:R71" si="253">IF(BI71=0,SUM(Y71+AB71+AE71+AH71+AK71+AN71+AQ71+AT71+AW71+AZ71+BC71+BF71),BI71)</f>
        <v>710.17</v>
      </c>
      <c r="Q71" s="82">
        <f t="shared" si="253"/>
        <v>2206.1000000000004</v>
      </c>
      <c r="R71" s="82">
        <f t="shared" si="253"/>
        <v>0</v>
      </c>
      <c r="S71" s="97">
        <f t="shared" si="248"/>
        <v>2214.23</v>
      </c>
      <c r="T71" s="97">
        <f t="shared" si="249"/>
        <v>3229.41</v>
      </c>
      <c r="U71" s="97">
        <f t="shared" si="250"/>
        <v>0</v>
      </c>
      <c r="V71" s="98">
        <f t="shared" ref="V71:W71" si="254">M71/I71</f>
        <v>0.24284297633702637</v>
      </c>
      <c r="W71" s="98">
        <f t="shared" si="254"/>
        <v>0.40586807861635804</v>
      </c>
      <c r="X71" s="98" t="e">
        <f t="shared" si="101"/>
        <v>#DIV/0!</v>
      </c>
      <c r="Y71" s="96"/>
      <c r="Z71" s="103">
        <v>324.49</v>
      </c>
      <c r="AA71" s="96"/>
      <c r="AB71" s="96"/>
      <c r="AC71" s="131">
        <v>0</v>
      </c>
      <c r="AD71" s="96"/>
      <c r="AE71" s="96"/>
      <c r="AF71" s="103">
        <v>358.36</v>
      </c>
      <c r="AG71" s="96"/>
      <c r="AH71" s="96"/>
      <c r="AI71" s="103">
        <f>362.01+425.9</f>
        <v>787.91</v>
      </c>
      <c r="AJ71" s="96"/>
      <c r="AK71" s="96"/>
      <c r="AL71" s="103">
        <v>377.37</v>
      </c>
      <c r="AM71" s="96"/>
      <c r="AN71" s="103">
        <v>0</v>
      </c>
      <c r="AO71" s="96"/>
      <c r="AP71" s="96"/>
      <c r="AQ71" s="103">
        <v>0</v>
      </c>
      <c r="AR71" s="103">
        <v>357.97</v>
      </c>
      <c r="AS71" s="96"/>
      <c r="AT71" s="103">
        <f>380.84+329.33</f>
        <v>710.17</v>
      </c>
      <c r="AU71" s="103">
        <v>0</v>
      </c>
      <c r="AV71" s="83"/>
      <c r="AW71" s="103">
        <v>0</v>
      </c>
      <c r="AX71" s="83"/>
      <c r="AY71" s="83"/>
      <c r="AZ71" s="96"/>
      <c r="BA71" s="83"/>
      <c r="BB71" s="83"/>
      <c r="BC71" s="96"/>
      <c r="BD71" s="96"/>
      <c r="BE71" s="83"/>
      <c r="BF71" s="96"/>
      <c r="BG71" s="83"/>
      <c r="BH71" s="83"/>
      <c r="BI71" s="96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354" t="s">
        <v>607</v>
      </c>
      <c r="B72" s="136"/>
      <c r="C72" s="101" t="s">
        <v>306</v>
      </c>
      <c r="D72" s="236" t="s">
        <v>1020</v>
      </c>
      <c r="E72" s="92">
        <v>30000</v>
      </c>
      <c r="F72" s="166"/>
      <c r="G72" s="94">
        <f t="shared" si="215"/>
        <v>0.90180000000000005</v>
      </c>
      <c r="H72" s="94">
        <f t="shared" si="216"/>
        <v>0.3674</v>
      </c>
      <c r="I72" s="103">
        <f>3006+24048</f>
        <v>27054</v>
      </c>
      <c r="J72" s="117"/>
      <c r="K72" s="117"/>
      <c r="L72" s="118"/>
      <c r="M72" s="97">
        <f t="shared" ref="M72:O72" si="255">Y72+AB72+AE72+AH72+AK72+AN72+AQ72+AT72+AW72+AZ72+BC72+BF72</f>
        <v>11022</v>
      </c>
      <c r="N72" s="97">
        <f t="shared" si="255"/>
        <v>0</v>
      </c>
      <c r="O72" s="97">
        <f t="shared" si="255"/>
        <v>0</v>
      </c>
      <c r="P72" s="82">
        <f t="shared" ref="P72:R72" si="256">IF(BI72=0,SUM(Y72+AB72+AE72+AH72+AK72+AN72+AQ72+AT72+AW72+AZ72+BC72+BF72),BI72)</f>
        <v>11022</v>
      </c>
      <c r="Q72" s="82">
        <f t="shared" si="256"/>
        <v>0</v>
      </c>
      <c r="R72" s="82">
        <f t="shared" si="256"/>
        <v>0</v>
      </c>
      <c r="S72" s="97">
        <f t="shared" si="248"/>
        <v>16032</v>
      </c>
      <c r="T72" s="97">
        <f t="shared" si="249"/>
        <v>0</v>
      </c>
      <c r="U72" s="97">
        <f t="shared" si="250"/>
        <v>0</v>
      </c>
      <c r="V72" s="98">
        <f t="shared" ref="V72:W72" si="257">M72/I72</f>
        <v>0.40740740740740738</v>
      </c>
      <c r="W72" s="98" t="e">
        <f t="shared" si="257"/>
        <v>#DIV/0!</v>
      </c>
      <c r="X72" s="98" t="e">
        <f t="shared" si="101"/>
        <v>#DIV/0!</v>
      </c>
      <c r="Y72" s="96"/>
      <c r="Z72" s="103">
        <v>0</v>
      </c>
      <c r="AA72" s="96"/>
      <c r="AB72" s="96"/>
      <c r="AC72" s="131">
        <v>0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2004</v>
      </c>
      <c r="AL72" s="103"/>
      <c r="AM72" s="96"/>
      <c r="AN72" s="103">
        <v>3006</v>
      </c>
      <c r="AO72" s="96"/>
      <c r="AP72" s="96"/>
      <c r="AQ72" s="103">
        <f>3006</f>
        <v>3006</v>
      </c>
      <c r="AR72" s="96"/>
      <c r="AS72" s="96"/>
      <c r="AT72" s="103">
        <v>3006</v>
      </c>
      <c r="AU72" s="96"/>
      <c r="AV72" s="83"/>
      <c r="AW72" s="103">
        <v>0</v>
      </c>
      <c r="AX72" s="83"/>
      <c r="AY72" s="83"/>
      <c r="AZ72" s="103">
        <v>0</v>
      </c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354" t="s">
        <v>714</v>
      </c>
      <c r="B73" s="136" t="s">
        <v>308</v>
      </c>
      <c r="C73" s="101" t="s">
        <v>240</v>
      </c>
      <c r="D73" s="91" t="s">
        <v>123</v>
      </c>
      <c r="E73" s="92">
        <v>5200</v>
      </c>
      <c r="F73" s="166"/>
      <c r="G73" s="94">
        <f t="shared" si="215"/>
        <v>0.73527692307692305</v>
      </c>
      <c r="H73" s="94">
        <f t="shared" si="216"/>
        <v>2.0992634615384618</v>
      </c>
      <c r="I73" s="96">
        <f>3823.44</f>
        <v>3823.44</v>
      </c>
      <c r="J73" s="117">
        <v>2723.27</v>
      </c>
      <c r="K73" s="117"/>
      <c r="L73" s="118"/>
      <c r="M73" s="97">
        <f t="shared" ref="M73:O73" si="258">Y73+AB73+AE73+AH73+AK73+AN73+AQ73+AT73+AW73+AZ73+BC73+BF73</f>
        <v>10916.17</v>
      </c>
      <c r="N73" s="97">
        <f t="shared" si="258"/>
        <v>2723.27</v>
      </c>
      <c r="O73" s="97">
        <f t="shared" si="258"/>
        <v>0</v>
      </c>
      <c r="P73" s="82">
        <f t="shared" ref="P73:P88" si="259">IF(BI73=0,SUM(Y73+AB73+AE73+AH73+AK73+AN73+AQ73+AT73+AW73+AZ73+BC73+BF73),BI73)</f>
        <v>10916.17</v>
      </c>
      <c r="Q73" s="82">
        <f>IF(BJ73=0,SUM(Z73+AC73+AF73+AI73+AL73+AO73+AR73+AT73+AX73+BA73+BD73+BG73),BJ73)</f>
        <v>13017.2</v>
      </c>
      <c r="R73" s="82">
        <f>IF(BK73=0,SUM(AA73+AD73+AG73+AJ73+AM73+AP73+AS73+AV73+AY73+BB73+BE73+BH73),BK73)</f>
        <v>0</v>
      </c>
      <c r="S73" s="97">
        <f t="shared" si="248"/>
        <v>-7092.73</v>
      </c>
      <c r="T73" s="97">
        <f t="shared" si="249"/>
        <v>0</v>
      </c>
      <c r="U73" s="97">
        <f t="shared" si="250"/>
        <v>0</v>
      </c>
      <c r="V73" s="98">
        <f t="shared" ref="V73:W73" si="260">M73/I73</f>
        <v>2.8550650722909214</v>
      </c>
      <c r="W73" s="98">
        <f t="shared" si="260"/>
        <v>1</v>
      </c>
      <c r="X73" s="98" t="e">
        <f t="shared" si="101"/>
        <v>#DIV/0!</v>
      </c>
      <c r="Y73" s="96"/>
      <c r="Z73" s="103">
        <v>0</v>
      </c>
      <c r="AA73" s="96"/>
      <c r="AB73" s="96"/>
      <c r="AC73" s="131">
        <f>477.93+477.93</f>
        <v>955.86</v>
      </c>
      <c r="AD73" s="96"/>
      <c r="AE73" s="103">
        <v>0</v>
      </c>
      <c r="AF73" s="103">
        <v>477.93</v>
      </c>
      <c r="AG73" s="96"/>
      <c r="AH73" s="103"/>
      <c r="AI73" s="103">
        <v>477.93</v>
      </c>
      <c r="AJ73" s="96"/>
      <c r="AK73" s="103">
        <v>0</v>
      </c>
      <c r="AL73" s="103">
        <v>477.93</v>
      </c>
      <c r="AM73" s="103"/>
      <c r="AN73" s="103">
        <v>144.31</v>
      </c>
      <c r="AO73" s="103">
        <v>333.62</v>
      </c>
      <c r="AP73" s="96"/>
      <c r="AQ73" s="103">
        <f>477.93</f>
        <v>477.93</v>
      </c>
      <c r="AR73" s="96"/>
      <c r="AS73" s="96"/>
      <c r="AT73" s="103">
        <f>477.93+9816</f>
        <v>10293.93</v>
      </c>
      <c r="AU73" s="21"/>
      <c r="AV73" s="83"/>
      <c r="AW73" s="103">
        <v>0</v>
      </c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166"/>
      <c r="G74" s="94">
        <f t="shared" si="215"/>
        <v>0</v>
      </c>
      <c r="H74" s="94">
        <f t="shared" si="216"/>
        <v>0.53171999999999997</v>
      </c>
      <c r="I74" s="96"/>
      <c r="J74" s="117"/>
      <c r="K74" s="117"/>
      <c r="L74" s="118"/>
      <c r="M74" s="97">
        <f t="shared" ref="M74:O74" si="261">Y74+AB74+AE74+AH74+AK74+AN74+AQ74+AT74+AW74+AZ74+BC74+BF74</f>
        <v>2658.6</v>
      </c>
      <c r="N74" s="97">
        <f t="shared" si="261"/>
        <v>0</v>
      </c>
      <c r="O74" s="97">
        <f t="shared" si="261"/>
        <v>0</v>
      </c>
      <c r="P74" s="82">
        <f t="shared" si="259"/>
        <v>2658.6</v>
      </c>
      <c r="Q74" s="82">
        <f t="shared" ref="Q74:R74" si="262">IF(BJ74=0,SUM(Z74+AC74+AF74+AI74+AL74+AO74+AR74+AU74+AX74+BA74+BD74+BG74),BJ74)</f>
        <v>0</v>
      </c>
      <c r="R74" s="82">
        <f t="shared" si="262"/>
        <v>0</v>
      </c>
      <c r="S74" s="97">
        <f t="shared" si="248"/>
        <v>-2658.6</v>
      </c>
      <c r="T74" s="97">
        <f t="shared" si="249"/>
        <v>0</v>
      </c>
      <c r="U74" s="97">
        <f t="shared" si="250"/>
        <v>0</v>
      </c>
      <c r="V74" s="98" t="e">
        <f t="shared" ref="V74:W74" si="263">M74/I74</f>
        <v>#DIV/0!</v>
      </c>
      <c r="W74" s="98" t="e">
        <f t="shared" si="263"/>
        <v>#DIV/0!</v>
      </c>
      <c r="X74" s="98" t="e">
        <f t="shared" si="101"/>
        <v>#DIV/0!</v>
      </c>
      <c r="Y74" s="96"/>
      <c r="Z74" s="103">
        <v>0</v>
      </c>
      <c r="AA74" s="96"/>
      <c r="AB74" s="96"/>
      <c r="AC74" s="131">
        <v>0</v>
      </c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103">
        <v>2658.6</v>
      </c>
      <c r="AR74" s="96"/>
      <c r="AS74" s="96"/>
      <c r="AT74" s="96"/>
      <c r="AU74" s="96"/>
      <c r="AV74" s="83"/>
      <c r="AW74" s="83"/>
      <c r="AX74" s="83"/>
      <c r="AY74" s="83"/>
      <c r="AZ74" s="83"/>
      <c r="BA74" s="83"/>
      <c r="BB74" s="83"/>
      <c r="BC74" s="96"/>
      <c r="BD74" s="83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166"/>
      <c r="G75" s="94">
        <f t="shared" si="215"/>
        <v>0.96944033333333335</v>
      </c>
      <c r="H75" s="94">
        <f t="shared" si="216"/>
        <v>0.31381666666666669</v>
      </c>
      <c r="I75" s="96">
        <f>3084+25999.21</f>
        <v>29083.21</v>
      </c>
      <c r="J75" s="167">
        <v>2243.89</v>
      </c>
      <c r="K75" s="117"/>
      <c r="L75" s="118"/>
      <c r="M75" s="97">
        <f t="shared" ref="M75:O75" si="264">Y75+AB75+AE75+AH75+AK75+AN75+AQ75+AT75+AW75+AZ75+BC75+BF75</f>
        <v>9414.5</v>
      </c>
      <c r="N75" s="97">
        <f t="shared" si="264"/>
        <v>1598.22</v>
      </c>
      <c r="O75" s="97">
        <f t="shared" si="264"/>
        <v>0</v>
      </c>
      <c r="P75" s="82">
        <f t="shared" si="259"/>
        <v>9414.5</v>
      </c>
      <c r="Q75" s="82">
        <f t="shared" ref="Q75:R75" si="265">IF(BJ75=0,SUM(Z75+AC75+AF75+AI75+AL75+AO75+AR75+AU75+AX75+BA75+BD75+BG75),BJ75)</f>
        <v>1598.22</v>
      </c>
      <c r="R75" s="82">
        <f t="shared" si="265"/>
        <v>0</v>
      </c>
      <c r="S75" s="97">
        <f t="shared" si="248"/>
        <v>19668.71</v>
      </c>
      <c r="T75" s="97">
        <f t="shared" si="249"/>
        <v>645.66999999999985</v>
      </c>
      <c r="U75" s="97">
        <f t="shared" si="250"/>
        <v>0</v>
      </c>
      <c r="V75" s="98">
        <f t="shared" ref="V75:W75" si="266">M75/I75</f>
        <v>0.32370910913891554</v>
      </c>
      <c r="W75" s="98">
        <f t="shared" si="266"/>
        <v>0.71225416575678846</v>
      </c>
      <c r="X75" s="98" t="e">
        <f t="shared" si="101"/>
        <v>#DIV/0!</v>
      </c>
      <c r="Y75" s="96"/>
      <c r="Z75" s="103">
        <v>0</v>
      </c>
      <c r="AA75" s="96"/>
      <c r="AB75" s="96"/>
      <c r="AC75" s="131">
        <f>284.15+61.09</f>
        <v>345.24</v>
      </c>
      <c r="AD75" s="96"/>
      <c r="AE75" s="96"/>
      <c r="AF75" s="103">
        <f>1252.98</f>
        <v>1252.98</v>
      </c>
      <c r="AG75" s="96"/>
      <c r="AH75" s="96"/>
      <c r="AI75" s="103">
        <v>0</v>
      </c>
      <c r="AJ75" s="96"/>
      <c r="AK75" s="103">
        <v>1224</v>
      </c>
      <c r="AL75" s="103">
        <v>0</v>
      </c>
      <c r="AM75" s="96"/>
      <c r="AN75" s="103">
        <f>3213.61+2860.94</f>
        <v>6074.55</v>
      </c>
      <c r="AO75" s="103">
        <v>0</v>
      </c>
      <c r="AP75" s="96"/>
      <c r="AQ75" s="96"/>
      <c r="AR75" s="96"/>
      <c r="AS75" s="96"/>
      <c r="AT75" s="103">
        <v>2115.9499999999998</v>
      </c>
      <c r="AU75" s="103">
        <v>0</v>
      </c>
      <c r="AV75" s="83"/>
      <c r="AW75" s="83"/>
      <c r="AX75" s="103">
        <v>0</v>
      </c>
      <c r="AY75" s="83"/>
      <c r="AZ75" s="83"/>
      <c r="BA75" s="96"/>
      <c r="BB75" s="83"/>
      <c r="BC75" s="96"/>
      <c r="BD75" s="96"/>
      <c r="BE75" s="83"/>
      <c r="BF75" s="83"/>
      <c r="BG75" s="83"/>
      <c r="BH75" s="83"/>
      <c r="BI75" s="83"/>
      <c r="BJ75" s="83"/>
      <c r="BK75" s="83"/>
      <c r="BL75" s="99"/>
      <c r="BM75" s="164"/>
      <c r="BN75" s="164"/>
      <c r="BO75" s="164"/>
      <c r="BP75" s="164"/>
    </row>
    <row r="76" spans="1:68" ht="14.25" customHeight="1">
      <c r="A76" s="168"/>
      <c r="B76" s="168"/>
      <c r="C76" s="169"/>
      <c r="D76" s="170" t="s">
        <v>314</v>
      </c>
      <c r="E76" s="171">
        <v>23296.54</v>
      </c>
      <c r="F76" s="172"/>
      <c r="G76" s="94">
        <f t="shared" si="215"/>
        <v>0</v>
      </c>
      <c r="H76" s="94">
        <f t="shared" si="216"/>
        <v>0</v>
      </c>
      <c r="I76" s="173"/>
      <c r="J76" s="174"/>
      <c r="K76" s="174"/>
      <c r="L76" s="174"/>
      <c r="M76" s="97">
        <f t="shared" ref="M76:O76" si="267">Y76+AB76+AE76+AH76+AK76+AN76+AQ76+AT76+AW76+AZ76+BC76+BF76</f>
        <v>0</v>
      </c>
      <c r="N76" s="97">
        <f t="shared" si="267"/>
        <v>0</v>
      </c>
      <c r="O76" s="175">
        <f t="shared" si="267"/>
        <v>0</v>
      </c>
      <c r="P76" s="82">
        <f t="shared" si="259"/>
        <v>0</v>
      </c>
      <c r="Q76" s="82">
        <f t="shared" ref="Q76:R76" si="268">IF(BJ76=0,SUM(Z76+AC76+AF76+AI76+AL76+AO76+AR76+AU76+AX76+BA76+BD76+BG76),BJ76)</f>
        <v>0</v>
      </c>
      <c r="R76" s="82">
        <f t="shared" si="268"/>
        <v>0</v>
      </c>
      <c r="S76" s="175">
        <f t="shared" si="248"/>
        <v>0</v>
      </c>
      <c r="T76" s="97">
        <f t="shared" si="249"/>
        <v>0</v>
      </c>
      <c r="U76" s="175">
        <f t="shared" si="250"/>
        <v>0</v>
      </c>
      <c r="V76" s="176" t="e">
        <f t="shared" ref="V76:W76" si="269">M76/I76</f>
        <v>#DIV/0!</v>
      </c>
      <c r="W76" s="176" t="e">
        <f t="shared" si="269"/>
        <v>#DIV/0!</v>
      </c>
      <c r="X76" s="176" t="e">
        <f t="shared" si="101"/>
        <v>#DIV/0!</v>
      </c>
      <c r="Y76" s="172"/>
      <c r="Z76" s="172"/>
      <c r="AA76" s="172"/>
      <c r="AB76" s="172"/>
      <c r="AC76" s="177"/>
      <c r="AD76" s="172"/>
      <c r="AE76" s="172"/>
      <c r="AF76" s="172"/>
      <c r="AG76" s="172"/>
      <c r="AH76" s="172"/>
      <c r="AI76" s="172"/>
      <c r="AJ76" s="172"/>
      <c r="AK76" s="171">
        <v>0</v>
      </c>
      <c r="AL76" s="172"/>
      <c r="AM76" s="172"/>
      <c r="AN76" s="178"/>
      <c r="AO76" s="178"/>
      <c r="AP76" s="178"/>
      <c r="AQ76" s="178"/>
      <c r="AR76" s="178"/>
      <c r="AS76" s="178"/>
      <c r="AT76" s="178"/>
      <c r="AU76" s="179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5.75" customHeight="1">
      <c r="A77" s="168"/>
      <c r="B77" s="168"/>
      <c r="C77" s="169"/>
      <c r="D77" s="170" t="s">
        <v>315</v>
      </c>
      <c r="E77" s="171">
        <v>23296.54</v>
      </c>
      <c r="F77" s="172"/>
      <c r="G77" s="94">
        <f t="shared" si="215"/>
        <v>0</v>
      </c>
      <c r="H77" s="94">
        <f t="shared" si="216"/>
        <v>0</v>
      </c>
      <c r="I77" s="174"/>
      <c r="J77" s="174"/>
      <c r="K77" s="174"/>
      <c r="L77" s="174"/>
      <c r="M77" s="175">
        <f t="shared" ref="M77:O77" si="270">Y77+AB77+AE77+AH77+AK77+AN77+AQ77+AT77+AW77+AZ77+BC77+BF77</f>
        <v>0</v>
      </c>
      <c r="N77" s="175">
        <f t="shared" si="270"/>
        <v>0</v>
      </c>
      <c r="O77" s="175">
        <f t="shared" si="270"/>
        <v>0</v>
      </c>
      <c r="P77" s="82">
        <f t="shared" si="259"/>
        <v>0</v>
      </c>
      <c r="Q77" s="82">
        <f t="shared" ref="Q77:R77" si="271">IF(BJ77=0,SUM(Z77+AC77+AF77+AI77+AL77+AO77+AR77+AU77+AX77+BA77+BD77+BG77),BJ77)</f>
        <v>0</v>
      </c>
      <c r="R77" s="82">
        <f t="shared" si="271"/>
        <v>0</v>
      </c>
      <c r="S77" s="175">
        <f t="shared" si="248"/>
        <v>0</v>
      </c>
      <c r="T77" s="97">
        <f t="shared" si="249"/>
        <v>0</v>
      </c>
      <c r="U77" s="175">
        <f t="shared" si="250"/>
        <v>0</v>
      </c>
      <c r="V77" s="176" t="e">
        <f t="shared" ref="V77:W77" si="272">M77/I77</f>
        <v>#DIV/0!</v>
      </c>
      <c r="W77" s="176" t="e">
        <f t="shared" si="272"/>
        <v>#DIV/0!</v>
      </c>
      <c r="X77" s="176" t="e">
        <f t="shared" si="101"/>
        <v>#DIV/0!</v>
      </c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80"/>
      <c r="BM77" s="181"/>
      <c r="BN77" s="181"/>
      <c r="BO77" s="181"/>
      <c r="BP77" s="181"/>
    </row>
    <row r="78" spans="1:68" ht="18.75" customHeight="1">
      <c r="A78" s="182"/>
      <c r="B78" s="182"/>
      <c r="C78" s="183"/>
      <c r="D78" s="184" t="s">
        <v>316</v>
      </c>
      <c r="E78" s="185">
        <v>23296.54</v>
      </c>
      <c r="F78" s="186"/>
      <c r="G78" s="187">
        <f t="shared" si="215"/>
        <v>0</v>
      </c>
      <c r="H78" s="188">
        <f t="shared" si="216"/>
        <v>0</v>
      </c>
      <c r="I78" s="186">
        <f t="shared" ref="I78:O78" si="273">SUM(I79:I80)</f>
        <v>0</v>
      </c>
      <c r="J78" s="186">
        <f t="shared" si="273"/>
        <v>0</v>
      </c>
      <c r="K78" s="186">
        <f t="shared" si="273"/>
        <v>0</v>
      </c>
      <c r="L78" s="186">
        <f t="shared" si="273"/>
        <v>0</v>
      </c>
      <c r="M78" s="186">
        <f t="shared" si="273"/>
        <v>0</v>
      </c>
      <c r="N78" s="186">
        <f t="shared" si="273"/>
        <v>0</v>
      </c>
      <c r="O78" s="186">
        <f t="shared" si="273"/>
        <v>0</v>
      </c>
      <c r="P78" s="81">
        <f t="shared" si="259"/>
        <v>0</v>
      </c>
      <c r="Q78" s="81">
        <f t="shared" ref="Q78:R78" si="274">IF(BJ78=0,SUM(Z78+AC78+AF78+AI78+AL78+AO78+AR78+AU78+AX78+BA78+BD78+BG78),BJ78)</f>
        <v>0</v>
      </c>
      <c r="R78" s="81">
        <f t="shared" si="274"/>
        <v>0</v>
      </c>
      <c r="S78" s="186">
        <f t="shared" ref="S78:U78" si="275">SUM(S79:S80)</f>
        <v>0</v>
      </c>
      <c r="T78" s="186">
        <f t="shared" si="275"/>
        <v>0</v>
      </c>
      <c r="U78" s="186">
        <f t="shared" si="275"/>
        <v>0</v>
      </c>
      <c r="V78" s="189" t="e">
        <f t="shared" ref="V78:W78" si="276">M78/I78</f>
        <v>#DIV/0!</v>
      </c>
      <c r="W78" s="189" t="e">
        <f t="shared" si="276"/>
        <v>#DIV/0!</v>
      </c>
      <c r="X78" s="189" t="e">
        <f t="shared" si="101"/>
        <v>#DIV/0!</v>
      </c>
      <c r="Y78" s="186">
        <f t="shared" ref="Y78:BK78" si="277">SUM(Y79:Y80)</f>
        <v>0</v>
      </c>
      <c r="Z78" s="186">
        <f t="shared" si="277"/>
        <v>0</v>
      </c>
      <c r="AA78" s="186">
        <f t="shared" si="277"/>
        <v>0</v>
      </c>
      <c r="AB78" s="186">
        <f t="shared" si="277"/>
        <v>0</v>
      </c>
      <c r="AC78" s="186">
        <f t="shared" si="277"/>
        <v>0</v>
      </c>
      <c r="AD78" s="186">
        <f t="shared" si="277"/>
        <v>0</v>
      </c>
      <c r="AE78" s="186">
        <f t="shared" si="277"/>
        <v>0</v>
      </c>
      <c r="AF78" s="186">
        <f t="shared" si="277"/>
        <v>0</v>
      </c>
      <c r="AG78" s="186">
        <f t="shared" si="277"/>
        <v>0</v>
      </c>
      <c r="AH78" s="186">
        <f t="shared" si="277"/>
        <v>0</v>
      </c>
      <c r="AI78" s="186">
        <f t="shared" si="277"/>
        <v>0</v>
      </c>
      <c r="AJ78" s="186">
        <f t="shared" si="277"/>
        <v>0</v>
      </c>
      <c r="AK78" s="186">
        <f t="shared" si="277"/>
        <v>0</v>
      </c>
      <c r="AL78" s="186">
        <f t="shared" si="277"/>
        <v>0</v>
      </c>
      <c r="AM78" s="186">
        <f t="shared" si="277"/>
        <v>0</v>
      </c>
      <c r="AN78" s="186">
        <f t="shared" si="277"/>
        <v>0</v>
      </c>
      <c r="AO78" s="186">
        <f t="shared" si="277"/>
        <v>0</v>
      </c>
      <c r="AP78" s="186">
        <f t="shared" si="277"/>
        <v>0</v>
      </c>
      <c r="AQ78" s="186">
        <f t="shared" si="277"/>
        <v>0</v>
      </c>
      <c r="AR78" s="186">
        <f t="shared" si="277"/>
        <v>0</v>
      </c>
      <c r="AS78" s="186">
        <f t="shared" si="277"/>
        <v>0</v>
      </c>
      <c r="AT78" s="186">
        <f t="shared" si="277"/>
        <v>0</v>
      </c>
      <c r="AU78" s="186">
        <f t="shared" si="277"/>
        <v>0</v>
      </c>
      <c r="AV78" s="186">
        <f t="shared" si="277"/>
        <v>0</v>
      </c>
      <c r="AW78" s="186">
        <f t="shared" si="277"/>
        <v>0</v>
      </c>
      <c r="AX78" s="186">
        <f t="shared" si="277"/>
        <v>0</v>
      </c>
      <c r="AY78" s="186">
        <f t="shared" si="277"/>
        <v>0</v>
      </c>
      <c r="AZ78" s="186">
        <f t="shared" si="277"/>
        <v>0</v>
      </c>
      <c r="BA78" s="186">
        <f t="shared" si="277"/>
        <v>0</v>
      </c>
      <c r="BB78" s="186">
        <f t="shared" si="277"/>
        <v>0</v>
      </c>
      <c r="BC78" s="186">
        <f t="shared" si="277"/>
        <v>0</v>
      </c>
      <c r="BD78" s="186">
        <f t="shared" si="277"/>
        <v>0</v>
      </c>
      <c r="BE78" s="186">
        <f t="shared" si="277"/>
        <v>0</v>
      </c>
      <c r="BF78" s="186">
        <f t="shared" si="277"/>
        <v>0</v>
      </c>
      <c r="BG78" s="186">
        <f t="shared" si="277"/>
        <v>0</v>
      </c>
      <c r="BH78" s="186">
        <f t="shared" si="277"/>
        <v>0</v>
      </c>
      <c r="BI78" s="186">
        <f t="shared" si="277"/>
        <v>0</v>
      </c>
      <c r="BJ78" s="186">
        <f t="shared" si="277"/>
        <v>0</v>
      </c>
      <c r="BK78" s="186">
        <f t="shared" si="277"/>
        <v>0</v>
      </c>
      <c r="BL78" s="157"/>
      <c r="BM78" s="158"/>
      <c r="BN78" s="158"/>
      <c r="BO78" s="158"/>
      <c r="BP78" s="158"/>
    </row>
    <row r="79" spans="1:68" ht="15.75" customHeight="1">
      <c r="A79" s="89"/>
      <c r="B79" s="89"/>
      <c r="C79" s="90" t="s">
        <v>271</v>
      </c>
      <c r="D79" s="91" t="s">
        <v>317</v>
      </c>
      <c r="E79" s="166"/>
      <c r="F79" s="166"/>
      <c r="G79" s="94" t="e">
        <f t="shared" si="215"/>
        <v>#DIV/0!</v>
      </c>
      <c r="H79" s="94" t="e">
        <f t="shared" si="216"/>
        <v>#DIV/0!</v>
      </c>
      <c r="I79" s="96"/>
      <c r="J79" s="190"/>
      <c r="K79" s="190"/>
      <c r="L79" s="190"/>
      <c r="M79" s="97">
        <f t="shared" ref="M79:O79" si="278">Y79+AB79+AE79+AH79+AK79+AN79+AQ79+AT79+AW79+AZ79+BC79+BF79</f>
        <v>0</v>
      </c>
      <c r="N79" s="97">
        <f t="shared" si="278"/>
        <v>0</v>
      </c>
      <c r="O79" s="97">
        <f t="shared" si="278"/>
        <v>0</v>
      </c>
      <c r="P79" s="82">
        <f t="shared" si="259"/>
        <v>0</v>
      </c>
      <c r="Q79" s="82">
        <f t="shared" ref="Q79:R79" si="279">IF(BJ79=0,SUM(Z79+AC79+AF79+AI79+AL79+AO79+AR79+AU79+AX79+BA79+BD79+BG79),BJ79)</f>
        <v>0</v>
      </c>
      <c r="R79" s="82">
        <f t="shared" si="279"/>
        <v>0</v>
      </c>
      <c r="S79" s="97">
        <f t="shared" ref="S79:T79" si="280">I79-M79</f>
        <v>0</v>
      </c>
      <c r="T79" s="97">
        <f t="shared" si="280"/>
        <v>0</v>
      </c>
      <c r="U79" s="97">
        <f t="shared" ref="U79:U80" si="281">L79-O79</f>
        <v>0</v>
      </c>
      <c r="V79" s="98" t="e">
        <f t="shared" ref="V79:W79" si="282">M79/I79</f>
        <v>#DIV/0!</v>
      </c>
      <c r="W79" s="98" t="e">
        <f t="shared" si="282"/>
        <v>#DIV/0!</v>
      </c>
      <c r="X79" s="98" t="e">
        <f t="shared" si="101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>
        <v>0</v>
      </c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89"/>
      <c r="B80" s="89"/>
      <c r="C80" s="90" t="s">
        <v>318</v>
      </c>
      <c r="D80" s="91" t="s">
        <v>319</v>
      </c>
      <c r="E80" s="166"/>
      <c r="F80" s="166"/>
      <c r="G80" s="94" t="e">
        <f t="shared" si="215"/>
        <v>#DIV/0!</v>
      </c>
      <c r="H80" s="94" t="e">
        <f t="shared" si="216"/>
        <v>#DIV/0!</v>
      </c>
      <c r="I80" s="96"/>
      <c r="J80" s="190"/>
      <c r="K80" s="190"/>
      <c r="L80" s="190"/>
      <c r="M80" s="97">
        <f t="shared" ref="M80:O80" si="283">Y80+AB80+AE80+AH80+AK80+AN80+AQ80+AT80+AW80+AZ80+BC80+BF80</f>
        <v>0</v>
      </c>
      <c r="N80" s="97">
        <f t="shared" si="283"/>
        <v>0</v>
      </c>
      <c r="O80" s="97">
        <f t="shared" si="283"/>
        <v>0</v>
      </c>
      <c r="P80" s="82">
        <f t="shared" si="259"/>
        <v>0</v>
      </c>
      <c r="Q80" s="82">
        <f t="shared" ref="Q80:R80" si="284">IF(BJ80=0,SUM(Z80+AC80+AF80+AI80+AL80+AO80+AR80+AU80+AX80+BA80+BD80+BG80),BJ80)</f>
        <v>0</v>
      </c>
      <c r="R80" s="82">
        <f t="shared" si="284"/>
        <v>0</v>
      </c>
      <c r="S80" s="97">
        <f t="shared" ref="S80:T80" si="285">I80-M80</f>
        <v>0</v>
      </c>
      <c r="T80" s="97">
        <f t="shared" si="285"/>
        <v>0</v>
      </c>
      <c r="U80" s="97">
        <f t="shared" si="281"/>
        <v>0</v>
      </c>
      <c r="V80" s="98" t="e">
        <f t="shared" ref="V80:W80" si="286">M80/I80</f>
        <v>#DIV/0!</v>
      </c>
      <c r="W80" s="98" t="e">
        <f t="shared" si="286"/>
        <v>#DIV/0!</v>
      </c>
      <c r="X80" s="98" t="e">
        <f t="shared" si="101"/>
        <v>#DIV/0!</v>
      </c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95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95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99"/>
      <c r="BM80" s="100"/>
      <c r="BN80" s="100"/>
      <c r="BO80" s="100"/>
      <c r="BP80" s="100"/>
    </row>
    <row r="81" spans="1:68" ht="15.75" customHeight="1">
      <c r="A81" s="151"/>
      <c r="B81" s="151"/>
      <c r="C81" s="191"/>
      <c r="D81" s="153" t="s">
        <v>320</v>
      </c>
      <c r="E81" s="154">
        <f t="shared" ref="E81:F81" si="287">SUM(E82:E84)</f>
        <v>13808</v>
      </c>
      <c r="F81" s="154">
        <f t="shared" si="287"/>
        <v>0</v>
      </c>
      <c r="G81" s="192">
        <f t="shared" si="215"/>
        <v>0.27578215527230593</v>
      </c>
      <c r="H81" s="192">
        <f t="shared" si="216"/>
        <v>0</v>
      </c>
      <c r="I81" s="154">
        <f t="shared" ref="I81:O81" si="288">SUM(I82:I84)</f>
        <v>3808</v>
      </c>
      <c r="J81" s="154">
        <f t="shared" si="288"/>
        <v>0</v>
      </c>
      <c r="K81" s="154">
        <f t="shared" si="288"/>
        <v>0</v>
      </c>
      <c r="L81" s="154">
        <f t="shared" si="288"/>
        <v>0</v>
      </c>
      <c r="M81" s="154">
        <f t="shared" si="288"/>
        <v>0</v>
      </c>
      <c r="N81" s="154">
        <f t="shared" si="288"/>
        <v>0</v>
      </c>
      <c r="O81" s="154">
        <f t="shared" si="288"/>
        <v>0</v>
      </c>
      <c r="P81" s="81">
        <f t="shared" si="259"/>
        <v>0</v>
      </c>
      <c r="Q81" s="81">
        <f t="shared" ref="Q81:R81" si="289">IF(BJ81=0,SUM(Z81+AC81+AF81+AI81+AL81+AO81+AR81+AU81+AX81+BA81+BD81+BG81),BJ81)</f>
        <v>0</v>
      </c>
      <c r="R81" s="81">
        <f t="shared" si="289"/>
        <v>0</v>
      </c>
      <c r="S81" s="154">
        <f t="shared" ref="S81:U81" si="290">SUM(S82:S84)</f>
        <v>3808</v>
      </c>
      <c r="T81" s="154">
        <f t="shared" si="290"/>
        <v>0</v>
      </c>
      <c r="U81" s="154">
        <f t="shared" si="290"/>
        <v>0</v>
      </c>
      <c r="V81" s="193">
        <f t="shared" ref="V81:W81" si="291">M81/I81</f>
        <v>0</v>
      </c>
      <c r="W81" s="193" t="e">
        <f t="shared" si="291"/>
        <v>#DIV/0!</v>
      </c>
      <c r="X81" s="193" t="e">
        <f t="shared" si="101"/>
        <v>#DIV/0!</v>
      </c>
      <c r="Y81" s="154">
        <f t="shared" ref="Y81:BK81" si="292">SUM(Y82:Y84)</f>
        <v>0</v>
      </c>
      <c r="Z81" s="154">
        <f t="shared" si="292"/>
        <v>0</v>
      </c>
      <c r="AA81" s="154">
        <f t="shared" si="292"/>
        <v>0</v>
      </c>
      <c r="AB81" s="154">
        <f t="shared" si="292"/>
        <v>0</v>
      </c>
      <c r="AC81" s="154">
        <f t="shared" si="292"/>
        <v>0</v>
      </c>
      <c r="AD81" s="154">
        <f t="shared" si="292"/>
        <v>0</v>
      </c>
      <c r="AE81" s="154">
        <f t="shared" si="292"/>
        <v>0</v>
      </c>
      <c r="AF81" s="154">
        <f t="shared" si="292"/>
        <v>0</v>
      </c>
      <c r="AG81" s="154">
        <f t="shared" si="292"/>
        <v>0</v>
      </c>
      <c r="AH81" s="154">
        <f t="shared" si="292"/>
        <v>0</v>
      </c>
      <c r="AI81" s="154">
        <f t="shared" si="292"/>
        <v>0</v>
      </c>
      <c r="AJ81" s="154">
        <f t="shared" si="292"/>
        <v>0</v>
      </c>
      <c r="AK81" s="154">
        <f t="shared" si="292"/>
        <v>0</v>
      </c>
      <c r="AL81" s="154">
        <f t="shared" si="292"/>
        <v>0</v>
      </c>
      <c r="AM81" s="154">
        <f t="shared" si="292"/>
        <v>0</v>
      </c>
      <c r="AN81" s="154">
        <f t="shared" si="292"/>
        <v>0</v>
      </c>
      <c r="AO81" s="154">
        <f t="shared" si="292"/>
        <v>0</v>
      </c>
      <c r="AP81" s="154">
        <f t="shared" si="292"/>
        <v>0</v>
      </c>
      <c r="AQ81" s="154">
        <f t="shared" si="292"/>
        <v>0</v>
      </c>
      <c r="AR81" s="154">
        <f t="shared" si="292"/>
        <v>0</v>
      </c>
      <c r="AS81" s="154">
        <f t="shared" si="292"/>
        <v>0</v>
      </c>
      <c r="AT81" s="154">
        <f t="shared" si="292"/>
        <v>0</v>
      </c>
      <c r="AU81" s="154">
        <f t="shared" si="292"/>
        <v>0</v>
      </c>
      <c r="AV81" s="154">
        <f t="shared" si="292"/>
        <v>0</v>
      </c>
      <c r="AW81" s="154">
        <f t="shared" si="292"/>
        <v>0</v>
      </c>
      <c r="AX81" s="154">
        <f t="shared" si="292"/>
        <v>0</v>
      </c>
      <c r="AY81" s="154">
        <f t="shared" si="292"/>
        <v>0</v>
      </c>
      <c r="AZ81" s="154">
        <f t="shared" si="292"/>
        <v>0</v>
      </c>
      <c r="BA81" s="154">
        <f t="shared" si="292"/>
        <v>0</v>
      </c>
      <c r="BB81" s="154">
        <f t="shared" si="292"/>
        <v>0</v>
      </c>
      <c r="BC81" s="154">
        <f t="shared" si="292"/>
        <v>0</v>
      </c>
      <c r="BD81" s="154">
        <f t="shared" si="292"/>
        <v>0</v>
      </c>
      <c r="BE81" s="154">
        <f t="shared" si="292"/>
        <v>0</v>
      </c>
      <c r="BF81" s="154">
        <f t="shared" si="292"/>
        <v>0</v>
      </c>
      <c r="BG81" s="154">
        <f t="shared" si="292"/>
        <v>0</v>
      </c>
      <c r="BH81" s="154">
        <f t="shared" si="292"/>
        <v>0</v>
      </c>
      <c r="BI81" s="154">
        <f t="shared" si="292"/>
        <v>0</v>
      </c>
      <c r="BJ81" s="154">
        <f t="shared" si="292"/>
        <v>0</v>
      </c>
      <c r="BK81" s="154">
        <f t="shared" si="292"/>
        <v>0</v>
      </c>
      <c r="BL81" s="157"/>
      <c r="BM81" s="158"/>
      <c r="BN81" s="158"/>
      <c r="BO81" s="158"/>
      <c r="BP81" s="158"/>
    </row>
    <row r="82" spans="1:68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166"/>
      <c r="G82" s="94" t="e">
        <f>I82/F82</f>
        <v>#DIV/0!</v>
      </c>
      <c r="H82" s="94" t="e">
        <f>M82/F82</f>
        <v>#DIV/0!</v>
      </c>
      <c r="I82" s="96">
        <v>3808</v>
      </c>
      <c r="J82" s="96"/>
      <c r="K82" s="96"/>
      <c r="L82" s="95"/>
      <c r="M82" s="97">
        <f t="shared" ref="M82:O82" si="293">Y82+AB82+AE82+AH82+AK82+AN82+AQ82+AT82+AW82+AZ82+BC82+BF82</f>
        <v>0</v>
      </c>
      <c r="N82" s="97">
        <f t="shared" si="293"/>
        <v>0</v>
      </c>
      <c r="O82" s="97">
        <f t="shared" si="293"/>
        <v>0</v>
      </c>
      <c r="P82" s="82">
        <f t="shared" si="259"/>
        <v>0</v>
      </c>
      <c r="Q82" s="82">
        <f t="shared" ref="Q82:R82" si="294">IF(BJ82=0,SUM(Z82+AC82+AF82+AI82+AL82+AO82+AR82+AU82+AX82+BA82+BD82+BG82),BJ82)</f>
        <v>0</v>
      </c>
      <c r="R82" s="82">
        <f t="shared" si="294"/>
        <v>0</v>
      </c>
      <c r="S82" s="97">
        <f t="shared" ref="S82:T82" si="295">I82-M82</f>
        <v>3808</v>
      </c>
      <c r="T82" s="97">
        <f t="shared" si="295"/>
        <v>0</v>
      </c>
      <c r="U82" s="97">
        <f t="shared" ref="U82:U84" si="296">L82-O82</f>
        <v>0</v>
      </c>
      <c r="V82" s="98">
        <f t="shared" ref="V82:W82" si="297">M82/I82</f>
        <v>0</v>
      </c>
      <c r="W82" s="98" t="e">
        <f t="shared" si="297"/>
        <v>#DIV/0!</v>
      </c>
      <c r="X82" s="98" t="e">
        <f t="shared" si="101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213</v>
      </c>
      <c r="D83" s="91" t="s">
        <v>74</v>
      </c>
      <c r="E83" s="166"/>
      <c r="F83" s="166"/>
      <c r="G83" s="94" t="e">
        <f t="shared" ref="G83:G90" si="298">I83/E83</f>
        <v>#DIV/0!</v>
      </c>
      <c r="H83" s="94" t="e">
        <f t="shared" ref="H83:H90" si="299">M83/E83</f>
        <v>#DIV/0!</v>
      </c>
      <c r="I83" s="96"/>
      <c r="J83" s="96"/>
      <c r="K83" s="96"/>
      <c r="L83" s="95"/>
      <c r="M83" s="97">
        <f t="shared" ref="M83:O83" si="300">Y83+AB83+AE83+AH83+AK83+AN83+AQ83+AT83+AW83+AZ83+BC83+BF83</f>
        <v>0</v>
      </c>
      <c r="N83" s="97">
        <f t="shared" si="300"/>
        <v>0</v>
      </c>
      <c r="O83" s="97">
        <f t="shared" si="300"/>
        <v>0</v>
      </c>
      <c r="P83" s="82">
        <f t="shared" si="259"/>
        <v>0</v>
      </c>
      <c r="Q83" s="82">
        <f t="shared" ref="Q83:R83" si="301">IF(BJ83=0,SUM(Z83+AC83+AF83+AI83+AL83+AO83+AR83+AU83+AX83+BA83+BD83+BG83),BJ83)</f>
        <v>0</v>
      </c>
      <c r="R83" s="82">
        <f t="shared" si="301"/>
        <v>0</v>
      </c>
      <c r="S83" s="97">
        <f t="shared" ref="S83:T83" si="302">I83-M83</f>
        <v>0</v>
      </c>
      <c r="T83" s="97">
        <f t="shared" si="302"/>
        <v>0</v>
      </c>
      <c r="U83" s="97">
        <f t="shared" si="296"/>
        <v>0</v>
      </c>
      <c r="V83" s="98" t="e">
        <f t="shared" ref="V83:W83" si="303">M83/I83</f>
        <v>#DIV/0!</v>
      </c>
      <c r="W83" s="98" t="e">
        <f t="shared" si="303"/>
        <v>#DIV/0!</v>
      </c>
      <c r="X83" s="98" t="e">
        <f t="shared" si="101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195"/>
      <c r="G84" s="94">
        <f t="shared" si="298"/>
        <v>0</v>
      </c>
      <c r="H84" s="94">
        <f t="shared" si="299"/>
        <v>0</v>
      </c>
      <c r="I84" s="142"/>
      <c r="J84" s="96"/>
      <c r="K84" s="96"/>
      <c r="L84" s="95"/>
      <c r="M84" s="97">
        <f t="shared" ref="M84:O84" si="304">Y84+AB84+AE84+AH84+AK84+AN84+AQ84+AT84+AW84+AZ84+BC84+BF84</f>
        <v>0</v>
      </c>
      <c r="N84" s="97">
        <f t="shared" si="304"/>
        <v>0</v>
      </c>
      <c r="O84" s="97">
        <f t="shared" si="304"/>
        <v>0</v>
      </c>
      <c r="P84" s="82">
        <f t="shared" si="259"/>
        <v>0</v>
      </c>
      <c r="Q84" s="82">
        <f t="shared" ref="Q84:R84" si="305">IF(BJ84=0,SUM(Z84+AC84+AF84+AI84+AL84+AO84+AR84+AU84+AX84+BA84+BD84+BG84),BJ84)</f>
        <v>0</v>
      </c>
      <c r="R84" s="82">
        <f t="shared" si="305"/>
        <v>0</v>
      </c>
      <c r="S84" s="97">
        <f t="shared" ref="S84:T84" si="306">I84-M84</f>
        <v>0</v>
      </c>
      <c r="T84" s="97">
        <f t="shared" si="306"/>
        <v>0</v>
      </c>
      <c r="U84" s="97">
        <f t="shared" si="296"/>
        <v>0</v>
      </c>
      <c r="V84" s="98" t="e">
        <f t="shared" ref="V84:W84" si="307">M84/I84</f>
        <v>#DIV/0!</v>
      </c>
      <c r="W84" s="98" t="e">
        <f t="shared" si="307"/>
        <v>#DIV/0!</v>
      </c>
      <c r="X84" s="98" t="e">
        <f t="shared" si="101"/>
        <v>#DIV/0!</v>
      </c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103">
        <v>0</v>
      </c>
      <c r="BA84" s="96"/>
      <c r="BB84" s="96"/>
      <c r="BC84" s="96"/>
      <c r="BD84" s="96"/>
      <c r="BE84" s="96"/>
      <c r="BF84" s="103">
        <v>0</v>
      </c>
      <c r="BG84" s="96"/>
      <c r="BH84" s="96"/>
      <c r="BI84" s="96"/>
      <c r="BJ84" s="96"/>
      <c r="BK84" s="96"/>
      <c r="BL84" s="99"/>
      <c r="BM84" s="100"/>
      <c r="BN84" s="100"/>
      <c r="BO84" s="100"/>
      <c r="BP84" s="100"/>
    </row>
    <row r="85" spans="1:68" ht="15.75" customHeight="1">
      <c r="A85" s="151"/>
      <c r="B85" s="151"/>
      <c r="C85" s="191"/>
      <c r="D85" s="153" t="s">
        <v>322</v>
      </c>
      <c r="E85" s="154">
        <f>SUM(E86:E89)</f>
        <v>32329.200000000001</v>
      </c>
      <c r="F85" s="154">
        <f>SUM(F86:F88)</f>
        <v>0</v>
      </c>
      <c r="G85" s="192">
        <f t="shared" si="298"/>
        <v>0</v>
      </c>
      <c r="H85" s="192">
        <f t="shared" si="299"/>
        <v>0</v>
      </c>
      <c r="I85" s="154">
        <f t="shared" ref="I85:K85" si="308">SUM(I86:I89)</f>
        <v>0</v>
      </c>
      <c r="J85" s="154">
        <f t="shared" si="308"/>
        <v>73937.67</v>
      </c>
      <c r="K85" s="154">
        <f t="shared" si="308"/>
        <v>0</v>
      </c>
      <c r="L85" s="154">
        <f t="shared" ref="L85:M85" si="309">SUM(L86:L88)</f>
        <v>0</v>
      </c>
      <c r="M85" s="154">
        <f t="shared" si="309"/>
        <v>0</v>
      </c>
      <c r="N85" s="154">
        <f>SUM(N86:N89)</f>
        <v>18743.400000000001</v>
      </c>
      <c r="O85" s="154">
        <f>SUM(O86:O88)</f>
        <v>0</v>
      </c>
      <c r="P85" s="81">
        <f t="shared" si="259"/>
        <v>0</v>
      </c>
      <c r="Q85" s="81">
        <f t="shared" ref="Q85:R85" si="310">IF(BJ85=0,SUM(Z85+AC85+AF85+AI85+AL85+AO85+AR85+AU85+AX85+BA85+BD85+BG85),BJ85)</f>
        <v>18743.400000000001</v>
      </c>
      <c r="R85" s="81">
        <f t="shared" si="310"/>
        <v>0</v>
      </c>
      <c r="S85" s="154">
        <f t="shared" ref="S85:T85" si="311">SUM(S86:S89)</f>
        <v>0</v>
      </c>
      <c r="T85" s="154">
        <f t="shared" si="311"/>
        <v>55194.27</v>
      </c>
      <c r="U85" s="154">
        <f>SUM(U86:U88)</f>
        <v>0</v>
      </c>
      <c r="V85" s="193" t="e">
        <f t="shared" ref="V85:W85" si="312">M85/I85</f>
        <v>#DIV/0!</v>
      </c>
      <c r="W85" s="193">
        <f t="shared" si="312"/>
        <v>0.25350271383991413</v>
      </c>
      <c r="X85" s="193" t="e">
        <f t="shared" si="101"/>
        <v>#DIV/0!</v>
      </c>
      <c r="Y85" s="154">
        <f t="shared" ref="Y85:AH85" si="313">SUM(Y86:Y88)</f>
        <v>0</v>
      </c>
      <c r="Z85" s="154">
        <f t="shared" si="313"/>
        <v>4271.3999999999996</v>
      </c>
      <c r="AA85" s="154">
        <f t="shared" si="313"/>
        <v>0</v>
      </c>
      <c r="AB85" s="154">
        <f t="shared" si="313"/>
        <v>0</v>
      </c>
      <c r="AC85" s="154">
        <f t="shared" si="313"/>
        <v>6630</v>
      </c>
      <c r="AD85" s="154">
        <f t="shared" si="313"/>
        <v>0</v>
      </c>
      <c r="AE85" s="154">
        <f t="shared" si="313"/>
        <v>0</v>
      </c>
      <c r="AF85" s="154">
        <f t="shared" si="313"/>
        <v>3092</v>
      </c>
      <c r="AG85" s="154">
        <f t="shared" si="313"/>
        <v>0</v>
      </c>
      <c r="AH85" s="154">
        <f t="shared" si="313"/>
        <v>0</v>
      </c>
      <c r="AI85" s="154">
        <f>SUM(AI86:AI89)</f>
        <v>1940</v>
      </c>
      <c r="AJ85" s="154">
        <f t="shared" ref="AJ85:AP85" si="314">SUM(AJ86:AJ88)</f>
        <v>0</v>
      </c>
      <c r="AK85" s="154">
        <f t="shared" si="314"/>
        <v>0</v>
      </c>
      <c r="AL85" s="154">
        <f t="shared" si="314"/>
        <v>0</v>
      </c>
      <c r="AM85" s="154">
        <f t="shared" si="314"/>
        <v>0</v>
      </c>
      <c r="AN85" s="154">
        <f t="shared" si="314"/>
        <v>0</v>
      </c>
      <c r="AO85" s="154">
        <f t="shared" si="314"/>
        <v>0</v>
      </c>
      <c r="AP85" s="154">
        <f t="shared" si="314"/>
        <v>0</v>
      </c>
      <c r="AQ85" s="154">
        <f t="shared" ref="AQ85:AR85" si="315">SUM(AQ86:AQ89)</f>
        <v>0</v>
      </c>
      <c r="AR85" s="154">
        <f t="shared" si="315"/>
        <v>2810</v>
      </c>
      <c r="AS85" s="154">
        <f t="shared" ref="AS85:BK85" si="316">SUM(AS86:AS88)</f>
        <v>0</v>
      </c>
      <c r="AT85" s="154">
        <f t="shared" si="316"/>
        <v>0</v>
      </c>
      <c r="AU85" s="154">
        <f t="shared" si="316"/>
        <v>0</v>
      </c>
      <c r="AV85" s="154">
        <f t="shared" si="316"/>
        <v>0</v>
      </c>
      <c r="AW85" s="154">
        <f t="shared" si="316"/>
        <v>0</v>
      </c>
      <c r="AX85" s="154">
        <f t="shared" si="316"/>
        <v>0</v>
      </c>
      <c r="AY85" s="154">
        <f t="shared" si="316"/>
        <v>0</v>
      </c>
      <c r="AZ85" s="154">
        <f t="shared" si="316"/>
        <v>0</v>
      </c>
      <c r="BA85" s="154">
        <f t="shared" si="316"/>
        <v>0</v>
      </c>
      <c r="BB85" s="154">
        <f t="shared" si="316"/>
        <v>0</v>
      </c>
      <c r="BC85" s="154">
        <f t="shared" si="316"/>
        <v>0</v>
      </c>
      <c r="BD85" s="154">
        <f t="shared" si="316"/>
        <v>0</v>
      </c>
      <c r="BE85" s="154">
        <f t="shared" si="316"/>
        <v>0</v>
      </c>
      <c r="BF85" s="154">
        <f t="shared" si="316"/>
        <v>0</v>
      </c>
      <c r="BG85" s="154">
        <f t="shared" si="316"/>
        <v>0</v>
      </c>
      <c r="BH85" s="154">
        <f t="shared" si="316"/>
        <v>0</v>
      </c>
      <c r="BI85" s="154">
        <f t="shared" si="316"/>
        <v>0</v>
      </c>
      <c r="BJ85" s="154">
        <f t="shared" si="316"/>
        <v>0</v>
      </c>
      <c r="BK85" s="154">
        <f t="shared" si="316"/>
        <v>0</v>
      </c>
      <c r="BL85" s="157"/>
      <c r="BM85" s="158"/>
      <c r="BN85" s="158"/>
      <c r="BO85" s="158"/>
      <c r="BP85" s="158"/>
    </row>
    <row r="86" spans="1:68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166"/>
      <c r="G86" s="94">
        <f t="shared" si="298"/>
        <v>0</v>
      </c>
      <c r="H86" s="94">
        <f t="shared" si="299"/>
        <v>0</v>
      </c>
      <c r="I86" s="142"/>
      <c r="J86" s="96"/>
      <c r="K86" s="96"/>
      <c r="L86" s="95"/>
      <c r="M86" s="97">
        <f t="shared" ref="M86:O86" si="317">Y86+AB86+AE86+AH86+AK86+AN86+AQ86+AT86+AW86+AZ86+BC86+BF86</f>
        <v>0</v>
      </c>
      <c r="N86" s="97">
        <f t="shared" si="317"/>
        <v>0</v>
      </c>
      <c r="O86" s="97">
        <f t="shared" si="317"/>
        <v>0</v>
      </c>
      <c r="P86" s="82">
        <f t="shared" si="259"/>
        <v>0</v>
      </c>
      <c r="Q86" s="82">
        <f t="shared" ref="Q86:R86" si="318">IF(BJ86=0,SUM(Z86+AC86+AF86+AI86+AL86+AO86+AR86+AU86+AX86+BA86+BD86+BG86),BJ86)</f>
        <v>0</v>
      </c>
      <c r="R86" s="82">
        <f t="shared" si="318"/>
        <v>0</v>
      </c>
      <c r="S86" s="97">
        <f t="shared" ref="S86:T86" si="319">I86-M86</f>
        <v>0</v>
      </c>
      <c r="T86" s="97">
        <f t="shared" si="319"/>
        <v>0</v>
      </c>
      <c r="U86" s="97">
        <f t="shared" ref="U86:U89" si="320">L86-O86</f>
        <v>0</v>
      </c>
      <c r="V86" s="98" t="e">
        <f t="shared" ref="V86:W86" si="321">M86/I86</f>
        <v>#DIV/0!</v>
      </c>
      <c r="W86" s="98" t="e">
        <f t="shared" si="321"/>
        <v>#DIV/0!</v>
      </c>
      <c r="X86" s="98" t="e">
        <f t="shared" si="101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147"/>
      <c r="G87" s="94">
        <f t="shared" si="298"/>
        <v>0</v>
      </c>
      <c r="H87" s="94">
        <f t="shared" si="299"/>
        <v>0</v>
      </c>
      <c r="I87" s="95"/>
      <c r="J87" s="119"/>
      <c r="K87" s="119"/>
      <c r="L87" s="95"/>
      <c r="M87" s="97">
        <f t="shared" ref="M87:O87" si="322">Y87+AB87+AE87+AH87+AK87+AN87+AQ87+AT87+AW87+AZ87+BC87+BF87</f>
        <v>0</v>
      </c>
      <c r="N87" s="97">
        <f t="shared" si="322"/>
        <v>0</v>
      </c>
      <c r="O87" s="97">
        <f t="shared" si="322"/>
        <v>0</v>
      </c>
      <c r="P87" s="82">
        <f t="shared" si="259"/>
        <v>0</v>
      </c>
      <c r="Q87" s="82">
        <f t="shared" ref="Q87:R87" si="323">IF(BJ87=0,SUM(Z87+AC87+AF87+AI87+AL87+AO87+AR87+AU87+AX87+BA87+BD87+BG87),BJ87)</f>
        <v>0</v>
      </c>
      <c r="R87" s="82">
        <f t="shared" si="323"/>
        <v>0</v>
      </c>
      <c r="S87" s="97">
        <f t="shared" ref="S87:T87" si="324">I87-M87</f>
        <v>0</v>
      </c>
      <c r="T87" s="97">
        <f t="shared" si="324"/>
        <v>0</v>
      </c>
      <c r="U87" s="97">
        <f t="shared" si="320"/>
        <v>0</v>
      </c>
      <c r="V87" s="98" t="e">
        <f t="shared" ref="V87:W87" si="325">M87/I87</f>
        <v>#DIV/0!</v>
      </c>
      <c r="W87" s="98" t="e">
        <f t="shared" si="325"/>
        <v>#DIV/0!</v>
      </c>
      <c r="X87" s="98" t="e">
        <f t="shared" si="101"/>
        <v>#DIV/0!</v>
      </c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103">
        <v>0</v>
      </c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89"/>
      <c r="B88" s="136" t="s">
        <v>324</v>
      </c>
      <c r="C88" s="101" t="s">
        <v>325</v>
      </c>
      <c r="D88" s="144" t="s">
        <v>135</v>
      </c>
      <c r="E88" s="92">
        <v>10000</v>
      </c>
      <c r="F88" s="147"/>
      <c r="G88" s="94">
        <f t="shared" si="298"/>
        <v>0</v>
      </c>
      <c r="H88" s="94">
        <f t="shared" si="299"/>
        <v>0</v>
      </c>
      <c r="I88" s="96"/>
      <c r="J88" s="117">
        <v>73937.67</v>
      </c>
      <c r="K88" s="117"/>
      <c r="L88" s="95"/>
      <c r="M88" s="97">
        <f t="shared" ref="M88:O88" si="326">Y88+AB88+AE88+AH88+AK88+AN88+AQ88+AT88+AW88+AZ88+BC88+BF88</f>
        <v>0</v>
      </c>
      <c r="N88" s="97">
        <f t="shared" si="326"/>
        <v>18743.400000000001</v>
      </c>
      <c r="O88" s="97">
        <f t="shared" si="326"/>
        <v>0</v>
      </c>
      <c r="P88" s="82">
        <f t="shared" si="259"/>
        <v>0</v>
      </c>
      <c r="Q88" s="82">
        <f t="shared" ref="Q88:R88" si="327">IF(BJ88=0,SUM(Z88+AC88+AF88+AI88+AL88+AO88+AR88+AU88+AX88+BA88+BD88+BG88),BJ88)</f>
        <v>18743.400000000001</v>
      </c>
      <c r="R88" s="82">
        <f t="shared" si="327"/>
        <v>0</v>
      </c>
      <c r="S88" s="97">
        <f t="shared" ref="S88:S89" si="328">I88-M88</f>
        <v>0</v>
      </c>
      <c r="T88" s="97">
        <f>J88-K88-N88</f>
        <v>55194.27</v>
      </c>
      <c r="U88" s="97">
        <f t="shared" si="320"/>
        <v>0</v>
      </c>
      <c r="V88" s="98" t="e">
        <f t="shared" ref="V88:W88" si="329">M88/I88</f>
        <v>#DIV/0!</v>
      </c>
      <c r="W88" s="98">
        <f t="shared" si="329"/>
        <v>0.25350271383991413</v>
      </c>
      <c r="X88" s="98" t="e">
        <f t="shared" si="101"/>
        <v>#DIV/0!</v>
      </c>
      <c r="Y88" s="96"/>
      <c r="Z88" s="96">
        <f>363.4+2000+900+1008</f>
        <v>4271.3999999999996</v>
      </c>
      <c r="AA88" s="96"/>
      <c r="AB88" s="96"/>
      <c r="AC88" s="103">
        <f>490+210+2000+3930</f>
        <v>6630</v>
      </c>
      <c r="AD88" s="96"/>
      <c r="AE88" s="96"/>
      <c r="AF88" s="103">
        <f>500+2592</f>
        <v>3092</v>
      </c>
      <c r="AG88" s="96"/>
      <c r="AH88" s="96"/>
      <c r="AI88" s="103">
        <v>1940</v>
      </c>
      <c r="AJ88" s="96"/>
      <c r="AK88" s="96"/>
      <c r="AL88" s="96"/>
      <c r="AM88" s="96"/>
      <c r="AN88" s="103">
        <v>0</v>
      </c>
      <c r="AO88" s="103"/>
      <c r="AP88" s="96"/>
      <c r="AQ88" s="103">
        <v>0</v>
      </c>
      <c r="AR88" s="103">
        <f>2000+810</f>
        <v>2810</v>
      </c>
      <c r="AS88" s="96"/>
      <c r="AT88" s="96"/>
      <c r="AU88" s="96"/>
      <c r="AV88" s="96"/>
      <c r="AW88" s="103">
        <v>0</v>
      </c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147"/>
      <c r="G89" s="94">
        <f t="shared" si="298"/>
        <v>0</v>
      </c>
      <c r="H89" s="94">
        <f t="shared" si="299"/>
        <v>0</v>
      </c>
      <c r="I89" s="126"/>
      <c r="J89" s="126"/>
      <c r="K89" s="117"/>
      <c r="L89" s="95"/>
      <c r="M89" s="196">
        <f t="shared" ref="M89:N89" si="330">Y89+AE89+AH89+AK89+AN89+AQ89+AT89+AW89+AZ89+BC89+BF89</f>
        <v>0</v>
      </c>
      <c r="N89" s="97">
        <f t="shared" si="330"/>
        <v>0</v>
      </c>
      <c r="O89" s="97">
        <f>AA89+AD89+AG89+AJ89+AM89+AP89+AS89+AV89+AY89+BB89+BE89+BH89</f>
        <v>0</v>
      </c>
      <c r="P89" s="82">
        <f t="shared" ref="P89:Q89" si="331">IF(BI89=0,SUM(Y89+AE89+AH89+AK89+AN89+AQ89+AT89+AW89+AZ89+BC89+BF89),BI89)</f>
        <v>0</v>
      </c>
      <c r="Q89" s="82">
        <f t="shared" si="331"/>
        <v>0</v>
      </c>
      <c r="R89" s="82">
        <f>IF(BK89=0,SUM(AA89+AD89+AG89+AJ89+AM89+AP89+AS89+AV89+AY89+BB89+BE89+BH89),BK89)</f>
        <v>0</v>
      </c>
      <c r="S89" s="97">
        <f t="shared" si="328"/>
        <v>0</v>
      </c>
      <c r="T89" s="97">
        <f>J89-N89</f>
        <v>0</v>
      </c>
      <c r="U89" s="97">
        <f t="shared" si="320"/>
        <v>0</v>
      </c>
      <c r="V89" s="98" t="e">
        <f t="shared" ref="V89:W89" si="332">M89/I40</f>
        <v>#DIV/0!</v>
      </c>
      <c r="W89" s="98">
        <f t="shared" si="332"/>
        <v>0</v>
      </c>
      <c r="X89" s="98" t="e">
        <f t="shared" si="101"/>
        <v>#DIV/0!</v>
      </c>
      <c r="Y89" s="96"/>
      <c r="Z89" s="96"/>
      <c r="AA89" s="96"/>
      <c r="AB89" s="126"/>
      <c r="AC89" s="126"/>
      <c r="AD89" s="96"/>
      <c r="AE89" s="96"/>
      <c r="AF89" s="96"/>
      <c r="AG89" s="96"/>
      <c r="AH89" s="96"/>
      <c r="AI89" s="103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9"/>
      <c r="BM89" s="100"/>
      <c r="BN89" s="100"/>
      <c r="BO89" s="100"/>
      <c r="BP89" s="100"/>
    </row>
    <row r="90" spans="1:68" ht="15.75" customHeight="1">
      <c r="A90" s="151"/>
      <c r="B90" s="151"/>
      <c r="C90" s="191"/>
      <c r="D90" s="153" t="s">
        <v>327</v>
      </c>
      <c r="E90" s="154">
        <f t="shared" ref="E90:F90" si="333">SUM(E91:E96)</f>
        <v>69491.34</v>
      </c>
      <c r="F90" s="154">
        <f t="shared" si="333"/>
        <v>148024.93</v>
      </c>
      <c r="G90" s="192">
        <f t="shared" si="298"/>
        <v>0.12152593402285811</v>
      </c>
      <c r="H90" s="192">
        <f t="shared" si="299"/>
        <v>0.1134242050880009</v>
      </c>
      <c r="I90" s="154">
        <f t="shared" ref="I90:O90" si="334">SUM(I92:I96)</f>
        <v>8445</v>
      </c>
      <c r="J90" s="154">
        <f t="shared" si="334"/>
        <v>0</v>
      </c>
      <c r="K90" s="154">
        <f t="shared" si="334"/>
        <v>0</v>
      </c>
      <c r="L90" s="154">
        <f t="shared" si="334"/>
        <v>125763.06</v>
      </c>
      <c r="M90" s="154">
        <f t="shared" si="334"/>
        <v>7882</v>
      </c>
      <c r="N90" s="154">
        <f t="shared" si="334"/>
        <v>0</v>
      </c>
      <c r="O90" s="154">
        <f t="shared" si="334"/>
        <v>0</v>
      </c>
      <c r="P90" s="81">
        <f t="shared" ref="P90:R90" si="335">IF(BI90=0,SUM(Y90+AB90+AE90+AH90+AK90+AN90+AQ90+AT90+AW90+AZ90+BC90+BF90),BI90)</f>
        <v>8445</v>
      </c>
      <c r="Q90" s="81">
        <f t="shared" si="335"/>
        <v>0</v>
      </c>
      <c r="R90" s="81">
        <f t="shared" si="335"/>
        <v>0</v>
      </c>
      <c r="S90" s="154">
        <f t="shared" ref="S90:U90" si="336">SUM(S92:S96)</f>
        <v>563</v>
      </c>
      <c r="T90" s="154">
        <f t="shared" si="336"/>
        <v>0</v>
      </c>
      <c r="U90" s="154">
        <f t="shared" si="336"/>
        <v>125763.06</v>
      </c>
      <c r="V90" s="193">
        <f t="shared" ref="V90:W90" si="337">M90/I90</f>
        <v>0.93333333333333335</v>
      </c>
      <c r="W90" s="193" t="e">
        <f t="shared" si="337"/>
        <v>#DIV/0!</v>
      </c>
      <c r="X90" s="193">
        <f t="shared" si="101"/>
        <v>0</v>
      </c>
      <c r="Y90" s="154">
        <f t="shared" ref="Y90:BK90" si="338">SUM(Y92:Y96)</f>
        <v>0</v>
      </c>
      <c r="Z90" s="154">
        <f t="shared" si="338"/>
        <v>0</v>
      </c>
      <c r="AA90" s="154">
        <f t="shared" si="338"/>
        <v>0</v>
      </c>
      <c r="AB90" s="154">
        <f t="shared" si="338"/>
        <v>0</v>
      </c>
      <c r="AC90" s="154">
        <f t="shared" si="338"/>
        <v>0</v>
      </c>
      <c r="AD90" s="154">
        <f t="shared" si="338"/>
        <v>0</v>
      </c>
      <c r="AE90" s="154">
        <f t="shared" si="338"/>
        <v>0</v>
      </c>
      <c r="AF90" s="154">
        <f t="shared" si="338"/>
        <v>0</v>
      </c>
      <c r="AG90" s="154">
        <f t="shared" si="338"/>
        <v>0</v>
      </c>
      <c r="AH90" s="154">
        <f t="shared" si="338"/>
        <v>0</v>
      </c>
      <c r="AI90" s="154">
        <f t="shared" si="338"/>
        <v>0</v>
      </c>
      <c r="AJ90" s="154">
        <f t="shared" si="338"/>
        <v>0</v>
      </c>
      <c r="AK90" s="154">
        <f t="shared" si="338"/>
        <v>0</v>
      </c>
      <c r="AL90" s="154">
        <f t="shared" si="338"/>
        <v>0</v>
      </c>
      <c r="AM90" s="154">
        <f t="shared" si="338"/>
        <v>0</v>
      </c>
      <c r="AN90" s="154">
        <f t="shared" si="338"/>
        <v>2815</v>
      </c>
      <c r="AO90" s="154">
        <f t="shared" si="338"/>
        <v>0</v>
      </c>
      <c r="AP90" s="154">
        <f t="shared" si="338"/>
        <v>0</v>
      </c>
      <c r="AQ90" s="154">
        <f t="shared" si="338"/>
        <v>0</v>
      </c>
      <c r="AR90" s="154">
        <f t="shared" si="338"/>
        <v>0</v>
      </c>
      <c r="AS90" s="154">
        <f t="shared" si="338"/>
        <v>0</v>
      </c>
      <c r="AT90" s="154">
        <f t="shared" si="338"/>
        <v>5630</v>
      </c>
      <c r="AU90" s="154">
        <f t="shared" si="338"/>
        <v>0</v>
      </c>
      <c r="AV90" s="154">
        <f t="shared" si="338"/>
        <v>0</v>
      </c>
      <c r="AW90" s="154">
        <f t="shared" si="338"/>
        <v>0</v>
      </c>
      <c r="AX90" s="154">
        <f t="shared" si="338"/>
        <v>0</v>
      </c>
      <c r="AY90" s="154">
        <f t="shared" si="338"/>
        <v>0</v>
      </c>
      <c r="AZ90" s="154">
        <f t="shared" si="338"/>
        <v>0</v>
      </c>
      <c r="BA90" s="154">
        <f t="shared" si="338"/>
        <v>0</v>
      </c>
      <c r="BB90" s="154">
        <f t="shared" si="338"/>
        <v>0</v>
      </c>
      <c r="BC90" s="154">
        <f t="shared" si="338"/>
        <v>0</v>
      </c>
      <c r="BD90" s="154">
        <f t="shared" si="338"/>
        <v>0</v>
      </c>
      <c r="BE90" s="154">
        <f t="shared" si="338"/>
        <v>0</v>
      </c>
      <c r="BF90" s="154">
        <f t="shared" si="338"/>
        <v>0</v>
      </c>
      <c r="BG90" s="154">
        <f t="shared" si="338"/>
        <v>0</v>
      </c>
      <c r="BH90" s="154">
        <f t="shared" si="338"/>
        <v>0</v>
      </c>
      <c r="BI90" s="154">
        <f t="shared" si="338"/>
        <v>0</v>
      </c>
      <c r="BJ90" s="154">
        <f t="shared" si="338"/>
        <v>0</v>
      </c>
      <c r="BK90" s="154">
        <f t="shared" si="338"/>
        <v>0</v>
      </c>
      <c r="BL90" s="157"/>
      <c r="BM90" s="158"/>
      <c r="BN90" s="158"/>
      <c r="BO90" s="158"/>
      <c r="BP90" s="158"/>
    </row>
    <row r="91" spans="1:68" ht="15.75" customHeight="1">
      <c r="A91" s="168"/>
      <c r="B91" s="168"/>
      <c r="C91" s="169"/>
      <c r="D91" s="170" t="s">
        <v>328</v>
      </c>
      <c r="E91" s="171">
        <v>59491.34</v>
      </c>
      <c r="F91" s="172"/>
      <c r="G91" s="94"/>
      <c r="H91" s="94"/>
      <c r="I91" s="174"/>
      <c r="J91" s="174"/>
      <c r="K91" s="174"/>
      <c r="L91" s="174"/>
      <c r="M91" s="175"/>
      <c r="N91" s="175"/>
      <c r="O91" s="175"/>
      <c r="P91" s="82"/>
      <c r="Q91" s="82"/>
      <c r="R91" s="82"/>
      <c r="S91" s="175"/>
      <c r="T91" s="175"/>
      <c r="U91" s="175"/>
      <c r="V91" s="176"/>
      <c r="W91" s="176"/>
      <c r="X91" s="176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8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375" t="s">
        <v>793</v>
      </c>
      <c r="B92" s="197"/>
      <c r="C92" s="198" t="s">
        <v>165</v>
      </c>
      <c r="D92" s="199" t="s">
        <v>794</v>
      </c>
      <c r="E92" s="200">
        <v>10000</v>
      </c>
      <c r="F92" s="383">
        <v>126982.98</v>
      </c>
      <c r="G92" s="94">
        <f>I92/E92</f>
        <v>0.84450000000000003</v>
      </c>
      <c r="H92" s="94">
        <f>M92/E92</f>
        <v>0.78820000000000001</v>
      </c>
      <c r="I92" s="366">
        <f>563+2252+5630</f>
        <v>8445</v>
      </c>
      <c r="J92" s="174"/>
      <c r="K92" s="174"/>
      <c r="L92" s="384">
        <f>2815+40650.06+13500+32400+27500+8898</f>
        <v>125763.06</v>
      </c>
      <c r="M92" s="175">
        <f t="shared" ref="M92:O92" si="339">Y92+AB92+AE92+AH92+AK92+AN92+AQ92+AT92+AW92+AZ92+BC92+BF92</f>
        <v>7882</v>
      </c>
      <c r="N92" s="175">
        <f t="shared" si="339"/>
        <v>0</v>
      </c>
      <c r="O92" s="175">
        <f t="shared" si="339"/>
        <v>0</v>
      </c>
      <c r="P92" s="82">
        <f t="shared" ref="P92:R92" si="340">IF(BI92=0,SUM(Y92+AB92+AE92+AH92+AK92+AN92+AQ92+AT92+AW92+AZ92+BC92+BF92),BI92)</f>
        <v>7882</v>
      </c>
      <c r="Q92" s="82">
        <f t="shared" si="340"/>
        <v>0</v>
      </c>
      <c r="R92" s="82">
        <f t="shared" si="340"/>
        <v>0</v>
      </c>
      <c r="S92" s="175">
        <f t="shared" ref="S92:T92" si="341">I92-M92</f>
        <v>563</v>
      </c>
      <c r="T92" s="175">
        <f t="shared" si="341"/>
        <v>0</v>
      </c>
      <c r="U92" s="175">
        <f>L92-O92</f>
        <v>125763.06</v>
      </c>
      <c r="V92" s="176">
        <f t="shared" ref="V92:W92" si="342">M92/I92</f>
        <v>0.93333333333333335</v>
      </c>
      <c r="W92" s="176" t="e">
        <f t="shared" si="342"/>
        <v>#DIV/0!</v>
      </c>
      <c r="X92" s="176">
        <f>O92/L92</f>
        <v>0</v>
      </c>
      <c r="Y92" s="172"/>
      <c r="Z92" s="172"/>
      <c r="AA92" s="172"/>
      <c r="AB92" s="172"/>
      <c r="AC92" s="172"/>
      <c r="AD92" s="172"/>
      <c r="AE92" s="172"/>
      <c r="AF92" s="171">
        <v>0</v>
      </c>
      <c r="AG92" s="172"/>
      <c r="AH92" s="172"/>
      <c r="AI92" s="171">
        <v>0</v>
      </c>
      <c r="AJ92" s="172"/>
      <c r="AK92" s="172"/>
      <c r="AL92" s="171">
        <v>0</v>
      </c>
      <c r="AM92" s="172"/>
      <c r="AN92" s="178">
        <f>2252</f>
        <v>2252</v>
      </c>
      <c r="AO92" s="201">
        <v>0</v>
      </c>
      <c r="AP92" s="178"/>
      <c r="AQ92" s="178"/>
      <c r="AR92" s="178"/>
      <c r="AS92" s="178"/>
      <c r="AT92" s="201">
        <v>5630</v>
      </c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80"/>
      <c r="BM92" s="181"/>
      <c r="BN92" s="181"/>
      <c r="BO92" s="181"/>
      <c r="BP92" s="181"/>
    </row>
    <row r="93" spans="1:68" ht="15.75" customHeight="1">
      <c r="A93" s="136"/>
      <c r="B93" s="136"/>
      <c r="C93" s="90" t="s">
        <v>165</v>
      </c>
      <c r="D93" s="122" t="s">
        <v>330</v>
      </c>
      <c r="E93" s="147"/>
      <c r="F93" s="385"/>
      <c r="G93" s="94"/>
      <c r="H93" s="94"/>
      <c r="I93" s="202"/>
      <c r="J93" s="203"/>
      <c r="K93" s="203"/>
      <c r="L93" s="145"/>
      <c r="M93" s="97"/>
      <c r="N93" s="97"/>
      <c r="O93" s="97"/>
      <c r="P93" s="82">
        <f t="shared" ref="P93:Q93" si="343">IF(BI93=0,SUM(Y93+AB93+AE93+AH93+AK93+AN93+AQ93+AT93+AW93+AZ93+BC93+BF93),BI93)</f>
        <v>0</v>
      </c>
      <c r="Q93" s="82">
        <f t="shared" si="343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103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136"/>
      <c r="C94" s="90" t="s">
        <v>240</v>
      </c>
      <c r="D94" s="122" t="s">
        <v>331</v>
      </c>
      <c r="E94" s="147"/>
      <c r="F94" s="195">
        <v>21041.95</v>
      </c>
      <c r="G94" s="94"/>
      <c r="H94" s="94"/>
      <c r="I94" s="368">
        <v>0</v>
      </c>
      <c r="J94" s="203"/>
      <c r="K94" s="203"/>
      <c r="L94" s="204"/>
      <c r="M94" s="97"/>
      <c r="N94" s="97"/>
      <c r="O94" s="97"/>
      <c r="P94" s="82">
        <f t="shared" ref="P94:Q94" si="344">IF(BI94=0,SUM(Y94+AB94+AE94+AH94+AK94+AN94+AQ94+AT94+AW94+AZ94+BC94+BF94),BI94)</f>
        <v>563</v>
      </c>
      <c r="Q94" s="82">
        <f t="shared" si="344"/>
        <v>0</v>
      </c>
      <c r="R94" s="82"/>
      <c r="S94" s="97"/>
      <c r="T94" s="97"/>
      <c r="U94" s="97"/>
      <c r="V94" s="98"/>
      <c r="W94" s="98"/>
      <c r="X94" s="98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103">
        <f>563</f>
        <v>563</v>
      </c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332</v>
      </c>
      <c r="D95" s="91" t="s">
        <v>333</v>
      </c>
      <c r="E95" s="166"/>
      <c r="F95" s="166"/>
      <c r="G95" s="94" t="e">
        <f t="shared" ref="G95:G117" si="345">I95/E95</f>
        <v>#DIV/0!</v>
      </c>
      <c r="H95" s="94" t="e">
        <f t="shared" ref="H95:H117" si="346">M95/E95</f>
        <v>#DIV/0!</v>
      </c>
      <c r="I95" s="96"/>
      <c r="J95" s="96"/>
      <c r="K95" s="96"/>
      <c r="L95" s="96"/>
      <c r="M95" s="97">
        <f t="shared" ref="M95:O95" si="347">Y95+AB95+AE95+AH95+AK95+AN95+AQ95+AT95+AW95+AZ95+BC95+BF95</f>
        <v>0</v>
      </c>
      <c r="N95" s="97">
        <f t="shared" si="347"/>
        <v>0</v>
      </c>
      <c r="O95" s="97">
        <f t="shared" si="347"/>
        <v>0</v>
      </c>
      <c r="P95" s="82">
        <f t="shared" ref="P95:R95" si="348">IF(BI95=0,SUM(Y95+AB95+AE95+AH95+AK95+AN95+AQ95+AT95+AW95+AZ95+BC95+BF95),BI95)</f>
        <v>0</v>
      </c>
      <c r="Q95" s="82">
        <f t="shared" si="348"/>
        <v>0</v>
      </c>
      <c r="R95" s="82">
        <f t="shared" si="348"/>
        <v>0</v>
      </c>
      <c r="S95" s="97">
        <f t="shared" ref="S95:T95" si="349">I95-M95</f>
        <v>0</v>
      </c>
      <c r="T95" s="97">
        <f t="shared" si="349"/>
        <v>0</v>
      </c>
      <c r="U95" s="97">
        <f t="shared" ref="U95:U96" si="350">L95-O95</f>
        <v>0</v>
      </c>
      <c r="V95" s="98" t="e">
        <f t="shared" ref="V95:W95" si="351">M95/I95</f>
        <v>#DIV/0!</v>
      </c>
      <c r="W95" s="98" t="e">
        <f t="shared" si="351"/>
        <v>#DIV/0!</v>
      </c>
      <c r="X95" s="98" t="e">
        <f t="shared" ref="X95:X103" si="352">O95/L95</f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9"/>
      <c r="B96" s="89"/>
      <c r="C96" s="90" t="s">
        <v>161</v>
      </c>
      <c r="D96" s="91" t="s">
        <v>317</v>
      </c>
      <c r="E96" s="166"/>
      <c r="F96" s="166"/>
      <c r="G96" s="94" t="e">
        <f t="shared" si="345"/>
        <v>#DIV/0!</v>
      </c>
      <c r="H96" s="94" t="e">
        <f t="shared" si="346"/>
        <v>#DIV/0!</v>
      </c>
      <c r="I96" s="96"/>
      <c r="J96" s="96"/>
      <c r="K96" s="96"/>
      <c r="L96" s="96"/>
      <c r="M96" s="97">
        <f t="shared" ref="M96:O96" si="353">Y96+AB96+AE96+AH96+AK96+AN96+AQ96+AT96+AW96+AZ96+BC96+BF96</f>
        <v>0</v>
      </c>
      <c r="N96" s="97">
        <f t="shared" si="353"/>
        <v>0</v>
      </c>
      <c r="O96" s="97">
        <f t="shared" si="353"/>
        <v>0</v>
      </c>
      <c r="P96" s="82">
        <f t="shared" ref="P96:R96" si="354">IF(BI96=0,SUM(Y96+AB96+AE96+AH96+AK96+AN96+AQ96+AT96+AW96+AZ96+BC96+BF96),BI96)</f>
        <v>0</v>
      </c>
      <c r="Q96" s="82">
        <f t="shared" si="354"/>
        <v>0</v>
      </c>
      <c r="R96" s="82">
        <f t="shared" si="354"/>
        <v>0</v>
      </c>
      <c r="S96" s="97">
        <f t="shared" ref="S96:T96" si="355">I96-M96</f>
        <v>0</v>
      </c>
      <c r="T96" s="97">
        <f t="shared" si="355"/>
        <v>0</v>
      </c>
      <c r="U96" s="97">
        <f t="shared" si="350"/>
        <v>0</v>
      </c>
      <c r="V96" s="98" t="e">
        <f t="shared" ref="V96:W96" si="356">M96/I96</f>
        <v>#DIV/0!</v>
      </c>
      <c r="W96" s="98" t="e">
        <f t="shared" si="356"/>
        <v>#DIV/0!</v>
      </c>
      <c r="X96" s="98" t="e">
        <f t="shared" si="352"/>
        <v>#DIV/0!</v>
      </c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9"/>
      <c r="BM96" s="100"/>
      <c r="BN96" s="100"/>
      <c r="BO96" s="100"/>
      <c r="BP96" s="100"/>
    </row>
    <row r="97" spans="1:68" ht="15.75" customHeight="1">
      <c r="A97" s="86"/>
      <c r="B97" s="86"/>
      <c r="C97" s="86" t="s">
        <v>334</v>
      </c>
      <c r="D97" s="86"/>
      <c r="E97" s="87">
        <f t="shared" ref="E97:F97" si="357">E98+E115+E120+E146+E151+E155</f>
        <v>273274.02</v>
      </c>
      <c r="F97" s="87">
        <f t="shared" si="357"/>
        <v>1188871.01</v>
      </c>
      <c r="G97" s="107">
        <f t="shared" si="345"/>
        <v>0.84812969048429843</v>
      </c>
      <c r="H97" s="107">
        <f t="shared" si="346"/>
        <v>0.76899626243285035</v>
      </c>
      <c r="I97" s="87">
        <f>I98+I115+I120</f>
        <v>231771.81</v>
      </c>
      <c r="J97" s="87">
        <f t="shared" ref="J97:O97" si="358">J98+J115+J120+J146+J151+J155</f>
        <v>751131.49</v>
      </c>
      <c r="K97" s="87">
        <f t="shared" si="358"/>
        <v>14193.02</v>
      </c>
      <c r="L97" s="87">
        <f t="shared" si="358"/>
        <v>475263.85999999993</v>
      </c>
      <c r="M97" s="87">
        <f t="shared" si="358"/>
        <v>210146.7</v>
      </c>
      <c r="N97" s="87">
        <f t="shared" si="358"/>
        <v>650456.43999999994</v>
      </c>
      <c r="O97" s="87">
        <f t="shared" si="358"/>
        <v>42240</v>
      </c>
      <c r="P97" s="87">
        <f t="shared" ref="P97:R97" si="359">IF(BI97=0,SUM(Y97+AB97+AE97+AH97+AK97+AN97+AQ97+AT97+AW97+AZ97+BC97+BF97),BI97)</f>
        <v>210146.7</v>
      </c>
      <c r="Q97" s="87">
        <f t="shared" si="359"/>
        <v>650456.44000000006</v>
      </c>
      <c r="R97" s="87">
        <f t="shared" si="359"/>
        <v>42240</v>
      </c>
      <c r="S97" s="87">
        <f t="shared" ref="S97:U97" si="360">S98+S115+S120+S146+S151+S155</f>
        <v>381982.43</v>
      </c>
      <c r="T97" s="87">
        <f t="shared" si="360"/>
        <v>86482.03</v>
      </c>
      <c r="U97" s="87">
        <f t="shared" si="360"/>
        <v>433023.85999999993</v>
      </c>
      <c r="V97" s="88">
        <f t="shared" ref="V97:W97" si="361">M97/I97</f>
        <v>0.90669654778119912</v>
      </c>
      <c r="W97" s="88">
        <f t="shared" si="361"/>
        <v>0.86596880660668341</v>
      </c>
      <c r="X97" s="88">
        <f t="shared" si="352"/>
        <v>8.8876945114236133E-2</v>
      </c>
      <c r="Y97" s="87">
        <f t="shared" ref="Y97:BK97" si="362">Y98+Y115+Y120+Y146+Y151+Y155</f>
        <v>0</v>
      </c>
      <c r="Z97" s="87">
        <f t="shared" si="362"/>
        <v>53060</v>
      </c>
      <c r="AA97" s="87">
        <f t="shared" si="362"/>
        <v>0</v>
      </c>
      <c r="AB97" s="87">
        <f t="shared" si="362"/>
        <v>0</v>
      </c>
      <c r="AC97" s="87">
        <f t="shared" si="362"/>
        <v>61206.74</v>
      </c>
      <c r="AD97" s="87">
        <f t="shared" si="362"/>
        <v>0</v>
      </c>
      <c r="AE97" s="87">
        <f t="shared" si="362"/>
        <v>0</v>
      </c>
      <c r="AF97" s="87">
        <f t="shared" si="362"/>
        <v>63661.509999999995</v>
      </c>
      <c r="AG97" s="87">
        <f t="shared" si="362"/>
        <v>0</v>
      </c>
      <c r="AH97" s="87">
        <f t="shared" si="362"/>
        <v>0</v>
      </c>
      <c r="AI97" s="87">
        <f t="shared" si="362"/>
        <v>166468.45000000001</v>
      </c>
      <c r="AJ97" s="87">
        <f t="shared" si="362"/>
        <v>0</v>
      </c>
      <c r="AK97" s="87">
        <f t="shared" si="362"/>
        <v>2400</v>
      </c>
      <c r="AL97" s="87">
        <f t="shared" si="362"/>
        <v>54407.4</v>
      </c>
      <c r="AM97" s="87">
        <f t="shared" si="362"/>
        <v>18000</v>
      </c>
      <c r="AN97" s="87">
        <f t="shared" si="362"/>
        <v>38792.769999999997</v>
      </c>
      <c r="AO97" s="87">
        <f t="shared" si="362"/>
        <v>104382.97</v>
      </c>
      <c r="AP97" s="87">
        <f t="shared" si="362"/>
        <v>6000</v>
      </c>
      <c r="AQ97" s="87">
        <f t="shared" si="362"/>
        <v>115721.55</v>
      </c>
      <c r="AR97" s="87">
        <f t="shared" si="362"/>
        <v>16425.93</v>
      </c>
      <c r="AS97" s="87">
        <f t="shared" si="362"/>
        <v>6000</v>
      </c>
      <c r="AT97" s="87">
        <f t="shared" si="362"/>
        <v>53232.380000000005</v>
      </c>
      <c r="AU97" s="87">
        <f t="shared" si="362"/>
        <v>130843.44</v>
      </c>
      <c r="AV97" s="87">
        <f t="shared" si="362"/>
        <v>12240</v>
      </c>
      <c r="AW97" s="87">
        <f t="shared" si="362"/>
        <v>0</v>
      </c>
      <c r="AX97" s="87">
        <f t="shared" si="362"/>
        <v>0</v>
      </c>
      <c r="AY97" s="87">
        <f t="shared" si="362"/>
        <v>0</v>
      </c>
      <c r="AZ97" s="87">
        <f t="shared" si="362"/>
        <v>0</v>
      </c>
      <c r="BA97" s="87">
        <f t="shared" si="362"/>
        <v>0</v>
      </c>
      <c r="BB97" s="87">
        <f t="shared" si="362"/>
        <v>0</v>
      </c>
      <c r="BC97" s="87">
        <f t="shared" si="362"/>
        <v>0</v>
      </c>
      <c r="BD97" s="87">
        <f t="shared" si="362"/>
        <v>0</v>
      </c>
      <c r="BE97" s="87">
        <f t="shared" si="362"/>
        <v>0</v>
      </c>
      <c r="BF97" s="87">
        <f t="shared" si="362"/>
        <v>0</v>
      </c>
      <c r="BG97" s="87">
        <f t="shared" si="362"/>
        <v>0</v>
      </c>
      <c r="BH97" s="87">
        <f t="shared" si="362"/>
        <v>0</v>
      </c>
      <c r="BI97" s="87">
        <f t="shared" si="362"/>
        <v>0</v>
      </c>
      <c r="BJ97" s="87">
        <f t="shared" si="362"/>
        <v>0</v>
      </c>
      <c r="BK97" s="87">
        <f t="shared" si="362"/>
        <v>0</v>
      </c>
      <c r="BL97" s="149"/>
      <c r="BM97" s="150"/>
      <c r="BN97" s="150"/>
      <c r="BO97" s="150"/>
      <c r="BP97" s="150"/>
    </row>
    <row r="98" spans="1:68" ht="15.75" customHeight="1">
      <c r="A98" s="151"/>
      <c r="B98" s="151"/>
      <c r="C98" s="152"/>
      <c r="D98" s="153" t="s">
        <v>302</v>
      </c>
      <c r="E98" s="154">
        <f t="shared" ref="E98:F98" si="363">SUM(E99:E114)</f>
        <v>97800</v>
      </c>
      <c r="F98" s="154">
        <f t="shared" si="363"/>
        <v>10000</v>
      </c>
      <c r="G98" s="192">
        <f t="shared" si="345"/>
        <v>0.86464212678936603</v>
      </c>
      <c r="H98" s="192">
        <f t="shared" si="346"/>
        <v>0.21328629856850717</v>
      </c>
      <c r="I98" s="154">
        <f t="shared" ref="I98:O98" si="364">SUM(I99:I114)</f>
        <v>84562</v>
      </c>
      <c r="J98" s="154">
        <f t="shared" si="364"/>
        <v>75763.899999999994</v>
      </c>
      <c r="K98" s="154">
        <f t="shared" si="364"/>
        <v>0</v>
      </c>
      <c r="L98" s="154">
        <f t="shared" si="364"/>
        <v>0</v>
      </c>
      <c r="M98" s="154">
        <f t="shared" si="364"/>
        <v>20859.400000000001</v>
      </c>
      <c r="N98" s="154">
        <f t="shared" si="364"/>
        <v>72483.239999999991</v>
      </c>
      <c r="O98" s="154">
        <f t="shared" si="364"/>
        <v>0</v>
      </c>
      <c r="P98" s="81">
        <f t="shared" ref="P98:R98" si="365">IF(BI98=0,SUM(Y98+AB98+AE98+AH98+AK98+AN98+AQ98+AT98+AW98+AZ98+BC98+BF98),BI98)</f>
        <v>20859.400000000001</v>
      </c>
      <c r="Q98" s="81">
        <f t="shared" si="365"/>
        <v>72483.240000000005</v>
      </c>
      <c r="R98" s="81">
        <f t="shared" si="365"/>
        <v>0</v>
      </c>
      <c r="S98" s="154">
        <f t="shared" ref="S98:U98" si="366">SUM(S99:S114)</f>
        <v>63702.6</v>
      </c>
      <c r="T98" s="154">
        <f t="shared" si="366"/>
        <v>3280.6600000000035</v>
      </c>
      <c r="U98" s="154">
        <f t="shared" si="366"/>
        <v>0</v>
      </c>
      <c r="V98" s="193">
        <f t="shared" ref="V98:W98" si="367">M98/I98</f>
        <v>0.24667581183037299</v>
      </c>
      <c r="W98" s="193">
        <f t="shared" si="367"/>
        <v>0.95669890277559622</v>
      </c>
      <c r="X98" s="193" t="e">
        <f t="shared" si="352"/>
        <v>#DIV/0!</v>
      </c>
      <c r="Y98" s="154">
        <f t="shared" ref="Y98:BK98" si="368">SUM(Y99:Y114)</f>
        <v>0</v>
      </c>
      <c r="Z98" s="154">
        <f t="shared" si="368"/>
        <v>52560</v>
      </c>
      <c r="AA98" s="154">
        <f t="shared" si="368"/>
        <v>0</v>
      </c>
      <c r="AB98" s="154">
        <f t="shared" si="368"/>
        <v>0</v>
      </c>
      <c r="AC98" s="154">
        <f t="shared" si="368"/>
        <v>0</v>
      </c>
      <c r="AD98" s="154">
        <f t="shared" si="368"/>
        <v>0</v>
      </c>
      <c r="AE98" s="154">
        <f t="shared" si="368"/>
        <v>0</v>
      </c>
      <c r="AF98" s="154">
        <f t="shared" si="368"/>
        <v>0</v>
      </c>
      <c r="AG98" s="154">
        <f t="shared" si="368"/>
        <v>0</v>
      </c>
      <c r="AH98" s="154">
        <f t="shared" si="368"/>
        <v>0</v>
      </c>
      <c r="AI98" s="154">
        <f t="shared" si="368"/>
        <v>0</v>
      </c>
      <c r="AJ98" s="154">
        <f t="shared" si="368"/>
        <v>0</v>
      </c>
      <c r="AK98" s="154">
        <f t="shared" si="368"/>
        <v>0</v>
      </c>
      <c r="AL98" s="154">
        <f t="shared" si="368"/>
        <v>3207</v>
      </c>
      <c r="AM98" s="154">
        <f t="shared" si="368"/>
        <v>0</v>
      </c>
      <c r="AN98" s="154">
        <f t="shared" si="368"/>
        <v>6922.2</v>
      </c>
      <c r="AO98" s="154">
        <f t="shared" si="368"/>
        <v>0</v>
      </c>
      <c r="AP98" s="154">
        <f t="shared" si="368"/>
        <v>0</v>
      </c>
      <c r="AQ98" s="154">
        <f t="shared" si="368"/>
        <v>7506</v>
      </c>
      <c r="AR98" s="154">
        <f t="shared" si="368"/>
        <v>1644.36</v>
      </c>
      <c r="AS98" s="154">
        <f t="shared" si="368"/>
        <v>0</v>
      </c>
      <c r="AT98" s="154">
        <f t="shared" si="368"/>
        <v>6431.2</v>
      </c>
      <c r="AU98" s="154">
        <f t="shared" si="368"/>
        <v>15071.88</v>
      </c>
      <c r="AV98" s="154">
        <f t="shared" si="368"/>
        <v>0</v>
      </c>
      <c r="AW98" s="154">
        <f t="shared" si="368"/>
        <v>0</v>
      </c>
      <c r="AX98" s="154">
        <f t="shared" si="368"/>
        <v>0</v>
      </c>
      <c r="AY98" s="154">
        <f t="shared" si="368"/>
        <v>0</v>
      </c>
      <c r="AZ98" s="154">
        <f t="shared" si="368"/>
        <v>0</v>
      </c>
      <c r="BA98" s="154">
        <f t="shared" si="368"/>
        <v>0</v>
      </c>
      <c r="BB98" s="154">
        <f t="shared" si="368"/>
        <v>0</v>
      </c>
      <c r="BC98" s="154">
        <f t="shared" si="368"/>
        <v>0</v>
      </c>
      <c r="BD98" s="154">
        <f t="shared" si="368"/>
        <v>0</v>
      </c>
      <c r="BE98" s="154">
        <f t="shared" si="368"/>
        <v>0</v>
      </c>
      <c r="BF98" s="154">
        <f t="shared" si="368"/>
        <v>0</v>
      </c>
      <c r="BG98" s="154">
        <f t="shared" si="368"/>
        <v>0</v>
      </c>
      <c r="BH98" s="154">
        <f t="shared" si="368"/>
        <v>0</v>
      </c>
      <c r="BI98" s="154">
        <f t="shared" si="368"/>
        <v>0</v>
      </c>
      <c r="BJ98" s="154">
        <f t="shared" si="368"/>
        <v>0</v>
      </c>
      <c r="BK98" s="154">
        <f t="shared" si="368"/>
        <v>0</v>
      </c>
      <c r="BL98" s="157"/>
      <c r="BM98" s="158"/>
      <c r="BN98" s="158"/>
      <c r="BO98" s="158"/>
      <c r="BP98" s="158"/>
    </row>
    <row r="99" spans="1:68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166"/>
      <c r="G99" s="94">
        <f t="shared" si="345"/>
        <v>1</v>
      </c>
      <c r="H99" s="94">
        <f t="shared" si="346"/>
        <v>0</v>
      </c>
      <c r="I99" s="96">
        <v>4500</v>
      </c>
      <c r="J99" s="96"/>
      <c r="K99" s="96"/>
      <c r="L99" s="96"/>
      <c r="M99" s="97">
        <f t="shared" ref="M99:O99" si="369">Y99+AB99+AE99+AH99+AK99+AN99+AQ99+AT99+AW99+AZ99+BC99+BF99</f>
        <v>0</v>
      </c>
      <c r="N99" s="97">
        <f t="shared" si="369"/>
        <v>0</v>
      </c>
      <c r="O99" s="97">
        <f t="shared" si="369"/>
        <v>0</v>
      </c>
      <c r="P99" s="97">
        <f t="shared" ref="P99:R99" si="370">IF(BI99=0,SUM(Y99+AB99+AE99+AH99+AK99+AN99+AQ99+AT99+AW99+AZ99+BC99+BF99),BI99)</f>
        <v>0</v>
      </c>
      <c r="Q99" s="97">
        <f t="shared" si="370"/>
        <v>0</v>
      </c>
      <c r="R99" s="97">
        <f t="shared" si="370"/>
        <v>0</v>
      </c>
      <c r="S99" s="97">
        <f t="shared" ref="S99:T99" si="371">I99-M99</f>
        <v>4500</v>
      </c>
      <c r="T99" s="97">
        <f t="shared" si="371"/>
        <v>0</v>
      </c>
      <c r="U99" s="97">
        <f t="shared" ref="U99:U114" si="372">L99-O99</f>
        <v>0</v>
      </c>
      <c r="V99" s="98">
        <f t="shared" ref="V99:W99" si="373">M99/I99</f>
        <v>0</v>
      </c>
      <c r="W99" s="98" t="e">
        <f t="shared" si="373"/>
        <v>#DIV/0!</v>
      </c>
      <c r="X99" s="98" t="e">
        <f t="shared" si="352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166"/>
      <c r="G100" s="94">
        <f t="shared" si="345"/>
        <v>1</v>
      </c>
      <c r="H100" s="94">
        <f t="shared" si="346"/>
        <v>0</v>
      </c>
      <c r="I100" s="96">
        <v>2500</v>
      </c>
      <c r="J100" s="96"/>
      <c r="K100" s="96"/>
      <c r="L100" s="96"/>
      <c r="M100" s="97">
        <f t="shared" ref="M100:O100" si="374">Y100+AB100+AE100+AH100+AK100+AN100+AQ100+AT100+AW100+AZ100+BC100+BF100</f>
        <v>0</v>
      </c>
      <c r="N100" s="97">
        <f t="shared" si="374"/>
        <v>0</v>
      </c>
      <c r="O100" s="97">
        <f t="shared" si="374"/>
        <v>0</v>
      </c>
      <c r="P100" s="97">
        <f t="shared" ref="P100:R100" si="375">IF(BI100=0,SUM(Y100+AB100+AE100+AH100+AK100+AN100+AQ100+AT100+AW100+AZ100+BC100+BF100),BI100)</f>
        <v>0</v>
      </c>
      <c r="Q100" s="97">
        <f t="shared" si="375"/>
        <v>0</v>
      </c>
      <c r="R100" s="97">
        <f t="shared" si="375"/>
        <v>0</v>
      </c>
      <c r="S100" s="97">
        <f t="shared" ref="S100:T100" si="376">I100-M100</f>
        <v>2500</v>
      </c>
      <c r="T100" s="97">
        <f t="shared" si="376"/>
        <v>0</v>
      </c>
      <c r="U100" s="97">
        <f t="shared" si="372"/>
        <v>0</v>
      </c>
      <c r="V100" s="98">
        <f t="shared" ref="V100:W100" si="377">M100/I100</f>
        <v>0</v>
      </c>
      <c r="W100" s="98" t="e">
        <f t="shared" si="377"/>
        <v>#DIV/0!</v>
      </c>
      <c r="X100" s="98" t="e">
        <f t="shared" si="352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 t="s">
        <v>213</v>
      </c>
      <c r="D101" s="91" t="s">
        <v>74</v>
      </c>
      <c r="E101" s="166"/>
      <c r="F101" s="166"/>
      <c r="G101" s="94" t="e">
        <f t="shared" si="345"/>
        <v>#DIV/0!</v>
      </c>
      <c r="H101" s="94" t="e">
        <f t="shared" si="346"/>
        <v>#DIV/0!</v>
      </c>
      <c r="I101" s="96"/>
      <c r="J101" s="96"/>
      <c r="K101" s="96"/>
      <c r="L101" s="96"/>
      <c r="M101" s="97">
        <f t="shared" ref="M101:O101" si="378">Y101+AB101+AE101+AH101+AK101+AN101+AQ101+AT101+AW101+AZ101+BC101+BF101</f>
        <v>0</v>
      </c>
      <c r="N101" s="97">
        <f t="shared" si="378"/>
        <v>0</v>
      </c>
      <c r="O101" s="97">
        <f t="shared" si="378"/>
        <v>0</v>
      </c>
      <c r="P101" s="97">
        <f t="shared" ref="P101:R101" si="379">IF(BI101=0,SUM(Y101+AB101+AE101+AH101+AK101+AN101+AQ101+AT101+AW101+AZ101+BC101+BF101),BI101)</f>
        <v>0</v>
      </c>
      <c r="Q101" s="97">
        <f t="shared" si="379"/>
        <v>0</v>
      </c>
      <c r="R101" s="97">
        <f t="shared" si="379"/>
        <v>0</v>
      </c>
      <c r="S101" s="97">
        <f t="shared" ref="S101:T101" si="380">I101-M101</f>
        <v>0</v>
      </c>
      <c r="T101" s="97">
        <f t="shared" si="380"/>
        <v>0</v>
      </c>
      <c r="U101" s="97">
        <f t="shared" si="372"/>
        <v>0</v>
      </c>
      <c r="V101" s="98" t="e">
        <f t="shared" ref="V101:W101" si="381">M101/I101</f>
        <v>#DIV/0!</v>
      </c>
      <c r="W101" s="98" t="e">
        <f t="shared" si="381"/>
        <v>#DIV/0!</v>
      </c>
      <c r="X101" s="98" t="e">
        <f t="shared" si="352"/>
        <v>#DIV/0!</v>
      </c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/>
      <c r="D102" s="207" t="s">
        <v>795</v>
      </c>
      <c r="E102" s="208"/>
      <c r="F102" s="208"/>
      <c r="G102" s="94" t="e">
        <f t="shared" si="345"/>
        <v>#DIV/0!</v>
      </c>
      <c r="H102" s="94" t="e">
        <f t="shared" si="346"/>
        <v>#DIV/0!</v>
      </c>
      <c r="I102" s="202"/>
      <c r="J102" s="204"/>
      <c r="K102" s="204"/>
      <c r="L102" s="202"/>
      <c r="M102" s="97">
        <f t="shared" ref="M102:O102" si="382">Y102+AB102+AE102+AH102+AK102+AN102+AQ102+AT102+AW102+AZ102+BC102+BF102</f>
        <v>0</v>
      </c>
      <c r="N102" s="97">
        <f t="shared" si="382"/>
        <v>0</v>
      </c>
      <c r="O102" s="97">
        <f t="shared" si="382"/>
        <v>0</v>
      </c>
      <c r="P102" s="97">
        <f t="shared" ref="P102:R102" si="383">IF(BI102=0,SUM(Y102+AB102+AE102+AH102+AK102+AN102+AQ102+AT102+AW102+AZ102+BC102+BF102),BI102)</f>
        <v>0</v>
      </c>
      <c r="Q102" s="97">
        <f t="shared" si="383"/>
        <v>0</v>
      </c>
      <c r="R102" s="97">
        <f t="shared" si="383"/>
        <v>0</v>
      </c>
      <c r="S102" s="97">
        <f t="shared" ref="S102:T102" si="384">I102-M102</f>
        <v>0</v>
      </c>
      <c r="T102" s="97">
        <f t="shared" si="384"/>
        <v>0</v>
      </c>
      <c r="U102" s="97">
        <f t="shared" si="372"/>
        <v>0</v>
      </c>
      <c r="V102" s="98" t="e">
        <f t="shared" ref="V102:W102" si="385">M102/I102</f>
        <v>#DIV/0!</v>
      </c>
      <c r="W102" s="98" t="e">
        <f t="shared" si="385"/>
        <v>#DIV/0!</v>
      </c>
      <c r="X102" s="98" t="e">
        <f t="shared" si="352"/>
        <v>#DIV/0!</v>
      </c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9"/>
      <c r="BG102" s="204"/>
      <c r="BH102" s="204"/>
      <c r="BI102" s="209"/>
      <c r="BJ102" s="204"/>
      <c r="BK102" s="204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240</v>
      </c>
      <c r="D103" s="210" t="s">
        <v>1019</v>
      </c>
      <c r="E103" s="166"/>
      <c r="F103" s="147"/>
      <c r="G103" s="94" t="e">
        <f t="shared" si="345"/>
        <v>#DIV/0!</v>
      </c>
      <c r="H103" s="94" t="e">
        <f t="shared" si="346"/>
        <v>#DIV/0!</v>
      </c>
      <c r="I103" s="96"/>
      <c r="J103" s="96"/>
      <c r="K103" s="96"/>
      <c r="L103" s="96"/>
      <c r="M103" s="97">
        <f t="shared" ref="M103:O103" si="386">Y103+AB103+AE103+AH103+AK103+AN103+AQ103+AT103+AW103+AZ103+BC103+BF103</f>
        <v>0</v>
      </c>
      <c r="N103" s="97">
        <f t="shared" si="386"/>
        <v>0</v>
      </c>
      <c r="O103" s="97">
        <f t="shared" si="386"/>
        <v>0</v>
      </c>
      <c r="P103" s="97">
        <f t="shared" ref="P103:R103" si="387">IF(BI103=0,SUM(Y103+AB103+AE103+AH103+AK103+AN103+AQ103+AT103+AW103+AZ103+BC103+BF103),BI103)</f>
        <v>0</v>
      </c>
      <c r="Q103" s="97">
        <f t="shared" si="387"/>
        <v>0</v>
      </c>
      <c r="R103" s="97">
        <f t="shared" si="387"/>
        <v>0</v>
      </c>
      <c r="S103" s="97">
        <f t="shared" ref="S103:T103" si="388">I103-M103</f>
        <v>0</v>
      </c>
      <c r="T103" s="97">
        <f t="shared" si="388"/>
        <v>0</v>
      </c>
      <c r="U103" s="97">
        <f t="shared" si="372"/>
        <v>0</v>
      </c>
      <c r="V103" s="98" t="e">
        <f t="shared" ref="V103:W103" si="389">M103/I103</f>
        <v>#DIV/0!</v>
      </c>
      <c r="W103" s="98" t="e">
        <f t="shared" si="389"/>
        <v>#DIV/0!</v>
      </c>
      <c r="X103" s="98" t="e">
        <f t="shared" si="352"/>
        <v>#DIV/0!</v>
      </c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166"/>
      <c r="G104" s="94">
        <f t="shared" si="345"/>
        <v>0</v>
      </c>
      <c r="H104" s="94">
        <f t="shared" si="346"/>
        <v>0</v>
      </c>
      <c r="I104" s="96"/>
      <c r="J104" s="96"/>
      <c r="K104" s="96"/>
      <c r="L104" s="96"/>
      <c r="M104" s="97">
        <f t="shared" ref="M104:O104" si="390">Y104+AB104+AE104+AH104+AK104+AN104+AQ104+AT104+AW104+AZ104+BC104+BF104</f>
        <v>0</v>
      </c>
      <c r="N104" s="97">
        <f t="shared" si="390"/>
        <v>0</v>
      </c>
      <c r="O104" s="97">
        <f t="shared" si="390"/>
        <v>0</v>
      </c>
      <c r="P104" s="97">
        <f t="shared" ref="P104:R104" si="391">IF(BI104=0,SUM(Y104+AB104+AE104+AH104+AK104+AN104+AQ104+AT104+AW104+AZ104+BC104+BF104),BI104)</f>
        <v>0</v>
      </c>
      <c r="Q104" s="97">
        <f t="shared" si="391"/>
        <v>0</v>
      </c>
      <c r="R104" s="97">
        <f t="shared" si="391"/>
        <v>0</v>
      </c>
      <c r="S104" s="97">
        <f t="shared" ref="S104:T104" si="392">I104-M104</f>
        <v>0</v>
      </c>
      <c r="T104" s="97">
        <f t="shared" si="392"/>
        <v>0</v>
      </c>
      <c r="U104" s="97">
        <f t="shared" si="372"/>
        <v>0</v>
      </c>
      <c r="V104" s="98" t="e">
        <f t="shared" ref="V104:W104" si="393">M104/I104</f>
        <v>#DIV/0!</v>
      </c>
      <c r="W104" s="98" t="e">
        <f t="shared" si="393"/>
        <v>#DIV/0!</v>
      </c>
      <c r="X104" s="98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103">
        <v>0</v>
      </c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90" t="s">
        <v>340</v>
      </c>
      <c r="D105" s="91" t="s">
        <v>341</v>
      </c>
      <c r="E105" s="166"/>
      <c r="F105" s="166"/>
      <c r="G105" s="94" t="e">
        <f t="shared" si="345"/>
        <v>#DIV/0!</v>
      </c>
      <c r="H105" s="94" t="e">
        <f t="shared" si="346"/>
        <v>#DIV/0!</v>
      </c>
      <c r="I105" s="96"/>
      <c r="J105" s="96"/>
      <c r="K105" s="96"/>
      <c r="L105" s="96"/>
      <c r="M105" s="97">
        <f t="shared" ref="M105:O105" si="394">Y105+AB105+AE105+AH105+AK105+AN105+AQ105+AT105+AW105+AZ105+BC105+BF105</f>
        <v>0</v>
      </c>
      <c r="N105" s="97">
        <f t="shared" si="394"/>
        <v>0</v>
      </c>
      <c r="O105" s="97">
        <f t="shared" si="394"/>
        <v>0</v>
      </c>
      <c r="P105" s="97">
        <f t="shared" ref="P105:R105" si="395">IF(BI105=0,SUM(Y105+AB105+AE105+AH105+AK105+AN105+AQ105+AT105+AW105+AZ105+BC105+BF105),BI105)</f>
        <v>0</v>
      </c>
      <c r="Q105" s="97">
        <f t="shared" si="395"/>
        <v>0</v>
      </c>
      <c r="R105" s="97">
        <f t="shared" si="395"/>
        <v>0</v>
      </c>
      <c r="S105" s="97">
        <f t="shared" ref="S105:T105" si="396">I105-M105</f>
        <v>0</v>
      </c>
      <c r="T105" s="97">
        <f t="shared" si="396"/>
        <v>0</v>
      </c>
      <c r="U105" s="97">
        <f t="shared" si="372"/>
        <v>0</v>
      </c>
      <c r="V105" s="98" t="e">
        <f t="shared" ref="V105:W105" si="397">M105/I105</f>
        <v>#DIV/0!</v>
      </c>
      <c r="W105" s="98" t="e">
        <f t="shared" si="397"/>
        <v>#DIV/0!</v>
      </c>
      <c r="X105" s="98" t="e">
        <f t="shared" ref="X105:X117" si="398">O105/L105</f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166"/>
      <c r="G106" s="94">
        <f t="shared" si="345"/>
        <v>0</v>
      </c>
      <c r="H106" s="94">
        <f t="shared" si="346"/>
        <v>0</v>
      </c>
      <c r="I106" s="96"/>
      <c r="J106" s="96"/>
      <c r="K106" s="96"/>
      <c r="L106" s="96"/>
      <c r="M106" s="97">
        <f t="shared" ref="M106:O106" si="399">Y106+AB106+AE106+AH106+AK106+AN106+AQ106+AT106+AW106+AZ106+BC106+BF106</f>
        <v>0</v>
      </c>
      <c r="N106" s="97">
        <f t="shared" si="399"/>
        <v>0</v>
      </c>
      <c r="O106" s="97">
        <f t="shared" si="399"/>
        <v>0</v>
      </c>
      <c r="P106" s="97">
        <f t="shared" ref="P106:R106" si="400">IF(BI106=0,SUM(Y106+AB106+AE106+AH106+AK106+AN106+AQ106+AT106+AW106+AZ106+BC106+BF106),BI106)</f>
        <v>0</v>
      </c>
      <c r="Q106" s="97">
        <f t="shared" si="400"/>
        <v>0</v>
      </c>
      <c r="R106" s="97">
        <f t="shared" si="400"/>
        <v>0</v>
      </c>
      <c r="S106" s="97">
        <f t="shared" ref="S106:T106" si="401">I106-M106</f>
        <v>0</v>
      </c>
      <c r="T106" s="97">
        <f t="shared" si="401"/>
        <v>0</v>
      </c>
      <c r="U106" s="97">
        <f t="shared" si="372"/>
        <v>0</v>
      </c>
      <c r="V106" s="98" t="e">
        <f t="shared" ref="V106:W106" si="402">M106/I106</f>
        <v>#DIV/0!</v>
      </c>
      <c r="W106" s="98" t="e">
        <f t="shared" si="402"/>
        <v>#DIV/0!</v>
      </c>
      <c r="X106" s="98" t="e">
        <f t="shared" si="398"/>
        <v>#DIV/0!</v>
      </c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354" t="s">
        <v>614</v>
      </c>
      <c r="B107" s="211"/>
      <c r="C107" s="101" t="s">
        <v>229</v>
      </c>
      <c r="D107" s="210" t="s">
        <v>342</v>
      </c>
      <c r="E107" s="116">
        <v>70000</v>
      </c>
      <c r="F107" s="166"/>
      <c r="G107" s="94">
        <f t="shared" si="345"/>
        <v>1.1080285714285714</v>
      </c>
      <c r="H107" s="94">
        <f t="shared" si="346"/>
        <v>0.29799142857142857</v>
      </c>
      <c r="I107" s="103">
        <f>2502+75060</f>
        <v>77562</v>
      </c>
      <c r="J107" s="96"/>
      <c r="K107" s="96"/>
      <c r="L107" s="96"/>
      <c r="M107" s="97">
        <f t="shared" ref="M107:O107" si="403">Y107+AB107+AE107+AH107+AK107+AN107+AQ107+AT107+AW107+AZ107+BC107+BF107</f>
        <v>20859.400000000001</v>
      </c>
      <c r="N107" s="97">
        <f t="shared" si="403"/>
        <v>0</v>
      </c>
      <c r="O107" s="97">
        <f t="shared" si="403"/>
        <v>0</v>
      </c>
      <c r="P107" s="97">
        <f t="shared" ref="P107:R107" si="404">IF(BI107=0,SUM(Y107+AB107+AE107+AH107+AK107+AN107+AQ107+AT107+AW107+AZ107+BC107+BF107),BI107)</f>
        <v>20859.400000000001</v>
      </c>
      <c r="Q107" s="97">
        <f t="shared" si="404"/>
        <v>0</v>
      </c>
      <c r="R107" s="97">
        <f t="shared" si="404"/>
        <v>0</v>
      </c>
      <c r="S107" s="97">
        <f t="shared" ref="S107:S114" si="405">I107-M107</f>
        <v>56702.6</v>
      </c>
      <c r="T107" s="97">
        <f>J107-N107-K107</f>
        <v>0</v>
      </c>
      <c r="U107" s="97">
        <f t="shared" si="372"/>
        <v>0</v>
      </c>
      <c r="V107" s="98">
        <f t="shared" ref="V107:W107" si="406">M107/I107</f>
        <v>0.2689383976689616</v>
      </c>
      <c r="W107" s="98" t="e">
        <f t="shared" si="406"/>
        <v>#DIV/0!</v>
      </c>
      <c r="X107" s="98" t="e">
        <f t="shared" si="398"/>
        <v>#DIV/0!</v>
      </c>
      <c r="Y107" s="96"/>
      <c r="Z107" s="103">
        <v>0</v>
      </c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103">
        <f>6421.8+500.4</f>
        <v>6922.2</v>
      </c>
      <c r="AO107" s="96"/>
      <c r="AP107" s="96"/>
      <c r="AQ107" s="96">
        <f>7506</f>
        <v>7506</v>
      </c>
      <c r="AR107" s="96"/>
      <c r="AS107" s="96"/>
      <c r="AT107" s="96">
        <f>4749.23+1681.97</f>
        <v>6431.2</v>
      </c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166"/>
      <c r="G108" s="94">
        <f t="shared" si="345"/>
        <v>0</v>
      </c>
      <c r="H108" s="94">
        <f t="shared" si="346"/>
        <v>0</v>
      </c>
      <c r="I108" s="96"/>
      <c r="J108" s="96"/>
      <c r="K108" s="96"/>
      <c r="L108" s="96"/>
      <c r="M108" s="97">
        <f t="shared" ref="M108:O108" si="407">Y108+AB108+AE108+AH108+AK108+AN108+AQ108+AT108+AW108+AZ108+BC108+BF108</f>
        <v>0</v>
      </c>
      <c r="N108" s="97">
        <f t="shared" si="407"/>
        <v>0</v>
      </c>
      <c r="O108" s="97">
        <f t="shared" si="407"/>
        <v>0</v>
      </c>
      <c r="P108" s="97">
        <f t="shared" ref="P108:R108" si="408">IF(BI108=0,SUM(Y108+AB108+AE108+AH108+AK108+AN108+AQ108+AT108+AW108+AZ108+BC108+BF108),BI108)</f>
        <v>0</v>
      </c>
      <c r="Q108" s="97">
        <f t="shared" si="408"/>
        <v>0</v>
      </c>
      <c r="R108" s="97">
        <f t="shared" si="408"/>
        <v>0</v>
      </c>
      <c r="S108" s="97">
        <f t="shared" si="405"/>
        <v>0</v>
      </c>
      <c r="T108" s="97">
        <f>J108-N108</f>
        <v>0</v>
      </c>
      <c r="U108" s="97">
        <f t="shared" si="372"/>
        <v>0</v>
      </c>
      <c r="V108" s="98" t="e">
        <f t="shared" ref="V108:W108" si="409">M108/I108</f>
        <v>#DIV/0!</v>
      </c>
      <c r="W108" s="98" t="e">
        <f t="shared" si="409"/>
        <v>#DIV/0!</v>
      </c>
      <c r="X108" s="98" t="e">
        <f t="shared" si="398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343</v>
      </c>
      <c r="C109" s="101" t="s">
        <v>344</v>
      </c>
      <c r="D109" s="122" t="s">
        <v>1018</v>
      </c>
      <c r="E109" s="92">
        <v>3000</v>
      </c>
      <c r="F109" s="93">
        <v>10000</v>
      </c>
      <c r="G109" s="94">
        <f t="shared" si="345"/>
        <v>0</v>
      </c>
      <c r="H109" s="94">
        <f t="shared" si="346"/>
        <v>0</v>
      </c>
      <c r="I109" s="96"/>
      <c r="J109" s="96">
        <v>19996.900000000001</v>
      </c>
      <c r="K109" s="96"/>
      <c r="L109" s="96"/>
      <c r="M109" s="97">
        <f t="shared" ref="M109:O109" si="410">Y109+AB109+AE109+AH109+AK109+AN109+AQ109+AT109+AW109+AZ109+BC109+BF109</f>
        <v>0</v>
      </c>
      <c r="N109" s="97">
        <f t="shared" si="410"/>
        <v>16716.239999999998</v>
      </c>
      <c r="O109" s="97">
        <f t="shared" si="410"/>
        <v>0</v>
      </c>
      <c r="P109" s="97">
        <f t="shared" ref="P109:R109" si="411">IF(BI109=0,SUM(Y109+AB109+AE109+AH109+AK109+AN109+AQ109+AT109+AW109+AZ109+BC109+BF109),BI109)</f>
        <v>0</v>
      </c>
      <c r="Q109" s="97">
        <f t="shared" si="411"/>
        <v>16716.239999999998</v>
      </c>
      <c r="R109" s="97">
        <f t="shared" si="411"/>
        <v>0</v>
      </c>
      <c r="S109" s="97">
        <f t="shared" si="405"/>
        <v>0</v>
      </c>
      <c r="T109" s="97">
        <f>J109-K109-N109</f>
        <v>3280.6600000000035</v>
      </c>
      <c r="U109" s="97">
        <f t="shared" si="372"/>
        <v>0</v>
      </c>
      <c r="V109" s="98" t="e">
        <f t="shared" ref="V109:W109" si="412">M109/I109</f>
        <v>#DIV/0!</v>
      </c>
      <c r="W109" s="98">
        <f t="shared" si="412"/>
        <v>0.83594157094349608</v>
      </c>
      <c r="X109" s="98" t="e">
        <f t="shared" si="398"/>
        <v>#DIV/0!</v>
      </c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>
        <f>1644.36</f>
        <v>1644.36</v>
      </c>
      <c r="AS109" s="96"/>
      <c r="AT109" s="96"/>
      <c r="AU109" s="103">
        <v>15071.88</v>
      </c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5.75" customHeight="1">
      <c r="A110" s="89"/>
      <c r="B110" s="206" t="s">
        <v>346</v>
      </c>
      <c r="C110" s="90" t="s">
        <v>347</v>
      </c>
      <c r="D110" s="91" t="s">
        <v>1017</v>
      </c>
      <c r="E110" s="92"/>
      <c r="F110" s="93"/>
      <c r="G110" s="94" t="e">
        <f t="shared" si="345"/>
        <v>#DIV/0!</v>
      </c>
      <c r="H110" s="94" t="e">
        <f t="shared" si="346"/>
        <v>#DIV/0!</v>
      </c>
      <c r="I110" s="96"/>
      <c r="J110" s="117">
        <v>52560</v>
      </c>
      <c r="K110" s="117"/>
      <c r="L110" s="96"/>
      <c r="M110" s="97">
        <f t="shared" ref="M110:O110" si="413">Y110+AB110+AE110+AH110+AK110+AN110+AQ110+AT110+AW110+AZ110+BC110+BF110</f>
        <v>0</v>
      </c>
      <c r="N110" s="97">
        <f t="shared" si="413"/>
        <v>52560</v>
      </c>
      <c r="O110" s="97">
        <f t="shared" si="413"/>
        <v>0</v>
      </c>
      <c r="P110" s="97">
        <f t="shared" ref="P110:R110" si="414">IF(BI110=0,SUM(Y110+AB110+AE110+AH110+AK110+AN110+AQ110+AT110+AW110+AZ110+BC110+BF110),BI110)</f>
        <v>0</v>
      </c>
      <c r="Q110" s="97">
        <f t="shared" si="414"/>
        <v>52560</v>
      </c>
      <c r="R110" s="97">
        <f t="shared" si="414"/>
        <v>0</v>
      </c>
      <c r="S110" s="97">
        <f t="shared" si="405"/>
        <v>0</v>
      </c>
      <c r="T110" s="97">
        <f t="shared" ref="T110:T114" si="415">J110-N110</f>
        <v>0</v>
      </c>
      <c r="U110" s="97">
        <f t="shared" si="372"/>
        <v>0</v>
      </c>
      <c r="V110" s="98" t="e">
        <f t="shared" ref="V110:W110" si="416">M110/I110</f>
        <v>#DIV/0!</v>
      </c>
      <c r="W110" s="98">
        <f t="shared" si="416"/>
        <v>1</v>
      </c>
      <c r="X110" s="98" t="e">
        <f t="shared" si="398"/>
        <v>#DIV/0!</v>
      </c>
      <c r="Y110" s="96"/>
      <c r="Z110" s="103">
        <v>52560</v>
      </c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103">
        <v>0</v>
      </c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6.5" customHeight="1">
      <c r="A111" s="89"/>
      <c r="B111" s="206"/>
      <c r="C111" s="90" t="s">
        <v>349</v>
      </c>
      <c r="D111" s="122" t="s">
        <v>796</v>
      </c>
      <c r="E111" s="166"/>
      <c r="F111" s="147"/>
      <c r="G111" s="94" t="e">
        <f t="shared" si="345"/>
        <v>#DIV/0!</v>
      </c>
      <c r="H111" s="94" t="e">
        <f t="shared" si="346"/>
        <v>#DIV/0!</v>
      </c>
      <c r="I111" s="96"/>
      <c r="J111" s="96"/>
      <c r="K111" s="96"/>
      <c r="L111" s="96"/>
      <c r="M111" s="97">
        <f t="shared" ref="M111:O111" si="417">Y111+AB111+AE111+AH111+AK111+AN111+AQ111+AT111+AW111+AZ111+BC111+BF111</f>
        <v>0</v>
      </c>
      <c r="N111" s="97">
        <f t="shared" si="417"/>
        <v>0</v>
      </c>
      <c r="O111" s="97">
        <f t="shared" si="417"/>
        <v>0</v>
      </c>
      <c r="P111" s="97">
        <f t="shared" ref="P111:R111" si="418">IF(BI111=0,SUM(Y111+AB111+AE111+AH111+AK111+AN111+AQ111+AT111+AW111+AZ111+BC111+BF111),BI111)</f>
        <v>0</v>
      </c>
      <c r="Q111" s="97">
        <f t="shared" si="418"/>
        <v>0</v>
      </c>
      <c r="R111" s="97">
        <f t="shared" si="418"/>
        <v>0</v>
      </c>
      <c r="S111" s="97">
        <f t="shared" si="405"/>
        <v>0</v>
      </c>
      <c r="T111" s="97">
        <f t="shared" si="415"/>
        <v>0</v>
      </c>
      <c r="U111" s="97">
        <f t="shared" si="372"/>
        <v>0</v>
      </c>
      <c r="V111" s="98" t="e">
        <f t="shared" ref="V111:W111" si="419">M111/I111</f>
        <v>#DIV/0!</v>
      </c>
      <c r="W111" s="98" t="e">
        <f t="shared" si="419"/>
        <v>#DIV/0!</v>
      </c>
      <c r="X111" s="98" t="e">
        <f t="shared" si="398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7.25" customHeight="1">
      <c r="A112" s="89"/>
      <c r="B112" s="206"/>
      <c r="C112" s="90" t="s">
        <v>318</v>
      </c>
      <c r="D112" s="212" t="s">
        <v>797</v>
      </c>
      <c r="E112" s="166"/>
      <c r="F112" s="213"/>
      <c r="G112" s="94" t="e">
        <f t="shared" si="345"/>
        <v>#DIV/0!</v>
      </c>
      <c r="H112" s="94" t="e">
        <f t="shared" si="346"/>
        <v>#DIV/0!</v>
      </c>
      <c r="I112" s="96"/>
      <c r="J112" s="96"/>
      <c r="K112" s="96"/>
      <c r="L112" s="96"/>
      <c r="M112" s="97">
        <f t="shared" ref="M112:O112" si="420">Y112+AB112+AE112+AH112+AK112+AN112+AQ112+AT112+AW112+AZ112+BC112+BF112</f>
        <v>0</v>
      </c>
      <c r="N112" s="97">
        <f t="shared" si="420"/>
        <v>0</v>
      </c>
      <c r="O112" s="97">
        <f t="shared" si="420"/>
        <v>0</v>
      </c>
      <c r="P112" s="97">
        <f t="shared" ref="P112:R112" si="421">IF(BI112=0,SUM(Y112+AB112+AE112+AH112+AK112+AN112+AQ112+AT112+AW112+AZ112+BC112+BF112),BI112)</f>
        <v>0</v>
      </c>
      <c r="Q112" s="97">
        <f t="shared" si="421"/>
        <v>0</v>
      </c>
      <c r="R112" s="97">
        <f t="shared" si="421"/>
        <v>0</v>
      </c>
      <c r="S112" s="97">
        <f t="shared" si="405"/>
        <v>0</v>
      </c>
      <c r="T112" s="97">
        <f t="shared" si="415"/>
        <v>0</v>
      </c>
      <c r="U112" s="97">
        <f t="shared" si="372"/>
        <v>0</v>
      </c>
      <c r="V112" s="98" t="e">
        <f t="shared" ref="V112:W112" si="422">M112/I112</f>
        <v>#DIV/0!</v>
      </c>
      <c r="W112" s="98" t="e">
        <f t="shared" si="422"/>
        <v>#DIV/0!</v>
      </c>
      <c r="X112" s="98" t="e">
        <f t="shared" si="398"/>
        <v>#DIV/0!</v>
      </c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166">
        <v>0</v>
      </c>
      <c r="G113" s="94" t="e">
        <f t="shared" si="345"/>
        <v>#DIV/0!</v>
      </c>
      <c r="H113" s="94" t="e">
        <f t="shared" si="346"/>
        <v>#DIV/0!</v>
      </c>
      <c r="I113" s="96"/>
      <c r="J113" s="96">
        <v>3207</v>
      </c>
      <c r="K113" s="96"/>
      <c r="L113" s="214"/>
      <c r="M113" s="97">
        <f t="shared" ref="M113:O113" si="423">Y113+AB113+AE113+AH113+AK113+AN113+AQ113+AT113+AW113+AZ113+BC113+BF113</f>
        <v>0</v>
      </c>
      <c r="N113" s="97">
        <f t="shared" si="423"/>
        <v>3207</v>
      </c>
      <c r="O113" s="97">
        <f t="shared" si="423"/>
        <v>0</v>
      </c>
      <c r="P113" s="97">
        <f t="shared" ref="P113:R113" si="424">IF(BI113=0,SUM(Y113+AB113+AE113+AH113+AK113+AN113+AQ113+AT113+AW113+AZ113+BC113+BF113),BI113)</f>
        <v>0</v>
      </c>
      <c r="Q113" s="97">
        <f t="shared" si="424"/>
        <v>3207</v>
      </c>
      <c r="R113" s="97">
        <f t="shared" si="424"/>
        <v>0</v>
      </c>
      <c r="S113" s="97">
        <f t="shared" si="405"/>
        <v>0</v>
      </c>
      <c r="T113" s="97">
        <f t="shared" si="415"/>
        <v>0</v>
      </c>
      <c r="U113" s="97">
        <f t="shared" si="372"/>
        <v>0</v>
      </c>
      <c r="V113" s="98" t="e">
        <f t="shared" ref="V113:W113" si="425">M113/I113</f>
        <v>#DIV/0!</v>
      </c>
      <c r="W113" s="98">
        <f t="shared" si="425"/>
        <v>1</v>
      </c>
      <c r="X113" s="98" t="e">
        <f t="shared" si="398"/>
        <v>#DIV/0!</v>
      </c>
      <c r="Y113" s="96"/>
      <c r="Z113" s="96"/>
      <c r="AA113" s="96"/>
      <c r="AB113" s="96"/>
      <c r="AC113" s="96"/>
      <c r="AD113" s="96"/>
      <c r="AE113" s="215"/>
      <c r="AF113" s="96"/>
      <c r="AG113" s="96"/>
      <c r="AH113" s="96"/>
      <c r="AI113" s="96"/>
      <c r="AJ113" s="96"/>
      <c r="AK113" s="96"/>
      <c r="AL113" s="103">
        <v>3207</v>
      </c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9"/>
      <c r="BM113" s="100"/>
      <c r="BN113" s="100"/>
      <c r="BO113" s="100"/>
      <c r="BP113" s="100"/>
    </row>
    <row r="114" spans="1:68" ht="15.75" customHeight="1">
      <c r="A114" s="216"/>
      <c r="B114" s="216"/>
      <c r="C114" s="217" t="s">
        <v>354</v>
      </c>
      <c r="D114" s="144" t="s">
        <v>355</v>
      </c>
      <c r="E114" s="213"/>
      <c r="F114" s="213"/>
      <c r="G114" s="155" t="e">
        <f t="shared" si="345"/>
        <v>#DIV/0!</v>
      </c>
      <c r="H114" s="155" t="e">
        <f t="shared" si="346"/>
        <v>#DIV/0!</v>
      </c>
      <c r="I114" s="218"/>
      <c r="J114" s="219"/>
      <c r="K114" s="219"/>
      <c r="L114" s="219"/>
      <c r="M114" s="82">
        <f t="shared" ref="M114:O114" si="426">Y114+AB114+AE114+AH114+AK114+AN114+AQ114+AT114+AW114+AZ114+BC114+BF114</f>
        <v>0</v>
      </c>
      <c r="N114" s="82">
        <f t="shared" si="426"/>
        <v>0</v>
      </c>
      <c r="O114" s="82">
        <f t="shared" si="426"/>
        <v>0</v>
      </c>
      <c r="P114" s="97">
        <f t="shared" ref="P114:R114" si="427">IF(BI114=0,SUM(Y114+AB114+AE114+AH114+AK114+AN114+AQ114+AT114+AW114+AZ114+BC114+BF114),BI114)</f>
        <v>0</v>
      </c>
      <c r="Q114" s="97">
        <f t="shared" si="427"/>
        <v>0</v>
      </c>
      <c r="R114" s="97">
        <f t="shared" si="427"/>
        <v>0</v>
      </c>
      <c r="S114" s="97">
        <f t="shared" si="405"/>
        <v>0</v>
      </c>
      <c r="T114" s="97">
        <f t="shared" si="415"/>
        <v>0</v>
      </c>
      <c r="U114" s="97">
        <f t="shared" si="372"/>
        <v>0</v>
      </c>
      <c r="V114" s="79" t="e">
        <f t="shared" ref="V114:W114" si="428">M114/I114</f>
        <v>#DIV/0!</v>
      </c>
      <c r="W114" s="79" t="e">
        <f t="shared" si="428"/>
        <v>#DIV/0!</v>
      </c>
      <c r="X114" s="79" t="e">
        <f t="shared" si="398"/>
        <v>#DIV/0!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20"/>
      <c r="BM114" s="221"/>
      <c r="BN114" s="221"/>
      <c r="BO114" s="221"/>
      <c r="BP114" s="221"/>
    </row>
    <row r="115" spans="1:68" ht="15.75" customHeight="1">
      <c r="A115" s="182"/>
      <c r="B115" s="182"/>
      <c r="C115" s="222"/>
      <c r="D115" s="184" t="s">
        <v>356</v>
      </c>
      <c r="E115" s="186">
        <f t="shared" ref="E115:F115" si="429">SUM(E116:E119)</f>
        <v>23296.54</v>
      </c>
      <c r="F115" s="186">
        <f t="shared" si="429"/>
        <v>0</v>
      </c>
      <c r="G115" s="223">
        <f t="shared" si="345"/>
        <v>1.133215490368956</v>
      </c>
      <c r="H115" s="223">
        <f t="shared" si="346"/>
        <v>0.4550031893148081</v>
      </c>
      <c r="I115" s="186">
        <f t="shared" ref="I115:J115" si="430">SUM(I116:I119)</f>
        <v>26400</v>
      </c>
      <c r="J115" s="186">
        <f t="shared" si="430"/>
        <v>0</v>
      </c>
      <c r="K115" s="186"/>
      <c r="L115" s="186">
        <f t="shared" ref="L115:O115" si="431">SUM(L116:L119)</f>
        <v>0</v>
      </c>
      <c r="M115" s="186">
        <f t="shared" si="431"/>
        <v>10600</v>
      </c>
      <c r="N115" s="186">
        <f t="shared" si="431"/>
        <v>4100</v>
      </c>
      <c r="O115" s="186">
        <f t="shared" si="431"/>
        <v>0</v>
      </c>
      <c r="P115" s="186">
        <f t="shared" ref="P115:R115" si="432">IF(BI115=0,SUM(Y115+AB115+AE115+AH115+AK115+AN115+AQ115+AT115+AW115+AZ115+BC115+BF115),BI115)</f>
        <v>10600</v>
      </c>
      <c r="Q115" s="186">
        <f t="shared" si="432"/>
        <v>4100</v>
      </c>
      <c r="R115" s="186">
        <f t="shared" si="432"/>
        <v>0</v>
      </c>
      <c r="S115" s="186">
        <f t="shared" ref="S115:U115" si="433">SUM(S116:S119)</f>
        <v>15800</v>
      </c>
      <c r="T115" s="186">
        <f t="shared" si="433"/>
        <v>-4100</v>
      </c>
      <c r="U115" s="186">
        <f t="shared" si="433"/>
        <v>0</v>
      </c>
      <c r="V115" s="189">
        <f t="shared" ref="V115:W115" si="434">M115/I115</f>
        <v>0.40151515151515149</v>
      </c>
      <c r="W115" s="189" t="e">
        <f t="shared" si="434"/>
        <v>#DIV/0!</v>
      </c>
      <c r="X115" s="189" t="e">
        <f t="shared" si="398"/>
        <v>#DIV/0!</v>
      </c>
      <c r="Y115" s="186">
        <f t="shared" ref="Y115:BK115" si="435">SUM(Y116:Y119)</f>
        <v>0</v>
      </c>
      <c r="Z115" s="186">
        <f t="shared" si="435"/>
        <v>0</v>
      </c>
      <c r="AA115" s="186">
        <f t="shared" si="435"/>
        <v>0</v>
      </c>
      <c r="AB115" s="186">
        <f t="shared" si="435"/>
        <v>0</v>
      </c>
      <c r="AC115" s="186">
        <f t="shared" si="435"/>
        <v>0</v>
      </c>
      <c r="AD115" s="186">
        <f t="shared" si="435"/>
        <v>0</v>
      </c>
      <c r="AE115" s="186">
        <f t="shared" si="435"/>
        <v>0</v>
      </c>
      <c r="AF115" s="186">
        <f t="shared" si="435"/>
        <v>0</v>
      </c>
      <c r="AG115" s="186">
        <f t="shared" si="435"/>
        <v>0</v>
      </c>
      <c r="AH115" s="186">
        <f t="shared" si="435"/>
        <v>0</v>
      </c>
      <c r="AI115" s="186">
        <f t="shared" si="435"/>
        <v>0</v>
      </c>
      <c r="AJ115" s="186">
        <f t="shared" si="435"/>
        <v>0</v>
      </c>
      <c r="AK115" s="186">
        <f t="shared" si="435"/>
        <v>2400</v>
      </c>
      <c r="AL115" s="186">
        <f t="shared" si="435"/>
        <v>0</v>
      </c>
      <c r="AM115" s="186">
        <f t="shared" si="435"/>
        <v>0</v>
      </c>
      <c r="AN115" s="186">
        <f t="shared" si="435"/>
        <v>0</v>
      </c>
      <c r="AO115" s="186">
        <f t="shared" si="435"/>
        <v>4100</v>
      </c>
      <c r="AP115" s="186">
        <f t="shared" si="435"/>
        <v>0</v>
      </c>
      <c r="AQ115" s="186">
        <f t="shared" si="435"/>
        <v>4100</v>
      </c>
      <c r="AR115" s="186">
        <f t="shared" si="435"/>
        <v>0</v>
      </c>
      <c r="AS115" s="186">
        <f t="shared" si="435"/>
        <v>0</v>
      </c>
      <c r="AT115" s="186">
        <f t="shared" si="435"/>
        <v>4100</v>
      </c>
      <c r="AU115" s="186">
        <f t="shared" si="435"/>
        <v>0</v>
      </c>
      <c r="AV115" s="186">
        <f t="shared" si="435"/>
        <v>0</v>
      </c>
      <c r="AW115" s="186">
        <f t="shared" si="435"/>
        <v>0</v>
      </c>
      <c r="AX115" s="186">
        <f t="shared" si="435"/>
        <v>0</v>
      </c>
      <c r="AY115" s="186">
        <f t="shared" si="435"/>
        <v>0</v>
      </c>
      <c r="AZ115" s="186">
        <f t="shared" si="435"/>
        <v>0</v>
      </c>
      <c r="BA115" s="186">
        <f t="shared" si="435"/>
        <v>0</v>
      </c>
      <c r="BB115" s="186">
        <f t="shared" si="435"/>
        <v>0</v>
      </c>
      <c r="BC115" s="186">
        <f t="shared" si="435"/>
        <v>0</v>
      </c>
      <c r="BD115" s="186">
        <f t="shared" si="435"/>
        <v>0</v>
      </c>
      <c r="BE115" s="186">
        <f t="shared" si="435"/>
        <v>0</v>
      </c>
      <c r="BF115" s="186">
        <f t="shared" si="435"/>
        <v>0</v>
      </c>
      <c r="BG115" s="186">
        <f t="shared" si="435"/>
        <v>0</v>
      </c>
      <c r="BH115" s="186">
        <f t="shared" si="435"/>
        <v>0</v>
      </c>
      <c r="BI115" s="186">
        <f t="shared" si="435"/>
        <v>0</v>
      </c>
      <c r="BJ115" s="186">
        <f t="shared" si="435"/>
        <v>0</v>
      </c>
      <c r="BK115" s="186">
        <f t="shared" si="435"/>
        <v>0</v>
      </c>
      <c r="BL115" s="157"/>
      <c r="BM115" s="158"/>
      <c r="BN115" s="158"/>
      <c r="BO115" s="158"/>
      <c r="BP115" s="158"/>
    </row>
    <row r="116" spans="1:68" ht="15.75" customHeight="1">
      <c r="A116" s="354" t="s">
        <v>667</v>
      </c>
      <c r="B116" s="89"/>
      <c r="C116" s="90" t="s">
        <v>357</v>
      </c>
      <c r="D116" s="91" t="s">
        <v>358</v>
      </c>
      <c r="E116" s="194">
        <v>18000</v>
      </c>
      <c r="F116" s="166"/>
      <c r="G116" s="94">
        <f t="shared" si="345"/>
        <v>1.4666666666666666</v>
      </c>
      <c r="H116" s="94">
        <f t="shared" si="346"/>
        <v>0.58888888888888891</v>
      </c>
      <c r="I116" s="367">
        <v>26400</v>
      </c>
      <c r="J116" s="96"/>
      <c r="K116" s="96"/>
      <c r="L116" s="95"/>
      <c r="M116" s="97">
        <f t="shared" ref="M116:O116" si="436">Y116+AB116+AE116+AH116+AK116+AN116+AQ116+AT116+AW116+AZ116+BC116+BF116</f>
        <v>10600</v>
      </c>
      <c r="N116" s="97">
        <f t="shared" si="436"/>
        <v>4100</v>
      </c>
      <c r="O116" s="97">
        <f t="shared" si="436"/>
        <v>0</v>
      </c>
      <c r="P116" s="97">
        <f t="shared" ref="P116:R116" si="437">IF(BI116=0,SUM(Y116+AB116+AE116+AH116+AK116+AN116+AQ116+AT116+AW116+AZ116+BC116+BF116),BI116)</f>
        <v>10600</v>
      </c>
      <c r="Q116" s="97">
        <f t="shared" si="437"/>
        <v>4100</v>
      </c>
      <c r="R116" s="97">
        <f t="shared" si="437"/>
        <v>0</v>
      </c>
      <c r="S116" s="97">
        <f t="shared" ref="S116:T116" si="438">I116-M116</f>
        <v>15800</v>
      </c>
      <c r="T116" s="97">
        <f t="shared" si="438"/>
        <v>-4100</v>
      </c>
      <c r="U116" s="97">
        <f t="shared" ref="U116:U119" si="439">L116-O116</f>
        <v>0</v>
      </c>
      <c r="V116" s="98">
        <f t="shared" ref="V116:W116" si="440">M116/I116</f>
        <v>0.40151515151515149</v>
      </c>
      <c r="W116" s="98" t="e">
        <f t="shared" si="440"/>
        <v>#DIV/0!</v>
      </c>
      <c r="X116" s="98" t="e">
        <f t="shared" si="398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103">
        <v>2400</v>
      </c>
      <c r="AL116" s="96"/>
      <c r="AM116" s="96"/>
      <c r="AN116" s="96"/>
      <c r="AO116" s="103">
        <v>4100</v>
      </c>
      <c r="AP116" s="96"/>
      <c r="AQ116" s="103">
        <v>4100</v>
      </c>
      <c r="AR116" s="96"/>
      <c r="AS116" s="96"/>
      <c r="AT116" s="103">
        <v>4100</v>
      </c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103">
        <v>0</v>
      </c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166"/>
      <c r="G117" s="94">
        <f t="shared" si="345"/>
        <v>0</v>
      </c>
      <c r="H117" s="94">
        <f t="shared" si="346"/>
        <v>0</v>
      </c>
      <c r="I117" s="96"/>
      <c r="J117" s="96"/>
      <c r="K117" s="96"/>
      <c r="L117" s="95"/>
      <c r="M117" s="97">
        <f t="shared" ref="M117:O117" si="441">Y117+AB117+AE117+AH117+AK117+AN117+AQ117+AT117+AW117+AZ117+BC117+BF117</f>
        <v>0</v>
      </c>
      <c r="N117" s="97">
        <f t="shared" si="441"/>
        <v>0</v>
      </c>
      <c r="O117" s="97">
        <f t="shared" si="441"/>
        <v>0</v>
      </c>
      <c r="P117" s="97">
        <f t="shared" ref="P117:R117" si="442">IF(BI117=0,SUM(Y117+AB117+AE117+AH117+AK117+AN117+AQ117+AT117+AW117+AZ117+BC117+BF117),BI117)</f>
        <v>0</v>
      </c>
      <c r="Q117" s="97">
        <f t="shared" si="442"/>
        <v>0</v>
      </c>
      <c r="R117" s="97">
        <f t="shared" si="442"/>
        <v>0</v>
      </c>
      <c r="S117" s="97">
        <f t="shared" ref="S117:T117" si="443">I117-M117</f>
        <v>0</v>
      </c>
      <c r="T117" s="97">
        <f t="shared" si="443"/>
        <v>0</v>
      </c>
      <c r="U117" s="97">
        <f t="shared" si="439"/>
        <v>0</v>
      </c>
      <c r="V117" s="98" t="e">
        <f t="shared" ref="V117:W117" si="444">M117/I117</f>
        <v>#DIV/0!</v>
      </c>
      <c r="W117" s="98" t="e">
        <f t="shared" si="444"/>
        <v>#DIV/0!</v>
      </c>
      <c r="X117" s="98" t="e">
        <f t="shared" si="398"/>
        <v>#DIV/0!</v>
      </c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/>
      <c r="D118" s="91" t="s">
        <v>361</v>
      </c>
      <c r="E118" s="166"/>
      <c r="F118" s="166"/>
      <c r="G118" s="94"/>
      <c r="H118" s="94"/>
      <c r="I118" s="96"/>
      <c r="J118" s="96"/>
      <c r="K118" s="96"/>
      <c r="L118" s="95"/>
      <c r="M118" s="97">
        <f t="shared" ref="M118:O118" si="445">Y118+AB118+AE118+AH118+AK118+AN118+AQ118+AT118+AW118+AZ118+BC118+BF118</f>
        <v>0</v>
      </c>
      <c r="N118" s="97">
        <f t="shared" si="445"/>
        <v>0</v>
      </c>
      <c r="O118" s="97">
        <f t="shared" si="445"/>
        <v>0</v>
      </c>
      <c r="P118" s="97">
        <f t="shared" ref="P118:R118" si="446">IF(BI118=0,SUM(Y118+AB118+AE118+AH118+AK118+AN118+AQ118+AT118+AW118+AZ118+BC118+BF118),BI118)</f>
        <v>0</v>
      </c>
      <c r="Q118" s="97">
        <f t="shared" si="446"/>
        <v>0</v>
      </c>
      <c r="R118" s="97">
        <f t="shared" si="446"/>
        <v>0</v>
      </c>
      <c r="S118" s="97">
        <f t="shared" ref="S118:T118" si="447">I118-M118</f>
        <v>0</v>
      </c>
      <c r="T118" s="97">
        <f t="shared" si="447"/>
        <v>0</v>
      </c>
      <c r="U118" s="97">
        <f t="shared" si="439"/>
        <v>0</v>
      </c>
      <c r="V118" s="98" t="e">
        <f t="shared" ref="V118:V130" si="448">M118/I118</f>
        <v>#DIV/0!</v>
      </c>
      <c r="W118" s="98"/>
      <c r="X118" s="98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89"/>
      <c r="B119" s="89"/>
      <c r="C119" s="90" t="s">
        <v>318</v>
      </c>
      <c r="D119" s="91" t="s">
        <v>362</v>
      </c>
      <c r="E119" s="166"/>
      <c r="F119" s="166"/>
      <c r="G119" s="94" t="e">
        <f>I119/E119</f>
        <v>#DIV/0!</v>
      </c>
      <c r="H119" s="94" t="e">
        <f t="shared" ref="H119:H137" si="449">M119/E119</f>
        <v>#DIV/0!</v>
      </c>
      <c r="I119" s="96"/>
      <c r="J119" s="96"/>
      <c r="K119" s="96"/>
      <c r="L119" s="95"/>
      <c r="M119" s="97">
        <f t="shared" ref="M119:O119" si="450">Y119+AB119+AE119+AH119+AK119+AN119+AQ119+AT119+AW119+AZ119+BC119+BF119</f>
        <v>0</v>
      </c>
      <c r="N119" s="97">
        <f t="shared" si="450"/>
        <v>0</v>
      </c>
      <c r="O119" s="97">
        <f t="shared" si="450"/>
        <v>0</v>
      </c>
      <c r="P119" s="97">
        <f t="shared" ref="P119:R119" si="451">IF(BI119=0,SUM(Y119+AB119+AE119+AH119+AK119+AN119+AQ119+AT119+AW119+AZ119+BC119+BF119),BI119)</f>
        <v>0</v>
      </c>
      <c r="Q119" s="97">
        <f t="shared" si="451"/>
        <v>0</v>
      </c>
      <c r="R119" s="97">
        <f t="shared" si="451"/>
        <v>0</v>
      </c>
      <c r="S119" s="97">
        <f t="shared" ref="S119:T119" si="452">I119-M119</f>
        <v>0</v>
      </c>
      <c r="T119" s="97">
        <f t="shared" si="452"/>
        <v>0</v>
      </c>
      <c r="U119" s="97">
        <f t="shared" si="439"/>
        <v>0</v>
      </c>
      <c r="V119" s="98" t="e">
        <f t="shared" si="448"/>
        <v>#DIV/0!</v>
      </c>
      <c r="W119" s="98" t="e">
        <f t="shared" ref="W119:W128" si="453">N119/J119</f>
        <v>#DIV/0!</v>
      </c>
      <c r="X119" s="98" t="e">
        <f t="shared" ref="X119:X128" si="454">O119/L119</f>
        <v>#DIV/0!</v>
      </c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9"/>
      <c r="BM119" s="100"/>
      <c r="BN119" s="100"/>
      <c r="BO119" s="100"/>
      <c r="BP119" s="100"/>
    </row>
    <row r="120" spans="1:68" ht="15.75" customHeight="1">
      <c r="A120" s="182"/>
      <c r="B120" s="182"/>
      <c r="C120" s="222"/>
      <c r="D120" s="224" t="s">
        <v>363</v>
      </c>
      <c r="E120" s="186">
        <f t="shared" ref="E120:G120" si="455">E121+E131+E137+E141</f>
        <v>152177.47999999998</v>
      </c>
      <c r="F120" s="186">
        <f t="shared" si="455"/>
        <v>1173964.47</v>
      </c>
      <c r="G120" s="225" t="e">
        <f t="shared" si="455"/>
        <v>#DIV/0!</v>
      </c>
      <c r="H120" s="223">
        <f t="shared" si="449"/>
        <v>1.1695955275379775</v>
      </c>
      <c r="I120" s="186">
        <f>I121+I131+I137+I141+I146+I151+I155</f>
        <v>120809.81</v>
      </c>
      <c r="J120" s="186">
        <f t="shared" ref="J120:U120" si="456">J121+J131+J137+J141</f>
        <v>665873.97</v>
      </c>
      <c r="K120" s="186">
        <f t="shared" si="456"/>
        <v>5199.4000000000005</v>
      </c>
      <c r="L120" s="186">
        <f t="shared" si="456"/>
        <v>470357.31999999995</v>
      </c>
      <c r="M120" s="186">
        <f t="shared" si="456"/>
        <v>177986.1</v>
      </c>
      <c r="N120" s="186">
        <f t="shared" si="456"/>
        <v>573373.19999999995</v>
      </c>
      <c r="O120" s="186">
        <f t="shared" si="456"/>
        <v>42240</v>
      </c>
      <c r="P120" s="186">
        <f t="shared" si="456"/>
        <v>177986.1</v>
      </c>
      <c r="Q120" s="186">
        <f t="shared" si="456"/>
        <v>573373.19999999995</v>
      </c>
      <c r="R120" s="186">
        <f t="shared" si="456"/>
        <v>42240</v>
      </c>
      <c r="S120" s="186">
        <f t="shared" si="456"/>
        <v>303181.02999999997</v>
      </c>
      <c r="T120" s="186">
        <f t="shared" si="456"/>
        <v>87301.37</v>
      </c>
      <c r="U120" s="186">
        <f t="shared" si="456"/>
        <v>428117.31999999995</v>
      </c>
      <c r="V120" s="189">
        <f t="shared" si="448"/>
        <v>1.4732752249175791</v>
      </c>
      <c r="W120" s="189">
        <f t="shared" si="453"/>
        <v>0.86108366722910035</v>
      </c>
      <c r="X120" s="189">
        <f t="shared" si="454"/>
        <v>8.9804066406365277E-2</v>
      </c>
      <c r="Y120" s="186">
        <f t="shared" ref="Y120:BK120" si="457">Y121+Y131+Y137+Y141</f>
        <v>0</v>
      </c>
      <c r="Z120" s="186">
        <f t="shared" si="457"/>
        <v>0</v>
      </c>
      <c r="AA120" s="186">
        <f t="shared" si="457"/>
        <v>0</v>
      </c>
      <c r="AB120" s="186">
        <f t="shared" si="457"/>
        <v>0</v>
      </c>
      <c r="AC120" s="186">
        <f t="shared" si="457"/>
        <v>61206.74</v>
      </c>
      <c r="AD120" s="186">
        <f t="shared" si="457"/>
        <v>0</v>
      </c>
      <c r="AE120" s="186">
        <f t="shared" si="457"/>
        <v>0</v>
      </c>
      <c r="AF120" s="186">
        <f t="shared" si="457"/>
        <v>63661.509999999995</v>
      </c>
      <c r="AG120" s="186">
        <f t="shared" si="457"/>
        <v>0</v>
      </c>
      <c r="AH120" s="186">
        <f t="shared" si="457"/>
        <v>0</v>
      </c>
      <c r="AI120" s="186">
        <f t="shared" si="457"/>
        <v>166468.45000000001</v>
      </c>
      <c r="AJ120" s="186">
        <f t="shared" si="457"/>
        <v>0</v>
      </c>
      <c r="AK120" s="186">
        <f t="shared" si="457"/>
        <v>0</v>
      </c>
      <c r="AL120" s="186">
        <f t="shared" si="457"/>
        <v>51200.4</v>
      </c>
      <c r="AM120" s="186">
        <f t="shared" si="457"/>
        <v>18000</v>
      </c>
      <c r="AN120" s="186">
        <f t="shared" si="457"/>
        <v>31870.57</v>
      </c>
      <c r="AO120" s="186">
        <f t="shared" si="457"/>
        <v>100282.97</v>
      </c>
      <c r="AP120" s="186">
        <f t="shared" si="457"/>
        <v>6000</v>
      </c>
      <c r="AQ120" s="186">
        <f t="shared" si="457"/>
        <v>104115.55</v>
      </c>
      <c r="AR120" s="186">
        <f t="shared" si="457"/>
        <v>14781.57</v>
      </c>
      <c r="AS120" s="186">
        <f t="shared" si="457"/>
        <v>6000</v>
      </c>
      <c r="AT120" s="186">
        <f t="shared" si="457"/>
        <v>41999.98</v>
      </c>
      <c r="AU120" s="186">
        <f t="shared" si="457"/>
        <v>115771.56</v>
      </c>
      <c r="AV120" s="186">
        <f t="shared" si="457"/>
        <v>12240</v>
      </c>
      <c r="AW120" s="186">
        <f t="shared" si="457"/>
        <v>0</v>
      </c>
      <c r="AX120" s="186">
        <f t="shared" si="457"/>
        <v>0</v>
      </c>
      <c r="AY120" s="186">
        <f t="shared" si="457"/>
        <v>0</v>
      </c>
      <c r="AZ120" s="186">
        <f t="shared" si="457"/>
        <v>0</v>
      </c>
      <c r="BA120" s="186">
        <f t="shared" si="457"/>
        <v>0</v>
      </c>
      <c r="BB120" s="186">
        <f t="shared" si="457"/>
        <v>0</v>
      </c>
      <c r="BC120" s="186">
        <f t="shared" si="457"/>
        <v>0</v>
      </c>
      <c r="BD120" s="186">
        <f t="shared" si="457"/>
        <v>0</v>
      </c>
      <c r="BE120" s="186">
        <f t="shared" si="457"/>
        <v>0</v>
      </c>
      <c r="BF120" s="186">
        <f t="shared" si="457"/>
        <v>0</v>
      </c>
      <c r="BG120" s="186">
        <f t="shared" si="457"/>
        <v>0</v>
      </c>
      <c r="BH120" s="186">
        <f t="shared" si="457"/>
        <v>0</v>
      </c>
      <c r="BI120" s="186">
        <f t="shared" si="457"/>
        <v>0</v>
      </c>
      <c r="BJ120" s="186">
        <f t="shared" si="457"/>
        <v>0</v>
      </c>
      <c r="BK120" s="186">
        <f t="shared" si="457"/>
        <v>0</v>
      </c>
      <c r="BL120" s="226"/>
      <c r="BM120" s="227"/>
      <c r="BN120" s="227"/>
      <c r="BO120" s="227"/>
      <c r="BP120" s="227"/>
    </row>
    <row r="121" spans="1:68" ht="15.75" customHeight="1">
      <c r="A121" s="228"/>
      <c r="B121" s="228"/>
      <c r="C121" s="229"/>
      <c r="D121" s="230" t="s">
        <v>364</v>
      </c>
      <c r="E121" s="231">
        <f t="shared" ref="E121:F121" si="458">SUM(E122:E130)</f>
        <v>152177.47999999998</v>
      </c>
      <c r="F121" s="231">
        <f t="shared" si="458"/>
        <v>0</v>
      </c>
      <c r="G121" s="187">
        <f t="shared" ref="G121:G137" si="459">I121/E121</f>
        <v>0.79387442872624792</v>
      </c>
      <c r="H121" s="187">
        <f t="shared" si="449"/>
        <v>0</v>
      </c>
      <c r="I121" s="231">
        <f t="shared" ref="I121:O121" si="460">SUM(I122:I130)</f>
        <v>120809.81</v>
      </c>
      <c r="J121" s="231">
        <f t="shared" si="460"/>
        <v>457969.89</v>
      </c>
      <c r="K121" s="231">
        <f t="shared" si="460"/>
        <v>5199.4000000000005</v>
      </c>
      <c r="L121" s="231">
        <f t="shared" si="460"/>
        <v>0</v>
      </c>
      <c r="M121" s="231">
        <f t="shared" si="460"/>
        <v>0</v>
      </c>
      <c r="N121" s="231">
        <f t="shared" si="460"/>
        <v>365469.12</v>
      </c>
      <c r="O121" s="231">
        <f t="shared" si="460"/>
        <v>0</v>
      </c>
      <c r="P121" s="232">
        <f t="shared" ref="P121:R121" si="461">IF(BI121=0,SUM(Y121+AB121+AE121+AH121+AK121+AN121+AQ121+AT121+AW121+AZ121+BC121+BF121),BI121)</f>
        <v>0</v>
      </c>
      <c r="Q121" s="232">
        <f t="shared" si="461"/>
        <v>365469.12</v>
      </c>
      <c r="R121" s="232">
        <f t="shared" si="461"/>
        <v>0</v>
      </c>
      <c r="S121" s="231">
        <f t="shared" ref="S121:U121" si="462">SUM(S122:S130)</f>
        <v>120809.81</v>
      </c>
      <c r="T121" s="231">
        <f t="shared" si="462"/>
        <v>87301.37</v>
      </c>
      <c r="U121" s="231">
        <f t="shared" si="462"/>
        <v>0</v>
      </c>
      <c r="V121" s="188">
        <f t="shared" si="448"/>
        <v>0</v>
      </c>
      <c r="W121" s="188">
        <f t="shared" si="453"/>
        <v>0.79801997463195662</v>
      </c>
      <c r="X121" s="188" t="e">
        <f t="shared" si="454"/>
        <v>#DIV/0!</v>
      </c>
      <c r="Y121" s="231">
        <f t="shared" ref="Y121:BK121" si="463">SUM(Y122:Y130)</f>
        <v>0</v>
      </c>
      <c r="Z121" s="231">
        <f t="shared" si="463"/>
        <v>0</v>
      </c>
      <c r="AA121" s="231">
        <f t="shared" si="463"/>
        <v>0</v>
      </c>
      <c r="AB121" s="231">
        <f t="shared" si="463"/>
        <v>0</v>
      </c>
      <c r="AC121" s="231">
        <f t="shared" si="463"/>
        <v>61206.74</v>
      </c>
      <c r="AD121" s="231">
        <f t="shared" si="463"/>
        <v>0</v>
      </c>
      <c r="AE121" s="231">
        <f t="shared" si="463"/>
        <v>0</v>
      </c>
      <c r="AF121" s="231">
        <f t="shared" si="463"/>
        <v>0</v>
      </c>
      <c r="AG121" s="231">
        <f t="shared" si="463"/>
        <v>0</v>
      </c>
      <c r="AH121" s="231">
        <f t="shared" si="463"/>
        <v>0</v>
      </c>
      <c r="AI121" s="231">
        <f t="shared" si="463"/>
        <v>95054.76</v>
      </c>
      <c r="AJ121" s="231">
        <f t="shared" si="463"/>
        <v>0</v>
      </c>
      <c r="AK121" s="231">
        <f t="shared" si="463"/>
        <v>0</v>
      </c>
      <c r="AL121" s="231">
        <f t="shared" si="463"/>
        <v>21848.15</v>
      </c>
      <c r="AM121" s="231">
        <f t="shared" si="463"/>
        <v>0</v>
      </c>
      <c r="AN121" s="231">
        <f t="shared" si="463"/>
        <v>0</v>
      </c>
      <c r="AO121" s="231">
        <f t="shared" si="463"/>
        <v>56806.34</v>
      </c>
      <c r="AP121" s="231">
        <f t="shared" si="463"/>
        <v>0</v>
      </c>
      <c r="AQ121" s="231">
        <f t="shared" si="463"/>
        <v>0</v>
      </c>
      <c r="AR121" s="231">
        <f t="shared" si="463"/>
        <v>14781.57</v>
      </c>
      <c r="AS121" s="231">
        <f t="shared" si="463"/>
        <v>0</v>
      </c>
      <c r="AT121" s="231">
        <f t="shared" si="463"/>
        <v>0</v>
      </c>
      <c r="AU121" s="231">
        <f t="shared" si="463"/>
        <v>115771.56</v>
      </c>
      <c r="AV121" s="231">
        <f t="shared" si="463"/>
        <v>0</v>
      </c>
      <c r="AW121" s="231">
        <f t="shared" si="463"/>
        <v>0</v>
      </c>
      <c r="AX121" s="231">
        <f t="shared" si="463"/>
        <v>0</v>
      </c>
      <c r="AY121" s="231">
        <f t="shared" si="463"/>
        <v>0</v>
      </c>
      <c r="AZ121" s="231">
        <f t="shared" si="463"/>
        <v>0</v>
      </c>
      <c r="BA121" s="231">
        <f t="shared" si="463"/>
        <v>0</v>
      </c>
      <c r="BB121" s="231">
        <f t="shared" si="463"/>
        <v>0</v>
      </c>
      <c r="BC121" s="231">
        <f t="shared" si="463"/>
        <v>0</v>
      </c>
      <c r="BD121" s="231">
        <f t="shared" si="463"/>
        <v>0</v>
      </c>
      <c r="BE121" s="231">
        <f t="shared" si="463"/>
        <v>0</v>
      </c>
      <c r="BF121" s="231">
        <f t="shared" si="463"/>
        <v>0</v>
      </c>
      <c r="BG121" s="231">
        <f t="shared" si="463"/>
        <v>0</v>
      </c>
      <c r="BH121" s="231">
        <f t="shared" si="463"/>
        <v>0</v>
      </c>
      <c r="BI121" s="231">
        <f t="shared" si="463"/>
        <v>0</v>
      </c>
      <c r="BJ121" s="231">
        <f t="shared" si="463"/>
        <v>0</v>
      </c>
      <c r="BK121" s="231">
        <f t="shared" si="463"/>
        <v>0</v>
      </c>
      <c r="BL121" s="233"/>
      <c r="BM121" s="234"/>
      <c r="BN121" s="234"/>
      <c r="BO121" s="234"/>
      <c r="BP121" s="234"/>
    </row>
    <row r="122" spans="1:68" ht="15.75" customHeight="1">
      <c r="A122" s="360" t="s">
        <v>723</v>
      </c>
      <c r="B122" s="111"/>
      <c r="C122" s="90" t="s">
        <v>365</v>
      </c>
      <c r="D122" s="91" t="s">
        <v>143</v>
      </c>
      <c r="E122" s="194">
        <v>116482.68</v>
      </c>
      <c r="F122" s="166"/>
      <c r="G122" s="94">
        <f t="shared" si="459"/>
        <v>1.025952270328945</v>
      </c>
      <c r="H122" s="94">
        <f t="shared" si="449"/>
        <v>0</v>
      </c>
      <c r="I122" s="103">
        <f>201775.38-82269.71</f>
        <v>119505.67</v>
      </c>
      <c r="J122" s="96"/>
      <c r="K122" s="96"/>
      <c r="L122" s="96"/>
      <c r="M122" s="97">
        <f t="shared" ref="M122:O122" si="464">Y122+AB122+AE122+AH122+AK122+AN122+AQ122+AT122+AW122+AZ122+BC122+BF122</f>
        <v>0</v>
      </c>
      <c r="N122" s="97">
        <f t="shared" si="464"/>
        <v>0</v>
      </c>
      <c r="O122" s="97">
        <f t="shared" si="464"/>
        <v>0</v>
      </c>
      <c r="P122" s="97">
        <f t="shared" ref="P122:R122" si="465">IF(BI122=0,SUM(Y122+AB122+AE122+AH122+AK122+AN122+AQ122+AT122+AW122+AZ122+BC122+BF122),BI122)</f>
        <v>0</v>
      </c>
      <c r="Q122" s="97">
        <f t="shared" si="465"/>
        <v>0</v>
      </c>
      <c r="R122" s="97">
        <f t="shared" si="465"/>
        <v>0</v>
      </c>
      <c r="S122" s="97">
        <f t="shared" ref="S122:S130" si="466">I122-M122</f>
        <v>119505.67</v>
      </c>
      <c r="T122" s="97">
        <f t="shared" ref="T122:T125" si="467">J122-N122-N122</f>
        <v>0</v>
      </c>
      <c r="U122" s="97">
        <f t="shared" ref="U122:U130" si="468">L122-O122</f>
        <v>0</v>
      </c>
      <c r="V122" s="94">
        <f t="shared" si="448"/>
        <v>0</v>
      </c>
      <c r="W122" s="94" t="e">
        <f t="shared" si="453"/>
        <v>#DIV/0!</v>
      </c>
      <c r="X122" s="94" t="e">
        <f t="shared" si="454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318</v>
      </c>
      <c r="D123" s="91" t="s">
        <v>366</v>
      </c>
      <c r="E123" s="166"/>
      <c r="F123" s="166"/>
      <c r="G123" s="94" t="e">
        <f t="shared" si="459"/>
        <v>#DIV/0!</v>
      </c>
      <c r="H123" s="94" t="e">
        <f t="shared" si="449"/>
        <v>#DIV/0!</v>
      </c>
      <c r="I123" s="96"/>
      <c r="J123" s="96"/>
      <c r="K123" s="96"/>
      <c r="L123" s="96"/>
      <c r="M123" s="97">
        <f t="shared" ref="M123:O123" si="469">Y123+AB123+AE123+AH123+AK123+AN123+AQ123+AT123+AW123+AZ123+BC123+BF123</f>
        <v>0</v>
      </c>
      <c r="N123" s="97">
        <f t="shared" si="469"/>
        <v>0</v>
      </c>
      <c r="O123" s="97">
        <f t="shared" si="469"/>
        <v>0</v>
      </c>
      <c r="P123" s="97">
        <f t="shared" ref="P123:R123" si="470">IF(BI123=0,SUM(Y123+AB123+AE123+AH123+AK123+AN123+AQ123+AT123+AW123+AZ123+BC123+BF123),BI123)</f>
        <v>0</v>
      </c>
      <c r="Q123" s="97">
        <f t="shared" si="470"/>
        <v>0</v>
      </c>
      <c r="R123" s="97">
        <f t="shared" si="470"/>
        <v>0</v>
      </c>
      <c r="S123" s="97">
        <f t="shared" si="466"/>
        <v>0</v>
      </c>
      <c r="T123" s="97">
        <f t="shared" si="467"/>
        <v>0</v>
      </c>
      <c r="U123" s="97">
        <f t="shared" si="468"/>
        <v>0</v>
      </c>
      <c r="V123" s="94" t="e">
        <f t="shared" si="448"/>
        <v>#DIV/0!</v>
      </c>
      <c r="W123" s="94" t="e">
        <f t="shared" si="453"/>
        <v>#DIV/0!</v>
      </c>
      <c r="X123" s="94" t="e">
        <f t="shared" si="454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5.75" customHeight="1">
      <c r="A124" s="111"/>
      <c r="B124" s="111"/>
      <c r="C124" s="90" t="s">
        <v>367</v>
      </c>
      <c r="D124" s="91" t="s">
        <v>368</v>
      </c>
      <c r="E124" s="166"/>
      <c r="F124" s="166"/>
      <c r="G124" s="94" t="e">
        <f t="shared" si="459"/>
        <v>#DIV/0!</v>
      </c>
      <c r="H124" s="94" t="e">
        <f t="shared" si="449"/>
        <v>#DIV/0!</v>
      </c>
      <c r="I124" s="96"/>
      <c r="J124" s="96"/>
      <c r="K124" s="96"/>
      <c r="L124" s="96"/>
      <c r="M124" s="97">
        <f t="shared" ref="M124:O124" si="471">Y124+AB124+AE124+AH124+AK124+AN124+AQ124+AT124+AW124+AZ124+BC124+BF124</f>
        <v>0</v>
      </c>
      <c r="N124" s="97">
        <f t="shared" si="471"/>
        <v>0</v>
      </c>
      <c r="O124" s="97">
        <f t="shared" si="471"/>
        <v>0</v>
      </c>
      <c r="P124" s="97">
        <f t="shared" ref="P124:R124" si="472">IF(BI124=0,SUM(Y124+AB124+AE124+AH124+AK124+AN124+AQ124+AT124+AW124+AZ124+BC124+BF124),BI124)</f>
        <v>0</v>
      </c>
      <c r="Q124" s="97">
        <f t="shared" si="472"/>
        <v>0</v>
      </c>
      <c r="R124" s="97">
        <f t="shared" si="472"/>
        <v>0</v>
      </c>
      <c r="S124" s="97">
        <f t="shared" si="466"/>
        <v>0</v>
      </c>
      <c r="T124" s="97">
        <f t="shared" si="467"/>
        <v>0</v>
      </c>
      <c r="U124" s="97">
        <f t="shared" si="468"/>
        <v>0</v>
      </c>
      <c r="V124" s="94" t="e">
        <f t="shared" si="448"/>
        <v>#DIV/0!</v>
      </c>
      <c r="W124" s="94" t="e">
        <f t="shared" si="453"/>
        <v>#DIV/0!</v>
      </c>
      <c r="X124" s="94" t="e">
        <f t="shared" si="454"/>
        <v>#DIV/0!</v>
      </c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8" customHeight="1">
      <c r="A125" s="360" t="s">
        <v>798</v>
      </c>
      <c r="B125" s="111"/>
      <c r="C125" s="90" t="s">
        <v>161</v>
      </c>
      <c r="D125" s="91" t="s">
        <v>369</v>
      </c>
      <c r="E125" s="166"/>
      <c r="F125" s="166"/>
      <c r="G125" s="94" t="e">
        <f t="shared" si="459"/>
        <v>#DIV/0!</v>
      </c>
      <c r="H125" s="94" t="e">
        <f t="shared" si="449"/>
        <v>#DIV/0!</v>
      </c>
      <c r="I125" s="103">
        <f>216.12+289</f>
        <v>505.12</v>
      </c>
      <c r="J125" s="96"/>
      <c r="K125" s="96"/>
      <c r="L125" s="96"/>
      <c r="M125" s="97">
        <f t="shared" ref="M125:O125" si="473">Y125+AB125+AE125+AH125+AK125+AN125+AQ125+AT125+AW125+AZ125+BC125+BF125</f>
        <v>0</v>
      </c>
      <c r="N125" s="97">
        <f t="shared" si="473"/>
        <v>0</v>
      </c>
      <c r="O125" s="97">
        <f t="shared" si="473"/>
        <v>0</v>
      </c>
      <c r="P125" s="97">
        <f t="shared" ref="P125:R125" si="474">IF(BI125=0,SUM(Y125+AB125+AE125+AH125+AK125+AN125+AQ125+AT125+AW125+AZ125+BC125+BF125),BI125)</f>
        <v>0</v>
      </c>
      <c r="Q125" s="97">
        <f t="shared" si="474"/>
        <v>0</v>
      </c>
      <c r="R125" s="97">
        <f t="shared" si="474"/>
        <v>0</v>
      </c>
      <c r="S125" s="97">
        <f t="shared" si="466"/>
        <v>505.12</v>
      </c>
      <c r="T125" s="97">
        <f t="shared" si="467"/>
        <v>0</v>
      </c>
      <c r="U125" s="97">
        <f t="shared" si="468"/>
        <v>0</v>
      </c>
      <c r="V125" s="94">
        <f t="shared" si="448"/>
        <v>0</v>
      </c>
      <c r="W125" s="94" t="e">
        <f t="shared" si="453"/>
        <v>#DIV/0!</v>
      </c>
      <c r="X125" s="94" t="e">
        <f t="shared" si="454"/>
        <v>#DIV/0!</v>
      </c>
      <c r="Y125" s="96"/>
      <c r="Z125" s="103">
        <v>0</v>
      </c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119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43" t="s">
        <v>370</v>
      </c>
      <c r="C126" s="90" t="s">
        <v>161</v>
      </c>
      <c r="D126" s="91" t="s">
        <v>799</v>
      </c>
      <c r="E126" s="166"/>
      <c r="F126" s="166"/>
      <c r="G126" s="94" t="e">
        <f t="shared" si="459"/>
        <v>#DIV/0!</v>
      </c>
      <c r="H126" s="94" t="e">
        <f t="shared" si="449"/>
        <v>#DIV/0!</v>
      </c>
      <c r="I126" s="96"/>
      <c r="J126" s="235">
        <f t="shared" ref="J126:K126" si="475">2187.61+388.49+200+59.9+14.5+358.9+1990</f>
        <v>5199.4000000000005</v>
      </c>
      <c r="K126" s="135">
        <f t="shared" si="475"/>
        <v>5199.4000000000005</v>
      </c>
      <c r="L126" s="96"/>
      <c r="M126" s="97">
        <f t="shared" ref="M126:O126" si="476">Y126+AB126+AE126+AH126+AK126+AN126+AQ126+AT126+AW126+AZ126+BC126+BF126</f>
        <v>0</v>
      </c>
      <c r="N126" s="97">
        <f t="shared" si="476"/>
        <v>0</v>
      </c>
      <c r="O126" s="97">
        <f t="shared" si="476"/>
        <v>0</v>
      </c>
      <c r="P126" s="97">
        <f t="shared" ref="P126:R126" si="477">IF(BI126=0,SUM(Y126+AB126+AE126+AH126+AK126+AN126+AQ126+AT126+AW126+AZ126+BC126+BF126),BI126)</f>
        <v>0</v>
      </c>
      <c r="Q126" s="97">
        <f t="shared" si="477"/>
        <v>0</v>
      </c>
      <c r="R126" s="97">
        <f t="shared" si="477"/>
        <v>0</v>
      </c>
      <c r="S126" s="97">
        <f t="shared" si="466"/>
        <v>0</v>
      </c>
      <c r="T126" s="97">
        <f>J126-K126-N126</f>
        <v>0</v>
      </c>
      <c r="U126" s="97">
        <f t="shared" si="468"/>
        <v>0</v>
      </c>
      <c r="V126" s="94" t="e">
        <f t="shared" si="448"/>
        <v>#DIV/0!</v>
      </c>
      <c r="W126" s="94">
        <f t="shared" si="453"/>
        <v>0</v>
      </c>
      <c r="X126" s="94" t="e">
        <f t="shared" si="454"/>
        <v>#DIV/0!</v>
      </c>
      <c r="Y126" s="96"/>
      <c r="Z126" s="96"/>
      <c r="AA126" s="96"/>
      <c r="AB126" s="96"/>
      <c r="AC126" s="103">
        <v>0</v>
      </c>
      <c r="AD126" s="96"/>
      <c r="AE126" s="96"/>
      <c r="AF126" s="103">
        <v>0</v>
      </c>
      <c r="AG126" s="96"/>
      <c r="AH126" s="96"/>
      <c r="AI126" s="96"/>
      <c r="AJ126" s="96"/>
      <c r="AK126" s="96"/>
      <c r="AL126" s="103">
        <v>0</v>
      </c>
      <c r="AM126" s="96"/>
      <c r="AN126" s="96"/>
      <c r="AO126" s="96"/>
      <c r="AP126" s="96"/>
      <c r="AQ126" s="96"/>
      <c r="AR126" s="103">
        <v>0</v>
      </c>
      <c r="AS126" s="96"/>
      <c r="AT126" s="119"/>
      <c r="AU126" s="103">
        <v>0</v>
      </c>
      <c r="AV126" s="96"/>
      <c r="AW126" s="96"/>
      <c r="AX126" s="103">
        <v>0</v>
      </c>
      <c r="AY126" s="96"/>
      <c r="AZ126" s="96"/>
      <c r="BA126" s="103">
        <v>0</v>
      </c>
      <c r="BB126" s="96"/>
      <c r="BC126" s="96"/>
      <c r="BD126" s="96"/>
      <c r="BE126" s="96"/>
      <c r="BF126" s="96"/>
      <c r="BG126" s="103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166"/>
      <c r="G127" s="94">
        <f t="shared" si="459"/>
        <v>0</v>
      </c>
      <c r="H127" s="94">
        <f t="shared" si="449"/>
        <v>0</v>
      </c>
      <c r="I127" s="96"/>
      <c r="J127" s="96"/>
      <c r="K127" s="96"/>
      <c r="L127" s="96"/>
      <c r="M127" s="97">
        <f t="shared" ref="M127:O127" si="478">Y127+AB127+AE127+AH127+AK127+AN127+AQ127+AT127+AW127+AZ127+BC127+BF127</f>
        <v>0</v>
      </c>
      <c r="N127" s="97">
        <f t="shared" si="478"/>
        <v>0</v>
      </c>
      <c r="O127" s="97">
        <f t="shared" si="478"/>
        <v>0</v>
      </c>
      <c r="P127" s="97">
        <f t="shared" ref="P127:R127" si="479">IF(BI127=0,SUM(Y127+AB127+AE127+AH127+AK127+AN127+AQ127+AT127+AW127+AZ127+BC127+BF127),BI127)</f>
        <v>0</v>
      </c>
      <c r="Q127" s="97">
        <f t="shared" si="479"/>
        <v>0</v>
      </c>
      <c r="R127" s="97">
        <f t="shared" si="479"/>
        <v>0</v>
      </c>
      <c r="S127" s="97">
        <f t="shared" si="466"/>
        <v>0</v>
      </c>
      <c r="T127" s="97">
        <f t="shared" ref="T127:T128" si="480">J127-N127-N127</f>
        <v>0</v>
      </c>
      <c r="U127" s="97">
        <f t="shared" si="468"/>
        <v>0</v>
      </c>
      <c r="V127" s="94" t="e">
        <f t="shared" si="448"/>
        <v>#DIV/0!</v>
      </c>
      <c r="W127" s="94" t="e">
        <f t="shared" si="453"/>
        <v>#DIV/0!</v>
      </c>
      <c r="X127" s="94" t="e">
        <f t="shared" si="454"/>
        <v>#DIV/0!</v>
      </c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/>
      <c r="C128" s="90" t="s">
        <v>374</v>
      </c>
      <c r="D128" s="141" t="s">
        <v>375</v>
      </c>
      <c r="E128" s="166"/>
      <c r="F128" s="166"/>
      <c r="G128" s="94" t="e">
        <f t="shared" si="459"/>
        <v>#DIV/0!</v>
      </c>
      <c r="H128" s="94" t="e">
        <f t="shared" si="449"/>
        <v>#DIV/0!</v>
      </c>
      <c r="I128" s="96"/>
      <c r="J128" s="96"/>
      <c r="K128" s="96"/>
      <c r="L128" s="96"/>
      <c r="M128" s="97">
        <f t="shared" ref="M128:O128" si="481">Y128+AB128+AE128+AH128+AK128+AN128+AQ128+AT128+AW128+AZ128+BC128+BF128</f>
        <v>0</v>
      </c>
      <c r="N128" s="97">
        <f t="shared" si="481"/>
        <v>0</v>
      </c>
      <c r="O128" s="97">
        <f t="shared" si="481"/>
        <v>0</v>
      </c>
      <c r="P128" s="97">
        <f t="shared" ref="P128:R128" si="482">IF(BI128=0,SUM(Y128+AB128+AE128+AH128+AK128+AN128+AQ128+AT128+AW128+AZ128+BC128+BF128),BI128)</f>
        <v>0</v>
      </c>
      <c r="Q128" s="97">
        <f t="shared" si="482"/>
        <v>0</v>
      </c>
      <c r="R128" s="97">
        <f t="shared" si="482"/>
        <v>0</v>
      </c>
      <c r="S128" s="97">
        <f t="shared" si="466"/>
        <v>0</v>
      </c>
      <c r="T128" s="97">
        <f t="shared" si="480"/>
        <v>0</v>
      </c>
      <c r="U128" s="97">
        <f t="shared" si="468"/>
        <v>0</v>
      </c>
      <c r="V128" s="94" t="e">
        <f t="shared" si="448"/>
        <v>#DIV/0!</v>
      </c>
      <c r="W128" s="94" t="e">
        <f t="shared" si="453"/>
        <v>#DIV/0!</v>
      </c>
      <c r="X128" s="94" t="e">
        <f t="shared" si="454"/>
        <v>#DIV/0!</v>
      </c>
      <c r="Y128" s="96"/>
      <c r="Z128" s="96"/>
      <c r="AA128" s="96"/>
      <c r="AB128" s="96"/>
      <c r="AC128" s="96"/>
      <c r="AD128" s="96"/>
      <c r="AE128" s="96"/>
      <c r="AF128" s="103">
        <v>0</v>
      </c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36" t="s">
        <v>376</v>
      </c>
      <c r="C129" s="90" t="s">
        <v>114</v>
      </c>
      <c r="D129" s="141" t="s">
        <v>1016</v>
      </c>
      <c r="E129" s="166"/>
      <c r="F129" s="166"/>
      <c r="G129" s="94" t="e">
        <f t="shared" si="459"/>
        <v>#DIV/0!</v>
      </c>
      <c r="H129" s="94" t="e">
        <f t="shared" si="449"/>
        <v>#DIV/0!</v>
      </c>
      <c r="I129" s="96"/>
      <c r="J129" s="96">
        <v>452770.49</v>
      </c>
      <c r="K129" s="96"/>
      <c r="L129" s="145"/>
      <c r="M129" s="97">
        <f t="shared" ref="M129:O129" si="483">Y129+AB129+AE129+AH129+AK129+AN129+AQ129+AT129+AW129+AZ129+BC129+BF129</f>
        <v>0</v>
      </c>
      <c r="N129" s="97">
        <f t="shared" si="483"/>
        <v>365469.12</v>
      </c>
      <c r="O129" s="97">
        <f t="shared" si="483"/>
        <v>0</v>
      </c>
      <c r="P129" s="97">
        <f t="shared" ref="P129:R129" si="484">IF(BI129=0,SUM(Y129+AB129+AE129+AH129+AK129+AN129+AQ129+AT129+AW129+AZ129+BC129+BF129),BI129)</f>
        <v>0</v>
      </c>
      <c r="Q129" s="97">
        <f t="shared" si="484"/>
        <v>365469.12</v>
      </c>
      <c r="R129" s="97">
        <f t="shared" si="484"/>
        <v>0</v>
      </c>
      <c r="S129" s="97">
        <f t="shared" si="466"/>
        <v>0</v>
      </c>
      <c r="T129" s="97">
        <f>J129-K129-N129</f>
        <v>87301.37</v>
      </c>
      <c r="U129" s="97">
        <f t="shared" si="468"/>
        <v>0</v>
      </c>
      <c r="V129" s="94" t="e">
        <f t="shared" si="448"/>
        <v>#DIV/0!</v>
      </c>
      <c r="W129" s="94"/>
      <c r="X129" s="94"/>
      <c r="Y129" s="96"/>
      <c r="Z129" s="96"/>
      <c r="AA129" s="96"/>
      <c r="AB129" s="96"/>
      <c r="AC129" s="96">
        <f>61206.74</f>
        <v>61206.74</v>
      </c>
      <c r="AD129" s="96"/>
      <c r="AE129" s="96"/>
      <c r="AF129" s="96"/>
      <c r="AG129" s="96"/>
      <c r="AH129" s="96"/>
      <c r="AI129" s="103">
        <f>95054.76</f>
        <v>95054.76</v>
      </c>
      <c r="AJ129" s="96"/>
      <c r="AK129" s="96"/>
      <c r="AL129" s="103">
        <v>21848.15</v>
      </c>
      <c r="AM129" s="96"/>
      <c r="AN129" s="96"/>
      <c r="AO129" s="260">
        <v>56806.34</v>
      </c>
      <c r="AP129" s="96"/>
      <c r="AQ129" s="96"/>
      <c r="AR129" s="96">
        <f>14781.57</f>
        <v>14781.57</v>
      </c>
      <c r="AS129" s="96"/>
      <c r="AT129" s="119"/>
      <c r="AU129" s="103">
        <v>115771.56</v>
      </c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4.25" customHeight="1">
      <c r="A130" s="356" t="s">
        <v>800</v>
      </c>
      <c r="B130" s="111"/>
      <c r="C130" s="90"/>
      <c r="D130" s="236" t="s">
        <v>378</v>
      </c>
      <c r="E130" s="166"/>
      <c r="F130" s="166">
        <v>0</v>
      </c>
      <c r="G130" s="94" t="e">
        <f t="shared" si="459"/>
        <v>#DIV/0!</v>
      </c>
      <c r="H130" s="94" t="e">
        <f t="shared" si="449"/>
        <v>#DIV/0!</v>
      </c>
      <c r="I130" s="96">
        <f>244+336+173.22+45.8</f>
        <v>799.02</v>
      </c>
      <c r="J130" s="96"/>
      <c r="K130" s="96"/>
      <c r="L130" s="237"/>
      <c r="M130" s="97">
        <f t="shared" ref="M130:O130" si="485">Y130+AB130+AE130+AH130+AK130+AN130+AQ130+AT130+AW130+AZ130+BC130+BF130</f>
        <v>0</v>
      </c>
      <c r="N130" s="97">
        <f t="shared" si="485"/>
        <v>0</v>
      </c>
      <c r="O130" s="97">
        <f t="shared" si="485"/>
        <v>0</v>
      </c>
      <c r="P130" s="97">
        <f t="shared" ref="P130:R130" si="486">IF(BI130=0,SUM(Y130+AB130+AE130+AH130+AK130+AN130+AQ130+AT130+AW130+AZ130+BC130+BF130),BI130)</f>
        <v>0</v>
      </c>
      <c r="Q130" s="97">
        <f t="shared" si="486"/>
        <v>0</v>
      </c>
      <c r="R130" s="97">
        <f t="shared" si="486"/>
        <v>0</v>
      </c>
      <c r="S130" s="97">
        <f t="shared" si="466"/>
        <v>799.02</v>
      </c>
      <c r="T130" s="97">
        <f>J130-N130-N130</f>
        <v>0</v>
      </c>
      <c r="U130" s="97">
        <f t="shared" si="468"/>
        <v>0</v>
      </c>
      <c r="V130" s="94">
        <f t="shared" si="448"/>
        <v>0</v>
      </c>
      <c r="W130" s="94" t="e">
        <f>N130/J130</f>
        <v>#DIV/0!</v>
      </c>
      <c r="X130" s="94" t="e">
        <f>O130/L130</f>
        <v>#DIV/0!</v>
      </c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119"/>
      <c r="AU130" s="96"/>
      <c r="AV130" s="96"/>
      <c r="AW130" s="96"/>
      <c r="AX130" s="96"/>
      <c r="AY130" s="96"/>
      <c r="AZ130" s="96"/>
      <c r="BA130" s="96"/>
      <c r="BB130" s="103">
        <v>0</v>
      </c>
      <c r="BC130" s="96"/>
      <c r="BD130" s="96"/>
      <c r="BE130" s="103">
        <v>0</v>
      </c>
      <c r="BF130" s="96"/>
      <c r="BG130" s="96"/>
      <c r="BH130" s="96"/>
      <c r="BI130" s="96"/>
      <c r="BJ130" s="96"/>
      <c r="BK130" s="96"/>
      <c r="BL130" s="99"/>
      <c r="BM130" s="100"/>
      <c r="BN130" s="100"/>
      <c r="BO130" s="100"/>
      <c r="BP130" s="100"/>
    </row>
    <row r="131" spans="1:68" ht="15.75" customHeight="1">
      <c r="A131" s="228"/>
      <c r="B131" s="228"/>
      <c r="C131" s="229"/>
      <c r="D131" s="230" t="s">
        <v>379</v>
      </c>
      <c r="E131" s="231">
        <f t="shared" ref="E131:F131" si="487">SUM(E132:E136)</f>
        <v>0</v>
      </c>
      <c r="F131" s="231">
        <f t="shared" si="487"/>
        <v>216000</v>
      </c>
      <c r="G131" s="187" t="e">
        <f t="shared" si="459"/>
        <v>#DIV/0!</v>
      </c>
      <c r="H131" s="187" t="e">
        <f t="shared" si="449"/>
        <v>#DIV/0!</v>
      </c>
      <c r="I131" s="231">
        <f t="shared" ref="I131:O131" si="488">SUM(I132:I136)</f>
        <v>0</v>
      </c>
      <c r="J131" s="231">
        <f t="shared" si="488"/>
        <v>0</v>
      </c>
      <c r="K131" s="231">
        <f t="shared" si="488"/>
        <v>0</v>
      </c>
      <c r="L131" s="231">
        <f t="shared" si="488"/>
        <v>110000</v>
      </c>
      <c r="M131" s="231">
        <f t="shared" si="488"/>
        <v>0</v>
      </c>
      <c r="N131" s="238">
        <f t="shared" si="488"/>
        <v>0</v>
      </c>
      <c r="O131" s="238">
        <f t="shared" si="488"/>
        <v>42240</v>
      </c>
      <c r="P131" s="238">
        <f t="shared" ref="P131:R131" si="489">IF(BI131=0,SUM(Y131+AB131+AE131+AH131+AK131+AN131+AQ131+AT131+AW131+AZ131+BC131+BF131),BI131)</f>
        <v>0</v>
      </c>
      <c r="Q131" s="238">
        <f t="shared" si="489"/>
        <v>0</v>
      </c>
      <c r="R131" s="238">
        <f t="shared" si="489"/>
        <v>42240</v>
      </c>
      <c r="S131" s="238">
        <f t="shared" ref="S131:BK131" si="490">SUM(S132:S136)</f>
        <v>0</v>
      </c>
      <c r="T131" s="238">
        <f t="shared" si="490"/>
        <v>0</v>
      </c>
      <c r="U131" s="238">
        <f t="shared" si="490"/>
        <v>67760</v>
      </c>
      <c r="V131" s="238" t="e">
        <f t="shared" si="490"/>
        <v>#DIV/0!</v>
      </c>
      <c r="W131" s="238" t="e">
        <f t="shared" si="490"/>
        <v>#DIV/0!</v>
      </c>
      <c r="X131" s="238" t="e">
        <f t="shared" si="490"/>
        <v>#DIV/0!</v>
      </c>
      <c r="Y131" s="231">
        <f t="shared" si="490"/>
        <v>0</v>
      </c>
      <c r="Z131" s="231">
        <f t="shared" si="490"/>
        <v>0</v>
      </c>
      <c r="AA131" s="231">
        <f t="shared" si="490"/>
        <v>0</v>
      </c>
      <c r="AB131" s="231">
        <f t="shared" si="490"/>
        <v>0</v>
      </c>
      <c r="AC131" s="231">
        <f t="shared" si="490"/>
        <v>0</v>
      </c>
      <c r="AD131" s="231">
        <f t="shared" si="490"/>
        <v>0</v>
      </c>
      <c r="AE131" s="231">
        <f t="shared" si="490"/>
        <v>0</v>
      </c>
      <c r="AF131" s="231">
        <f t="shared" si="490"/>
        <v>0</v>
      </c>
      <c r="AG131" s="231">
        <f t="shared" si="490"/>
        <v>0</v>
      </c>
      <c r="AH131" s="231">
        <f t="shared" si="490"/>
        <v>0</v>
      </c>
      <c r="AI131" s="231">
        <f t="shared" si="490"/>
        <v>0</v>
      </c>
      <c r="AJ131" s="231">
        <f t="shared" si="490"/>
        <v>0</v>
      </c>
      <c r="AK131" s="231">
        <f t="shared" si="490"/>
        <v>0</v>
      </c>
      <c r="AL131" s="231">
        <f t="shared" si="490"/>
        <v>0</v>
      </c>
      <c r="AM131" s="231">
        <f t="shared" si="490"/>
        <v>18000</v>
      </c>
      <c r="AN131" s="231">
        <f t="shared" si="490"/>
        <v>0</v>
      </c>
      <c r="AO131" s="231">
        <f t="shared" si="490"/>
        <v>0</v>
      </c>
      <c r="AP131" s="231">
        <f t="shared" si="490"/>
        <v>6000</v>
      </c>
      <c r="AQ131" s="231">
        <f t="shared" si="490"/>
        <v>0</v>
      </c>
      <c r="AR131" s="231">
        <f t="shared" si="490"/>
        <v>0</v>
      </c>
      <c r="AS131" s="231">
        <f t="shared" si="490"/>
        <v>6000</v>
      </c>
      <c r="AT131" s="231">
        <f t="shared" si="490"/>
        <v>0</v>
      </c>
      <c r="AU131" s="231">
        <f t="shared" si="490"/>
        <v>0</v>
      </c>
      <c r="AV131" s="231">
        <f t="shared" si="490"/>
        <v>12240</v>
      </c>
      <c r="AW131" s="231">
        <f t="shared" si="490"/>
        <v>0</v>
      </c>
      <c r="AX131" s="231">
        <f t="shared" si="490"/>
        <v>0</v>
      </c>
      <c r="AY131" s="231">
        <f t="shared" si="490"/>
        <v>0</v>
      </c>
      <c r="AZ131" s="231">
        <f t="shared" si="490"/>
        <v>0</v>
      </c>
      <c r="BA131" s="231">
        <f t="shared" si="490"/>
        <v>0</v>
      </c>
      <c r="BB131" s="231">
        <f t="shared" si="490"/>
        <v>0</v>
      </c>
      <c r="BC131" s="231">
        <f t="shared" si="490"/>
        <v>0</v>
      </c>
      <c r="BD131" s="231">
        <f t="shared" si="490"/>
        <v>0</v>
      </c>
      <c r="BE131" s="231">
        <f t="shared" si="490"/>
        <v>0</v>
      </c>
      <c r="BF131" s="231">
        <f t="shared" si="490"/>
        <v>0</v>
      </c>
      <c r="BG131" s="231">
        <f t="shared" si="490"/>
        <v>0</v>
      </c>
      <c r="BH131" s="231">
        <f t="shared" si="490"/>
        <v>0</v>
      </c>
      <c r="BI131" s="231">
        <f t="shared" si="490"/>
        <v>0</v>
      </c>
      <c r="BJ131" s="231">
        <f t="shared" si="490"/>
        <v>0</v>
      </c>
      <c r="BK131" s="231">
        <f t="shared" si="490"/>
        <v>0</v>
      </c>
      <c r="BL131" s="233"/>
      <c r="BM131" s="234"/>
      <c r="BN131" s="234"/>
      <c r="BO131" s="234"/>
      <c r="BP131" s="234"/>
    </row>
    <row r="132" spans="1:68" ht="15.75" customHeight="1">
      <c r="A132" s="360" t="s">
        <v>670</v>
      </c>
      <c r="B132" s="111"/>
      <c r="C132" s="90" t="s">
        <v>380</v>
      </c>
      <c r="D132" s="91" t="s">
        <v>381</v>
      </c>
      <c r="E132" s="166"/>
      <c r="F132" s="166">
        <v>216000</v>
      </c>
      <c r="G132" s="94" t="e">
        <f t="shared" si="459"/>
        <v>#DIV/0!</v>
      </c>
      <c r="H132" s="94" t="e">
        <f t="shared" si="449"/>
        <v>#DIV/0!</v>
      </c>
      <c r="I132" s="103">
        <v>0</v>
      </c>
      <c r="J132" s="96"/>
      <c r="K132" s="96"/>
      <c r="L132" s="135">
        <f>12000+192403-94403</f>
        <v>110000</v>
      </c>
      <c r="M132" s="97">
        <f t="shared" ref="M132:O132" si="491">Y132+AB132+AE132+AH132+AK132+AN132+AQ132+AT132+AW132+AZ132+BC132+BF132</f>
        <v>0</v>
      </c>
      <c r="N132" s="97">
        <f t="shared" si="491"/>
        <v>0</v>
      </c>
      <c r="O132" s="97">
        <f t="shared" si="491"/>
        <v>42240</v>
      </c>
      <c r="P132" s="97">
        <f t="shared" ref="P132:R132" si="492">IF(BI132=0,SUM(Y132+AB132+AE132+AH132+AK132+AN132+AQ132+AT132+AW132+AZ132+BC132+BF132),BI132)</f>
        <v>0</v>
      </c>
      <c r="Q132" s="97">
        <f t="shared" si="492"/>
        <v>0</v>
      </c>
      <c r="R132" s="97">
        <f t="shared" si="492"/>
        <v>42240</v>
      </c>
      <c r="S132" s="97">
        <f t="shared" ref="S132:T132" si="493">I132-M132</f>
        <v>0</v>
      </c>
      <c r="T132" s="97">
        <f t="shared" si="493"/>
        <v>0</v>
      </c>
      <c r="U132" s="97">
        <f t="shared" ref="U132:U136" si="494">L132-O132</f>
        <v>67760</v>
      </c>
      <c r="V132" s="98" t="e">
        <f t="shared" ref="V132:W132" si="495">M132/I132</f>
        <v>#DIV/0!</v>
      </c>
      <c r="W132" s="98" t="e">
        <f t="shared" si="495"/>
        <v>#DIV/0!</v>
      </c>
      <c r="X132" s="98">
        <f t="shared" ref="X132:X136" si="496">O132/L132</f>
        <v>0.38400000000000001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103">
        <v>0</v>
      </c>
      <c r="AK132" s="96"/>
      <c r="AL132" s="96"/>
      <c r="AM132" s="103">
        <f>12000+6000</f>
        <v>18000</v>
      </c>
      <c r="AN132" s="96"/>
      <c r="AO132" s="96"/>
      <c r="AP132" s="103">
        <v>6000</v>
      </c>
      <c r="AQ132" s="96"/>
      <c r="AR132" s="96"/>
      <c r="AS132" s="103">
        <v>6000</v>
      </c>
      <c r="AT132" s="119"/>
      <c r="AU132" s="96"/>
      <c r="AV132" s="103">
        <v>12240</v>
      </c>
      <c r="AW132" s="96"/>
      <c r="AX132" s="96"/>
      <c r="AY132" s="103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382</v>
      </c>
      <c r="E133" s="166"/>
      <c r="F133" s="166"/>
      <c r="G133" s="94" t="e">
        <f t="shared" si="459"/>
        <v>#DIV/0!</v>
      </c>
      <c r="H133" s="94" t="e">
        <f t="shared" si="449"/>
        <v>#DIV/0!</v>
      </c>
      <c r="I133" s="96"/>
      <c r="J133" s="96"/>
      <c r="K133" s="96"/>
      <c r="L133" s="83"/>
      <c r="M133" s="97">
        <f t="shared" ref="M133:O133" si="497">Y133+AB133+AE133+AH133+AK133+AN133+AQ133+AT133+AW133+AZ133+BC133+BF133</f>
        <v>0</v>
      </c>
      <c r="N133" s="97">
        <f t="shared" si="497"/>
        <v>0</v>
      </c>
      <c r="O133" s="97">
        <f t="shared" si="497"/>
        <v>0</v>
      </c>
      <c r="P133" s="97">
        <f t="shared" ref="P133:R133" si="498">IF(BI133=0,SUM(Y133+AB133+AE133+AH133+AK133+AN133+AQ133+AT133+AW133+AZ133+BC133+BF133),BI133)</f>
        <v>0</v>
      </c>
      <c r="Q133" s="97">
        <f t="shared" si="498"/>
        <v>0</v>
      </c>
      <c r="R133" s="97">
        <f t="shared" si="498"/>
        <v>0</v>
      </c>
      <c r="S133" s="97">
        <f t="shared" ref="S133:T133" si="499">I133-M133</f>
        <v>0</v>
      </c>
      <c r="T133" s="97">
        <f t="shared" si="499"/>
        <v>0</v>
      </c>
      <c r="U133" s="97">
        <f t="shared" si="494"/>
        <v>0</v>
      </c>
      <c r="V133" s="98" t="e">
        <f t="shared" ref="V133:W133" si="500">M133/I133</f>
        <v>#DIV/0!</v>
      </c>
      <c r="W133" s="98" t="e">
        <f t="shared" si="500"/>
        <v>#DIV/0!</v>
      </c>
      <c r="X133" s="98" t="e">
        <f t="shared" si="496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383</v>
      </c>
      <c r="E134" s="166"/>
      <c r="F134" s="166"/>
      <c r="G134" s="94" t="e">
        <f t="shared" si="459"/>
        <v>#DIV/0!</v>
      </c>
      <c r="H134" s="94" t="e">
        <f t="shared" si="449"/>
        <v>#DIV/0!</v>
      </c>
      <c r="I134" s="96"/>
      <c r="J134" s="96"/>
      <c r="K134" s="96"/>
      <c r="L134" s="96"/>
      <c r="M134" s="97">
        <f t="shared" ref="M134:O134" si="501">Y134+AB134+AE134+AH134+AK134+AN134+AQ134+AT134+AW134+AZ134+BC134+BF134</f>
        <v>0</v>
      </c>
      <c r="N134" s="97">
        <f t="shared" si="501"/>
        <v>0</v>
      </c>
      <c r="O134" s="97">
        <f t="shared" si="501"/>
        <v>0</v>
      </c>
      <c r="P134" s="97">
        <f t="shared" ref="P134:R134" si="502">IF(BI134=0,SUM(Y134+AB134+AE134+AH134+AK134+AN134+AQ134+AT134+AW134+AZ134+BC134+BF134),BI134)</f>
        <v>0</v>
      </c>
      <c r="Q134" s="97">
        <f t="shared" si="502"/>
        <v>0</v>
      </c>
      <c r="R134" s="97">
        <f t="shared" si="502"/>
        <v>0</v>
      </c>
      <c r="S134" s="97">
        <f t="shared" ref="S134:T134" si="503">I134-M134</f>
        <v>0</v>
      </c>
      <c r="T134" s="97">
        <f t="shared" si="503"/>
        <v>0</v>
      </c>
      <c r="U134" s="97">
        <f t="shared" si="494"/>
        <v>0</v>
      </c>
      <c r="V134" s="98" t="e">
        <f t="shared" ref="V134:W134" si="504">M134/I134</f>
        <v>#DIV/0!</v>
      </c>
      <c r="W134" s="98" t="e">
        <f t="shared" si="504"/>
        <v>#DIV/0!</v>
      </c>
      <c r="X134" s="98" t="e">
        <f t="shared" si="496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380</v>
      </c>
      <c r="D135" s="91" t="s">
        <v>384</v>
      </c>
      <c r="E135" s="166"/>
      <c r="F135" s="166"/>
      <c r="G135" s="94" t="e">
        <f t="shared" si="459"/>
        <v>#DIV/0!</v>
      </c>
      <c r="H135" s="94" t="e">
        <f t="shared" si="449"/>
        <v>#DIV/0!</v>
      </c>
      <c r="I135" s="96"/>
      <c r="J135" s="96"/>
      <c r="K135" s="96"/>
      <c r="L135" s="96"/>
      <c r="M135" s="97">
        <f t="shared" ref="M135:O135" si="505">Y135+AB135+AE135+AH135+AK135+AN135+AQ135+AT135+AW135+AZ135+BC135+BF135</f>
        <v>0</v>
      </c>
      <c r="N135" s="97">
        <f t="shared" si="505"/>
        <v>0</v>
      </c>
      <c r="O135" s="97">
        <f t="shared" si="505"/>
        <v>0</v>
      </c>
      <c r="P135" s="97">
        <f t="shared" ref="P135:R135" si="506">IF(BI135=0,SUM(Y135+AB135+AE135+AH135+AK135+AN135+AQ135+AT135+AW135+AZ135+BC135+BF135),BI135)</f>
        <v>0</v>
      </c>
      <c r="Q135" s="97">
        <f t="shared" si="506"/>
        <v>0</v>
      </c>
      <c r="R135" s="97">
        <f t="shared" si="506"/>
        <v>0</v>
      </c>
      <c r="S135" s="97">
        <f t="shared" ref="S135:T135" si="507">I135-M135</f>
        <v>0</v>
      </c>
      <c r="T135" s="97">
        <f t="shared" si="507"/>
        <v>0</v>
      </c>
      <c r="U135" s="97">
        <f t="shared" si="494"/>
        <v>0</v>
      </c>
      <c r="V135" s="98" t="e">
        <f t="shared" ref="V135:W135" si="508">M135/I135</f>
        <v>#DIV/0!</v>
      </c>
      <c r="W135" s="98" t="e">
        <f t="shared" si="508"/>
        <v>#DIV/0!</v>
      </c>
      <c r="X135" s="98" t="e">
        <f t="shared" si="496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5"/>
      <c r="AJ135" s="96"/>
      <c r="AK135" s="96"/>
      <c r="AL135" s="95"/>
      <c r="AM135" s="96"/>
      <c r="AN135" s="96"/>
      <c r="AO135" s="95"/>
      <c r="AP135" s="95"/>
      <c r="AQ135" s="96"/>
      <c r="AR135" s="96"/>
      <c r="AS135" s="95"/>
      <c r="AT135" s="96"/>
      <c r="AU135" s="95"/>
      <c r="AV135" s="95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89"/>
      <c r="B136" s="89"/>
      <c r="C136" s="90" t="s">
        <v>385</v>
      </c>
      <c r="D136" s="91" t="s">
        <v>386</v>
      </c>
      <c r="E136" s="166"/>
      <c r="F136" s="166"/>
      <c r="G136" s="94" t="e">
        <f t="shared" si="459"/>
        <v>#DIV/0!</v>
      </c>
      <c r="H136" s="94" t="e">
        <f t="shared" si="449"/>
        <v>#DIV/0!</v>
      </c>
      <c r="I136" s="96"/>
      <c r="J136" s="96"/>
      <c r="K136" s="96"/>
      <c r="L136" s="239"/>
      <c r="M136" s="97">
        <f t="shared" ref="M136:O136" si="509">Y136+AB136+AE136+AH136+AK136+AN136+AQ136+AT136+AW136+AZ136+BC136+BF136</f>
        <v>0</v>
      </c>
      <c r="N136" s="97">
        <f t="shared" si="509"/>
        <v>0</v>
      </c>
      <c r="O136" s="97">
        <f t="shared" si="509"/>
        <v>0</v>
      </c>
      <c r="P136" s="97">
        <f t="shared" ref="P136:R136" si="510">IF(BI136=0,SUM(Y136+AB136+AE136+AH136+AK136+AN136+AQ136+AT136+AW136+AZ136+BC136+BF136),BI136)</f>
        <v>0</v>
      </c>
      <c r="Q136" s="97">
        <f t="shared" si="510"/>
        <v>0</v>
      </c>
      <c r="R136" s="97">
        <f t="shared" si="510"/>
        <v>0</v>
      </c>
      <c r="S136" s="97">
        <f t="shared" ref="S136:T136" si="511">I136-M136</f>
        <v>0</v>
      </c>
      <c r="T136" s="97">
        <f t="shared" si="511"/>
        <v>0</v>
      </c>
      <c r="U136" s="97">
        <f t="shared" si="494"/>
        <v>0</v>
      </c>
      <c r="V136" s="98" t="e">
        <f t="shared" ref="V136:W136" si="512">M136/I136</f>
        <v>#DIV/0!</v>
      </c>
      <c r="W136" s="98" t="e">
        <f t="shared" si="512"/>
        <v>#DIV/0!</v>
      </c>
      <c r="X136" s="98" t="e">
        <f t="shared" si="496"/>
        <v>#DIV/0!</v>
      </c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9"/>
      <c r="BM136" s="100"/>
      <c r="BN136" s="100"/>
      <c r="BO136" s="100"/>
      <c r="BP136" s="100"/>
    </row>
    <row r="137" spans="1:68" ht="15.75" customHeight="1">
      <c r="A137" s="240"/>
      <c r="B137" s="240"/>
      <c r="C137" s="229"/>
      <c r="D137" s="241" t="s">
        <v>387</v>
      </c>
      <c r="E137" s="242">
        <f t="shared" ref="E137:F137" si="513">SUM(E138:E140)</f>
        <v>0</v>
      </c>
      <c r="F137" s="242">
        <f t="shared" si="513"/>
        <v>867964.47</v>
      </c>
      <c r="G137" s="187" t="e">
        <f t="shared" si="459"/>
        <v>#DIV/0!</v>
      </c>
      <c r="H137" s="187" t="e">
        <f t="shared" si="449"/>
        <v>#DIV/0!</v>
      </c>
      <c r="I137" s="242">
        <f t="shared" ref="I137:O137" si="514">SUM(I138:I140)</f>
        <v>0</v>
      </c>
      <c r="J137" s="242">
        <f t="shared" si="514"/>
        <v>203666.88</v>
      </c>
      <c r="K137" s="242">
        <f t="shared" si="514"/>
        <v>0</v>
      </c>
      <c r="L137" s="242">
        <f t="shared" si="514"/>
        <v>282858.71999999997</v>
      </c>
      <c r="M137" s="242">
        <f t="shared" si="514"/>
        <v>177986.1</v>
      </c>
      <c r="N137" s="243">
        <f t="shared" si="514"/>
        <v>203666.88</v>
      </c>
      <c r="O137" s="243">
        <f t="shared" si="514"/>
        <v>0</v>
      </c>
      <c r="P137" s="243">
        <f t="shared" ref="P137:R137" si="515">IF(BI137=0,SUM(Y137+AB137+AE137+AH137+AK137+AN137+AQ137+AT137+AW137+AZ137+BC137+BF137),BI137)</f>
        <v>177986.1</v>
      </c>
      <c r="Q137" s="243">
        <f t="shared" si="515"/>
        <v>203666.88</v>
      </c>
      <c r="R137" s="243">
        <f t="shared" si="515"/>
        <v>0</v>
      </c>
      <c r="S137" s="242">
        <f t="shared" ref="S137:BK137" si="516">SUM(S138:S140)</f>
        <v>104872.61999999997</v>
      </c>
      <c r="T137" s="186">
        <f t="shared" si="516"/>
        <v>0</v>
      </c>
      <c r="U137" s="186">
        <f t="shared" si="516"/>
        <v>282858.71999999997</v>
      </c>
      <c r="V137" s="186" t="e">
        <f t="shared" si="516"/>
        <v>#DIV/0!</v>
      </c>
      <c r="W137" s="186" t="e">
        <f t="shared" si="516"/>
        <v>#DIV/0!</v>
      </c>
      <c r="X137" s="186" t="e">
        <f t="shared" si="516"/>
        <v>#DIV/0!</v>
      </c>
      <c r="Y137" s="242">
        <f t="shared" si="516"/>
        <v>0</v>
      </c>
      <c r="Z137" s="242">
        <f t="shared" si="516"/>
        <v>0</v>
      </c>
      <c r="AA137" s="242">
        <f t="shared" si="516"/>
        <v>0</v>
      </c>
      <c r="AB137" s="242">
        <f t="shared" si="516"/>
        <v>0</v>
      </c>
      <c r="AC137" s="242">
        <f t="shared" si="516"/>
        <v>0</v>
      </c>
      <c r="AD137" s="242">
        <f t="shared" si="516"/>
        <v>0</v>
      </c>
      <c r="AE137" s="242">
        <f t="shared" si="516"/>
        <v>0</v>
      </c>
      <c r="AF137" s="242">
        <f t="shared" si="516"/>
        <v>59424.31</v>
      </c>
      <c r="AG137" s="242">
        <f t="shared" si="516"/>
        <v>0</v>
      </c>
      <c r="AH137" s="242">
        <f t="shared" si="516"/>
        <v>0</v>
      </c>
      <c r="AI137" s="242">
        <f t="shared" si="516"/>
        <v>71413.69</v>
      </c>
      <c r="AJ137" s="242">
        <f t="shared" si="516"/>
        <v>0</v>
      </c>
      <c r="AK137" s="242">
        <f t="shared" si="516"/>
        <v>0</v>
      </c>
      <c r="AL137" s="242">
        <f t="shared" si="516"/>
        <v>29352.25</v>
      </c>
      <c r="AM137" s="242">
        <f t="shared" si="516"/>
        <v>0</v>
      </c>
      <c r="AN137" s="242">
        <f t="shared" si="516"/>
        <v>31870.57</v>
      </c>
      <c r="AO137" s="242">
        <f t="shared" si="516"/>
        <v>43476.63</v>
      </c>
      <c r="AP137" s="242">
        <f t="shared" si="516"/>
        <v>0</v>
      </c>
      <c r="AQ137" s="242">
        <f t="shared" si="516"/>
        <v>104115.55</v>
      </c>
      <c r="AR137" s="242">
        <f t="shared" si="516"/>
        <v>0</v>
      </c>
      <c r="AS137" s="242">
        <f t="shared" si="516"/>
        <v>0</v>
      </c>
      <c r="AT137" s="242">
        <f t="shared" si="516"/>
        <v>41999.98</v>
      </c>
      <c r="AU137" s="242">
        <f t="shared" si="516"/>
        <v>0</v>
      </c>
      <c r="AV137" s="242">
        <f t="shared" si="516"/>
        <v>0</v>
      </c>
      <c r="AW137" s="242">
        <f t="shared" si="516"/>
        <v>0</v>
      </c>
      <c r="AX137" s="242">
        <f t="shared" si="516"/>
        <v>0</v>
      </c>
      <c r="AY137" s="242">
        <f t="shared" si="516"/>
        <v>0</v>
      </c>
      <c r="AZ137" s="242">
        <f t="shared" si="516"/>
        <v>0</v>
      </c>
      <c r="BA137" s="242">
        <f t="shared" si="516"/>
        <v>0</v>
      </c>
      <c r="BB137" s="242">
        <f t="shared" si="516"/>
        <v>0</v>
      </c>
      <c r="BC137" s="242">
        <f t="shared" si="516"/>
        <v>0</v>
      </c>
      <c r="BD137" s="242">
        <f t="shared" si="516"/>
        <v>0</v>
      </c>
      <c r="BE137" s="242">
        <f t="shared" si="516"/>
        <v>0</v>
      </c>
      <c r="BF137" s="242">
        <f t="shared" si="516"/>
        <v>0</v>
      </c>
      <c r="BG137" s="242">
        <f t="shared" si="516"/>
        <v>0</v>
      </c>
      <c r="BH137" s="242">
        <f t="shared" si="516"/>
        <v>0</v>
      </c>
      <c r="BI137" s="242">
        <f t="shared" si="516"/>
        <v>0</v>
      </c>
      <c r="BJ137" s="242">
        <f t="shared" si="516"/>
        <v>0</v>
      </c>
      <c r="BK137" s="242">
        <f t="shared" si="516"/>
        <v>0</v>
      </c>
      <c r="BL137" s="233"/>
      <c r="BM137" s="234"/>
      <c r="BN137" s="234"/>
      <c r="BO137" s="234"/>
      <c r="BP137" s="234"/>
    </row>
    <row r="138" spans="1:68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195"/>
      <c r="G138" s="94" t="e">
        <f t="shared" ref="G138:G139" si="517">I138/#REF!</f>
        <v>#REF!</v>
      </c>
      <c r="H138" s="94" t="e">
        <f t="shared" ref="H138:H139" si="518">M138/#REF!</f>
        <v>#REF!</v>
      </c>
      <c r="I138" s="96"/>
      <c r="J138" s="96">
        <v>193192.78</v>
      </c>
      <c r="K138" s="96"/>
      <c r="L138" s="96"/>
      <c r="M138" s="97">
        <f t="shared" ref="M138:O138" si="519">Y138+AB138+AE138+AH138+AK138+AN138+AQ138+AT138+AW138+AZ138+BC138+BF138</f>
        <v>0</v>
      </c>
      <c r="N138" s="97">
        <f t="shared" si="519"/>
        <v>193192.78</v>
      </c>
      <c r="O138" s="97">
        <f t="shared" si="519"/>
        <v>0</v>
      </c>
      <c r="P138" s="97">
        <f t="shared" ref="P138:R138" si="520">IF(BI138=0,SUM(Y138+AB138+AE138+AH138+AK138+AN138+AQ138+AT138+AW138+AZ138+BC138+BF138),BI138)</f>
        <v>0</v>
      </c>
      <c r="Q138" s="97">
        <f t="shared" si="520"/>
        <v>193192.78</v>
      </c>
      <c r="R138" s="97">
        <f t="shared" si="520"/>
        <v>0</v>
      </c>
      <c r="S138" s="97">
        <f t="shared" ref="S138:T138" si="521">I138-M138</f>
        <v>0</v>
      </c>
      <c r="T138" s="97">
        <f t="shared" si="521"/>
        <v>0</v>
      </c>
      <c r="U138" s="97">
        <f t="shared" ref="U138:U140" si="522">L138-O138</f>
        <v>0</v>
      </c>
      <c r="V138" s="98" t="e">
        <f t="shared" ref="V138:W138" si="523">M138/I138</f>
        <v>#DIV/0!</v>
      </c>
      <c r="W138" s="98">
        <f t="shared" si="523"/>
        <v>1</v>
      </c>
      <c r="X138" s="98" t="e">
        <f t="shared" ref="X138:X139" si="524">O138/L138</f>
        <v>#DIV/0!</v>
      </c>
      <c r="Y138" s="96"/>
      <c r="Z138" s="96"/>
      <c r="AA138" s="96"/>
      <c r="AB138" s="96"/>
      <c r="AC138" s="96"/>
      <c r="AD138" s="96"/>
      <c r="AE138" s="96"/>
      <c r="AF138" s="96">
        <f>59424.31</f>
        <v>59424.31</v>
      </c>
      <c r="AG138" s="96"/>
      <c r="AH138" s="96"/>
      <c r="AI138" s="96">
        <f>31947.84+39465.85</f>
        <v>71413.69</v>
      </c>
      <c r="AJ138" s="96"/>
      <c r="AK138" s="96"/>
      <c r="AL138" s="103">
        <v>29352.25</v>
      </c>
      <c r="AM138" s="96"/>
      <c r="AN138" s="96"/>
      <c r="AO138" s="260">
        <v>33002.53</v>
      </c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/>
      <c r="C139" s="101" t="s">
        <v>388</v>
      </c>
      <c r="D139" s="122" t="s">
        <v>139</v>
      </c>
      <c r="E139" s="92"/>
      <c r="F139" s="195">
        <v>400000</v>
      </c>
      <c r="G139" s="94" t="e">
        <f t="shared" si="517"/>
        <v>#REF!</v>
      </c>
      <c r="H139" s="94" t="e">
        <f t="shared" si="518"/>
        <v>#REF!</v>
      </c>
      <c r="I139" s="119"/>
      <c r="J139" s="96"/>
      <c r="K139" s="96"/>
      <c r="L139" s="202"/>
      <c r="M139" s="97">
        <f t="shared" ref="M139:O139" si="525">Y139+AB139+AE139+AH139+AK139+AN139+AQ139+AT139+AW139+AZ139+BC139+BF139</f>
        <v>0</v>
      </c>
      <c r="N139" s="97">
        <f t="shared" si="525"/>
        <v>0</v>
      </c>
      <c r="O139" s="97">
        <f t="shared" si="525"/>
        <v>0</v>
      </c>
      <c r="P139" s="97">
        <f t="shared" ref="P139:R139" si="526">IF(BI139=0,SUM(Y139+AB139+AE139+AH139+AK139+AN139+AQ139+AT139+AW139+AZ139+BC139+BF139),BI139)</f>
        <v>0</v>
      </c>
      <c r="Q139" s="97">
        <f t="shared" si="526"/>
        <v>0</v>
      </c>
      <c r="R139" s="97">
        <f t="shared" si="526"/>
        <v>0</v>
      </c>
      <c r="S139" s="97">
        <f t="shared" ref="S139:T139" si="527">I139-M139</f>
        <v>0</v>
      </c>
      <c r="T139" s="97">
        <f t="shared" si="527"/>
        <v>0</v>
      </c>
      <c r="U139" s="97">
        <f t="shared" si="522"/>
        <v>0</v>
      </c>
      <c r="V139" s="98" t="e">
        <f t="shared" ref="V139:W139" si="528">M139/I139</f>
        <v>#DIV/0!</v>
      </c>
      <c r="W139" s="98" t="e">
        <f t="shared" si="528"/>
        <v>#DIV/0!</v>
      </c>
      <c r="X139" s="98" t="e">
        <f t="shared" si="524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129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354" t="s">
        <v>801</v>
      </c>
      <c r="B140" s="206" t="s">
        <v>389</v>
      </c>
      <c r="C140" s="90"/>
      <c r="D140" s="122" t="s">
        <v>139</v>
      </c>
      <c r="E140" s="166"/>
      <c r="F140" s="166">
        <v>467964.47</v>
      </c>
      <c r="G140" s="94" t="e">
        <f>L140/E140</f>
        <v>#DIV/0!</v>
      </c>
      <c r="H140" s="94" t="e">
        <f t="shared" ref="H140:H144" si="529">M140/E140</f>
        <v>#DIV/0!</v>
      </c>
      <c r="J140" s="96">
        <v>10474.1</v>
      </c>
      <c r="K140" s="96"/>
      <c r="L140" s="103">
        <f>282858.72-117754.55+117754.55</f>
        <v>282858.71999999997</v>
      </c>
      <c r="M140" s="97">
        <f t="shared" ref="M140:O140" si="530">Y140+AB140+AE140+AH140+AK140+AN140+AQ140+AT140+AW140+AZ140+BC140+BF140</f>
        <v>177986.1</v>
      </c>
      <c r="N140" s="97">
        <f t="shared" si="530"/>
        <v>10474.099999999999</v>
      </c>
      <c r="O140" s="97">
        <f t="shared" si="530"/>
        <v>0</v>
      </c>
      <c r="P140" s="97">
        <f t="shared" ref="P140:R140" si="531">IF(BI140=0,SUM(Y140+AB140+AE140+AH140+AK140+AN140+AQ140+AT140+AW140+AZ140+BC140+BF140),BI140)</f>
        <v>177986.1</v>
      </c>
      <c r="Q140" s="97">
        <f t="shared" si="531"/>
        <v>10474.099999999999</v>
      </c>
      <c r="R140" s="97">
        <f t="shared" si="531"/>
        <v>0</v>
      </c>
      <c r="S140" s="97">
        <f>L140-M140</f>
        <v>104872.61999999997</v>
      </c>
      <c r="T140" s="97">
        <f>J140-N140</f>
        <v>0</v>
      </c>
      <c r="U140" s="97">
        <f t="shared" si="522"/>
        <v>282858.71999999997</v>
      </c>
      <c r="V140" s="98">
        <f>M140/L140</f>
        <v>0.62924027938753324</v>
      </c>
      <c r="W140" s="98">
        <f>N140/J140</f>
        <v>0.99999999999999978</v>
      </c>
      <c r="X140" s="98" t="e">
        <f>O140/#REF!</f>
        <v>#REF!</v>
      </c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103">
        <v>31870.57</v>
      </c>
      <c r="AO140" s="260">
        <f>1807.54+8666.56</f>
        <v>10474.099999999999</v>
      </c>
      <c r="AP140" s="96"/>
      <c r="AQ140" s="96">
        <f>36000.8+34348.17+33766.58</f>
        <v>104115.55</v>
      </c>
      <c r="AR140" s="96"/>
      <c r="AS140" s="96"/>
      <c r="AT140" s="103">
        <v>41999.98</v>
      </c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9"/>
      <c r="BM140" s="100"/>
      <c r="BN140" s="100"/>
      <c r="BO140" s="100"/>
      <c r="BP140" s="100"/>
    </row>
    <row r="141" spans="1:68" ht="15.75" customHeight="1">
      <c r="A141" s="240"/>
      <c r="B141" s="240"/>
      <c r="C141" s="229"/>
      <c r="D141" s="241" t="s">
        <v>390</v>
      </c>
      <c r="E141" s="242">
        <f t="shared" ref="E141:F141" si="532">SUM(E142:E144)</f>
        <v>0</v>
      </c>
      <c r="F141" s="242">
        <f t="shared" si="532"/>
        <v>90000</v>
      </c>
      <c r="G141" s="187" t="e">
        <f t="shared" ref="G141:G142" si="533">I141/E141</f>
        <v>#DIV/0!</v>
      </c>
      <c r="H141" s="187" t="e">
        <f t="shared" si="529"/>
        <v>#DIV/0!</v>
      </c>
      <c r="I141" s="242">
        <f>SUM(I142:I144)</f>
        <v>0</v>
      </c>
      <c r="J141" s="242">
        <f t="shared" ref="J141:K141" si="534">SUM(J142:J145)</f>
        <v>4237.2</v>
      </c>
      <c r="K141" s="242">
        <f t="shared" si="534"/>
        <v>0</v>
      </c>
      <c r="L141" s="242">
        <f t="shared" ref="L141:M141" si="535">SUM(L142:L144)</f>
        <v>77498.600000000006</v>
      </c>
      <c r="M141" s="242">
        <f t="shared" si="535"/>
        <v>0</v>
      </c>
      <c r="N141" s="243">
        <f>SUM(N142:N145)</f>
        <v>4237.2</v>
      </c>
      <c r="O141" s="243">
        <f>SUM(O142:O144)</f>
        <v>0</v>
      </c>
      <c r="P141" s="243">
        <f t="shared" ref="P141:R141" si="536">IF(BI141=0,SUM(Y141+AB141+AE141+AH141+AK141+AN141+AQ141+AT141+AW141+AZ141+BC141+BF141),BI141)</f>
        <v>0</v>
      </c>
      <c r="Q141" s="243">
        <f t="shared" si="536"/>
        <v>4237.2</v>
      </c>
      <c r="R141" s="243">
        <f t="shared" si="536"/>
        <v>0</v>
      </c>
      <c r="S141" s="242">
        <f t="shared" ref="S141:AE141" si="537">SUM(S142:S144)</f>
        <v>77498.600000000006</v>
      </c>
      <c r="T141" s="186">
        <f t="shared" si="537"/>
        <v>0</v>
      </c>
      <c r="U141" s="186">
        <f t="shared" si="537"/>
        <v>77498.600000000006</v>
      </c>
      <c r="V141" s="186" t="e">
        <f t="shared" si="537"/>
        <v>#DIV/0!</v>
      </c>
      <c r="W141" s="186" t="e">
        <f t="shared" si="537"/>
        <v>#DIV/0!</v>
      </c>
      <c r="X141" s="186" t="e">
        <f t="shared" si="537"/>
        <v>#DIV/0!</v>
      </c>
      <c r="Y141" s="242">
        <f t="shared" si="537"/>
        <v>0</v>
      </c>
      <c r="Z141" s="242">
        <f t="shared" si="537"/>
        <v>0</v>
      </c>
      <c r="AA141" s="242">
        <f t="shared" si="537"/>
        <v>0</v>
      </c>
      <c r="AB141" s="242">
        <f t="shared" si="537"/>
        <v>0</v>
      </c>
      <c r="AC141" s="242">
        <f t="shared" si="537"/>
        <v>0</v>
      </c>
      <c r="AD141" s="242">
        <f t="shared" si="537"/>
        <v>0</v>
      </c>
      <c r="AE141" s="242">
        <f t="shared" si="537"/>
        <v>0</v>
      </c>
      <c r="AF141" s="242">
        <f>SUM(AF142:AF145)</f>
        <v>4237.2</v>
      </c>
      <c r="AG141" s="242">
        <f t="shared" ref="AG141:AP141" si="538">SUM(AG142:AG144)</f>
        <v>0</v>
      </c>
      <c r="AH141" s="242">
        <f t="shared" si="538"/>
        <v>0</v>
      </c>
      <c r="AI141" s="242">
        <f t="shared" si="538"/>
        <v>0</v>
      </c>
      <c r="AJ141" s="242">
        <f t="shared" si="538"/>
        <v>0</v>
      </c>
      <c r="AK141" s="242">
        <f t="shared" si="538"/>
        <v>0</v>
      </c>
      <c r="AL141" s="242">
        <f t="shared" si="538"/>
        <v>0</v>
      </c>
      <c r="AM141" s="242">
        <f t="shared" si="538"/>
        <v>0</v>
      </c>
      <c r="AN141" s="242">
        <f t="shared" si="538"/>
        <v>0</v>
      </c>
      <c r="AO141" s="242">
        <f t="shared" si="538"/>
        <v>0</v>
      </c>
      <c r="AP141" s="242">
        <f t="shared" si="538"/>
        <v>0</v>
      </c>
      <c r="AQ141" s="242">
        <f t="shared" ref="AQ141:AR141" si="539">SUM(AQ142:AQ145)</f>
        <v>0</v>
      </c>
      <c r="AR141" s="242">
        <f t="shared" si="539"/>
        <v>0</v>
      </c>
      <c r="AS141" s="242">
        <f t="shared" ref="AS141:BK141" si="540">SUM(AS142:AS144)</f>
        <v>0</v>
      </c>
      <c r="AT141" s="242">
        <f t="shared" si="540"/>
        <v>0</v>
      </c>
      <c r="AU141" s="242">
        <f t="shared" si="540"/>
        <v>0</v>
      </c>
      <c r="AV141" s="242">
        <f t="shared" si="540"/>
        <v>0</v>
      </c>
      <c r="AW141" s="242">
        <f t="shared" si="540"/>
        <v>0</v>
      </c>
      <c r="AX141" s="242">
        <f t="shared" si="540"/>
        <v>0</v>
      </c>
      <c r="AY141" s="242">
        <f t="shared" si="540"/>
        <v>0</v>
      </c>
      <c r="AZ141" s="242">
        <f t="shared" si="540"/>
        <v>0</v>
      </c>
      <c r="BA141" s="242">
        <f t="shared" si="540"/>
        <v>0</v>
      </c>
      <c r="BB141" s="242">
        <f t="shared" si="540"/>
        <v>0</v>
      </c>
      <c r="BC141" s="242">
        <f t="shared" si="540"/>
        <v>0</v>
      </c>
      <c r="BD141" s="242">
        <f t="shared" si="540"/>
        <v>0</v>
      </c>
      <c r="BE141" s="242">
        <f t="shared" si="540"/>
        <v>0</v>
      </c>
      <c r="BF141" s="242">
        <f t="shared" si="540"/>
        <v>0</v>
      </c>
      <c r="BG141" s="242">
        <f t="shared" si="540"/>
        <v>0</v>
      </c>
      <c r="BH141" s="242">
        <f t="shared" si="540"/>
        <v>0</v>
      </c>
      <c r="BI141" s="242">
        <f t="shared" si="540"/>
        <v>0</v>
      </c>
      <c r="BJ141" s="242">
        <f t="shared" si="540"/>
        <v>0</v>
      </c>
      <c r="BK141" s="242">
        <f t="shared" si="540"/>
        <v>0</v>
      </c>
      <c r="BL141" s="233"/>
      <c r="BM141" s="234"/>
      <c r="BN141" s="234"/>
      <c r="BO141" s="234"/>
      <c r="BP141" s="234"/>
    </row>
    <row r="142" spans="1:68" ht="15.75" customHeight="1">
      <c r="A142" s="89"/>
      <c r="B142" s="89"/>
      <c r="C142" s="90" t="s">
        <v>388</v>
      </c>
      <c r="D142" s="122" t="s">
        <v>802</v>
      </c>
      <c r="E142" s="166"/>
      <c r="F142" s="147"/>
      <c r="G142" s="94" t="e">
        <f t="shared" si="533"/>
        <v>#DIV/0!</v>
      </c>
      <c r="H142" s="94" t="e">
        <f t="shared" si="529"/>
        <v>#DIV/0!</v>
      </c>
      <c r="I142" s="96"/>
      <c r="J142" s="96"/>
      <c r="K142" s="96"/>
      <c r="L142" s="202"/>
      <c r="M142" s="97">
        <f t="shared" ref="M142:O142" si="541">Y142+AB142+AE142+AH142+AK142+AN142+AQ142+AT142+AW142+AZ142+BC142+BF142</f>
        <v>0</v>
      </c>
      <c r="N142" s="97">
        <f t="shared" si="541"/>
        <v>0</v>
      </c>
      <c r="O142" s="97">
        <f t="shared" si="541"/>
        <v>0</v>
      </c>
      <c r="P142" s="97">
        <f t="shared" ref="P142:R142" si="542">IF(BI142=0,SUM(Y142+AB142+AE142+AH142+AK142+AN142+AQ142+AT142+AW142+AZ142+BC142+BF142),BI142)</f>
        <v>0</v>
      </c>
      <c r="Q142" s="97">
        <f t="shared" si="542"/>
        <v>0</v>
      </c>
      <c r="R142" s="97">
        <f t="shared" si="542"/>
        <v>0</v>
      </c>
      <c r="S142" s="97">
        <f t="shared" ref="S142:T142" si="543">I142-M142</f>
        <v>0</v>
      </c>
      <c r="T142" s="97">
        <f t="shared" si="543"/>
        <v>0</v>
      </c>
      <c r="U142" s="97">
        <f t="shared" ref="U142:U144" si="544">L142-O142</f>
        <v>0</v>
      </c>
      <c r="V142" s="98" t="e">
        <f t="shared" ref="V142:W142" si="545">M142/I142</f>
        <v>#DIV/0!</v>
      </c>
      <c r="W142" s="98" t="e">
        <f t="shared" si="545"/>
        <v>#DIV/0!</v>
      </c>
      <c r="X142" s="98" t="e">
        <f>O142/L142</f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356" t="s">
        <v>803</v>
      </c>
      <c r="B143" s="89"/>
      <c r="C143" s="90" t="s">
        <v>385</v>
      </c>
      <c r="D143" s="91" t="s">
        <v>392</v>
      </c>
      <c r="E143" s="166"/>
      <c r="F143" s="194">
        <v>90000</v>
      </c>
      <c r="G143" s="94" t="e">
        <f>L143/E143</f>
        <v>#DIV/0!</v>
      </c>
      <c r="H143" s="94" t="e">
        <f t="shared" si="529"/>
        <v>#DIV/0!</v>
      </c>
      <c r="J143" s="96"/>
      <c r="K143" s="96"/>
      <c r="L143" s="202">
        <f>26734.8+23873.8+26887.4+2.6</f>
        <v>77498.600000000006</v>
      </c>
      <c r="M143" s="97">
        <f t="shared" ref="M143:O143" si="546">Y143+AB143+AE143+AH143+AK143+AN143+AQ143+AT143+AW143+AZ143+BC143+BF143</f>
        <v>0</v>
      </c>
      <c r="N143" s="97">
        <f t="shared" si="546"/>
        <v>0</v>
      </c>
      <c r="O143" s="97">
        <f t="shared" si="546"/>
        <v>0</v>
      </c>
      <c r="P143" s="97">
        <f t="shared" ref="P143:R143" si="547">IF(BI143=0,SUM(Y143+AB143+AE143+AH143+AK143+AN143+AQ143+AT143+AW143+AZ143+BC143+BF143),BI143)</f>
        <v>0</v>
      </c>
      <c r="Q143" s="97">
        <f t="shared" si="547"/>
        <v>0</v>
      </c>
      <c r="R143" s="97">
        <f t="shared" si="547"/>
        <v>0</v>
      </c>
      <c r="S143" s="97">
        <f>L143-M143</f>
        <v>77498.600000000006</v>
      </c>
      <c r="T143" s="97">
        <f>J143-N143</f>
        <v>0</v>
      </c>
      <c r="U143" s="97">
        <f t="shared" si="544"/>
        <v>77498.600000000006</v>
      </c>
      <c r="V143" s="98">
        <f>M143/L143</f>
        <v>0</v>
      </c>
      <c r="W143" s="98" t="e">
        <f>N143/J143</f>
        <v>#DIV/0!</v>
      </c>
      <c r="X143" s="98" t="e">
        <f>O143/#REF!</f>
        <v>#REF!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103">
        <v>0</v>
      </c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89"/>
      <c r="C144" s="90" t="s">
        <v>385</v>
      </c>
      <c r="D144" s="91" t="s">
        <v>393</v>
      </c>
      <c r="E144" s="166"/>
      <c r="F144" s="166"/>
      <c r="G144" s="94" t="e">
        <f>I144/E144</f>
        <v>#DIV/0!</v>
      </c>
      <c r="H144" s="94" t="e">
        <f t="shared" si="529"/>
        <v>#DIV/0!</v>
      </c>
      <c r="I144" s="96"/>
      <c r="J144" s="96"/>
      <c r="K144" s="96"/>
      <c r="L144" s="244"/>
      <c r="M144" s="97">
        <f t="shared" ref="M144:O144" si="548">Y144+AB144+AE144+AH144+AK144+AN144+AQ144+AT144+AW144+AZ144+BC144+BF144</f>
        <v>0</v>
      </c>
      <c r="N144" s="97">
        <f t="shared" si="548"/>
        <v>0</v>
      </c>
      <c r="O144" s="97">
        <f t="shared" si="548"/>
        <v>0</v>
      </c>
      <c r="P144" s="97">
        <f t="shared" ref="P144:R144" si="549">IF(BI144=0,SUM(Y144+AB144+AE144+AH144+AK144+AN144+AQ144+AT144+AW144+AZ144+BC144+BF144),BI144)</f>
        <v>0</v>
      </c>
      <c r="Q144" s="97">
        <f t="shared" si="549"/>
        <v>0</v>
      </c>
      <c r="R144" s="97">
        <f t="shared" si="549"/>
        <v>0</v>
      </c>
      <c r="S144" s="97">
        <f t="shared" ref="S144:T144" si="550">I144-M144</f>
        <v>0</v>
      </c>
      <c r="T144" s="97">
        <f t="shared" si="550"/>
        <v>0</v>
      </c>
      <c r="U144" s="97">
        <f t="shared" si="544"/>
        <v>0</v>
      </c>
      <c r="V144" s="98" t="e">
        <f t="shared" ref="V144:W144" si="551">M144/I144</f>
        <v>#DIV/0!</v>
      </c>
      <c r="W144" s="98" t="e">
        <f t="shared" si="551"/>
        <v>#DIV/0!</v>
      </c>
      <c r="X144" s="98" t="e">
        <f>O144/L144</f>
        <v>#DIV/0!</v>
      </c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166"/>
      <c r="G145" s="94"/>
      <c r="H145" s="94"/>
      <c r="I145" s="96"/>
      <c r="J145" s="96">
        <v>4237.2</v>
      </c>
      <c r="K145" s="96"/>
      <c r="L145" s="244"/>
      <c r="M145" s="97"/>
      <c r="N145" s="97">
        <f t="shared" ref="N145:O145" si="552">Z145+AC145+AF145+AI145+AL145+AO145+AR145+AU145+AX145+BA145+BD145+BG145</f>
        <v>4237.2</v>
      </c>
      <c r="O145" s="97">
        <f t="shared" si="552"/>
        <v>0</v>
      </c>
      <c r="P145" s="97">
        <f t="shared" ref="P145:Q145" si="553">IF(BI145=0,SUM(Y145+AB145+AE145+AH145+AK145+AN145+AQ145+AT145+AW145+AZ145+BC145+BF145),BI145)</f>
        <v>0</v>
      </c>
      <c r="Q145" s="97">
        <f t="shared" si="553"/>
        <v>4237.2</v>
      </c>
      <c r="R145" s="97"/>
      <c r="S145" s="97"/>
      <c r="T145" s="97"/>
      <c r="U145" s="97"/>
      <c r="V145" s="98"/>
      <c r="W145" s="98"/>
      <c r="X145" s="98"/>
      <c r="Y145" s="96"/>
      <c r="Z145" s="96"/>
      <c r="AA145" s="96"/>
      <c r="AB145" s="96"/>
      <c r="AC145" s="96"/>
      <c r="AD145" s="96"/>
      <c r="AE145" s="96"/>
      <c r="AF145" s="103">
        <f>3088+1149.2</f>
        <v>4237.2</v>
      </c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9"/>
      <c r="BM145" s="100"/>
      <c r="BN145" s="100"/>
      <c r="BO145" s="100"/>
      <c r="BP145" s="100"/>
    </row>
    <row r="146" spans="1:68" ht="15.75" customHeight="1">
      <c r="A146" s="182"/>
      <c r="B146" s="182"/>
      <c r="C146" s="222"/>
      <c r="D146" s="224" t="s">
        <v>397</v>
      </c>
      <c r="E146" s="186">
        <f t="shared" ref="E146:F146" si="554">SUM(E147:E150)</f>
        <v>0</v>
      </c>
      <c r="F146" s="186">
        <f t="shared" si="554"/>
        <v>0</v>
      </c>
      <c r="G146" s="223" t="e">
        <f t="shared" ref="G146:G148" si="555">I146/E146</f>
        <v>#DIV/0!</v>
      </c>
      <c r="H146" s="187" t="e">
        <f t="shared" ref="H146:H148" si="556">M146/E146</f>
        <v>#DIV/0!</v>
      </c>
      <c r="I146" s="186">
        <f t="shared" ref="I146:O146" si="557">SUM(I147:I150)</f>
        <v>0</v>
      </c>
      <c r="J146" s="186">
        <f t="shared" si="557"/>
        <v>500</v>
      </c>
      <c r="K146" s="186">
        <f t="shared" si="557"/>
        <v>0</v>
      </c>
      <c r="L146" s="186">
        <f t="shared" si="557"/>
        <v>0</v>
      </c>
      <c r="M146" s="186">
        <f t="shared" si="557"/>
        <v>0</v>
      </c>
      <c r="N146" s="186">
        <f t="shared" si="557"/>
        <v>500</v>
      </c>
      <c r="O146" s="186">
        <f t="shared" si="557"/>
        <v>0</v>
      </c>
      <c r="P146" s="245">
        <f t="shared" ref="P146:R146" si="558">IF(BI146=0,SUM(Y146+AB146+AE146+AH146+AK146+AN146+AQ146+AT146+AW146+AZ146+BC146+BF146),BI146)</f>
        <v>0</v>
      </c>
      <c r="Q146" s="245">
        <f t="shared" si="558"/>
        <v>500</v>
      </c>
      <c r="R146" s="245">
        <f t="shared" si="558"/>
        <v>0</v>
      </c>
      <c r="S146" s="186">
        <f t="shared" ref="S146:U146" si="559">SUM(S147:S150)</f>
        <v>0</v>
      </c>
      <c r="T146" s="186">
        <f t="shared" si="559"/>
        <v>0</v>
      </c>
      <c r="U146" s="186">
        <f t="shared" si="559"/>
        <v>0</v>
      </c>
      <c r="V146" s="189" t="e">
        <f t="shared" ref="V146:W146" si="560">M146/I146</f>
        <v>#DIV/0!</v>
      </c>
      <c r="W146" s="189">
        <f t="shared" si="560"/>
        <v>1</v>
      </c>
      <c r="X146" s="189" t="e">
        <f t="shared" ref="X146:X148" si="561">O146/L146</f>
        <v>#DIV/0!</v>
      </c>
      <c r="Y146" s="186">
        <f t="shared" ref="Y146:BK146" si="562">SUM(Y147:Y150)</f>
        <v>0</v>
      </c>
      <c r="Z146" s="186">
        <f t="shared" si="562"/>
        <v>500</v>
      </c>
      <c r="AA146" s="186">
        <f t="shared" si="562"/>
        <v>0</v>
      </c>
      <c r="AB146" s="186">
        <f t="shared" si="562"/>
        <v>0</v>
      </c>
      <c r="AC146" s="186">
        <f t="shared" si="562"/>
        <v>0</v>
      </c>
      <c r="AD146" s="186">
        <f t="shared" si="562"/>
        <v>0</v>
      </c>
      <c r="AE146" s="186">
        <f t="shared" si="562"/>
        <v>0</v>
      </c>
      <c r="AF146" s="186">
        <f t="shared" si="562"/>
        <v>0</v>
      </c>
      <c r="AG146" s="186">
        <f t="shared" si="562"/>
        <v>0</v>
      </c>
      <c r="AH146" s="186">
        <f t="shared" si="562"/>
        <v>0</v>
      </c>
      <c r="AI146" s="186">
        <f t="shared" si="562"/>
        <v>0</v>
      </c>
      <c r="AJ146" s="186">
        <f t="shared" si="562"/>
        <v>0</v>
      </c>
      <c r="AK146" s="186">
        <f t="shared" si="562"/>
        <v>0</v>
      </c>
      <c r="AL146" s="186">
        <f t="shared" si="562"/>
        <v>0</v>
      </c>
      <c r="AM146" s="186">
        <f t="shared" si="562"/>
        <v>0</v>
      </c>
      <c r="AN146" s="186">
        <f t="shared" si="562"/>
        <v>0</v>
      </c>
      <c r="AO146" s="186">
        <f t="shared" si="562"/>
        <v>0</v>
      </c>
      <c r="AP146" s="186">
        <f t="shared" si="562"/>
        <v>0</v>
      </c>
      <c r="AQ146" s="186">
        <f t="shared" si="562"/>
        <v>0</v>
      </c>
      <c r="AR146" s="186">
        <f t="shared" si="562"/>
        <v>0</v>
      </c>
      <c r="AS146" s="186">
        <f t="shared" si="562"/>
        <v>0</v>
      </c>
      <c r="AT146" s="186">
        <f t="shared" si="562"/>
        <v>0</v>
      </c>
      <c r="AU146" s="186">
        <f t="shared" si="562"/>
        <v>0</v>
      </c>
      <c r="AV146" s="186">
        <f t="shared" si="562"/>
        <v>0</v>
      </c>
      <c r="AW146" s="186">
        <f t="shared" si="562"/>
        <v>0</v>
      </c>
      <c r="AX146" s="186">
        <f t="shared" si="562"/>
        <v>0</v>
      </c>
      <c r="AY146" s="186">
        <f t="shared" si="562"/>
        <v>0</v>
      </c>
      <c r="AZ146" s="186">
        <f t="shared" si="562"/>
        <v>0</v>
      </c>
      <c r="BA146" s="186">
        <f t="shared" si="562"/>
        <v>0</v>
      </c>
      <c r="BB146" s="186">
        <f t="shared" si="562"/>
        <v>0</v>
      </c>
      <c r="BC146" s="186">
        <f t="shared" si="562"/>
        <v>0</v>
      </c>
      <c r="BD146" s="186">
        <f t="shared" si="562"/>
        <v>0</v>
      </c>
      <c r="BE146" s="186">
        <f t="shared" si="562"/>
        <v>0</v>
      </c>
      <c r="BF146" s="186">
        <f t="shared" si="562"/>
        <v>0</v>
      </c>
      <c r="BG146" s="186">
        <f t="shared" si="562"/>
        <v>0</v>
      </c>
      <c r="BH146" s="186">
        <f t="shared" si="562"/>
        <v>0</v>
      </c>
      <c r="BI146" s="186">
        <f t="shared" si="562"/>
        <v>0</v>
      </c>
      <c r="BJ146" s="186">
        <f t="shared" si="562"/>
        <v>0</v>
      </c>
      <c r="BK146" s="186">
        <f t="shared" si="562"/>
        <v>0</v>
      </c>
      <c r="BL146" s="157"/>
      <c r="BM146" s="158"/>
      <c r="BN146" s="158"/>
      <c r="BO146" s="158"/>
      <c r="BP146" s="158"/>
    </row>
    <row r="147" spans="1:68" ht="15.75" customHeight="1">
      <c r="A147" s="89"/>
      <c r="B147" s="89"/>
      <c r="C147" s="90" t="s">
        <v>318</v>
      </c>
      <c r="D147" s="91" t="s">
        <v>366</v>
      </c>
      <c r="E147" s="166"/>
      <c r="F147" s="166"/>
      <c r="G147" s="94" t="e">
        <f t="shared" si="555"/>
        <v>#DIV/0!</v>
      </c>
      <c r="H147" s="94" t="e">
        <f t="shared" si="556"/>
        <v>#DIV/0!</v>
      </c>
      <c r="I147" s="142"/>
      <c r="J147" s="96"/>
      <c r="K147" s="96"/>
      <c r="L147" s="202"/>
      <c r="M147" s="97">
        <f t="shared" ref="M147:O147" si="563">Y147+AB147+AE147+AH147+AK147+AN147+AQ147+AT147+AW147+AZ147+BC147+BF147</f>
        <v>0</v>
      </c>
      <c r="N147" s="97">
        <f t="shared" si="563"/>
        <v>0</v>
      </c>
      <c r="O147" s="97">
        <f t="shared" si="563"/>
        <v>0</v>
      </c>
      <c r="P147" s="97">
        <f t="shared" ref="P147:R147" si="564">IF(BI147=0,SUM(Y147+AB147+AE147+AH147+AK147+AN147+AQ147+AT147+AW147+AZ147+BC147+BF147),BI147)</f>
        <v>0</v>
      </c>
      <c r="Q147" s="97">
        <f t="shared" si="564"/>
        <v>0</v>
      </c>
      <c r="R147" s="97">
        <f t="shared" si="564"/>
        <v>0</v>
      </c>
      <c r="S147" s="97">
        <f t="shared" ref="S147:T147" si="565">I147-M147</f>
        <v>0</v>
      </c>
      <c r="T147" s="97">
        <f t="shared" si="565"/>
        <v>0</v>
      </c>
      <c r="U147" s="97">
        <f t="shared" ref="U147:U148" si="566">L147-O147</f>
        <v>0</v>
      </c>
      <c r="V147" s="98" t="e">
        <f t="shared" ref="V147:W147" si="567">M147/I147</f>
        <v>#DIV/0!</v>
      </c>
      <c r="W147" s="98" t="e">
        <f t="shared" si="567"/>
        <v>#DIV/0!</v>
      </c>
      <c r="X147" s="98" t="e">
        <f t="shared" si="561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89"/>
      <c r="C148" s="90" t="s">
        <v>367</v>
      </c>
      <c r="D148" s="91" t="s">
        <v>398</v>
      </c>
      <c r="E148" s="166"/>
      <c r="F148" s="166"/>
      <c r="G148" s="94" t="e">
        <f t="shared" si="555"/>
        <v>#DIV/0!</v>
      </c>
      <c r="H148" s="94" t="e">
        <f t="shared" si="556"/>
        <v>#DIV/0!</v>
      </c>
      <c r="I148" s="119"/>
      <c r="J148" s="96"/>
      <c r="K148" s="96"/>
      <c r="L148" s="202"/>
      <c r="M148" s="97">
        <f t="shared" ref="M148:O148" si="568">Y148+AB148+AE148+AH148+AK148+AN148+AQ148+AT148+AW148+AZ148+BC148+BF148</f>
        <v>0</v>
      </c>
      <c r="N148" s="97">
        <f t="shared" si="568"/>
        <v>0</v>
      </c>
      <c r="O148" s="97">
        <f t="shared" si="568"/>
        <v>0</v>
      </c>
      <c r="P148" s="97">
        <f t="shared" ref="P148:R148" si="569">IF(BI148=0,SUM(Y148+AB148+AE148+AH148+AK148+AN148+AQ148+AT148+AW148+AZ148+BC148+BF148),BI148)</f>
        <v>0</v>
      </c>
      <c r="Q148" s="97">
        <f t="shared" si="569"/>
        <v>0</v>
      </c>
      <c r="R148" s="97">
        <f t="shared" si="569"/>
        <v>0</v>
      </c>
      <c r="S148" s="97">
        <f t="shared" ref="S148:T148" si="570">I148-M148</f>
        <v>0</v>
      </c>
      <c r="T148" s="97">
        <f t="shared" si="570"/>
        <v>0</v>
      </c>
      <c r="U148" s="97">
        <f t="shared" si="566"/>
        <v>0</v>
      </c>
      <c r="V148" s="98" t="e">
        <f t="shared" ref="V148:W148" si="571">M148/I148</f>
        <v>#DIV/0!</v>
      </c>
      <c r="W148" s="98" t="e">
        <f t="shared" si="571"/>
        <v>#DIV/0!</v>
      </c>
      <c r="X148" s="98" t="e">
        <f t="shared" si="561"/>
        <v>#DIV/0!</v>
      </c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166"/>
      <c r="G149" s="94"/>
      <c r="H149" s="94"/>
      <c r="I149" s="119"/>
      <c r="J149" s="96">
        <v>500</v>
      </c>
      <c r="K149" s="96"/>
      <c r="L149" s="202"/>
      <c r="M149" s="97"/>
      <c r="N149" s="97">
        <f t="shared" ref="N149:O149" si="572">Z149+AC149+AF149+AI149+AL149+AO149+AR149+AU149+AX149+BA149+BD149+BG149</f>
        <v>500</v>
      </c>
      <c r="O149" s="97">
        <f t="shared" si="572"/>
        <v>0</v>
      </c>
      <c r="P149" s="97">
        <f t="shared" ref="P149:R149" si="573">IF(BI149=0,SUM(Y149+AB149+AE149+AH149+AK149+AN149+AQ149+AT149+AW149+AZ149+BC149+BF149),BI149)</f>
        <v>0</v>
      </c>
      <c r="Q149" s="97">
        <f t="shared" si="573"/>
        <v>500</v>
      </c>
      <c r="R149" s="97">
        <f t="shared" si="573"/>
        <v>0</v>
      </c>
      <c r="S149" s="97"/>
      <c r="T149" s="97"/>
      <c r="U149" s="97"/>
      <c r="V149" s="98"/>
      <c r="W149" s="98"/>
      <c r="X149" s="98"/>
      <c r="Y149" s="96"/>
      <c r="Z149" s="103">
        <v>500</v>
      </c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89"/>
      <c r="B150" s="89"/>
      <c r="C150" s="90" t="s">
        <v>318</v>
      </c>
      <c r="D150" s="91" t="s">
        <v>400</v>
      </c>
      <c r="E150" s="166"/>
      <c r="F150" s="166"/>
      <c r="G150" s="94" t="e">
        <f t="shared" ref="G150:G152" si="574">I150/E150</f>
        <v>#DIV/0!</v>
      </c>
      <c r="H150" s="94" t="e">
        <f t="shared" ref="H150:H152" si="575">M150/E150</f>
        <v>#DIV/0!</v>
      </c>
      <c r="I150" s="96"/>
      <c r="J150" s="96"/>
      <c r="K150" s="96"/>
      <c r="L150" s="96"/>
      <c r="M150" s="97">
        <f t="shared" ref="M150:O150" si="576">Y150+AB150+AE150+AH150+AK150+AN150+AQ150+AT150+AW150+AZ150+BC150+BF150</f>
        <v>0</v>
      </c>
      <c r="N150" s="97">
        <f t="shared" si="576"/>
        <v>0</v>
      </c>
      <c r="O150" s="97">
        <f t="shared" si="576"/>
        <v>0</v>
      </c>
      <c r="P150" s="97">
        <f t="shared" ref="P150:R150" si="577">IF(BI150=0,SUM(Y150+AB150+AE150+AH150+AK150+AN150+AQ150+AT150+AW150+AZ150+BC150+BF150),BI150)</f>
        <v>0</v>
      </c>
      <c r="Q150" s="97">
        <f t="shared" si="577"/>
        <v>0</v>
      </c>
      <c r="R150" s="97">
        <f t="shared" si="577"/>
        <v>0</v>
      </c>
      <c r="S150" s="97">
        <f t="shared" ref="S150:T150" si="578">I150-M150</f>
        <v>0</v>
      </c>
      <c r="T150" s="97">
        <f t="shared" si="578"/>
        <v>0</v>
      </c>
      <c r="U150" s="97">
        <f>L150-O150</f>
        <v>0</v>
      </c>
      <c r="V150" s="98" t="e">
        <f t="shared" ref="V150:W150" si="579">M150/I150</f>
        <v>#DIV/0!</v>
      </c>
      <c r="W150" s="98" t="e">
        <f t="shared" si="579"/>
        <v>#DIV/0!</v>
      </c>
      <c r="X150" s="98" t="e">
        <f t="shared" ref="X150:X157" si="580">O150/L150</f>
        <v>#DIV/0!</v>
      </c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9"/>
      <c r="BM150" s="100"/>
      <c r="BN150" s="100"/>
      <c r="BO150" s="100"/>
      <c r="BP150" s="100"/>
    </row>
    <row r="151" spans="1:68" ht="15.75" customHeight="1">
      <c r="A151" s="246"/>
      <c r="B151" s="246"/>
      <c r="C151" s="247"/>
      <c r="D151" s="248" t="s">
        <v>401</v>
      </c>
      <c r="E151" s="249">
        <f t="shared" ref="E151:F151" si="581">SUM(E152:E154)</f>
        <v>0</v>
      </c>
      <c r="F151" s="249">
        <f t="shared" si="581"/>
        <v>0</v>
      </c>
      <c r="G151" s="223" t="e">
        <f t="shared" si="574"/>
        <v>#DIV/0!</v>
      </c>
      <c r="H151" s="187" t="e">
        <f t="shared" si="575"/>
        <v>#DIV/0!</v>
      </c>
      <c r="I151" s="249">
        <f t="shared" ref="I151:O151" si="582">SUM(I152:I154)</f>
        <v>0</v>
      </c>
      <c r="J151" s="249">
        <f t="shared" si="582"/>
        <v>293.62</v>
      </c>
      <c r="K151" s="249">
        <f t="shared" si="582"/>
        <v>293.62</v>
      </c>
      <c r="L151" s="249">
        <f t="shared" si="582"/>
        <v>0</v>
      </c>
      <c r="M151" s="249">
        <f t="shared" si="582"/>
        <v>0</v>
      </c>
      <c r="N151" s="249">
        <f t="shared" si="582"/>
        <v>0</v>
      </c>
      <c r="O151" s="249">
        <f t="shared" si="582"/>
        <v>0</v>
      </c>
      <c r="P151" s="238">
        <f t="shared" ref="P151:R151" si="583">IF(BI151=0,SUM(Y151+AB151+AE151+AH151+AK151+AN151+AQ151+AT151+AW151+AZ151+BC151+BF151),BI151)</f>
        <v>0</v>
      </c>
      <c r="Q151" s="238">
        <f t="shared" si="583"/>
        <v>0</v>
      </c>
      <c r="R151" s="238">
        <f t="shared" si="583"/>
        <v>0</v>
      </c>
      <c r="S151" s="249">
        <f t="shared" ref="S151:U151" si="584">SUM(S152:S154)</f>
        <v>0</v>
      </c>
      <c r="T151" s="249">
        <f t="shared" si="584"/>
        <v>0</v>
      </c>
      <c r="U151" s="249">
        <f t="shared" si="584"/>
        <v>0</v>
      </c>
      <c r="V151" s="250" t="e">
        <f t="shared" ref="V151:W151" si="585">M151/I151</f>
        <v>#DIV/0!</v>
      </c>
      <c r="W151" s="250">
        <f t="shared" si="585"/>
        <v>0</v>
      </c>
      <c r="X151" s="250" t="e">
        <f t="shared" si="580"/>
        <v>#DIV/0!</v>
      </c>
      <c r="Y151" s="249">
        <f t="shared" ref="Y151:BK151" si="586">SUM(Y152:Y154)</f>
        <v>0</v>
      </c>
      <c r="Z151" s="249">
        <f t="shared" si="586"/>
        <v>0</v>
      </c>
      <c r="AA151" s="249">
        <f t="shared" si="586"/>
        <v>0</v>
      </c>
      <c r="AB151" s="249">
        <f t="shared" si="586"/>
        <v>0</v>
      </c>
      <c r="AC151" s="249">
        <f t="shared" si="586"/>
        <v>0</v>
      </c>
      <c r="AD151" s="249">
        <f t="shared" si="586"/>
        <v>0</v>
      </c>
      <c r="AE151" s="249">
        <f t="shared" si="586"/>
        <v>0</v>
      </c>
      <c r="AF151" s="249">
        <f t="shared" si="586"/>
        <v>0</v>
      </c>
      <c r="AG151" s="249">
        <f t="shared" si="586"/>
        <v>0</v>
      </c>
      <c r="AH151" s="249">
        <f t="shared" si="586"/>
        <v>0</v>
      </c>
      <c r="AI151" s="249">
        <f t="shared" si="586"/>
        <v>0</v>
      </c>
      <c r="AJ151" s="249">
        <f t="shared" si="586"/>
        <v>0</v>
      </c>
      <c r="AK151" s="249">
        <f t="shared" si="586"/>
        <v>0</v>
      </c>
      <c r="AL151" s="249">
        <f t="shared" si="586"/>
        <v>0</v>
      </c>
      <c r="AM151" s="249">
        <f t="shared" si="586"/>
        <v>0</v>
      </c>
      <c r="AN151" s="249">
        <f t="shared" si="586"/>
        <v>0</v>
      </c>
      <c r="AO151" s="249">
        <f t="shared" si="586"/>
        <v>0</v>
      </c>
      <c r="AP151" s="249">
        <f t="shared" si="586"/>
        <v>0</v>
      </c>
      <c r="AQ151" s="249">
        <f t="shared" si="586"/>
        <v>0</v>
      </c>
      <c r="AR151" s="249">
        <f t="shared" si="586"/>
        <v>0</v>
      </c>
      <c r="AS151" s="249">
        <f t="shared" si="586"/>
        <v>0</v>
      </c>
      <c r="AT151" s="249">
        <f t="shared" si="586"/>
        <v>0</v>
      </c>
      <c r="AU151" s="249">
        <f t="shared" si="586"/>
        <v>0</v>
      </c>
      <c r="AV151" s="249">
        <f t="shared" si="586"/>
        <v>0</v>
      </c>
      <c r="AW151" s="249">
        <f t="shared" si="586"/>
        <v>0</v>
      </c>
      <c r="AX151" s="249">
        <f t="shared" si="586"/>
        <v>0</v>
      </c>
      <c r="AY151" s="249">
        <f t="shared" si="586"/>
        <v>0</v>
      </c>
      <c r="AZ151" s="249">
        <f t="shared" si="586"/>
        <v>0</v>
      </c>
      <c r="BA151" s="249">
        <f t="shared" si="586"/>
        <v>0</v>
      </c>
      <c r="BB151" s="249">
        <f t="shared" si="586"/>
        <v>0</v>
      </c>
      <c r="BC151" s="249">
        <f t="shared" si="586"/>
        <v>0</v>
      </c>
      <c r="BD151" s="249">
        <f t="shared" si="586"/>
        <v>0</v>
      </c>
      <c r="BE151" s="249">
        <f t="shared" si="586"/>
        <v>0</v>
      </c>
      <c r="BF151" s="249">
        <f t="shared" si="586"/>
        <v>0</v>
      </c>
      <c r="BG151" s="249">
        <f t="shared" si="586"/>
        <v>0</v>
      </c>
      <c r="BH151" s="249">
        <f t="shared" si="586"/>
        <v>0</v>
      </c>
      <c r="BI151" s="249">
        <f t="shared" si="586"/>
        <v>0</v>
      </c>
      <c r="BJ151" s="249">
        <f t="shared" si="586"/>
        <v>0</v>
      </c>
      <c r="BK151" s="249">
        <f t="shared" si="586"/>
        <v>0</v>
      </c>
      <c r="BL151" s="233"/>
      <c r="BM151" s="234"/>
      <c r="BN151" s="234"/>
      <c r="BO151" s="234"/>
      <c r="BP151" s="234"/>
    </row>
    <row r="152" spans="1:68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166"/>
      <c r="G152" s="94" t="e">
        <f t="shared" si="574"/>
        <v>#DIV/0!</v>
      </c>
      <c r="H152" s="94" t="e">
        <f t="shared" si="575"/>
        <v>#DIV/0!</v>
      </c>
      <c r="I152" s="142"/>
      <c r="J152" s="131">
        <v>293.62</v>
      </c>
      <c r="K152" s="376">
        <v>293.62</v>
      </c>
      <c r="L152" s="202"/>
      <c r="M152" s="97">
        <f t="shared" ref="M152:O152" si="587">Y152+AB152+AE152+AH152+AK152+AN152+AQ152+AT152+AW152+AZ152+BC152+BF152</f>
        <v>0</v>
      </c>
      <c r="N152" s="97">
        <f t="shared" si="587"/>
        <v>0</v>
      </c>
      <c r="O152" s="97">
        <f t="shared" si="587"/>
        <v>0</v>
      </c>
      <c r="P152" s="97">
        <f t="shared" ref="P152:R152" si="588">IF(BI152=0,SUM(Y152+AB152+AE152+AH152+AK152+AN152+AQ152+AT152+AW152+AZ152+BC152+BF152),BI152)</f>
        <v>0</v>
      </c>
      <c r="Q152" s="97">
        <f t="shared" si="588"/>
        <v>0</v>
      </c>
      <c r="R152" s="97">
        <f t="shared" si="588"/>
        <v>0</v>
      </c>
      <c r="S152" s="97">
        <f t="shared" ref="S152:S154" si="589">I152-M152</f>
        <v>0</v>
      </c>
      <c r="T152" s="97">
        <f>J152-K152-N152</f>
        <v>0</v>
      </c>
      <c r="U152" s="97">
        <f t="shared" ref="U152:U154" si="590">L152-O152</f>
        <v>0</v>
      </c>
      <c r="V152" s="98" t="e">
        <f t="shared" ref="V152:W152" si="591">M152/I152</f>
        <v>#DIV/0!</v>
      </c>
      <c r="W152" s="98">
        <f t="shared" si="591"/>
        <v>0</v>
      </c>
      <c r="X152" s="98" t="e">
        <f t="shared" si="580"/>
        <v>#DIV/0!</v>
      </c>
      <c r="Y152" s="96"/>
      <c r="Z152" s="96"/>
      <c r="AA152" s="96"/>
      <c r="AB152" s="96"/>
      <c r="AC152" s="103">
        <v>0</v>
      </c>
      <c r="AD152" s="96"/>
      <c r="AE152" s="96"/>
      <c r="AF152" s="103">
        <v>0</v>
      </c>
      <c r="AG152" s="96"/>
      <c r="AH152" s="96"/>
      <c r="AI152" s="96"/>
      <c r="AJ152" s="96"/>
      <c r="AK152" s="96"/>
      <c r="AL152" s="103">
        <v>0</v>
      </c>
      <c r="AM152" s="96"/>
      <c r="AN152" s="96"/>
      <c r="AO152" s="96"/>
      <c r="AP152" s="96"/>
      <c r="AQ152" s="96"/>
      <c r="AR152" s="103">
        <v>0</v>
      </c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136"/>
      <c r="C153" s="90" t="s">
        <v>161</v>
      </c>
      <c r="D153" s="91" t="s">
        <v>405</v>
      </c>
      <c r="E153" s="166"/>
      <c r="F153" s="166"/>
      <c r="G153" s="94"/>
      <c r="H153" s="94"/>
      <c r="I153" s="142"/>
      <c r="J153" s="204"/>
      <c r="K153" s="204"/>
      <c r="L153" s="202"/>
      <c r="M153" s="97">
        <f t="shared" ref="M153:O153" si="592">Y153+AB153+AE153+AH153+AK153+AN153+AQ153+AT153+AW153+AZ153+BC153+BF153</f>
        <v>0</v>
      </c>
      <c r="N153" s="97">
        <f t="shared" si="592"/>
        <v>0</v>
      </c>
      <c r="O153" s="97">
        <f t="shared" si="592"/>
        <v>0</v>
      </c>
      <c r="P153" s="97">
        <f t="shared" ref="P153:R153" si="593">IF(BI153=0,SUM(Y153+AB153+AE153+AH153+AK153+AN153+AQ153+AT153+AW153+AZ153+BC153+BF153),BI153)</f>
        <v>0</v>
      </c>
      <c r="Q153" s="97">
        <f t="shared" si="593"/>
        <v>0</v>
      </c>
      <c r="R153" s="97">
        <f t="shared" si="593"/>
        <v>0</v>
      </c>
      <c r="S153" s="97">
        <f t="shared" si="589"/>
        <v>0</v>
      </c>
      <c r="T153" s="97">
        <f t="shared" ref="T153:T154" si="594">J153-N153</f>
        <v>0</v>
      </c>
      <c r="U153" s="97">
        <f t="shared" si="590"/>
        <v>0</v>
      </c>
      <c r="V153" s="98" t="e">
        <f t="shared" ref="V153:W153" si="595">M153/I153</f>
        <v>#DIV/0!</v>
      </c>
      <c r="W153" s="98" t="e">
        <f t="shared" si="595"/>
        <v>#DIV/0!</v>
      </c>
      <c r="X153" s="98" t="e">
        <f t="shared" si="580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103">
        <v>0</v>
      </c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89"/>
      <c r="B154" s="89"/>
      <c r="C154" s="90" t="s">
        <v>298</v>
      </c>
      <c r="D154" s="91" t="s">
        <v>406</v>
      </c>
      <c r="E154" s="166"/>
      <c r="F154" s="166"/>
      <c r="G154" s="94" t="e">
        <f t="shared" ref="G154:G157" si="596">I154/E154</f>
        <v>#DIV/0!</v>
      </c>
      <c r="H154" s="94" t="e">
        <f t="shared" ref="H154:H157" si="597">M154/E154</f>
        <v>#DIV/0!</v>
      </c>
      <c r="I154" s="96"/>
      <c r="J154" s="96"/>
      <c r="K154" s="96"/>
      <c r="L154" s="96"/>
      <c r="M154" s="97">
        <f t="shared" ref="M154:O154" si="598">Y154+AB154+AE154+AH154+AK154+AN154+AQ154+AT154+AW154+AZ154+BC154+BF154</f>
        <v>0</v>
      </c>
      <c r="N154" s="97">
        <f t="shared" si="598"/>
        <v>0</v>
      </c>
      <c r="O154" s="97">
        <f t="shared" si="598"/>
        <v>0</v>
      </c>
      <c r="P154" s="97">
        <f t="shared" ref="P154:R154" si="599">IF(BI154=0,SUM(Y154+AB154+AE154+AH154+AK154+AN154+AQ154+AT154+AW154+AZ154+BC154+BF154),BI154)</f>
        <v>0</v>
      </c>
      <c r="Q154" s="97">
        <f t="shared" si="599"/>
        <v>0</v>
      </c>
      <c r="R154" s="97">
        <f t="shared" si="599"/>
        <v>0</v>
      </c>
      <c r="S154" s="97">
        <f t="shared" si="589"/>
        <v>0</v>
      </c>
      <c r="T154" s="97">
        <f t="shared" si="594"/>
        <v>0</v>
      </c>
      <c r="U154" s="97">
        <f t="shared" si="590"/>
        <v>0</v>
      </c>
      <c r="V154" s="98" t="e">
        <f t="shared" ref="V154:W154" si="600">M154/I154</f>
        <v>#DIV/0!</v>
      </c>
      <c r="W154" s="98" t="e">
        <f t="shared" si="600"/>
        <v>#DIV/0!</v>
      </c>
      <c r="X154" s="98" t="e">
        <f t="shared" si="580"/>
        <v>#DIV/0!</v>
      </c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9"/>
      <c r="BM154" s="100"/>
      <c r="BN154" s="100"/>
      <c r="BO154" s="100"/>
      <c r="BP154" s="100"/>
    </row>
    <row r="155" spans="1:68" ht="15.75" customHeight="1">
      <c r="A155" s="246"/>
      <c r="B155" s="246"/>
      <c r="C155" s="247"/>
      <c r="D155" s="248" t="s">
        <v>407</v>
      </c>
      <c r="E155" s="249">
        <f t="shared" ref="E155:F155" si="601">SUM(E156:E159)</f>
        <v>0</v>
      </c>
      <c r="F155" s="249">
        <f t="shared" si="601"/>
        <v>4906.54</v>
      </c>
      <c r="G155" s="223" t="e">
        <f t="shared" si="596"/>
        <v>#DIV/0!</v>
      </c>
      <c r="H155" s="187" t="e">
        <f t="shared" si="597"/>
        <v>#DIV/0!</v>
      </c>
      <c r="I155" s="249">
        <f t="shared" ref="I155:O155" si="602">SUM(I156:I159)</f>
        <v>0</v>
      </c>
      <c r="J155" s="249">
        <f t="shared" si="602"/>
        <v>8700</v>
      </c>
      <c r="K155" s="249">
        <f t="shared" si="602"/>
        <v>8700</v>
      </c>
      <c r="L155" s="249">
        <f t="shared" si="602"/>
        <v>4906.54</v>
      </c>
      <c r="M155" s="249">
        <f t="shared" si="602"/>
        <v>701.2</v>
      </c>
      <c r="N155" s="249">
        <f t="shared" si="602"/>
        <v>0</v>
      </c>
      <c r="O155" s="249">
        <f t="shared" si="602"/>
        <v>0</v>
      </c>
      <c r="P155" s="238">
        <f t="shared" ref="P155:R155" si="603">IF(BI155=0,SUM(Y155+AB155+AE155+AH155+AK155+AN155+AQ155+AT155+AW155+AZ155+BC155+BF155),BI155)</f>
        <v>701.2</v>
      </c>
      <c r="Q155" s="238">
        <f t="shared" si="603"/>
        <v>0</v>
      </c>
      <c r="R155" s="238">
        <f t="shared" si="603"/>
        <v>0</v>
      </c>
      <c r="S155" s="249">
        <f t="shared" ref="S155:U155" si="604">SUM(S156:S159)</f>
        <v>-701.2</v>
      </c>
      <c r="T155" s="249">
        <f t="shared" si="604"/>
        <v>0</v>
      </c>
      <c r="U155" s="249">
        <f t="shared" si="604"/>
        <v>4906.54</v>
      </c>
      <c r="V155" s="250" t="e">
        <f t="shared" ref="V155:W155" si="605">M155/I155</f>
        <v>#DIV/0!</v>
      </c>
      <c r="W155" s="250">
        <f t="shared" si="605"/>
        <v>0</v>
      </c>
      <c r="X155" s="250">
        <f t="shared" si="580"/>
        <v>0</v>
      </c>
      <c r="Y155" s="249">
        <f t="shared" ref="Y155:BK155" si="606">SUM(Y156:Y159)</f>
        <v>0</v>
      </c>
      <c r="Z155" s="249">
        <f t="shared" si="606"/>
        <v>0</v>
      </c>
      <c r="AA155" s="249">
        <f t="shared" si="606"/>
        <v>0</v>
      </c>
      <c r="AB155" s="249">
        <f t="shared" si="606"/>
        <v>0</v>
      </c>
      <c r="AC155" s="249">
        <f t="shared" si="606"/>
        <v>0</v>
      </c>
      <c r="AD155" s="249">
        <f t="shared" si="606"/>
        <v>0</v>
      </c>
      <c r="AE155" s="249">
        <f t="shared" si="606"/>
        <v>0</v>
      </c>
      <c r="AF155" s="249">
        <f t="shared" si="606"/>
        <v>0</v>
      </c>
      <c r="AG155" s="249">
        <f t="shared" si="606"/>
        <v>0</v>
      </c>
      <c r="AH155" s="249">
        <f t="shared" si="606"/>
        <v>0</v>
      </c>
      <c r="AI155" s="249">
        <f t="shared" si="606"/>
        <v>0</v>
      </c>
      <c r="AJ155" s="249">
        <f t="shared" si="606"/>
        <v>0</v>
      </c>
      <c r="AK155" s="249">
        <f t="shared" si="606"/>
        <v>0</v>
      </c>
      <c r="AL155" s="249">
        <f t="shared" si="606"/>
        <v>0</v>
      </c>
      <c r="AM155" s="249">
        <f t="shared" si="606"/>
        <v>0</v>
      </c>
      <c r="AN155" s="249">
        <f t="shared" si="606"/>
        <v>0</v>
      </c>
      <c r="AO155" s="249">
        <f t="shared" si="606"/>
        <v>0</v>
      </c>
      <c r="AP155" s="249">
        <f t="shared" si="606"/>
        <v>0</v>
      </c>
      <c r="AQ155" s="249">
        <f t="shared" si="606"/>
        <v>0</v>
      </c>
      <c r="AR155" s="249">
        <f t="shared" si="606"/>
        <v>0</v>
      </c>
      <c r="AS155" s="249">
        <f t="shared" si="606"/>
        <v>0</v>
      </c>
      <c r="AT155" s="249">
        <f t="shared" si="606"/>
        <v>701.2</v>
      </c>
      <c r="AU155" s="249">
        <f t="shared" si="606"/>
        <v>0</v>
      </c>
      <c r="AV155" s="249">
        <f t="shared" si="606"/>
        <v>0</v>
      </c>
      <c r="AW155" s="249">
        <f t="shared" si="606"/>
        <v>0</v>
      </c>
      <c r="AX155" s="249">
        <f t="shared" si="606"/>
        <v>0</v>
      </c>
      <c r="AY155" s="249">
        <f t="shared" si="606"/>
        <v>0</v>
      </c>
      <c r="AZ155" s="249">
        <f t="shared" si="606"/>
        <v>0</v>
      </c>
      <c r="BA155" s="249">
        <f t="shared" si="606"/>
        <v>0</v>
      </c>
      <c r="BB155" s="249">
        <f t="shared" si="606"/>
        <v>0</v>
      </c>
      <c r="BC155" s="249">
        <f t="shared" si="606"/>
        <v>0</v>
      </c>
      <c r="BD155" s="249">
        <f t="shared" si="606"/>
        <v>0</v>
      </c>
      <c r="BE155" s="249">
        <f t="shared" si="606"/>
        <v>0</v>
      </c>
      <c r="BF155" s="249">
        <f t="shared" si="606"/>
        <v>0</v>
      </c>
      <c r="BG155" s="249">
        <f t="shared" si="606"/>
        <v>0</v>
      </c>
      <c r="BH155" s="249">
        <f t="shared" si="606"/>
        <v>0</v>
      </c>
      <c r="BI155" s="249">
        <f t="shared" si="606"/>
        <v>0</v>
      </c>
      <c r="BJ155" s="249">
        <f t="shared" si="606"/>
        <v>0</v>
      </c>
      <c r="BK155" s="249">
        <f t="shared" si="606"/>
        <v>0</v>
      </c>
      <c r="BL155" s="233"/>
      <c r="BM155" s="234"/>
      <c r="BN155" s="234"/>
      <c r="BO155" s="234"/>
      <c r="BP155" s="234"/>
    </row>
    <row r="156" spans="1:68" ht="15.75" customHeight="1">
      <c r="A156" s="89"/>
      <c r="B156" s="89"/>
      <c r="C156" s="90" t="s">
        <v>161</v>
      </c>
      <c r="D156" s="91" t="s">
        <v>408</v>
      </c>
      <c r="E156" s="166"/>
      <c r="F156" s="251"/>
      <c r="G156" s="94" t="e">
        <f t="shared" si="596"/>
        <v>#DIV/0!</v>
      </c>
      <c r="H156" s="94" t="e">
        <f t="shared" si="597"/>
        <v>#DIV/0!</v>
      </c>
      <c r="I156" s="96"/>
      <c r="J156" s="96"/>
      <c r="K156" s="96"/>
      <c r="L156" s="95"/>
      <c r="M156" s="97">
        <f t="shared" ref="M156:O156" si="607">Y156+AB156+AE156+AH156+AK156+AN156+AQ156+AT156+AW156+AZ156+BC156+BF156</f>
        <v>0</v>
      </c>
      <c r="N156" s="97">
        <f t="shared" si="607"/>
        <v>0</v>
      </c>
      <c r="O156" s="97">
        <f t="shared" si="607"/>
        <v>0</v>
      </c>
      <c r="P156" s="97">
        <f t="shared" ref="P156:R156" si="608">IF(BI156=0,SUM(Y156+AB156+AE156+AH156+AK156+AN156+AQ156+AT156+AW156+AZ156+BC156+BF156),BI156)</f>
        <v>0</v>
      </c>
      <c r="Q156" s="97">
        <f t="shared" si="608"/>
        <v>0</v>
      </c>
      <c r="R156" s="97">
        <f t="shared" si="608"/>
        <v>0</v>
      </c>
      <c r="S156" s="97">
        <f t="shared" ref="S156:T156" si="609">I156-M156</f>
        <v>0</v>
      </c>
      <c r="T156" s="97">
        <f t="shared" si="609"/>
        <v>0</v>
      </c>
      <c r="U156" s="97">
        <f t="shared" ref="U156:U159" si="610">L156-O156</f>
        <v>0</v>
      </c>
      <c r="V156" s="98" t="e">
        <f t="shared" ref="V156:W156" si="611">M156/I156</f>
        <v>#DIV/0!</v>
      </c>
      <c r="W156" s="98" t="e">
        <f t="shared" si="611"/>
        <v>#DIV/0!</v>
      </c>
      <c r="X156" s="98" t="e">
        <f t="shared" si="580"/>
        <v>#DIV/0!</v>
      </c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5"/>
      <c r="BG156" s="96"/>
      <c r="BH156" s="96"/>
      <c r="BI156" s="95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89"/>
      <c r="B157" s="143" t="s">
        <v>409</v>
      </c>
      <c r="C157" s="90"/>
      <c r="D157" s="91" t="s">
        <v>410</v>
      </c>
      <c r="E157" s="166"/>
      <c r="F157" s="166"/>
      <c r="G157" s="94" t="e">
        <f t="shared" si="596"/>
        <v>#DIV/0!</v>
      </c>
      <c r="H157" s="94" t="e">
        <f t="shared" si="597"/>
        <v>#DIV/0!</v>
      </c>
      <c r="I157" s="96"/>
      <c r="J157" s="167">
        <v>8700</v>
      </c>
      <c r="K157" s="117">
        <f>8700</f>
        <v>8700</v>
      </c>
      <c r="L157" s="95"/>
      <c r="M157" s="97">
        <f t="shared" ref="M157:O157" si="612">Y157+AB157+AE157+AH157+AK157+AN157+AQ157+AT157+AW157+AZ157+BC157+BF157</f>
        <v>0</v>
      </c>
      <c r="N157" s="97">
        <f t="shared" si="612"/>
        <v>0</v>
      </c>
      <c r="O157" s="97">
        <f t="shared" si="612"/>
        <v>0</v>
      </c>
      <c r="P157" s="97">
        <f t="shared" ref="P157:R157" si="613">IF(BI157=0,SUM(Y157+AB157+AE157+AH157+AK157+AN157+AQ157+AT157+AW157+AZ157+BC157+BF157),BI157)</f>
        <v>0</v>
      </c>
      <c r="Q157" s="97">
        <f t="shared" si="613"/>
        <v>0</v>
      </c>
      <c r="R157" s="97">
        <f t="shared" si="613"/>
        <v>0</v>
      </c>
      <c r="S157" s="97">
        <f t="shared" ref="S157:S159" si="614">I157-M157</f>
        <v>0</v>
      </c>
      <c r="T157" s="97">
        <f>J157-K157-N157</f>
        <v>0</v>
      </c>
      <c r="U157" s="97">
        <f t="shared" si="610"/>
        <v>0</v>
      </c>
      <c r="V157" s="98" t="e">
        <f t="shared" ref="V157:W157" si="615">M157/I157</f>
        <v>#DIV/0!</v>
      </c>
      <c r="W157" s="98">
        <f t="shared" si="615"/>
        <v>0</v>
      </c>
      <c r="X157" s="98" t="e">
        <f t="shared" si="580"/>
        <v>#DIV/0!</v>
      </c>
      <c r="Y157" s="252"/>
      <c r="Z157" s="96"/>
      <c r="AA157" s="96"/>
      <c r="AB157" s="96"/>
      <c r="AC157" s="96"/>
      <c r="AD157" s="96"/>
      <c r="AE157" s="96"/>
      <c r="AF157" s="103">
        <v>0</v>
      </c>
      <c r="AG157" s="96"/>
      <c r="AH157" s="96"/>
      <c r="AI157" s="103">
        <v>0</v>
      </c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21"/>
      <c r="B158" s="136"/>
      <c r="C158" s="90"/>
      <c r="D158" s="91" t="s">
        <v>411</v>
      </c>
      <c r="E158" s="166"/>
      <c r="F158" s="21"/>
      <c r="G158" s="94"/>
      <c r="H158" s="94"/>
      <c r="I158" s="96"/>
      <c r="J158" s="117"/>
      <c r="K158" s="117"/>
      <c r="L158" s="95"/>
      <c r="M158" s="97">
        <f t="shared" ref="M158:O158" si="616">Y158+AB158+AE158+AH158+AK158+AN158+AQ158+AT158+AW158+AZ158+BC158+BF158</f>
        <v>0</v>
      </c>
      <c r="N158" s="97">
        <f t="shared" si="616"/>
        <v>0</v>
      </c>
      <c r="O158" s="97">
        <f t="shared" si="616"/>
        <v>0</v>
      </c>
      <c r="P158" s="97">
        <f t="shared" ref="P158:R158" si="617">IF(BI158=0,SUM(Y158+AB158+AE158+AH158+AK158+AN158+AQ158+AT158+AW158+AZ158+BC158+BF158),BI158)</f>
        <v>0</v>
      </c>
      <c r="Q158" s="97">
        <f t="shared" si="617"/>
        <v>0</v>
      </c>
      <c r="R158" s="97">
        <f t="shared" si="617"/>
        <v>0</v>
      </c>
      <c r="S158" s="97">
        <f t="shared" si="614"/>
        <v>0</v>
      </c>
      <c r="T158" s="97">
        <f t="shared" ref="T158:T159" si="618">J158-N158</f>
        <v>0</v>
      </c>
      <c r="U158" s="97">
        <f t="shared" si="610"/>
        <v>0</v>
      </c>
      <c r="V158" s="98"/>
      <c r="W158" s="98"/>
      <c r="X158" s="98"/>
      <c r="Y158" s="252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202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9"/>
      <c r="BM158" s="100"/>
      <c r="BN158" s="100"/>
      <c r="BO158" s="100"/>
      <c r="BP158" s="100"/>
    </row>
    <row r="159" spans="1:68" ht="15.75" customHeight="1">
      <c r="A159" s="360" t="s">
        <v>673</v>
      </c>
      <c r="B159" s="89"/>
      <c r="C159" s="90" t="s">
        <v>165</v>
      </c>
      <c r="D159" s="207" t="s">
        <v>412</v>
      </c>
      <c r="E159" s="377">
        <v>0</v>
      </c>
      <c r="F159" s="377">
        <v>4906.54</v>
      </c>
      <c r="G159" s="94" t="e">
        <f t="shared" ref="G159:G179" si="619">I159/E159</f>
        <v>#DIV/0!</v>
      </c>
      <c r="H159" s="94" t="e">
        <f t="shared" ref="H159:H179" si="620">M159/E159</f>
        <v>#DIV/0!</v>
      </c>
      <c r="I159" s="368">
        <v>0</v>
      </c>
      <c r="J159" s="204"/>
      <c r="K159" s="204"/>
      <c r="L159" s="368">
        <v>4906.54</v>
      </c>
      <c r="M159" s="97">
        <f t="shared" ref="M159:N159" si="621">Y159+AB159+AE159+AH159+AK159+AN159+AQ159+AT159+AW159+AZ159+BC159+BF159</f>
        <v>701.2</v>
      </c>
      <c r="N159" s="97">
        <f t="shared" si="621"/>
        <v>0</v>
      </c>
      <c r="O159" s="97"/>
      <c r="P159" s="97">
        <f t="shared" ref="P159:Q159" si="622">IF(BI159=0,SUM(Y159+AB159+AE159+AH159+AK159+AN159+AQ159+AT159+AW159+AZ159+BC159+BF159),BI159)</f>
        <v>701.2</v>
      </c>
      <c r="Q159" s="97">
        <f t="shared" si="622"/>
        <v>0</v>
      </c>
      <c r="R159" s="97"/>
      <c r="S159" s="97">
        <f t="shared" si="614"/>
        <v>-701.2</v>
      </c>
      <c r="T159" s="97">
        <f t="shared" si="618"/>
        <v>0</v>
      </c>
      <c r="U159" s="97">
        <f t="shared" si="610"/>
        <v>4906.54</v>
      </c>
      <c r="V159" s="98" t="e">
        <f t="shared" ref="V159:W159" si="623">M159/I159</f>
        <v>#DIV/0!</v>
      </c>
      <c r="W159" s="98" t="e">
        <f t="shared" si="623"/>
        <v>#DIV/0!</v>
      </c>
      <c r="X159" s="98">
        <f t="shared" ref="X159:X170" si="624">O159/L159</f>
        <v>0</v>
      </c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376">
        <v>701.2</v>
      </c>
      <c r="AU159" s="204"/>
      <c r="AV159" s="204"/>
      <c r="AW159" s="204"/>
      <c r="AX159" s="204"/>
      <c r="AY159" s="204"/>
      <c r="AZ159" s="204"/>
      <c r="BA159" s="204"/>
      <c r="BB159" s="204" t="s">
        <v>413</v>
      </c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99"/>
      <c r="BM159" s="100"/>
      <c r="BN159" s="100"/>
      <c r="BO159" s="100"/>
      <c r="BP159" s="100"/>
    </row>
    <row r="160" spans="1:68" ht="15.75" customHeight="1">
      <c r="A160" s="86"/>
      <c r="B160" s="86"/>
      <c r="C160" s="86" t="s">
        <v>414</v>
      </c>
      <c r="D160" s="86"/>
      <c r="E160" s="87">
        <f t="shared" ref="E160:F160" si="625">E161+E169+E184</f>
        <v>121389.6</v>
      </c>
      <c r="F160" s="87">
        <f t="shared" si="625"/>
        <v>36000</v>
      </c>
      <c r="G160" s="107">
        <f t="shared" si="619"/>
        <v>0.22460622656306636</v>
      </c>
      <c r="H160" s="107">
        <f t="shared" si="620"/>
        <v>0</v>
      </c>
      <c r="I160" s="87">
        <f t="shared" ref="I160:O160" si="626">I161+I169+I184</f>
        <v>27264.86</v>
      </c>
      <c r="J160" s="87">
        <f t="shared" si="626"/>
        <v>984.93000000000006</v>
      </c>
      <c r="K160" s="87">
        <f t="shared" si="626"/>
        <v>358.04</v>
      </c>
      <c r="L160" s="87">
        <f t="shared" si="626"/>
        <v>0</v>
      </c>
      <c r="M160" s="87">
        <f t="shared" si="626"/>
        <v>0</v>
      </c>
      <c r="N160" s="87">
        <f t="shared" si="626"/>
        <v>626.89</v>
      </c>
      <c r="O160" s="87">
        <f t="shared" si="626"/>
        <v>0</v>
      </c>
      <c r="P160" s="87">
        <f t="shared" ref="P160:R160" si="627">IF(BI160=0,SUM(Y160+AB160+AE160+AH160+AK160+AN160+AQ160+AT160+AW160+AZ160+BC160+BF160),BI160)</f>
        <v>3300</v>
      </c>
      <c r="Q160" s="87">
        <f t="shared" si="627"/>
        <v>626.89</v>
      </c>
      <c r="R160" s="87">
        <f t="shared" si="627"/>
        <v>0</v>
      </c>
      <c r="S160" s="87">
        <f t="shared" ref="S160:U160" si="628">S161+S169+S184</f>
        <v>6364.86</v>
      </c>
      <c r="T160" s="87">
        <f t="shared" si="628"/>
        <v>0</v>
      </c>
      <c r="U160" s="87">
        <f t="shared" si="628"/>
        <v>0</v>
      </c>
      <c r="V160" s="88">
        <f t="shared" ref="V160:W160" si="629">M160/I160</f>
        <v>0</v>
      </c>
      <c r="W160" s="88">
        <f t="shared" si="629"/>
        <v>0.6364817804310966</v>
      </c>
      <c r="X160" s="88" t="e">
        <f t="shared" si="624"/>
        <v>#DIV/0!</v>
      </c>
      <c r="Y160" s="87">
        <f t="shared" ref="Y160:BK160" si="630">Y161+Y169+Y184</f>
        <v>0</v>
      </c>
      <c r="Z160" s="87">
        <f t="shared" si="630"/>
        <v>250</v>
      </c>
      <c r="AA160" s="87">
        <f t="shared" si="630"/>
        <v>0</v>
      </c>
      <c r="AB160" s="87">
        <f t="shared" si="630"/>
        <v>0</v>
      </c>
      <c r="AC160" s="87">
        <f t="shared" si="630"/>
        <v>0</v>
      </c>
      <c r="AD160" s="87">
        <f t="shared" si="630"/>
        <v>0</v>
      </c>
      <c r="AE160" s="87">
        <f t="shared" si="630"/>
        <v>0</v>
      </c>
      <c r="AF160" s="87">
        <f t="shared" si="630"/>
        <v>0</v>
      </c>
      <c r="AG160" s="87">
        <f t="shared" si="630"/>
        <v>0</v>
      </c>
      <c r="AH160" s="87">
        <f t="shared" si="630"/>
        <v>0</v>
      </c>
      <c r="AI160" s="87">
        <f t="shared" si="630"/>
        <v>376.89</v>
      </c>
      <c r="AJ160" s="87">
        <f t="shared" si="630"/>
        <v>0</v>
      </c>
      <c r="AK160" s="87">
        <f t="shared" si="630"/>
        <v>0</v>
      </c>
      <c r="AL160" s="87">
        <f t="shared" si="630"/>
        <v>0</v>
      </c>
      <c r="AM160" s="87">
        <f t="shared" si="630"/>
        <v>0</v>
      </c>
      <c r="AN160" s="87">
        <f t="shared" si="630"/>
        <v>0</v>
      </c>
      <c r="AO160" s="87">
        <f t="shared" si="630"/>
        <v>0</v>
      </c>
      <c r="AP160" s="87">
        <f t="shared" si="630"/>
        <v>0</v>
      </c>
      <c r="AQ160" s="87">
        <f t="shared" si="630"/>
        <v>1200</v>
      </c>
      <c r="AR160" s="87">
        <f t="shared" si="630"/>
        <v>0</v>
      </c>
      <c r="AS160" s="87">
        <f t="shared" si="630"/>
        <v>0</v>
      </c>
      <c r="AT160" s="87">
        <f t="shared" si="630"/>
        <v>2100</v>
      </c>
      <c r="AU160" s="87">
        <f t="shared" si="630"/>
        <v>0</v>
      </c>
      <c r="AV160" s="87">
        <f t="shared" si="630"/>
        <v>0</v>
      </c>
      <c r="AW160" s="87">
        <f t="shared" si="630"/>
        <v>0</v>
      </c>
      <c r="AX160" s="87">
        <f t="shared" si="630"/>
        <v>0</v>
      </c>
      <c r="AY160" s="87">
        <f t="shared" si="630"/>
        <v>0</v>
      </c>
      <c r="AZ160" s="87">
        <f t="shared" si="630"/>
        <v>0</v>
      </c>
      <c r="BA160" s="87">
        <f t="shared" si="630"/>
        <v>0</v>
      </c>
      <c r="BB160" s="87">
        <f t="shared" si="630"/>
        <v>0</v>
      </c>
      <c r="BC160" s="87">
        <f t="shared" si="630"/>
        <v>0</v>
      </c>
      <c r="BD160" s="87">
        <f t="shared" si="630"/>
        <v>0</v>
      </c>
      <c r="BE160" s="87">
        <f t="shared" si="630"/>
        <v>0</v>
      </c>
      <c r="BF160" s="87">
        <f t="shared" si="630"/>
        <v>0</v>
      </c>
      <c r="BG160" s="87">
        <f t="shared" si="630"/>
        <v>0</v>
      </c>
      <c r="BH160" s="87">
        <f t="shared" si="630"/>
        <v>0</v>
      </c>
      <c r="BI160" s="87">
        <f t="shared" si="630"/>
        <v>0</v>
      </c>
      <c r="BJ160" s="87">
        <f t="shared" si="630"/>
        <v>0</v>
      </c>
      <c r="BK160" s="87">
        <f t="shared" si="630"/>
        <v>0</v>
      </c>
      <c r="BL160" s="149"/>
      <c r="BM160" s="150"/>
      <c r="BN160" s="150"/>
      <c r="BO160" s="150"/>
      <c r="BP160" s="150"/>
    </row>
    <row r="161" spans="1:68" ht="15.75" customHeight="1">
      <c r="A161" s="253"/>
      <c r="B161" s="253"/>
      <c r="C161" s="183"/>
      <c r="D161" s="254" t="s">
        <v>415</v>
      </c>
      <c r="E161" s="255">
        <f t="shared" ref="E161:F161" si="631">E162+E166</f>
        <v>36444.800000000003</v>
      </c>
      <c r="F161" s="255">
        <f t="shared" si="631"/>
        <v>0</v>
      </c>
      <c r="G161" s="223">
        <f t="shared" si="619"/>
        <v>4.1158135042584948E-2</v>
      </c>
      <c r="H161" s="223">
        <f t="shared" si="620"/>
        <v>0</v>
      </c>
      <c r="I161" s="255">
        <f t="shared" ref="I161:O161" si="632">I162+I166</f>
        <v>1500</v>
      </c>
      <c r="J161" s="255">
        <f t="shared" si="632"/>
        <v>0</v>
      </c>
      <c r="K161" s="255">
        <f t="shared" si="632"/>
        <v>0</v>
      </c>
      <c r="L161" s="255">
        <f t="shared" si="632"/>
        <v>0</v>
      </c>
      <c r="M161" s="255">
        <f t="shared" si="632"/>
        <v>0</v>
      </c>
      <c r="N161" s="255">
        <f t="shared" si="632"/>
        <v>0</v>
      </c>
      <c r="O161" s="255">
        <f t="shared" si="632"/>
        <v>0</v>
      </c>
      <c r="P161" s="245">
        <f t="shared" ref="P161:R161" si="633">IF(BI161=0,SUM(Y161+AB161+AE161+AH161+AK161+AN161+AQ161+AT161+AW161+AZ161+BC161+BF161),BI161)</f>
        <v>0</v>
      </c>
      <c r="Q161" s="245">
        <f t="shared" si="633"/>
        <v>0</v>
      </c>
      <c r="R161" s="245">
        <f t="shared" si="633"/>
        <v>0</v>
      </c>
      <c r="S161" s="255">
        <f t="shared" ref="S161:U161" si="634">S162+S166</f>
        <v>1500</v>
      </c>
      <c r="T161" s="255">
        <f t="shared" si="634"/>
        <v>0</v>
      </c>
      <c r="U161" s="255">
        <f t="shared" si="634"/>
        <v>0</v>
      </c>
      <c r="V161" s="256">
        <f t="shared" ref="V161:W161" si="635">M161/I161</f>
        <v>0</v>
      </c>
      <c r="W161" s="256" t="e">
        <f t="shared" si="635"/>
        <v>#DIV/0!</v>
      </c>
      <c r="X161" s="256" t="e">
        <f t="shared" si="624"/>
        <v>#DIV/0!</v>
      </c>
      <c r="Y161" s="255">
        <f t="shared" ref="Y161:BK161" si="636">Y162+Y166</f>
        <v>0</v>
      </c>
      <c r="Z161" s="255">
        <f t="shared" si="636"/>
        <v>0</v>
      </c>
      <c r="AA161" s="255">
        <f t="shared" si="636"/>
        <v>0</v>
      </c>
      <c r="AB161" s="255">
        <f t="shared" si="636"/>
        <v>0</v>
      </c>
      <c r="AC161" s="255">
        <f t="shared" si="636"/>
        <v>0</v>
      </c>
      <c r="AD161" s="255">
        <f t="shared" si="636"/>
        <v>0</v>
      </c>
      <c r="AE161" s="255">
        <f t="shared" si="636"/>
        <v>0</v>
      </c>
      <c r="AF161" s="255">
        <f t="shared" si="636"/>
        <v>0</v>
      </c>
      <c r="AG161" s="255">
        <f t="shared" si="636"/>
        <v>0</v>
      </c>
      <c r="AH161" s="255">
        <f t="shared" si="636"/>
        <v>0</v>
      </c>
      <c r="AI161" s="255">
        <f t="shared" si="636"/>
        <v>0</v>
      </c>
      <c r="AJ161" s="255">
        <f t="shared" si="636"/>
        <v>0</v>
      </c>
      <c r="AK161" s="255">
        <f t="shared" si="636"/>
        <v>0</v>
      </c>
      <c r="AL161" s="255">
        <f t="shared" si="636"/>
        <v>0</v>
      </c>
      <c r="AM161" s="255">
        <f t="shared" si="636"/>
        <v>0</v>
      </c>
      <c r="AN161" s="255">
        <f t="shared" si="636"/>
        <v>0</v>
      </c>
      <c r="AO161" s="255">
        <f t="shared" si="636"/>
        <v>0</v>
      </c>
      <c r="AP161" s="255">
        <f t="shared" si="636"/>
        <v>0</v>
      </c>
      <c r="AQ161" s="255">
        <f t="shared" si="636"/>
        <v>0</v>
      </c>
      <c r="AR161" s="255">
        <f t="shared" si="636"/>
        <v>0</v>
      </c>
      <c r="AS161" s="255">
        <f t="shared" si="636"/>
        <v>0</v>
      </c>
      <c r="AT161" s="255">
        <f t="shared" si="636"/>
        <v>0</v>
      </c>
      <c r="AU161" s="255">
        <f t="shared" si="636"/>
        <v>0</v>
      </c>
      <c r="AV161" s="255">
        <f t="shared" si="636"/>
        <v>0</v>
      </c>
      <c r="AW161" s="255">
        <f t="shared" si="636"/>
        <v>0</v>
      </c>
      <c r="AX161" s="255">
        <f t="shared" si="636"/>
        <v>0</v>
      </c>
      <c r="AY161" s="255">
        <f t="shared" si="636"/>
        <v>0</v>
      </c>
      <c r="AZ161" s="255">
        <f t="shared" si="636"/>
        <v>0</v>
      </c>
      <c r="BA161" s="255">
        <f t="shared" si="636"/>
        <v>0</v>
      </c>
      <c r="BB161" s="255">
        <f t="shared" si="636"/>
        <v>0</v>
      </c>
      <c r="BC161" s="255">
        <f t="shared" si="636"/>
        <v>0</v>
      </c>
      <c r="BD161" s="255">
        <f t="shared" si="636"/>
        <v>0</v>
      </c>
      <c r="BE161" s="255">
        <f t="shared" si="636"/>
        <v>0</v>
      </c>
      <c r="BF161" s="255">
        <f t="shared" si="636"/>
        <v>0</v>
      </c>
      <c r="BG161" s="255">
        <f t="shared" si="636"/>
        <v>0</v>
      </c>
      <c r="BH161" s="255">
        <f t="shared" si="636"/>
        <v>0</v>
      </c>
      <c r="BI161" s="255">
        <f t="shared" si="636"/>
        <v>0</v>
      </c>
      <c r="BJ161" s="255">
        <f t="shared" si="636"/>
        <v>0</v>
      </c>
      <c r="BK161" s="255">
        <f t="shared" si="636"/>
        <v>0</v>
      </c>
      <c r="BL161" s="157"/>
      <c r="BM161" s="158"/>
      <c r="BN161" s="158"/>
      <c r="BO161" s="158"/>
      <c r="BP161" s="158"/>
    </row>
    <row r="162" spans="1:68" ht="15.75" customHeight="1">
      <c r="A162" s="240"/>
      <c r="B162" s="240"/>
      <c r="C162" s="229"/>
      <c r="D162" s="257" t="s">
        <v>416</v>
      </c>
      <c r="E162" s="231">
        <f t="shared" ref="E162:F162" si="637">SUM(E163:E165)</f>
        <v>36444.800000000003</v>
      </c>
      <c r="F162" s="231">
        <f t="shared" si="637"/>
        <v>0</v>
      </c>
      <c r="G162" s="187">
        <f t="shared" si="619"/>
        <v>4.1158135042584948E-2</v>
      </c>
      <c r="H162" s="187">
        <f t="shared" si="620"/>
        <v>0</v>
      </c>
      <c r="I162" s="231">
        <f t="shared" ref="I162:O162" si="638">SUM(I163:I165)</f>
        <v>1500</v>
      </c>
      <c r="J162" s="231">
        <f t="shared" si="638"/>
        <v>0</v>
      </c>
      <c r="K162" s="231">
        <f t="shared" si="638"/>
        <v>0</v>
      </c>
      <c r="L162" s="231">
        <f t="shared" si="638"/>
        <v>0</v>
      </c>
      <c r="M162" s="231">
        <f t="shared" si="638"/>
        <v>0</v>
      </c>
      <c r="N162" s="231">
        <f t="shared" si="638"/>
        <v>0</v>
      </c>
      <c r="O162" s="231">
        <f t="shared" si="638"/>
        <v>0</v>
      </c>
      <c r="P162" s="258">
        <f t="shared" ref="P162:R162" si="639">IF(BI162=0,SUM(Y162+AB162+AE162+AH162+AK162+AN162+AQ162+AT162+AW162+AZ162+BC162+BF162),BI162)</f>
        <v>0</v>
      </c>
      <c r="Q162" s="258">
        <f t="shared" si="639"/>
        <v>0</v>
      </c>
      <c r="R162" s="258">
        <f t="shared" si="639"/>
        <v>0</v>
      </c>
      <c r="S162" s="231">
        <f t="shared" ref="S162:U162" si="640">SUM(S163:S165)</f>
        <v>1500</v>
      </c>
      <c r="T162" s="231">
        <f t="shared" si="640"/>
        <v>0</v>
      </c>
      <c r="U162" s="231">
        <f t="shared" si="640"/>
        <v>0</v>
      </c>
      <c r="V162" s="259">
        <f t="shared" ref="V162:W162" si="641">M162/I162</f>
        <v>0</v>
      </c>
      <c r="W162" s="259" t="e">
        <f t="shared" si="641"/>
        <v>#DIV/0!</v>
      </c>
      <c r="X162" s="259" t="e">
        <f t="shared" si="624"/>
        <v>#DIV/0!</v>
      </c>
      <c r="Y162" s="231">
        <f t="shared" ref="Y162:BK162" si="642">SUM(Y163:Y165)</f>
        <v>0</v>
      </c>
      <c r="Z162" s="231">
        <f t="shared" si="642"/>
        <v>0</v>
      </c>
      <c r="AA162" s="231">
        <f t="shared" si="642"/>
        <v>0</v>
      </c>
      <c r="AB162" s="231">
        <f t="shared" si="642"/>
        <v>0</v>
      </c>
      <c r="AC162" s="231">
        <f t="shared" si="642"/>
        <v>0</v>
      </c>
      <c r="AD162" s="231">
        <f t="shared" si="642"/>
        <v>0</v>
      </c>
      <c r="AE162" s="231">
        <f t="shared" si="642"/>
        <v>0</v>
      </c>
      <c r="AF162" s="231">
        <f t="shared" si="642"/>
        <v>0</v>
      </c>
      <c r="AG162" s="231">
        <f t="shared" si="642"/>
        <v>0</v>
      </c>
      <c r="AH162" s="231">
        <f t="shared" si="642"/>
        <v>0</v>
      </c>
      <c r="AI162" s="231">
        <f t="shared" si="642"/>
        <v>0</v>
      </c>
      <c r="AJ162" s="231">
        <f t="shared" si="642"/>
        <v>0</v>
      </c>
      <c r="AK162" s="231">
        <f t="shared" si="642"/>
        <v>0</v>
      </c>
      <c r="AL162" s="231">
        <f t="shared" si="642"/>
        <v>0</v>
      </c>
      <c r="AM162" s="231">
        <f t="shared" si="642"/>
        <v>0</v>
      </c>
      <c r="AN162" s="231">
        <f t="shared" si="642"/>
        <v>0</v>
      </c>
      <c r="AO162" s="231">
        <f t="shared" si="642"/>
        <v>0</v>
      </c>
      <c r="AP162" s="231">
        <f t="shared" si="642"/>
        <v>0</v>
      </c>
      <c r="AQ162" s="231">
        <f t="shared" si="642"/>
        <v>0</v>
      </c>
      <c r="AR162" s="231">
        <f t="shared" si="642"/>
        <v>0</v>
      </c>
      <c r="AS162" s="231">
        <f t="shared" si="642"/>
        <v>0</v>
      </c>
      <c r="AT162" s="231">
        <f t="shared" si="642"/>
        <v>0</v>
      </c>
      <c r="AU162" s="231">
        <f t="shared" si="642"/>
        <v>0</v>
      </c>
      <c r="AV162" s="231">
        <f t="shared" si="642"/>
        <v>0</v>
      </c>
      <c r="AW162" s="231">
        <f t="shared" si="642"/>
        <v>0</v>
      </c>
      <c r="AX162" s="231">
        <f t="shared" si="642"/>
        <v>0</v>
      </c>
      <c r="AY162" s="231">
        <f t="shared" si="642"/>
        <v>0</v>
      </c>
      <c r="AZ162" s="231">
        <f t="shared" si="642"/>
        <v>0</v>
      </c>
      <c r="BA162" s="231">
        <f t="shared" si="642"/>
        <v>0</v>
      </c>
      <c r="BB162" s="231">
        <f t="shared" si="642"/>
        <v>0</v>
      </c>
      <c r="BC162" s="231">
        <f t="shared" si="642"/>
        <v>0</v>
      </c>
      <c r="BD162" s="231">
        <f t="shared" si="642"/>
        <v>0</v>
      </c>
      <c r="BE162" s="231">
        <f t="shared" si="642"/>
        <v>0</v>
      </c>
      <c r="BF162" s="231">
        <f t="shared" si="642"/>
        <v>0</v>
      </c>
      <c r="BG162" s="231">
        <f t="shared" si="642"/>
        <v>0</v>
      </c>
      <c r="BH162" s="231">
        <f t="shared" si="642"/>
        <v>0</v>
      </c>
      <c r="BI162" s="231">
        <f t="shared" si="642"/>
        <v>0</v>
      </c>
      <c r="BJ162" s="231">
        <f t="shared" si="642"/>
        <v>0</v>
      </c>
      <c r="BK162" s="231">
        <f t="shared" si="642"/>
        <v>0</v>
      </c>
      <c r="BL162" s="233"/>
      <c r="BM162" s="234"/>
      <c r="BN162" s="234"/>
      <c r="BO162" s="234"/>
      <c r="BP162" s="234"/>
    </row>
    <row r="163" spans="1:68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166"/>
      <c r="G163" s="94">
        <f t="shared" si="619"/>
        <v>0</v>
      </c>
      <c r="H163" s="94">
        <f t="shared" si="620"/>
        <v>0</v>
      </c>
      <c r="I163" s="142">
        <v>0</v>
      </c>
      <c r="J163" s="96"/>
      <c r="K163" s="96"/>
      <c r="L163" s="96"/>
      <c r="M163" s="97">
        <f t="shared" ref="M163:O163" si="643">Y163+AB163+AE163+AH163+AK163+AN163+AQ163+AT163+AW163+AZ163+BC163+BF163</f>
        <v>0</v>
      </c>
      <c r="N163" s="97">
        <f t="shared" si="643"/>
        <v>0</v>
      </c>
      <c r="O163" s="97">
        <f t="shared" si="643"/>
        <v>0</v>
      </c>
      <c r="P163" s="97">
        <f t="shared" ref="P163:R163" si="644">IF(BI163=0,SUM(Y163+AB163+AE163+AH163+AK163+AN163+AQ163+AT163+AW163+AZ163+BC163+BF163),BI163)</f>
        <v>0</v>
      </c>
      <c r="Q163" s="97">
        <f t="shared" si="644"/>
        <v>0</v>
      </c>
      <c r="R163" s="97">
        <f t="shared" si="644"/>
        <v>0</v>
      </c>
      <c r="S163" s="138">
        <f t="shared" ref="S163:T163" si="645">I163-M163</f>
        <v>0</v>
      </c>
      <c r="T163" s="97">
        <f t="shared" si="645"/>
        <v>0</v>
      </c>
      <c r="U163" s="97">
        <f t="shared" ref="U163:U165" si="646">L163-O163</f>
        <v>0</v>
      </c>
      <c r="V163" s="98" t="e">
        <f t="shared" ref="V163:W163" si="647">M163/I163</f>
        <v>#DIV/0!</v>
      </c>
      <c r="W163" s="98" t="e">
        <f t="shared" si="647"/>
        <v>#DIV/0!</v>
      </c>
      <c r="X163" s="98" t="e">
        <f t="shared" si="624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260">
        <v>0</v>
      </c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166"/>
      <c r="G164" s="94">
        <f t="shared" si="619"/>
        <v>1</v>
      </c>
      <c r="H164" s="94">
        <f t="shared" si="620"/>
        <v>0</v>
      </c>
      <c r="I164" s="95">
        <v>1500</v>
      </c>
      <c r="J164" s="96"/>
      <c r="K164" s="96"/>
      <c r="L164" s="261"/>
      <c r="M164" s="97">
        <f t="shared" ref="M164:O164" si="648">Y164+AB164+AE164+AH164+AK164+AN164+AQ164+AT164+AW164+AZ164+BC164+BF164</f>
        <v>0</v>
      </c>
      <c r="N164" s="97">
        <f t="shared" si="648"/>
        <v>0</v>
      </c>
      <c r="O164" s="97">
        <f t="shared" si="648"/>
        <v>0</v>
      </c>
      <c r="P164" s="97">
        <f t="shared" ref="P164:R164" si="649">IF(BI164=0,SUM(Y164+AB164+AE164+AH164+AK164+AN164+AQ164+AT164+AW164+AZ164+BC164+BF164),BI164)</f>
        <v>0</v>
      </c>
      <c r="Q164" s="97">
        <f t="shared" si="649"/>
        <v>0</v>
      </c>
      <c r="R164" s="97">
        <f t="shared" si="649"/>
        <v>0</v>
      </c>
      <c r="S164" s="97">
        <f t="shared" ref="S164:T164" si="650">I164-M164</f>
        <v>1500</v>
      </c>
      <c r="T164" s="97">
        <f t="shared" si="650"/>
        <v>0</v>
      </c>
      <c r="U164" s="97">
        <f t="shared" si="646"/>
        <v>0</v>
      </c>
      <c r="V164" s="98">
        <f t="shared" ref="V164:W164" si="651">M164/I164</f>
        <v>0</v>
      </c>
      <c r="W164" s="98" t="e">
        <f t="shared" si="651"/>
        <v>#DIV/0!</v>
      </c>
      <c r="X164" s="98" t="e">
        <f t="shared" si="624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89"/>
      <c r="B165" s="89"/>
      <c r="C165" s="90" t="s">
        <v>213</v>
      </c>
      <c r="D165" s="91" t="s">
        <v>74</v>
      </c>
      <c r="E165" s="166"/>
      <c r="F165" s="166"/>
      <c r="G165" s="94" t="e">
        <f t="shared" si="619"/>
        <v>#DIV/0!</v>
      </c>
      <c r="H165" s="94" t="e">
        <f t="shared" si="620"/>
        <v>#DIV/0!</v>
      </c>
      <c r="I165" s="95"/>
      <c r="J165" s="96"/>
      <c r="K165" s="96"/>
      <c r="L165" s="95"/>
      <c r="M165" s="97">
        <f t="shared" ref="M165:O165" si="652">Y165+AB165+AE165+AH165+AK165+AN165+AQ165+AT165+AW165+AZ165+BC165+BF165</f>
        <v>0</v>
      </c>
      <c r="N165" s="97">
        <f t="shared" si="652"/>
        <v>0</v>
      </c>
      <c r="O165" s="97">
        <f t="shared" si="652"/>
        <v>0</v>
      </c>
      <c r="P165" s="97">
        <f t="shared" ref="P165:R165" si="653">IF(BI165=0,SUM(Y165+AB165+AE165+AH165+AK165+AN165+AQ165+AT165+AW165+AZ165+BC165+BF165),BI165)</f>
        <v>0</v>
      </c>
      <c r="Q165" s="97">
        <f t="shared" si="653"/>
        <v>0</v>
      </c>
      <c r="R165" s="97">
        <f t="shared" si="653"/>
        <v>0</v>
      </c>
      <c r="S165" s="97">
        <f t="shared" ref="S165:T165" si="654">I165-M165</f>
        <v>0</v>
      </c>
      <c r="T165" s="97">
        <f t="shared" si="654"/>
        <v>0</v>
      </c>
      <c r="U165" s="97">
        <f t="shared" si="646"/>
        <v>0</v>
      </c>
      <c r="V165" s="98" t="e">
        <f t="shared" ref="V165:W165" si="655">M165/I165</f>
        <v>#DIV/0!</v>
      </c>
      <c r="W165" s="98" t="e">
        <f t="shared" si="655"/>
        <v>#DIV/0!</v>
      </c>
      <c r="X165" s="98" t="e">
        <f t="shared" si="624"/>
        <v>#DIV/0!</v>
      </c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9"/>
      <c r="BM165" s="100"/>
      <c r="BN165" s="100"/>
      <c r="BO165" s="100"/>
      <c r="BP165" s="100"/>
    </row>
    <row r="166" spans="1:68" ht="15.75" customHeight="1">
      <c r="A166" s="240"/>
      <c r="B166" s="240"/>
      <c r="C166" s="229"/>
      <c r="D166" s="230" t="s">
        <v>418</v>
      </c>
      <c r="E166" s="231">
        <f t="shared" ref="E166:F166" si="656">SUM(E167:E168)</f>
        <v>0</v>
      </c>
      <c r="F166" s="231">
        <f t="shared" si="656"/>
        <v>0</v>
      </c>
      <c r="G166" s="188" t="e">
        <f t="shared" si="619"/>
        <v>#DIV/0!</v>
      </c>
      <c r="H166" s="188" t="e">
        <f t="shared" si="620"/>
        <v>#DIV/0!</v>
      </c>
      <c r="I166" s="231">
        <f t="shared" ref="I166:O166" si="657">SUM(I167:I168)</f>
        <v>0</v>
      </c>
      <c r="J166" s="231">
        <f t="shared" si="657"/>
        <v>0</v>
      </c>
      <c r="K166" s="231">
        <f t="shared" si="657"/>
        <v>0</v>
      </c>
      <c r="L166" s="231">
        <f t="shared" si="657"/>
        <v>0</v>
      </c>
      <c r="M166" s="231">
        <f t="shared" si="657"/>
        <v>0</v>
      </c>
      <c r="N166" s="231">
        <f t="shared" si="657"/>
        <v>0</v>
      </c>
      <c r="O166" s="231">
        <f t="shared" si="657"/>
        <v>0</v>
      </c>
      <c r="P166" s="258">
        <f t="shared" ref="P166:R166" si="658">IF(BI166=0,SUM(Y166+AB166+AE166+AH166+AK166+AN166+AQ166+AT166+AW166+AZ166+BC166+BF166),BI166)</f>
        <v>0</v>
      </c>
      <c r="Q166" s="258">
        <f t="shared" si="658"/>
        <v>0</v>
      </c>
      <c r="R166" s="258">
        <f t="shared" si="658"/>
        <v>0</v>
      </c>
      <c r="S166" s="231">
        <f t="shared" ref="S166:U166" si="659">SUM(S167:S168)</f>
        <v>0</v>
      </c>
      <c r="T166" s="231">
        <f t="shared" si="659"/>
        <v>0</v>
      </c>
      <c r="U166" s="231">
        <f t="shared" si="659"/>
        <v>0</v>
      </c>
      <c r="V166" s="259" t="e">
        <f t="shared" ref="V166:W166" si="660">M166/I166</f>
        <v>#DIV/0!</v>
      </c>
      <c r="W166" s="259" t="e">
        <f t="shared" si="660"/>
        <v>#DIV/0!</v>
      </c>
      <c r="X166" s="259" t="e">
        <f t="shared" si="624"/>
        <v>#DIV/0!</v>
      </c>
      <c r="Y166" s="231">
        <f t="shared" ref="Y166:BK166" si="661">SUM(Y167:Y168)</f>
        <v>0</v>
      </c>
      <c r="Z166" s="231">
        <f t="shared" si="661"/>
        <v>0</v>
      </c>
      <c r="AA166" s="231">
        <f t="shared" si="661"/>
        <v>0</v>
      </c>
      <c r="AB166" s="231">
        <f t="shared" si="661"/>
        <v>0</v>
      </c>
      <c r="AC166" s="231">
        <f t="shared" si="661"/>
        <v>0</v>
      </c>
      <c r="AD166" s="231">
        <f t="shared" si="661"/>
        <v>0</v>
      </c>
      <c r="AE166" s="231">
        <f t="shared" si="661"/>
        <v>0</v>
      </c>
      <c r="AF166" s="231">
        <f t="shared" si="661"/>
        <v>0</v>
      </c>
      <c r="AG166" s="231">
        <f t="shared" si="661"/>
        <v>0</v>
      </c>
      <c r="AH166" s="231">
        <f t="shared" si="661"/>
        <v>0</v>
      </c>
      <c r="AI166" s="231">
        <f t="shared" si="661"/>
        <v>0</v>
      </c>
      <c r="AJ166" s="231">
        <f t="shared" si="661"/>
        <v>0</v>
      </c>
      <c r="AK166" s="231">
        <f t="shared" si="661"/>
        <v>0</v>
      </c>
      <c r="AL166" s="231">
        <f t="shared" si="661"/>
        <v>0</v>
      </c>
      <c r="AM166" s="231">
        <f t="shared" si="661"/>
        <v>0</v>
      </c>
      <c r="AN166" s="231">
        <f t="shared" si="661"/>
        <v>0</v>
      </c>
      <c r="AO166" s="231">
        <f t="shared" si="661"/>
        <v>0</v>
      </c>
      <c r="AP166" s="231">
        <f t="shared" si="661"/>
        <v>0</v>
      </c>
      <c r="AQ166" s="231">
        <f t="shared" si="661"/>
        <v>0</v>
      </c>
      <c r="AR166" s="231">
        <f t="shared" si="661"/>
        <v>0</v>
      </c>
      <c r="AS166" s="231">
        <f t="shared" si="661"/>
        <v>0</v>
      </c>
      <c r="AT166" s="231">
        <f t="shared" si="661"/>
        <v>0</v>
      </c>
      <c r="AU166" s="231">
        <f t="shared" si="661"/>
        <v>0</v>
      </c>
      <c r="AV166" s="231">
        <f t="shared" si="661"/>
        <v>0</v>
      </c>
      <c r="AW166" s="231">
        <f t="shared" si="661"/>
        <v>0</v>
      </c>
      <c r="AX166" s="231">
        <f t="shared" si="661"/>
        <v>0</v>
      </c>
      <c r="AY166" s="231">
        <f t="shared" si="661"/>
        <v>0</v>
      </c>
      <c r="AZ166" s="231">
        <f t="shared" si="661"/>
        <v>0</v>
      </c>
      <c r="BA166" s="231">
        <f t="shared" si="661"/>
        <v>0</v>
      </c>
      <c r="BB166" s="231">
        <f t="shared" si="661"/>
        <v>0</v>
      </c>
      <c r="BC166" s="231">
        <f t="shared" si="661"/>
        <v>0</v>
      </c>
      <c r="BD166" s="231">
        <f t="shared" si="661"/>
        <v>0</v>
      </c>
      <c r="BE166" s="231">
        <f t="shared" si="661"/>
        <v>0</v>
      </c>
      <c r="BF166" s="231">
        <f t="shared" si="661"/>
        <v>0</v>
      </c>
      <c r="BG166" s="231">
        <f t="shared" si="661"/>
        <v>0</v>
      </c>
      <c r="BH166" s="231">
        <f t="shared" si="661"/>
        <v>0</v>
      </c>
      <c r="BI166" s="231">
        <f t="shared" si="661"/>
        <v>0</v>
      </c>
      <c r="BJ166" s="231">
        <f t="shared" si="661"/>
        <v>0</v>
      </c>
      <c r="BK166" s="231">
        <f t="shared" si="661"/>
        <v>0</v>
      </c>
      <c r="BL166" s="233"/>
      <c r="BM166" s="234"/>
      <c r="BN166" s="234"/>
      <c r="BO166" s="234"/>
      <c r="BP166" s="234"/>
    </row>
    <row r="167" spans="1:68" ht="15.75" customHeight="1">
      <c r="A167" s="89"/>
      <c r="B167" s="89"/>
      <c r="C167" s="90" t="s">
        <v>357</v>
      </c>
      <c r="D167" s="91" t="s">
        <v>419</v>
      </c>
      <c r="E167" s="166"/>
      <c r="F167" s="166"/>
      <c r="G167" s="94" t="e">
        <f t="shared" si="619"/>
        <v>#DIV/0!</v>
      </c>
      <c r="H167" s="94" t="e">
        <f t="shared" si="620"/>
        <v>#DIV/0!</v>
      </c>
      <c r="I167" s="95"/>
      <c r="J167" s="96"/>
      <c r="K167" s="96"/>
      <c r="L167" s="95"/>
      <c r="M167" s="97">
        <f t="shared" ref="M167:O167" si="662">Y167+AB167+AE167+AH167+AK167+AN167+AQ167+AT167+AW167+AZ167+BC167+BF167</f>
        <v>0</v>
      </c>
      <c r="N167" s="97">
        <f t="shared" si="662"/>
        <v>0</v>
      </c>
      <c r="O167" s="97">
        <f t="shared" si="662"/>
        <v>0</v>
      </c>
      <c r="P167" s="97">
        <f t="shared" ref="P167:R167" si="663">IF(BI167=0,SUM(Y167+AB167+AE167+AH167+AK167+AN167+AQ167+AT167+AW167+AZ167+BC167+BF167),BI167)</f>
        <v>0</v>
      </c>
      <c r="Q167" s="97">
        <f t="shared" si="663"/>
        <v>0</v>
      </c>
      <c r="R167" s="97">
        <f t="shared" si="663"/>
        <v>0</v>
      </c>
      <c r="S167" s="97">
        <f t="shared" ref="S167:T167" si="664">I167-M167</f>
        <v>0</v>
      </c>
      <c r="T167" s="97">
        <f t="shared" si="664"/>
        <v>0</v>
      </c>
      <c r="U167" s="97">
        <f t="shared" ref="U167:U168" si="665">L167-O167</f>
        <v>0</v>
      </c>
      <c r="V167" s="98" t="e">
        <f t="shared" ref="V167:W167" si="666">M167/I167</f>
        <v>#DIV/0!</v>
      </c>
      <c r="W167" s="98" t="e">
        <f t="shared" si="666"/>
        <v>#DIV/0!</v>
      </c>
      <c r="X167" s="98" t="e">
        <f t="shared" si="624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89"/>
      <c r="B168" s="89"/>
      <c r="C168" s="101"/>
      <c r="D168" s="91"/>
      <c r="E168" s="166"/>
      <c r="F168" s="262"/>
      <c r="G168" s="94" t="e">
        <f t="shared" si="619"/>
        <v>#DIV/0!</v>
      </c>
      <c r="H168" s="94" t="e">
        <f t="shared" si="620"/>
        <v>#DIV/0!</v>
      </c>
      <c r="I168" s="95"/>
      <c r="J168" s="96"/>
      <c r="K168" s="96"/>
      <c r="L168" s="95"/>
      <c r="M168" s="97"/>
      <c r="N168" s="97">
        <f t="shared" ref="N168:O168" si="667">Z168+AC168+AF168+AI168+AL168+AO168+AR168+AU168+AX168+BA168+BD168+BG168</f>
        <v>0</v>
      </c>
      <c r="O168" s="97">
        <f t="shared" si="667"/>
        <v>0</v>
      </c>
      <c r="P168" s="97">
        <f t="shared" ref="P168:R168" si="668">IF(BI168=0,SUM(Y168+AB168+AE168+AH168+AK168+AN168+AQ168+AT168+AW168+AZ168+BC168+BF168),BI168)</f>
        <v>0</v>
      </c>
      <c r="Q168" s="97">
        <f t="shared" si="668"/>
        <v>0</v>
      </c>
      <c r="R168" s="97">
        <f t="shared" si="668"/>
        <v>0</v>
      </c>
      <c r="S168" s="97">
        <f t="shared" ref="S168:T168" si="669">I168-M168</f>
        <v>0</v>
      </c>
      <c r="T168" s="97">
        <f t="shared" si="669"/>
        <v>0</v>
      </c>
      <c r="U168" s="97">
        <f t="shared" si="665"/>
        <v>0</v>
      </c>
      <c r="V168" s="98" t="e">
        <f t="shared" ref="V168:W168" si="670">M168/I168</f>
        <v>#DIV/0!</v>
      </c>
      <c r="W168" s="98" t="e">
        <f t="shared" si="670"/>
        <v>#DIV/0!</v>
      </c>
      <c r="X168" s="98" t="e">
        <f t="shared" si="624"/>
        <v>#DIV/0!</v>
      </c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9"/>
      <c r="BM168" s="100"/>
      <c r="BN168" s="100"/>
      <c r="BO168" s="100"/>
      <c r="BP168" s="100"/>
    </row>
    <row r="169" spans="1:68" ht="15.75" customHeight="1">
      <c r="A169" s="253"/>
      <c r="B169" s="253"/>
      <c r="C169" s="183"/>
      <c r="D169" s="254" t="s">
        <v>420</v>
      </c>
      <c r="E169" s="255">
        <f t="shared" ref="E169:F169" si="671">E170+E177</f>
        <v>84944.8</v>
      </c>
      <c r="F169" s="255">
        <f t="shared" si="671"/>
        <v>36000</v>
      </c>
      <c r="G169" s="223">
        <f t="shared" si="619"/>
        <v>0.30331297501436227</v>
      </c>
      <c r="H169" s="223">
        <f t="shared" si="620"/>
        <v>0</v>
      </c>
      <c r="I169" s="255">
        <f t="shared" ref="I169:O169" si="672">I170+I177</f>
        <v>25764.86</v>
      </c>
      <c r="J169" s="255">
        <f t="shared" si="672"/>
        <v>250</v>
      </c>
      <c r="K169" s="255">
        <f t="shared" si="672"/>
        <v>0</v>
      </c>
      <c r="L169" s="255">
        <f t="shared" si="672"/>
        <v>0</v>
      </c>
      <c r="M169" s="255">
        <f t="shared" si="672"/>
        <v>0</v>
      </c>
      <c r="N169" s="255">
        <f t="shared" si="672"/>
        <v>250</v>
      </c>
      <c r="O169" s="255">
        <f t="shared" si="672"/>
        <v>0</v>
      </c>
      <c r="P169" s="255">
        <f t="shared" ref="P169:R169" si="673">IF(BI169=0,SUM(Y169+AB169+AE169+AH169+AK169+AN169+AQ169+AT169+AW169+AZ169+BC169+BF169),BI169)</f>
        <v>3300</v>
      </c>
      <c r="Q169" s="255">
        <f t="shared" si="673"/>
        <v>250</v>
      </c>
      <c r="R169" s="255">
        <f t="shared" si="673"/>
        <v>0</v>
      </c>
      <c r="S169" s="255">
        <f t="shared" ref="S169:U169" si="674">S170+S177</f>
        <v>4864.8599999999997</v>
      </c>
      <c r="T169" s="255">
        <f t="shared" si="674"/>
        <v>0</v>
      </c>
      <c r="U169" s="255">
        <f t="shared" si="674"/>
        <v>0</v>
      </c>
      <c r="V169" s="256">
        <f t="shared" ref="V169:W169" si="675">M169/I169</f>
        <v>0</v>
      </c>
      <c r="W169" s="256">
        <f t="shared" si="675"/>
        <v>1</v>
      </c>
      <c r="X169" s="256" t="e">
        <f t="shared" si="624"/>
        <v>#DIV/0!</v>
      </c>
      <c r="Y169" s="255">
        <f t="shared" ref="Y169:BK169" si="676">Y170+Y177</f>
        <v>0</v>
      </c>
      <c r="Z169" s="255">
        <f t="shared" si="676"/>
        <v>250</v>
      </c>
      <c r="AA169" s="255">
        <f t="shared" si="676"/>
        <v>0</v>
      </c>
      <c r="AB169" s="255">
        <f t="shared" si="676"/>
        <v>0</v>
      </c>
      <c r="AC169" s="255">
        <f t="shared" si="676"/>
        <v>0</v>
      </c>
      <c r="AD169" s="255">
        <f t="shared" si="676"/>
        <v>0</v>
      </c>
      <c r="AE169" s="255">
        <f t="shared" si="676"/>
        <v>0</v>
      </c>
      <c r="AF169" s="255">
        <f t="shared" si="676"/>
        <v>0</v>
      </c>
      <c r="AG169" s="255">
        <f t="shared" si="676"/>
        <v>0</v>
      </c>
      <c r="AH169" s="255">
        <f t="shared" si="676"/>
        <v>0</v>
      </c>
      <c r="AI169" s="255">
        <f t="shared" si="676"/>
        <v>0</v>
      </c>
      <c r="AJ169" s="255">
        <f t="shared" si="676"/>
        <v>0</v>
      </c>
      <c r="AK169" s="255">
        <f t="shared" si="676"/>
        <v>0</v>
      </c>
      <c r="AL169" s="255">
        <f t="shared" si="676"/>
        <v>0</v>
      </c>
      <c r="AM169" s="255">
        <f t="shared" si="676"/>
        <v>0</v>
      </c>
      <c r="AN169" s="255">
        <f t="shared" si="676"/>
        <v>0</v>
      </c>
      <c r="AO169" s="255">
        <f t="shared" si="676"/>
        <v>0</v>
      </c>
      <c r="AP169" s="255">
        <f t="shared" si="676"/>
        <v>0</v>
      </c>
      <c r="AQ169" s="255">
        <f t="shared" si="676"/>
        <v>1200</v>
      </c>
      <c r="AR169" s="255">
        <f t="shared" si="676"/>
        <v>0</v>
      </c>
      <c r="AS169" s="255">
        <f t="shared" si="676"/>
        <v>0</v>
      </c>
      <c r="AT169" s="255">
        <f t="shared" si="676"/>
        <v>2100</v>
      </c>
      <c r="AU169" s="255">
        <f t="shared" si="676"/>
        <v>0</v>
      </c>
      <c r="AV169" s="255">
        <f t="shared" si="676"/>
        <v>0</v>
      </c>
      <c r="AW169" s="255">
        <f t="shared" si="676"/>
        <v>0</v>
      </c>
      <c r="AX169" s="255">
        <f t="shared" si="676"/>
        <v>0</v>
      </c>
      <c r="AY169" s="255">
        <f t="shared" si="676"/>
        <v>0</v>
      </c>
      <c r="AZ169" s="255">
        <f t="shared" si="676"/>
        <v>0</v>
      </c>
      <c r="BA169" s="255">
        <f t="shared" si="676"/>
        <v>0</v>
      </c>
      <c r="BB169" s="255">
        <f t="shared" si="676"/>
        <v>0</v>
      </c>
      <c r="BC169" s="255">
        <f t="shared" si="676"/>
        <v>0</v>
      </c>
      <c r="BD169" s="255">
        <f t="shared" si="676"/>
        <v>0</v>
      </c>
      <c r="BE169" s="255">
        <f t="shared" si="676"/>
        <v>0</v>
      </c>
      <c r="BF169" s="255">
        <f t="shared" si="676"/>
        <v>0</v>
      </c>
      <c r="BG169" s="255">
        <f t="shared" si="676"/>
        <v>0</v>
      </c>
      <c r="BH169" s="255">
        <f t="shared" si="676"/>
        <v>0</v>
      </c>
      <c r="BI169" s="255">
        <f t="shared" si="676"/>
        <v>0</v>
      </c>
      <c r="BJ169" s="255">
        <f t="shared" si="676"/>
        <v>0</v>
      </c>
      <c r="BK169" s="255">
        <f t="shared" si="676"/>
        <v>0</v>
      </c>
      <c r="BL169" s="157"/>
      <c r="BM169" s="158"/>
      <c r="BN169" s="158"/>
      <c r="BO169" s="158"/>
      <c r="BP169" s="158"/>
    </row>
    <row r="170" spans="1:68" ht="15.75" customHeight="1">
      <c r="A170" s="240"/>
      <c r="B170" s="240"/>
      <c r="C170" s="229"/>
      <c r="D170" s="230" t="s">
        <v>421</v>
      </c>
      <c r="E170" s="231">
        <f>SUM(E171:E176)</f>
        <v>84944.8</v>
      </c>
      <c r="F170" s="231">
        <f>SUM(F171:F175)</f>
        <v>0</v>
      </c>
      <c r="G170" s="188">
        <f t="shared" si="619"/>
        <v>0.30331297501436227</v>
      </c>
      <c r="H170" s="188">
        <f t="shared" si="620"/>
        <v>0</v>
      </c>
      <c r="I170" s="231">
        <f t="shared" ref="I170:K170" si="677">SUM(I171:I176)</f>
        <v>25764.86</v>
      </c>
      <c r="J170" s="231">
        <f t="shared" si="677"/>
        <v>250</v>
      </c>
      <c r="K170" s="231">
        <f t="shared" si="677"/>
        <v>0</v>
      </c>
      <c r="L170" s="231">
        <f t="shared" ref="L170:M170" si="678">SUM(L171:L175)</f>
        <v>0</v>
      </c>
      <c r="M170" s="231">
        <f t="shared" si="678"/>
        <v>0</v>
      </c>
      <c r="N170" s="231">
        <f>SUM(N171:N176)</f>
        <v>250</v>
      </c>
      <c r="O170" s="231">
        <f>SUM(O171:O175)</f>
        <v>0</v>
      </c>
      <c r="P170" s="232">
        <f t="shared" ref="P170:R170" si="679">IF(BI170=0,SUM(Y170+AB170+AE170+AH170+AK170+AN170+AQ170+AT170+AW170+AZ170+BC170+BF170),BI170)</f>
        <v>3300</v>
      </c>
      <c r="Q170" s="232">
        <f t="shared" si="679"/>
        <v>250</v>
      </c>
      <c r="R170" s="232">
        <f t="shared" si="679"/>
        <v>0</v>
      </c>
      <c r="S170" s="231">
        <f t="shared" ref="S170:T170" si="680">SUM(S171:S176)</f>
        <v>4864.8599999999997</v>
      </c>
      <c r="T170" s="231">
        <f t="shared" si="680"/>
        <v>0</v>
      </c>
      <c r="U170" s="231">
        <f>SUM(U171:U175)</f>
        <v>0</v>
      </c>
      <c r="V170" s="259">
        <f t="shared" ref="V170:W170" si="681">M170/I170</f>
        <v>0</v>
      </c>
      <c r="W170" s="259">
        <f t="shared" si="681"/>
        <v>1</v>
      </c>
      <c r="X170" s="259" t="e">
        <f t="shared" si="624"/>
        <v>#DIV/0!</v>
      </c>
      <c r="Y170" s="231">
        <f>SUM(Y171:Y175)</f>
        <v>0</v>
      </c>
      <c r="Z170" s="231">
        <f>SUM(Z171:Z176)</f>
        <v>250</v>
      </c>
      <c r="AA170" s="231">
        <f t="shared" ref="AA170:AE170" si="682">SUM(AA171:AA175)</f>
        <v>0</v>
      </c>
      <c r="AB170" s="231">
        <f t="shared" si="682"/>
        <v>0</v>
      </c>
      <c r="AC170" s="231">
        <f t="shared" si="682"/>
        <v>0</v>
      </c>
      <c r="AD170" s="231">
        <f t="shared" si="682"/>
        <v>0</v>
      </c>
      <c r="AE170" s="231">
        <f t="shared" si="682"/>
        <v>0</v>
      </c>
      <c r="AF170" s="231">
        <f>SUM(AF171:AF176)</f>
        <v>0</v>
      </c>
      <c r="AG170" s="231">
        <f t="shared" ref="AG170:BK170" si="683">SUM(AG171:AG175)</f>
        <v>0</v>
      </c>
      <c r="AH170" s="231">
        <f t="shared" si="683"/>
        <v>0</v>
      </c>
      <c r="AI170" s="231">
        <f t="shared" si="683"/>
        <v>0</v>
      </c>
      <c r="AJ170" s="231">
        <f t="shared" si="683"/>
        <v>0</v>
      </c>
      <c r="AK170" s="231">
        <f t="shared" si="683"/>
        <v>0</v>
      </c>
      <c r="AL170" s="231">
        <f t="shared" si="683"/>
        <v>0</v>
      </c>
      <c r="AM170" s="231">
        <f t="shared" si="683"/>
        <v>0</v>
      </c>
      <c r="AN170" s="231">
        <f t="shared" si="683"/>
        <v>0</v>
      </c>
      <c r="AO170" s="231">
        <f t="shared" si="683"/>
        <v>0</v>
      </c>
      <c r="AP170" s="231">
        <f t="shared" si="683"/>
        <v>0</v>
      </c>
      <c r="AQ170" s="231">
        <f t="shared" si="683"/>
        <v>1200</v>
      </c>
      <c r="AR170" s="231">
        <f t="shared" si="683"/>
        <v>0</v>
      </c>
      <c r="AS170" s="231">
        <f t="shared" si="683"/>
        <v>0</v>
      </c>
      <c r="AT170" s="231">
        <f t="shared" si="683"/>
        <v>2100</v>
      </c>
      <c r="AU170" s="231">
        <f t="shared" si="683"/>
        <v>0</v>
      </c>
      <c r="AV170" s="231">
        <f t="shared" si="683"/>
        <v>0</v>
      </c>
      <c r="AW170" s="231">
        <f t="shared" si="683"/>
        <v>0</v>
      </c>
      <c r="AX170" s="231">
        <f t="shared" si="683"/>
        <v>0</v>
      </c>
      <c r="AY170" s="231">
        <f t="shared" si="683"/>
        <v>0</v>
      </c>
      <c r="AZ170" s="231">
        <f t="shared" si="683"/>
        <v>0</v>
      </c>
      <c r="BA170" s="231">
        <f t="shared" si="683"/>
        <v>0</v>
      </c>
      <c r="BB170" s="231">
        <f t="shared" si="683"/>
        <v>0</v>
      </c>
      <c r="BC170" s="231">
        <f t="shared" si="683"/>
        <v>0</v>
      </c>
      <c r="BD170" s="231">
        <f t="shared" si="683"/>
        <v>0</v>
      </c>
      <c r="BE170" s="231">
        <f t="shared" si="683"/>
        <v>0</v>
      </c>
      <c r="BF170" s="231">
        <f t="shared" si="683"/>
        <v>0</v>
      </c>
      <c r="BG170" s="231">
        <f t="shared" si="683"/>
        <v>0</v>
      </c>
      <c r="BH170" s="231">
        <f t="shared" si="683"/>
        <v>0</v>
      </c>
      <c r="BI170" s="231">
        <f t="shared" si="683"/>
        <v>0</v>
      </c>
      <c r="BJ170" s="231">
        <f t="shared" si="683"/>
        <v>0</v>
      </c>
      <c r="BK170" s="231">
        <f t="shared" si="683"/>
        <v>0</v>
      </c>
      <c r="BL170" s="233"/>
      <c r="BM170" s="234"/>
      <c r="BN170" s="234"/>
      <c r="BO170" s="234"/>
      <c r="BP170" s="234"/>
    </row>
    <row r="171" spans="1:68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166"/>
      <c r="G171" s="94">
        <f t="shared" si="619"/>
        <v>0</v>
      </c>
      <c r="H171" s="94">
        <f t="shared" si="620"/>
        <v>0</v>
      </c>
      <c r="I171" s="95"/>
      <c r="J171" s="95"/>
      <c r="K171" s="95"/>
      <c r="L171" s="263"/>
      <c r="M171" s="97"/>
      <c r="N171" s="97">
        <f t="shared" ref="N171:N172" si="684">Z171+AC171+AF171+AI171+AL171+AO171+AR171+AU171+AX171+BA171+BD171+BG171</f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354" t="s">
        <v>727</v>
      </c>
      <c r="B172" s="89"/>
      <c r="C172" s="90" t="s">
        <v>357</v>
      </c>
      <c r="D172" s="91" t="s">
        <v>423</v>
      </c>
      <c r="E172" s="166">
        <v>20000</v>
      </c>
      <c r="F172" s="166"/>
      <c r="G172" s="94">
        <f t="shared" si="619"/>
        <v>1.0449999999999999</v>
      </c>
      <c r="H172" s="94">
        <f t="shared" si="620"/>
        <v>0</v>
      </c>
      <c r="I172" s="355">
        <f>13800+7100</f>
        <v>20900</v>
      </c>
      <c r="J172" s="95"/>
      <c r="K172" s="355"/>
      <c r="L172" s="263"/>
      <c r="M172" s="97"/>
      <c r="N172" s="97">
        <f t="shared" si="684"/>
        <v>0</v>
      </c>
      <c r="O172" s="97"/>
      <c r="P172" s="82"/>
      <c r="Q172" s="82"/>
      <c r="R172" s="82"/>
      <c r="S172" s="97"/>
      <c r="T172" s="97"/>
      <c r="U172" s="97"/>
      <c r="V172" s="98"/>
      <c r="W172" s="98"/>
      <c r="X172" s="98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103">
        <v>1200</v>
      </c>
      <c r="AR172" s="96"/>
      <c r="AS172" s="96"/>
      <c r="AT172" s="103">
        <v>2100</v>
      </c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166"/>
      <c r="G173" s="94" t="e">
        <f t="shared" si="619"/>
        <v>#DIV/0!</v>
      </c>
      <c r="H173" s="94" t="e">
        <f t="shared" si="620"/>
        <v>#DIV/0!</v>
      </c>
      <c r="I173" s="95"/>
      <c r="J173" s="95"/>
      <c r="K173" s="95"/>
      <c r="L173" s="202"/>
      <c r="M173" s="97">
        <f t="shared" ref="M173:O173" si="685">Y173+AB173+AE173+AH173+AK173+AN173+AQ173+AT173+AW173+AZ173+BC173+BF173</f>
        <v>0</v>
      </c>
      <c r="N173" s="97">
        <f t="shared" si="685"/>
        <v>0</v>
      </c>
      <c r="O173" s="97">
        <f t="shared" si="685"/>
        <v>0</v>
      </c>
      <c r="P173" s="97">
        <f t="shared" ref="P173:R173" si="686">IF(BI173=0,SUM(Y173+AB173+AE173+AH173+AK173+AN173+AQ173+AT173+AW173+AZ173+BC173+BF173),BI173)</f>
        <v>0</v>
      </c>
      <c r="Q173" s="97">
        <f t="shared" si="686"/>
        <v>0</v>
      </c>
      <c r="R173" s="97">
        <f t="shared" si="686"/>
        <v>0</v>
      </c>
      <c r="S173" s="97">
        <f t="shared" ref="S173:T173" si="687">I173-M173</f>
        <v>0</v>
      </c>
      <c r="T173" s="97">
        <f t="shared" si="687"/>
        <v>0</v>
      </c>
      <c r="U173" s="97">
        <f t="shared" ref="U173:U176" si="688">L173-O173</f>
        <v>0</v>
      </c>
      <c r="V173" s="98" t="e">
        <f t="shared" ref="V173:W173" si="689">M173/I173</f>
        <v>#DIV/0!</v>
      </c>
      <c r="W173" s="98" t="e">
        <f t="shared" si="689"/>
        <v>#DIV/0!</v>
      </c>
      <c r="X173" s="98" t="e">
        <f t="shared" ref="X173:X188" si="690">O173/L173</f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103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166"/>
      <c r="G174" s="94">
        <f t="shared" si="619"/>
        <v>0</v>
      </c>
      <c r="H174" s="94">
        <f t="shared" si="620"/>
        <v>0</v>
      </c>
      <c r="I174" s="139">
        <v>0</v>
      </c>
      <c r="J174" s="95"/>
      <c r="K174" s="95"/>
      <c r="L174" s="202"/>
      <c r="M174" s="97">
        <f t="shared" ref="M174:O174" si="691">Y174+AB174+AE174+AH174+AK174+AN174+AQ174+AT174+AW174+AZ174+BC174+BF174</f>
        <v>0</v>
      </c>
      <c r="N174" s="97">
        <f t="shared" si="691"/>
        <v>0</v>
      </c>
      <c r="O174" s="97">
        <f t="shared" si="691"/>
        <v>0</v>
      </c>
      <c r="P174" s="97">
        <f t="shared" ref="P174:R174" si="692">IF(BI174=0,SUM(Y174+AB174+AE174+AH174+AK174+AN174+AQ174+AT174+AW174+AZ174+BC174+BF174),BI174)</f>
        <v>0</v>
      </c>
      <c r="Q174" s="97">
        <f t="shared" si="692"/>
        <v>0</v>
      </c>
      <c r="R174" s="97">
        <f t="shared" si="692"/>
        <v>0</v>
      </c>
      <c r="S174" s="138">
        <f t="shared" ref="S174:T174" si="693">I174-M174</f>
        <v>0</v>
      </c>
      <c r="T174" s="97">
        <f t="shared" si="693"/>
        <v>0</v>
      </c>
      <c r="U174" s="97">
        <f t="shared" si="688"/>
        <v>0</v>
      </c>
      <c r="V174" s="98" t="e">
        <f t="shared" ref="V174:W174" si="694">M174/I174</f>
        <v>#DIV/0!</v>
      </c>
      <c r="W174" s="98" t="e">
        <f t="shared" si="694"/>
        <v>#DIV/0!</v>
      </c>
      <c r="X174" s="98" t="e">
        <f t="shared" si="690"/>
        <v>#DIV/0!</v>
      </c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264">
        <v>0</v>
      </c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129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354" t="s">
        <v>777</v>
      </c>
      <c r="B175" s="89"/>
      <c r="C175" s="101" t="s">
        <v>359</v>
      </c>
      <c r="D175" s="91" t="s">
        <v>160</v>
      </c>
      <c r="E175" s="92">
        <v>6000</v>
      </c>
      <c r="F175" s="166"/>
      <c r="G175" s="94">
        <f t="shared" si="619"/>
        <v>0.81080999999999992</v>
      </c>
      <c r="H175" s="94">
        <f t="shared" si="620"/>
        <v>0</v>
      </c>
      <c r="I175" s="355">
        <v>4864.8599999999997</v>
      </c>
      <c r="J175" s="95"/>
      <c r="K175" s="95"/>
      <c r="L175" s="202"/>
      <c r="M175" s="97">
        <f t="shared" ref="M175:O175" si="695">Y175+AB175+AE175+AH175+AK175+AN175+AQ175+AT175+AW175+AZ175+BC175+BF175</f>
        <v>0</v>
      </c>
      <c r="N175" s="97">
        <f t="shared" si="695"/>
        <v>0</v>
      </c>
      <c r="O175" s="97">
        <f t="shared" si="695"/>
        <v>0</v>
      </c>
      <c r="P175" s="97">
        <f t="shared" ref="P175:R175" si="696">IF(BI175=0,SUM(Y175+AB175+AE175+AH175+AK175+AN175+AQ175+AT175+AW175+AZ175+BC175+BF175),BI175)</f>
        <v>0</v>
      </c>
      <c r="Q175" s="97">
        <f t="shared" si="696"/>
        <v>0</v>
      </c>
      <c r="R175" s="97">
        <f t="shared" si="696"/>
        <v>0</v>
      </c>
      <c r="S175" s="97">
        <f t="shared" ref="S175:T175" si="697">I175-M175</f>
        <v>4864.8599999999997</v>
      </c>
      <c r="T175" s="97">
        <f t="shared" si="697"/>
        <v>0</v>
      </c>
      <c r="U175" s="97">
        <f t="shared" si="688"/>
        <v>0</v>
      </c>
      <c r="V175" s="98">
        <f t="shared" ref="V175:W175" si="698">M175/I175</f>
        <v>0</v>
      </c>
      <c r="W175" s="98" t="e">
        <f t="shared" si="698"/>
        <v>#DIV/0!</v>
      </c>
      <c r="X175" s="98" t="e">
        <f t="shared" si="690"/>
        <v>#DIV/0!</v>
      </c>
      <c r="Y175" s="96"/>
      <c r="Z175" s="96"/>
      <c r="AA175" s="96"/>
      <c r="AB175" s="103">
        <v>0</v>
      </c>
      <c r="AC175" s="96"/>
      <c r="AD175" s="96"/>
      <c r="AE175" s="96"/>
      <c r="AF175" s="96"/>
      <c r="AG175" s="96"/>
      <c r="AH175" s="103">
        <v>0</v>
      </c>
      <c r="AI175" s="96"/>
      <c r="AJ175" s="96"/>
      <c r="AK175" s="103">
        <v>0</v>
      </c>
      <c r="AL175" s="96"/>
      <c r="AM175" s="96"/>
      <c r="AN175" s="103">
        <v>0</v>
      </c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166"/>
      <c r="G176" s="94" t="e">
        <f t="shared" si="619"/>
        <v>#DIV/0!</v>
      </c>
      <c r="H176" s="94" t="e">
        <f t="shared" si="620"/>
        <v>#DIV/0!</v>
      </c>
      <c r="I176" s="95"/>
      <c r="J176" s="146">
        <v>250</v>
      </c>
      <c r="K176" s="146"/>
      <c r="L176" s="202"/>
      <c r="M176" s="97">
        <f t="shared" ref="M176:O176" si="699">Y176+AB176+AE176+AH176+AK176+AN176+AQ176+AT176+AW176+AZ176+BC176+BF176</f>
        <v>0</v>
      </c>
      <c r="N176" s="97">
        <f t="shared" si="699"/>
        <v>250</v>
      </c>
      <c r="O176" s="97">
        <f t="shared" si="699"/>
        <v>0</v>
      </c>
      <c r="P176" s="97">
        <f t="shared" ref="P176:R176" si="700">IF(BI176=0,SUM(Y176+AB176+AE176+AH176+AK176+AN176+AQ176+AT176+AW176+AZ176+BC176+BF176),BI176)</f>
        <v>0</v>
      </c>
      <c r="Q176" s="97">
        <f t="shared" si="700"/>
        <v>250</v>
      </c>
      <c r="R176" s="97">
        <f t="shared" si="700"/>
        <v>0</v>
      </c>
      <c r="S176" s="97">
        <f>I176-M176</f>
        <v>0</v>
      </c>
      <c r="T176" s="97">
        <f>J176-N176-K176</f>
        <v>0</v>
      </c>
      <c r="U176" s="97">
        <f t="shared" si="688"/>
        <v>0</v>
      </c>
      <c r="V176" s="98" t="e">
        <f t="shared" ref="V176:W176" si="701">M176/I176</f>
        <v>#DIV/0!</v>
      </c>
      <c r="W176" s="98">
        <f t="shared" si="701"/>
        <v>1</v>
      </c>
      <c r="X176" s="98" t="e">
        <f t="shared" si="690"/>
        <v>#DIV/0!</v>
      </c>
      <c r="Y176" s="96"/>
      <c r="Z176" s="103">
        <v>250</v>
      </c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9"/>
      <c r="BM176" s="100"/>
      <c r="BN176" s="100"/>
      <c r="BO176" s="100"/>
      <c r="BP176" s="100"/>
    </row>
    <row r="177" spans="1:68" ht="15.75" customHeight="1">
      <c r="A177" s="240"/>
      <c r="B177" s="240"/>
      <c r="C177" s="229"/>
      <c r="D177" s="230" t="s">
        <v>427</v>
      </c>
      <c r="E177" s="231">
        <f t="shared" ref="E177:F177" si="702">SUM(E178:E183)</f>
        <v>0</v>
      </c>
      <c r="F177" s="231">
        <f t="shared" si="702"/>
        <v>36000</v>
      </c>
      <c r="G177" s="188" t="e">
        <f t="shared" si="619"/>
        <v>#DIV/0!</v>
      </c>
      <c r="H177" s="188" t="e">
        <f t="shared" si="620"/>
        <v>#DIV/0!</v>
      </c>
      <c r="I177" s="231">
        <f t="shared" ref="I177:O177" si="703">SUM(I178:I183)</f>
        <v>0</v>
      </c>
      <c r="J177" s="231">
        <f t="shared" si="703"/>
        <v>0</v>
      </c>
      <c r="K177" s="231">
        <f t="shared" si="703"/>
        <v>0</v>
      </c>
      <c r="L177" s="231">
        <f t="shared" si="703"/>
        <v>0</v>
      </c>
      <c r="M177" s="231">
        <f t="shared" si="703"/>
        <v>0</v>
      </c>
      <c r="N177" s="231">
        <f t="shared" si="703"/>
        <v>0</v>
      </c>
      <c r="O177" s="231">
        <f t="shared" si="703"/>
        <v>0</v>
      </c>
      <c r="P177" s="258">
        <f t="shared" ref="P177:R177" si="704">IF(BI177=0,SUM(Y177+AB177+AE177+AH177+AK177+AN177+AQ177+AT177+AW177+AZ177+BC177+BF177),BI177)</f>
        <v>0</v>
      </c>
      <c r="Q177" s="258">
        <f t="shared" si="704"/>
        <v>0</v>
      </c>
      <c r="R177" s="258">
        <f t="shared" si="704"/>
        <v>0</v>
      </c>
      <c r="S177" s="231">
        <f t="shared" ref="S177:U177" si="705">SUM(S178:S183)</f>
        <v>0</v>
      </c>
      <c r="T177" s="231">
        <f t="shared" si="705"/>
        <v>0</v>
      </c>
      <c r="U177" s="231">
        <f t="shared" si="705"/>
        <v>0</v>
      </c>
      <c r="V177" s="259" t="e">
        <f t="shared" ref="V177:W177" si="706">M177/I177</f>
        <v>#DIV/0!</v>
      </c>
      <c r="W177" s="259" t="e">
        <f t="shared" si="706"/>
        <v>#DIV/0!</v>
      </c>
      <c r="X177" s="259" t="e">
        <f t="shared" si="690"/>
        <v>#DIV/0!</v>
      </c>
      <c r="Y177" s="231">
        <f t="shared" ref="Y177:BK177" si="707">SUM(Y178:Y183)</f>
        <v>0</v>
      </c>
      <c r="Z177" s="231">
        <f t="shared" si="707"/>
        <v>0</v>
      </c>
      <c r="AA177" s="231">
        <f t="shared" si="707"/>
        <v>0</v>
      </c>
      <c r="AB177" s="231">
        <f t="shared" si="707"/>
        <v>0</v>
      </c>
      <c r="AC177" s="231">
        <f t="shared" si="707"/>
        <v>0</v>
      </c>
      <c r="AD177" s="231">
        <f t="shared" si="707"/>
        <v>0</v>
      </c>
      <c r="AE177" s="231">
        <f t="shared" si="707"/>
        <v>0</v>
      </c>
      <c r="AF177" s="231">
        <f t="shared" si="707"/>
        <v>0</v>
      </c>
      <c r="AG177" s="231">
        <f t="shared" si="707"/>
        <v>0</v>
      </c>
      <c r="AH177" s="231">
        <f t="shared" si="707"/>
        <v>0</v>
      </c>
      <c r="AI177" s="231">
        <f t="shared" si="707"/>
        <v>0</v>
      </c>
      <c r="AJ177" s="231">
        <f t="shared" si="707"/>
        <v>0</v>
      </c>
      <c r="AK177" s="231">
        <f t="shared" si="707"/>
        <v>0</v>
      </c>
      <c r="AL177" s="231">
        <f t="shared" si="707"/>
        <v>0</v>
      </c>
      <c r="AM177" s="231">
        <f t="shared" si="707"/>
        <v>0</v>
      </c>
      <c r="AN177" s="231">
        <f t="shared" si="707"/>
        <v>0</v>
      </c>
      <c r="AO177" s="231">
        <f t="shared" si="707"/>
        <v>0</v>
      </c>
      <c r="AP177" s="231">
        <f t="shared" si="707"/>
        <v>0</v>
      </c>
      <c r="AQ177" s="231">
        <f t="shared" si="707"/>
        <v>0</v>
      </c>
      <c r="AR177" s="231">
        <f t="shared" si="707"/>
        <v>0</v>
      </c>
      <c r="AS177" s="231">
        <f t="shared" si="707"/>
        <v>0</v>
      </c>
      <c r="AT177" s="231">
        <f t="shared" si="707"/>
        <v>0</v>
      </c>
      <c r="AU177" s="231">
        <f t="shared" si="707"/>
        <v>0</v>
      </c>
      <c r="AV177" s="231">
        <f t="shared" si="707"/>
        <v>0</v>
      </c>
      <c r="AW177" s="231">
        <f t="shared" si="707"/>
        <v>0</v>
      </c>
      <c r="AX177" s="231">
        <f t="shared" si="707"/>
        <v>0</v>
      </c>
      <c r="AY177" s="231">
        <f t="shared" si="707"/>
        <v>0</v>
      </c>
      <c r="AZ177" s="231">
        <f t="shared" si="707"/>
        <v>0</v>
      </c>
      <c r="BA177" s="231">
        <f t="shared" si="707"/>
        <v>0</v>
      </c>
      <c r="BB177" s="231">
        <f t="shared" si="707"/>
        <v>0</v>
      </c>
      <c r="BC177" s="231">
        <f t="shared" si="707"/>
        <v>0</v>
      </c>
      <c r="BD177" s="231">
        <f t="shared" si="707"/>
        <v>0</v>
      </c>
      <c r="BE177" s="231">
        <f t="shared" si="707"/>
        <v>0</v>
      </c>
      <c r="BF177" s="231">
        <f t="shared" si="707"/>
        <v>0</v>
      </c>
      <c r="BG177" s="231">
        <f t="shared" si="707"/>
        <v>0</v>
      </c>
      <c r="BH177" s="231">
        <f t="shared" si="707"/>
        <v>0</v>
      </c>
      <c r="BI177" s="231">
        <f t="shared" si="707"/>
        <v>0</v>
      </c>
      <c r="BJ177" s="231">
        <f t="shared" si="707"/>
        <v>0</v>
      </c>
      <c r="BK177" s="231">
        <f t="shared" si="707"/>
        <v>0</v>
      </c>
      <c r="BL177" s="233"/>
      <c r="BM177" s="234"/>
      <c r="BN177" s="234"/>
      <c r="BO177" s="234"/>
      <c r="BP177" s="234"/>
    </row>
    <row r="178" spans="1:68" ht="15.75" customHeight="1">
      <c r="A178" s="89"/>
      <c r="B178" s="136"/>
      <c r="C178" s="90" t="s">
        <v>165</v>
      </c>
      <c r="D178" s="144" t="s">
        <v>428</v>
      </c>
      <c r="E178" s="166"/>
      <c r="F178" s="166"/>
      <c r="G178" s="94" t="e">
        <f t="shared" si="619"/>
        <v>#DIV/0!</v>
      </c>
      <c r="H178" s="94" t="e">
        <f t="shared" si="620"/>
        <v>#DIV/0!</v>
      </c>
      <c r="I178" s="95"/>
      <c r="J178" s="146">
        <v>0</v>
      </c>
      <c r="K178" s="146"/>
      <c r="L178" s="202"/>
      <c r="M178" s="97">
        <f t="shared" ref="M178:O178" si="708">Y178+AB178+AE178+AH178+AK178+AN178+AQ178+AT178+AW178+AZ178+BC178+BF178</f>
        <v>0</v>
      </c>
      <c r="N178" s="97">
        <f t="shared" si="708"/>
        <v>0</v>
      </c>
      <c r="O178" s="97">
        <f t="shared" si="708"/>
        <v>0</v>
      </c>
      <c r="P178" s="97">
        <f t="shared" ref="P178:R178" si="709">IF(BI178=0,SUM(Y178+AB178+AE178+AH178+AK178+AN178+AQ178+AT178+AW178+AZ178+BC178+BF178),BI178)</f>
        <v>0</v>
      </c>
      <c r="Q178" s="97">
        <f t="shared" si="709"/>
        <v>0</v>
      </c>
      <c r="R178" s="97">
        <f t="shared" si="709"/>
        <v>0</v>
      </c>
      <c r="S178" s="97">
        <f t="shared" ref="S178:T178" si="710">I178-M178</f>
        <v>0</v>
      </c>
      <c r="T178" s="97">
        <f t="shared" si="710"/>
        <v>0</v>
      </c>
      <c r="U178" s="97">
        <f t="shared" ref="U178:U183" si="711">L178-O178</f>
        <v>0</v>
      </c>
      <c r="V178" s="98" t="e">
        <f t="shared" ref="V178:W178" si="712">M178/I178</f>
        <v>#DIV/0!</v>
      </c>
      <c r="W178" s="98" t="e">
        <f t="shared" si="712"/>
        <v>#DIV/0!</v>
      </c>
      <c r="X178" s="98" t="e">
        <f t="shared" si="690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103">
        <v>0</v>
      </c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90" t="s">
        <v>165</v>
      </c>
      <c r="D179" s="144" t="s">
        <v>429</v>
      </c>
      <c r="E179" s="166"/>
      <c r="F179" s="166"/>
      <c r="G179" s="94" t="e">
        <f t="shared" si="619"/>
        <v>#DIV/0!</v>
      </c>
      <c r="H179" s="94" t="e">
        <f t="shared" si="620"/>
        <v>#DIV/0!</v>
      </c>
      <c r="I179" s="95"/>
      <c r="J179" s="95"/>
      <c r="K179" s="95"/>
      <c r="L179" s="202"/>
      <c r="M179" s="97">
        <f t="shared" ref="M179:O179" si="713">Y179+AB179+AE179+AH179+AK179+AN179+AQ179+AT179+AW179+AZ179+BC179+BF179</f>
        <v>0</v>
      </c>
      <c r="N179" s="97">
        <f t="shared" si="713"/>
        <v>0</v>
      </c>
      <c r="O179" s="97">
        <f t="shared" si="713"/>
        <v>0</v>
      </c>
      <c r="P179" s="97">
        <f t="shared" ref="P179:Q179" si="714">IF(BI179=0,SUM(Y179+AB179+AE179+AH179+AK179+AN179+AQ179+AT179+AW179+AZ179+BC179+BF179),BI179)</f>
        <v>0</v>
      </c>
      <c r="Q179" s="97">
        <f t="shared" si="714"/>
        <v>0</v>
      </c>
      <c r="R179" s="378">
        <v>0</v>
      </c>
      <c r="S179" s="97">
        <f t="shared" ref="S179:T179" si="715">I179-M179</f>
        <v>0</v>
      </c>
      <c r="T179" s="97">
        <f t="shared" si="715"/>
        <v>0</v>
      </c>
      <c r="U179" s="97">
        <f t="shared" si="711"/>
        <v>0</v>
      </c>
      <c r="V179" s="98" t="e">
        <f t="shared" ref="V179:W179" si="716">M179/I179</f>
        <v>#DIV/0!</v>
      </c>
      <c r="W179" s="98" t="e">
        <f t="shared" si="716"/>
        <v>#DIV/0!</v>
      </c>
      <c r="X179" s="98" t="e">
        <f t="shared" si="690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275</v>
      </c>
      <c r="D180" s="265" t="s">
        <v>430</v>
      </c>
      <c r="E180" s="166"/>
      <c r="F180" s="195">
        <v>1000</v>
      </c>
      <c r="G180" s="94"/>
      <c r="H180" s="94"/>
      <c r="I180" s="95"/>
      <c r="J180" s="95"/>
      <c r="K180" s="95"/>
      <c r="L180" s="202"/>
      <c r="M180" s="97">
        <f t="shared" ref="M180:O180" si="717">Y180+AB180+AE180+AH180+AK180+AN180+AQ180+AT180+AW180+AZ180+BC180+BF180</f>
        <v>0</v>
      </c>
      <c r="N180" s="97">
        <f t="shared" si="717"/>
        <v>0</v>
      </c>
      <c r="O180" s="97">
        <f t="shared" si="717"/>
        <v>0</v>
      </c>
      <c r="P180" s="97">
        <f t="shared" ref="P180:R180" si="718">IF(BI180=0,SUM(Y180+AB180+AE180+AH180+AK180+AN180+AQ180+AT180+AW180+AZ180+BC180+BF180),BI180)</f>
        <v>0</v>
      </c>
      <c r="Q180" s="97">
        <f t="shared" si="718"/>
        <v>0</v>
      </c>
      <c r="R180" s="97">
        <f t="shared" si="718"/>
        <v>0</v>
      </c>
      <c r="S180" s="97">
        <f t="shared" ref="S180:T180" si="719">I180-M180</f>
        <v>0</v>
      </c>
      <c r="T180" s="97">
        <f t="shared" si="719"/>
        <v>0</v>
      </c>
      <c r="U180" s="97">
        <f t="shared" si="711"/>
        <v>0</v>
      </c>
      <c r="V180" s="98" t="e">
        <f t="shared" ref="V180:W180" si="720">M180/I180</f>
        <v>#DIV/0!</v>
      </c>
      <c r="W180" s="98" t="e">
        <f t="shared" si="720"/>
        <v>#DIV/0!</v>
      </c>
      <c r="X180" s="98" t="e">
        <f t="shared" si="690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431</v>
      </c>
      <c r="D181" s="265" t="s">
        <v>430</v>
      </c>
      <c r="E181" s="166"/>
      <c r="F181" s="195">
        <v>18000</v>
      </c>
      <c r="G181" s="94"/>
      <c r="H181" s="94"/>
      <c r="I181" s="95"/>
      <c r="J181" s="95"/>
      <c r="K181" s="95"/>
      <c r="L181" s="202"/>
      <c r="M181" s="97">
        <f t="shared" ref="M181:O181" si="721">Y181+AB181+AE181+AH181+AK181+AN181+AQ181+AT181+AW181+AZ181+BC181+BF181</f>
        <v>0</v>
      </c>
      <c r="N181" s="97">
        <f t="shared" si="721"/>
        <v>0</v>
      </c>
      <c r="O181" s="97">
        <f t="shared" si="721"/>
        <v>0</v>
      </c>
      <c r="P181" s="97">
        <f t="shared" ref="P181:R181" si="722">IF(BI181=0,SUM(Y181+AB181+AE181+AH181+AK181+AN181+AQ181+AT181+AW181+AZ181+BC181+BF181),BI181)</f>
        <v>0</v>
      </c>
      <c r="Q181" s="97">
        <f t="shared" si="722"/>
        <v>0</v>
      </c>
      <c r="R181" s="97">
        <f t="shared" si="722"/>
        <v>0</v>
      </c>
      <c r="S181" s="97">
        <f t="shared" ref="S181:T181" si="723">I181-M181</f>
        <v>0</v>
      </c>
      <c r="T181" s="97">
        <f t="shared" si="723"/>
        <v>0</v>
      </c>
      <c r="U181" s="97">
        <f t="shared" si="711"/>
        <v>0</v>
      </c>
      <c r="V181" s="98" t="e">
        <f t="shared" ref="V181:W181" si="724">M181/I181</f>
        <v>#DIV/0!</v>
      </c>
      <c r="W181" s="98" t="e">
        <f t="shared" si="724"/>
        <v>#DIV/0!</v>
      </c>
      <c r="X181" s="98" t="e">
        <f t="shared" si="690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101" t="s">
        <v>255</v>
      </c>
      <c r="D182" s="265" t="s">
        <v>430</v>
      </c>
      <c r="E182" s="166"/>
      <c r="F182" s="195">
        <v>17000</v>
      </c>
      <c r="G182" s="94"/>
      <c r="H182" s="94"/>
      <c r="I182" s="95"/>
      <c r="J182" s="95"/>
      <c r="K182" s="95"/>
      <c r="L182" s="202"/>
      <c r="M182" s="97">
        <f t="shared" ref="M182:O182" si="725">Y182+AB182+AE182+AH182+AK182+AN182+AQ182+AT182+AW182+AZ182+BC182+BF182</f>
        <v>0</v>
      </c>
      <c r="N182" s="97">
        <f t="shared" si="725"/>
        <v>0</v>
      </c>
      <c r="O182" s="97">
        <f t="shared" si="725"/>
        <v>0</v>
      </c>
      <c r="P182" s="97">
        <f t="shared" ref="P182:R182" si="726">IF(BI182=0,SUM(Y182+AB182+AE182+AH182+AK182+AN182+AQ182+AT182+AW182+AZ182+BC182+BF182),BI182)</f>
        <v>0</v>
      </c>
      <c r="Q182" s="97">
        <f t="shared" si="726"/>
        <v>0</v>
      </c>
      <c r="R182" s="97">
        <f t="shared" si="726"/>
        <v>0</v>
      </c>
      <c r="S182" s="97">
        <f t="shared" ref="S182:T182" si="727">I182-M182</f>
        <v>0</v>
      </c>
      <c r="T182" s="97">
        <f t="shared" si="727"/>
        <v>0</v>
      </c>
      <c r="U182" s="97">
        <f t="shared" si="711"/>
        <v>0</v>
      </c>
      <c r="V182" s="98" t="e">
        <f t="shared" ref="V182:W182" si="728">M182/I182</f>
        <v>#DIV/0!</v>
      </c>
      <c r="W182" s="98" t="e">
        <f t="shared" si="728"/>
        <v>#DIV/0!</v>
      </c>
      <c r="X182" s="98" t="e">
        <f t="shared" si="690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89"/>
      <c r="B183" s="89"/>
      <c r="C183" s="90" t="s">
        <v>298</v>
      </c>
      <c r="D183" s="91" t="s">
        <v>432</v>
      </c>
      <c r="E183" s="166"/>
      <c r="F183" s="166"/>
      <c r="G183" s="94" t="e">
        <f t="shared" ref="G183:G185" si="729">I183/E183</f>
        <v>#DIV/0!</v>
      </c>
      <c r="H183" s="94" t="e">
        <f t="shared" ref="H183:H185" si="730">M183/E183</f>
        <v>#DIV/0!</v>
      </c>
      <c r="I183" s="95"/>
      <c r="J183" s="95"/>
      <c r="K183" s="95"/>
      <c r="L183" s="266"/>
      <c r="M183" s="97">
        <f t="shared" ref="M183:O183" si="731">Y183+AB183+AE183+AH183+AK183+AN183+AQ183+AT183+AW183+AZ183+BC183+BF183</f>
        <v>0</v>
      </c>
      <c r="N183" s="97">
        <f t="shared" si="731"/>
        <v>0</v>
      </c>
      <c r="O183" s="97">
        <f t="shared" si="731"/>
        <v>0</v>
      </c>
      <c r="P183" s="97">
        <f t="shared" ref="P183:R183" si="732">IF(BI183=0,SUM(Y183+AB183+AE183+AH183+AK183+AN183+AQ183+AT183+AW183+AZ183+BC183+BF183),BI183)</f>
        <v>0</v>
      </c>
      <c r="Q183" s="97">
        <f t="shared" si="732"/>
        <v>0</v>
      </c>
      <c r="R183" s="97">
        <f t="shared" si="732"/>
        <v>0</v>
      </c>
      <c r="S183" s="97">
        <f t="shared" ref="S183:T183" si="733">I183-M183</f>
        <v>0</v>
      </c>
      <c r="T183" s="97">
        <f t="shared" si="733"/>
        <v>0</v>
      </c>
      <c r="U183" s="97">
        <f t="shared" si="711"/>
        <v>0</v>
      </c>
      <c r="V183" s="98" t="e">
        <f t="shared" ref="V183:W183" si="734">M183/I183</f>
        <v>#DIV/0!</v>
      </c>
      <c r="W183" s="98" t="e">
        <f t="shared" si="734"/>
        <v>#DIV/0!</v>
      </c>
      <c r="X183" s="98" t="e">
        <f t="shared" si="690"/>
        <v>#DIV/0!</v>
      </c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103">
        <v>0</v>
      </c>
      <c r="BC183" s="96"/>
      <c r="BD183" s="96"/>
      <c r="BE183" s="96"/>
      <c r="BF183" s="96"/>
      <c r="BG183" s="96"/>
      <c r="BH183" s="96"/>
      <c r="BI183" s="96"/>
      <c r="BJ183" s="96"/>
      <c r="BK183" s="96"/>
      <c r="BL183" s="99"/>
      <c r="BM183" s="100"/>
      <c r="BN183" s="100"/>
      <c r="BO183" s="100"/>
      <c r="BP183" s="100"/>
    </row>
    <row r="184" spans="1:68" ht="15.75" customHeight="1">
      <c r="A184" s="267"/>
      <c r="B184" s="267"/>
      <c r="C184" s="268"/>
      <c r="D184" s="269" t="s">
        <v>433</v>
      </c>
      <c r="E184" s="270">
        <f t="shared" ref="E184:F184" si="735">SUM(E185:E188)</f>
        <v>0</v>
      </c>
      <c r="F184" s="270">
        <f t="shared" si="735"/>
        <v>0</v>
      </c>
      <c r="G184" s="223" t="e">
        <f t="shared" si="729"/>
        <v>#DIV/0!</v>
      </c>
      <c r="H184" s="223" t="e">
        <f t="shared" si="730"/>
        <v>#DIV/0!</v>
      </c>
      <c r="I184" s="270">
        <f t="shared" ref="I184:O184" si="736">SUM(I185:I188)</f>
        <v>0</v>
      </c>
      <c r="J184" s="270">
        <f t="shared" si="736"/>
        <v>734.93000000000006</v>
      </c>
      <c r="K184" s="270">
        <f t="shared" si="736"/>
        <v>358.04</v>
      </c>
      <c r="L184" s="270">
        <f t="shared" si="736"/>
        <v>0</v>
      </c>
      <c r="M184" s="270">
        <f t="shared" si="736"/>
        <v>0</v>
      </c>
      <c r="N184" s="270">
        <f t="shared" si="736"/>
        <v>376.89</v>
      </c>
      <c r="O184" s="270">
        <f t="shared" si="736"/>
        <v>0</v>
      </c>
      <c r="P184" s="238">
        <f t="shared" ref="P184:R184" si="737">IF(BI184=0,SUM(Y184+AB184+AE184+AH184+AK184+AN184+AQ184+AT184+AW184+AZ184+BC184+BF184),BI184)</f>
        <v>0</v>
      </c>
      <c r="Q184" s="238">
        <f t="shared" si="737"/>
        <v>376.89</v>
      </c>
      <c r="R184" s="238">
        <f t="shared" si="737"/>
        <v>0</v>
      </c>
      <c r="S184" s="270">
        <f t="shared" ref="S184:U184" si="738">SUM(S185:S188)</f>
        <v>0</v>
      </c>
      <c r="T184" s="270">
        <f t="shared" si="738"/>
        <v>0</v>
      </c>
      <c r="U184" s="270">
        <f t="shared" si="738"/>
        <v>0</v>
      </c>
      <c r="V184" s="271" t="e">
        <f t="shared" ref="V184:W184" si="739">M184/I184</f>
        <v>#DIV/0!</v>
      </c>
      <c r="W184" s="271">
        <f t="shared" si="739"/>
        <v>0.51282435061842613</v>
      </c>
      <c r="X184" s="271" t="e">
        <f t="shared" si="690"/>
        <v>#DIV/0!</v>
      </c>
      <c r="Y184" s="270">
        <f t="shared" ref="Y184:BK184" si="740">SUM(Y185:Y188)</f>
        <v>0</v>
      </c>
      <c r="Z184" s="270">
        <f t="shared" si="740"/>
        <v>0</v>
      </c>
      <c r="AA184" s="270">
        <f t="shared" si="740"/>
        <v>0</v>
      </c>
      <c r="AB184" s="270">
        <f t="shared" si="740"/>
        <v>0</v>
      </c>
      <c r="AC184" s="270">
        <f t="shared" si="740"/>
        <v>0</v>
      </c>
      <c r="AD184" s="270">
        <f t="shared" si="740"/>
        <v>0</v>
      </c>
      <c r="AE184" s="270">
        <f t="shared" si="740"/>
        <v>0</v>
      </c>
      <c r="AF184" s="270">
        <f t="shared" si="740"/>
        <v>0</v>
      </c>
      <c r="AG184" s="270">
        <f t="shared" si="740"/>
        <v>0</v>
      </c>
      <c r="AH184" s="270">
        <f t="shared" si="740"/>
        <v>0</v>
      </c>
      <c r="AI184" s="270">
        <f t="shared" si="740"/>
        <v>376.89</v>
      </c>
      <c r="AJ184" s="270">
        <f t="shared" si="740"/>
        <v>0</v>
      </c>
      <c r="AK184" s="270">
        <f t="shared" si="740"/>
        <v>0</v>
      </c>
      <c r="AL184" s="270">
        <f t="shared" si="740"/>
        <v>0</v>
      </c>
      <c r="AM184" s="270">
        <f t="shared" si="740"/>
        <v>0</v>
      </c>
      <c r="AN184" s="270">
        <f t="shared" si="740"/>
        <v>0</v>
      </c>
      <c r="AO184" s="270">
        <f t="shared" si="740"/>
        <v>0</v>
      </c>
      <c r="AP184" s="270">
        <f t="shared" si="740"/>
        <v>0</v>
      </c>
      <c r="AQ184" s="270">
        <f t="shared" si="740"/>
        <v>0</v>
      </c>
      <c r="AR184" s="270">
        <f t="shared" si="740"/>
        <v>0</v>
      </c>
      <c r="AS184" s="270">
        <f t="shared" si="740"/>
        <v>0</v>
      </c>
      <c r="AT184" s="270">
        <f t="shared" si="740"/>
        <v>0</v>
      </c>
      <c r="AU184" s="270">
        <f t="shared" si="740"/>
        <v>0</v>
      </c>
      <c r="AV184" s="270">
        <f t="shared" si="740"/>
        <v>0</v>
      </c>
      <c r="AW184" s="270">
        <f t="shared" si="740"/>
        <v>0</v>
      </c>
      <c r="AX184" s="270">
        <f t="shared" si="740"/>
        <v>0</v>
      </c>
      <c r="AY184" s="270">
        <f t="shared" si="740"/>
        <v>0</v>
      </c>
      <c r="AZ184" s="270">
        <f t="shared" si="740"/>
        <v>0</v>
      </c>
      <c r="BA184" s="270">
        <f t="shared" si="740"/>
        <v>0</v>
      </c>
      <c r="BB184" s="270">
        <f t="shared" si="740"/>
        <v>0</v>
      </c>
      <c r="BC184" s="270">
        <f t="shared" si="740"/>
        <v>0</v>
      </c>
      <c r="BD184" s="270">
        <f t="shared" si="740"/>
        <v>0</v>
      </c>
      <c r="BE184" s="270">
        <f t="shared" si="740"/>
        <v>0</v>
      </c>
      <c r="BF184" s="270">
        <f t="shared" si="740"/>
        <v>0</v>
      </c>
      <c r="BG184" s="270">
        <f t="shared" si="740"/>
        <v>0</v>
      </c>
      <c r="BH184" s="270">
        <f t="shared" si="740"/>
        <v>0</v>
      </c>
      <c r="BI184" s="270">
        <f t="shared" si="740"/>
        <v>0</v>
      </c>
      <c r="BJ184" s="270">
        <f t="shared" si="740"/>
        <v>0</v>
      </c>
      <c r="BK184" s="270">
        <f t="shared" si="740"/>
        <v>0</v>
      </c>
      <c r="BL184" s="233"/>
      <c r="BM184" s="234"/>
      <c r="BN184" s="234"/>
      <c r="BO184" s="234"/>
      <c r="BP184" s="234"/>
    </row>
    <row r="185" spans="1:68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166"/>
      <c r="G185" s="94" t="e">
        <f t="shared" si="729"/>
        <v>#DIV/0!</v>
      </c>
      <c r="H185" s="94" t="e">
        <f t="shared" si="730"/>
        <v>#DIV/0!</v>
      </c>
      <c r="I185" s="95"/>
      <c r="J185" s="146">
        <v>376.89</v>
      </c>
      <c r="K185" s="146"/>
      <c r="L185" s="272"/>
      <c r="M185" s="97">
        <f t="shared" ref="M185:O185" si="741">Y185+AB185+AE185+AH185+AK185+AN185+AQ185+AT185+AW185+AZ185+BC185+BF185</f>
        <v>0</v>
      </c>
      <c r="N185" s="97">
        <f t="shared" si="741"/>
        <v>376.89</v>
      </c>
      <c r="O185" s="97">
        <f t="shared" si="741"/>
        <v>0</v>
      </c>
      <c r="P185" s="97">
        <f t="shared" ref="P185:R185" si="742">IF(BI185=0,SUM(Y185+AB185+AE185+AH185+AK185+AN185+AQ185+AT185+AW185+AZ185+BC185+BF185),BI185)</f>
        <v>0</v>
      </c>
      <c r="Q185" s="97">
        <f t="shared" si="742"/>
        <v>376.89</v>
      </c>
      <c r="R185" s="97">
        <f t="shared" si="742"/>
        <v>0</v>
      </c>
      <c r="S185" s="97">
        <f t="shared" ref="S185:T185" si="743">I185-M185</f>
        <v>0</v>
      </c>
      <c r="T185" s="97">
        <f t="shared" si="743"/>
        <v>0</v>
      </c>
      <c r="U185" s="97">
        <f t="shared" ref="U185:U188" si="744">L185-O185</f>
        <v>0</v>
      </c>
      <c r="V185" s="98" t="e">
        <f t="shared" ref="V185:W185" si="745">M185/I185</f>
        <v>#DIV/0!</v>
      </c>
      <c r="W185" s="98">
        <f t="shared" si="745"/>
        <v>1</v>
      </c>
      <c r="X185" s="98" t="e">
        <f t="shared" si="690"/>
        <v>#DIV/0!</v>
      </c>
      <c r="Y185" s="96"/>
      <c r="Z185" s="96"/>
      <c r="AA185" s="96"/>
      <c r="AB185" s="96"/>
      <c r="AC185" s="103">
        <v>0</v>
      </c>
      <c r="AD185" s="96"/>
      <c r="AE185" s="96"/>
      <c r="AF185" s="96"/>
      <c r="AG185" s="96"/>
      <c r="AH185" s="96"/>
      <c r="AI185" s="103">
        <v>376.89</v>
      </c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166"/>
      <c r="G186" s="94"/>
      <c r="H186" s="94"/>
      <c r="I186" s="95"/>
      <c r="J186" s="275">
        <v>358.04</v>
      </c>
      <c r="K186" s="355">
        <v>358.04</v>
      </c>
      <c r="L186" s="272"/>
      <c r="M186" s="97">
        <f t="shared" ref="M186:O186" si="746">Y186+AB186+AE186+AH186+AK186+AN186+AQ186+AT186+AW186+AZ186+BC186+BF186</f>
        <v>0</v>
      </c>
      <c r="N186" s="97">
        <f t="shared" si="746"/>
        <v>0</v>
      </c>
      <c r="O186" s="97">
        <f t="shared" si="746"/>
        <v>0</v>
      </c>
      <c r="P186" s="97">
        <f t="shared" ref="P186:R186" si="747">IF(BI186=0,SUM(Y186+AB186+AE186+AH186+AK186+AN186+AQ186+AT186+AW186+AZ186+BC186+BF186),BI186)</f>
        <v>0</v>
      </c>
      <c r="Q186" s="97">
        <f t="shared" si="747"/>
        <v>0</v>
      </c>
      <c r="R186" s="97">
        <f t="shared" si="747"/>
        <v>0</v>
      </c>
      <c r="S186" s="97">
        <f t="shared" ref="S186:S188" si="748">I186-M186</f>
        <v>0</v>
      </c>
      <c r="T186" s="97">
        <f>J186-K186-N186</f>
        <v>0</v>
      </c>
      <c r="U186" s="97">
        <f t="shared" si="744"/>
        <v>0</v>
      </c>
      <c r="V186" s="98" t="e">
        <f t="shared" ref="V186:W186" si="749">M186/I186</f>
        <v>#DIV/0!</v>
      </c>
      <c r="W186" s="98">
        <f t="shared" si="749"/>
        <v>0</v>
      </c>
      <c r="X186" s="98" t="e">
        <f t="shared" si="690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318</v>
      </c>
      <c r="D187" s="91" t="s">
        <v>440</v>
      </c>
      <c r="E187" s="166"/>
      <c r="F187" s="166"/>
      <c r="G187" s="94" t="e">
        <f t="shared" ref="G187:G188" si="750">I187/E187</f>
        <v>#DIV/0!</v>
      </c>
      <c r="H187" s="94" t="e">
        <f t="shared" ref="H187:H188" si="751">M187/E187</f>
        <v>#DIV/0!</v>
      </c>
      <c r="I187" s="95"/>
      <c r="J187" s="95"/>
      <c r="K187" s="95"/>
      <c r="L187" s="272"/>
      <c r="M187" s="97">
        <f t="shared" ref="M187:O187" si="752">Y187+AB187+AE187+AH187+AK187+AN187+AQ187+AT187+AW187+AZ187+BC187+BF187</f>
        <v>0</v>
      </c>
      <c r="N187" s="97">
        <f t="shared" si="752"/>
        <v>0</v>
      </c>
      <c r="O187" s="97">
        <f t="shared" si="752"/>
        <v>0</v>
      </c>
      <c r="P187" s="97">
        <f t="shared" ref="P187:R187" si="753">IF(BI187=0,SUM(Y187+AB187+AE187+AH187+AK187+AN187+AQ187+AT187+AW187+AZ187+BC187+BF187),BI187)</f>
        <v>0</v>
      </c>
      <c r="Q187" s="97">
        <f t="shared" si="753"/>
        <v>0</v>
      </c>
      <c r="R187" s="97">
        <f t="shared" si="753"/>
        <v>0</v>
      </c>
      <c r="S187" s="97">
        <f t="shared" si="748"/>
        <v>0</v>
      </c>
      <c r="T187" s="97">
        <f t="shared" ref="T187:T188" si="754">J187-N187</f>
        <v>0</v>
      </c>
      <c r="U187" s="97">
        <f t="shared" si="744"/>
        <v>0</v>
      </c>
      <c r="V187" s="98" t="e">
        <f t="shared" ref="V187:W187" si="755">M187/I187</f>
        <v>#DIV/0!</v>
      </c>
      <c r="W187" s="98" t="e">
        <f t="shared" si="755"/>
        <v>#DIV/0!</v>
      </c>
      <c r="X187" s="98" t="e">
        <f t="shared" si="690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89"/>
      <c r="B188" s="89"/>
      <c r="C188" s="90" t="s">
        <v>357</v>
      </c>
      <c r="D188" s="91" t="s">
        <v>441</v>
      </c>
      <c r="E188" s="166"/>
      <c r="F188" s="166"/>
      <c r="G188" s="94" t="e">
        <f t="shared" si="750"/>
        <v>#DIV/0!</v>
      </c>
      <c r="H188" s="94" t="e">
        <f t="shared" si="751"/>
        <v>#DIV/0!</v>
      </c>
      <c r="I188" s="95"/>
      <c r="J188" s="95"/>
      <c r="K188" s="95"/>
      <c r="L188" s="276"/>
      <c r="M188" s="97">
        <f t="shared" ref="M188:O188" si="756">Y188+AB188+AE188+AH188+AK188+AN188+AQ188+AT188+AW188+AZ188+BC188+BF188</f>
        <v>0</v>
      </c>
      <c r="N188" s="97">
        <f t="shared" si="756"/>
        <v>0</v>
      </c>
      <c r="O188" s="97">
        <f t="shared" si="756"/>
        <v>0</v>
      </c>
      <c r="P188" s="97">
        <f t="shared" ref="P188:R188" si="757">IF(BI188=0,SUM(Y188+AB188+AE188+AH188+AK188+AN188+AQ188+AT188+AW188+AZ188+BC188+BF188),BI188)</f>
        <v>0</v>
      </c>
      <c r="Q188" s="97">
        <f t="shared" si="757"/>
        <v>0</v>
      </c>
      <c r="R188" s="97">
        <f t="shared" si="757"/>
        <v>0</v>
      </c>
      <c r="S188" s="97">
        <f t="shared" si="748"/>
        <v>0</v>
      </c>
      <c r="T188" s="97">
        <f t="shared" si="754"/>
        <v>0</v>
      </c>
      <c r="U188" s="97">
        <f t="shared" si="744"/>
        <v>0</v>
      </c>
      <c r="V188" s="98" t="e">
        <f t="shared" ref="V188:W188" si="758">M188/I188</f>
        <v>#DIV/0!</v>
      </c>
      <c r="W188" s="98" t="e">
        <f t="shared" si="758"/>
        <v>#DIV/0!</v>
      </c>
      <c r="X188" s="98" t="e">
        <f t="shared" si="690"/>
        <v>#DIV/0!</v>
      </c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9"/>
      <c r="BM188" s="100"/>
      <c r="BN188" s="100"/>
      <c r="BO188" s="100"/>
      <c r="BP188" s="100"/>
    </row>
    <row r="189" spans="1:68" ht="15.75" customHeight="1">
      <c r="A189" s="277"/>
      <c r="B189" s="277"/>
      <c r="C189" s="278"/>
      <c r="D189" s="279"/>
      <c r="E189" s="279"/>
      <c r="F189" s="279"/>
      <c r="G189" s="280"/>
      <c r="H189" s="280"/>
      <c r="I189" s="280"/>
      <c r="J189" s="280"/>
      <c r="K189" s="280"/>
      <c r="L189" s="280"/>
      <c r="M189" s="280"/>
      <c r="N189" s="280"/>
      <c r="O189" s="280"/>
      <c r="P189" s="281"/>
      <c r="Q189" s="281"/>
      <c r="R189" s="281"/>
      <c r="S189" s="280"/>
      <c r="T189" s="280"/>
      <c r="U189" s="280"/>
      <c r="V189" s="280"/>
      <c r="W189" s="282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1"/>
      <c r="BM189" s="21"/>
      <c r="BN189" s="21"/>
      <c r="BO189" s="21"/>
      <c r="BP189" s="21"/>
    </row>
    <row r="190" spans="1:68" ht="15.75" hidden="1" customHeight="1">
      <c r="A190" s="277"/>
      <c r="B190" s="277"/>
      <c r="C190" s="278"/>
      <c r="D190" s="283" t="s">
        <v>442</v>
      </c>
      <c r="E190" s="284" t="s">
        <v>62</v>
      </c>
      <c r="F190" s="284" t="s">
        <v>63</v>
      </c>
      <c r="G190" s="571" t="s">
        <v>443</v>
      </c>
      <c r="H190" s="561"/>
      <c r="I190" s="285" t="s">
        <v>62</v>
      </c>
      <c r="J190" s="285" t="s">
        <v>147</v>
      </c>
      <c r="K190" s="285"/>
      <c r="L190" s="285" t="s">
        <v>63</v>
      </c>
      <c r="M190" s="285" t="s">
        <v>62</v>
      </c>
      <c r="N190" s="285" t="s">
        <v>147</v>
      </c>
      <c r="O190" s="285" t="s">
        <v>63</v>
      </c>
      <c r="P190" s="285" t="s">
        <v>62</v>
      </c>
      <c r="Q190" s="285" t="s">
        <v>147</v>
      </c>
      <c r="R190" s="285" t="s">
        <v>63</v>
      </c>
      <c r="S190" s="286"/>
      <c r="T190" s="286"/>
      <c r="U190" s="286"/>
      <c r="V190" s="286"/>
      <c r="W190" s="287"/>
      <c r="X190" s="286"/>
      <c r="Y190" s="571" t="s">
        <v>444</v>
      </c>
      <c r="Z190" s="560"/>
      <c r="AA190" s="560"/>
      <c r="AB190" s="560"/>
      <c r="AC190" s="560"/>
      <c r="AD190" s="561"/>
      <c r="AE190" s="559" t="s">
        <v>445</v>
      </c>
      <c r="AF190" s="560"/>
      <c r="AG190" s="560"/>
      <c r="AH190" s="560"/>
      <c r="AI190" s="560"/>
      <c r="AJ190" s="561"/>
      <c r="AK190" s="574" t="s">
        <v>446</v>
      </c>
      <c r="AL190" s="560"/>
      <c r="AM190" s="560"/>
      <c r="AN190" s="560"/>
      <c r="AO190" s="560"/>
      <c r="AP190" s="561"/>
      <c r="AQ190" s="559" t="s">
        <v>447</v>
      </c>
      <c r="AR190" s="560"/>
      <c r="AS190" s="560"/>
      <c r="AT190" s="560"/>
      <c r="AU190" s="560"/>
      <c r="AV190" s="561"/>
      <c r="AW190" s="573" t="s">
        <v>448</v>
      </c>
      <c r="AX190" s="560"/>
      <c r="AY190" s="560"/>
      <c r="AZ190" s="560"/>
      <c r="BA190" s="560"/>
      <c r="BB190" s="561"/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hidden="1" customHeight="1">
      <c r="A191" s="288"/>
      <c r="B191" s="288"/>
      <c r="C191" s="289"/>
      <c r="D191" s="290" t="s">
        <v>449</v>
      </c>
      <c r="E191" s="291">
        <f>E4+E12+E68+E97+E160-259382</f>
        <v>2120271.64</v>
      </c>
      <c r="F191" s="291">
        <f>F4+F12+F68+F97+F160</f>
        <v>5282668.6900000004</v>
      </c>
      <c r="G191" s="292" t="s">
        <v>62</v>
      </c>
      <c r="H191" s="292" t="s">
        <v>63</v>
      </c>
      <c r="I191" s="293"/>
      <c r="J191" s="290"/>
      <c r="K191" s="290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294" t="s">
        <v>174</v>
      </c>
      <c r="Z191" s="295" t="s">
        <v>175</v>
      </c>
      <c r="AA191" s="295" t="s">
        <v>176</v>
      </c>
      <c r="AB191" s="296" t="s">
        <v>177</v>
      </c>
      <c r="AC191" s="294" t="s">
        <v>178</v>
      </c>
      <c r="AD191" s="294" t="s">
        <v>179</v>
      </c>
      <c r="AE191" s="294" t="s">
        <v>174</v>
      </c>
      <c r="AF191" s="295" t="s">
        <v>175</v>
      </c>
      <c r="AG191" s="295" t="s">
        <v>176</v>
      </c>
      <c r="AH191" s="296" t="s">
        <v>177</v>
      </c>
      <c r="AI191" s="294" t="s">
        <v>178</v>
      </c>
      <c r="AJ191" s="294" t="s">
        <v>179</v>
      </c>
      <c r="AK191" s="294" t="s">
        <v>174</v>
      </c>
      <c r="AL191" s="295" t="s">
        <v>175</v>
      </c>
      <c r="AM191" s="295" t="s">
        <v>176</v>
      </c>
      <c r="AN191" s="296" t="s">
        <v>177</v>
      </c>
      <c r="AO191" s="294" t="s">
        <v>178</v>
      </c>
      <c r="AP191" s="294" t="s">
        <v>179</v>
      </c>
      <c r="AQ191" s="294" t="s">
        <v>174</v>
      </c>
      <c r="AR191" s="295" t="s">
        <v>175</v>
      </c>
      <c r="AS191" s="295" t="s">
        <v>176</v>
      </c>
      <c r="AT191" s="296" t="s">
        <v>177</v>
      </c>
      <c r="AU191" s="294" t="s">
        <v>178</v>
      </c>
      <c r="AV191" s="294" t="s">
        <v>179</v>
      </c>
      <c r="AW191" s="294" t="s">
        <v>174</v>
      </c>
      <c r="AX191" s="295" t="s">
        <v>175</v>
      </c>
      <c r="AY191" s="295" t="s">
        <v>176</v>
      </c>
      <c r="AZ191" s="296" t="s">
        <v>177</v>
      </c>
      <c r="BA191" s="294" t="s">
        <v>178</v>
      </c>
      <c r="BB191" s="294" t="s">
        <v>179</v>
      </c>
      <c r="BC191" s="280"/>
      <c r="BD191" s="280"/>
      <c r="BE191" s="280"/>
      <c r="BF191" s="280"/>
      <c r="BG191" s="280"/>
      <c r="BH191" s="280"/>
      <c r="BI191" s="280"/>
      <c r="BJ191" s="280"/>
      <c r="BK191" s="280"/>
    </row>
    <row r="192" spans="1:68" ht="15.75" hidden="1" customHeight="1">
      <c r="A192" s="297"/>
      <c r="B192" s="297"/>
      <c r="C192" s="298"/>
      <c r="D192" s="290" t="s">
        <v>450</v>
      </c>
      <c r="E192" s="299">
        <f>SUM(Y192:AD192)+SUM(Y194:AD194)</f>
        <v>2125478.88</v>
      </c>
      <c r="F192" s="299">
        <f>SUM(AE192:BB192)+SUM(AE194:BB194)</f>
        <v>1590811.72</v>
      </c>
      <c r="G192" s="300">
        <f t="shared" ref="G192:H192" si="759">E192/E191</f>
        <v>1.0024559305995338</v>
      </c>
      <c r="H192" s="300">
        <f t="shared" si="759"/>
        <v>0.301137893241607</v>
      </c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86"/>
      <c r="T192" s="286"/>
      <c r="U192" s="286"/>
      <c r="V192" s="286"/>
      <c r="W192" s="287"/>
      <c r="X192" s="286"/>
      <c r="Y192" s="301"/>
      <c r="Z192" s="351">
        <f>594913-198304</f>
        <v>396609</v>
      </c>
      <c r="AA192" s="302"/>
      <c r="AB192" s="352">
        <f>971522+33207.88+10000</f>
        <v>1014729.88</v>
      </c>
      <c r="AC192" s="352">
        <v>88951</v>
      </c>
      <c r="AD192" s="352">
        <f>623189+2000</f>
        <v>625189</v>
      </c>
      <c r="AE192" s="301"/>
      <c r="AF192" s="351">
        <f>72000+53000</f>
        <v>125000</v>
      </c>
      <c r="AG192" s="302"/>
      <c r="AH192" s="352">
        <f>170859+151403</f>
        <v>322262</v>
      </c>
      <c r="AI192" s="352">
        <v>40000</v>
      </c>
      <c r="AJ192" s="303"/>
      <c r="AK192" s="301"/>
      <c r="AL192" s="302">
        <f>1856+82176</f>
        <v>84032</v>
      </c>
      <c r="AM192" s="302"/>
      <c r="AN192" s="303"/>
      <c r="AO192" s="352"/>
      <c r="AP192" s="303"/>
      <c r="AQ192" s="301"/>
      <c r="AR192" s="302"/>
      <c r="AS192" s="302"/>
      <c r="AT192" s="303"/>
      <c r="AU192" s="303"/>
      <c r="AV192" s="303"/>
      <c r="AW192" s="301"/>
      <c r="AX192" s="302"/>
      <c r="AY192" s="351">
        <v>92981.17</v>
      </c>
      <c r="AZ192" s="352">
        <f>33207.88+10000</f>
        <v>43207.88</v>
      </c>
      <c r="BA192" s="352"/>
      <c r="BB192" s="352">
        <f>2000+2100</f>
        <v>4100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hidden="1" customHeight="1">
      <c r="A193" s="297"/>
      <c r="B193" s="297"/>
      <c r="C193" s="298"/>
      <c r="D193" s="290" t="s">
        <v>451</v>
      </c>
      <c r="E193" s="291">
        <f>I193</f>
        <v>1878216.2100000007</v>
      </c>
      <c r="F193" s="291">
        <f>L193</f>
        <v>1025807.3499999999</v>
      </c>
      <c r="G193" s="300">
        <f t="shared" ref="G193:H193" si="760">E193/E192</f>
        <v>0.88366731265756016</v>
      </c>
      <c r="H193" s="300">
        <f t="shared" si="760"/>
        <v>0.64483265813505564</v>
      </c>
      <c r="I193" s="304">
        <f t="shared" ref="I193:J193" si="761">I4+I12+I68+I97+I160</f>
        <v>1878216.2100000007</v>
      </c>
      <c r="J193" s="304">
        <f t="shared" si="761"/>
        <v>2466010.4700000002</v>
      </c>
      <c r="K193" s="304"/>
      <c r="L193" s="304">
        <f>L4+L12+L68+L97+L160</f>
        <v>1025807.3499999999</v>
      </c>
      <c r="M193" s="304"/>
      <c r="N193" s="304"/>
      <c r="O193" s="304"/>
      <c r="P193" s="293"/>
      <c r="Q193" s="293"/>
      <c r="R193" s="293"/>
      <c r="S193" s="286"/>
      <c r="T193" s="286"/>
      <c r="U193" s="286"/>
      <c r="V193" s="286"/>
      <c r="W193" s="287"/>
      <c r="X193" s="286"/>
      <c r="Y193" s="294" t="s">
        <v>180</v>
      </c>
      <c r="Z193" s="305" t="s">
        <v>181</v>
      </c>
      <c r="AA193" s="305" t="s">
        <v>182</v>
      </c>
      <c r="AB193" s="306" t="s">
        <v>183</v>
      </c>
      <c r="AC193" s="307" t="s">
        <v>184</v>
      </c>
      <c r="AD193" s="307" t="s">
        <v>185</v>
      </c>
      <c r="AE193" s="294" t="s">
        <v>180</v>
      </c>
      <c r="AF193" s="305" t="s">
        <v>181</v>
      </c>
      <c r="AG193" s="305" t="s">
        <v>182</v>
      </c>
      <c r="AH193" s="306" t="s">
        <v>183</v>
      </c>
      <c r="AI193" s="307" t="s">
        <v>184</v>
      </c>
      <c r="AJ193" s="307" t="s">
        <v>185</v>
      </c>
      <c r="AK193" s="294" t="s">
        <v>180</v>
      </c>
      <c r="AL193" s="305" t="s">
        <v>181</v>
      </c>
      <c r="AM193" s="305" t="s">
        <v>182</v>
      </c>
      <c r="AN193" s="306" t="s">
        <v>183</v>
      </c>
      <c r="AO193" s="307" t="s">
        <v>184</v>
      </c>
      <c r="AP193" s="307" t="s">
        <v>185</v>
      </c>
      <c r="AQ193" s="294" t="s">
        <v>180</v>
      </c>
      <c r="AR193" s="305" t="s">
        <v>181</v>
      </c>
      <c r="AS193" s="305" t="s">
        <v>182</v>
      </c>
      <c r="AT193" s="306" t="s">
        <v>183</v>
      </c>
      <c r="AU193" s="307" t="s">
        <v>184</v>
      </c>
      <c r="AV193" s="307" t="s">
        <v>185</v>
      </c>
      <c r="AW193" s="294" t="s">
        <v>180</v>
      </c>
      <c r="AX193" s="305" t="s">
        <v>181</v>
      </c>
      <c r="AY193" s="305" t="s">
        <v>182</v>
      </c>
      <c r="AZ193" s="306" t="s">
        <v>183</v>
      </c>
      <c r="BA193" s="307" t="s">
        <v>184</v>
      </c>
      <c r="BB193" s="307" t="s">
        <v>185</v>
      </c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hidden="1" customHeight="1">
      <c r="A194" s="297"/>
      <c r="B194" s="297"/>
      <c r="C194" s="298"/>
      <c r="D194" s="290" t="s">
        <v>452</v>
      </c>
      <c r="E194" s="291">
        <f>M194</f>
        <v>643701.99</v>
      </c>
      <c r="F194" s="291">
        <f>O194</f>
        <v>42240</v>
      </c>
      <c r="G194" s="300">
        <f t="shared" ref="G194:H194" si="762">E194/E192</f>
        <v>0.30285033460318367</v>
      </c>
      <c r="H194" s="300">
        <f t="shared" si="762"/>
        <v>2.6552482276155219E-2</v>
      </c>
      <c r="I194" s="308"/>
      <c r="J194" s="308"/>
      <c r="K194" s="308"/>
      <c r="L194" s="308"/>
      <c r="M194" s="299">
        <f t="shared" ref="M194:O194" si="763">M4+M12+M68+M97+M160</f>
        <v>643701.99</v>
      </c>
      <c r="N194" s="299">
        <f t="shared" si="763"/>
        <v>2025963.3299999998</v>
      </c>
      <c r="O194" s="299">
        <f t="shared" si="763"/>
        <v>42240</v>
      </c>
      <c r="P194" s="293"/>
      <c r="Q194" s="293"/>
      <c r="R194" s="293"/>
      <c r="S194" s="286"/>
      <c r="T194" s="286"/>
      <c r="U194" s="286"/>
      <c r="V194" s="286"/>
      <c r="W194" s="287"/>
      <c r="X194" s="286"/>
      <c r="Y194" s="301"/>
      <c r="Z194" s="302"/>
      <c r="AA194" s="302"/>
      <c r="AB194" s="303"/>
      <c r="AC194" s="303"/>
      <c r="AD194" s="303"/>
      <c r="AE194" s="301"/>
      <c r="AF194" s="351">
        <v>196502.47</v>
      </c>
      <c r="AG194" s="302"/>
      <c r="AH194" s="303"/>
      <c r="AI194" s="303"/>
      <c r="AJ194" s="303"/>
      <c r="AK194" s="301"/>
      <c r="AL194" s="302"/>
      <c r="AM194" s="302"/>
      <c r="AN194" s="303"/>
      <c r="AO194" s="303"/>
      <c r="AP194" s="303"/>
      <c r="AQ194" s="301"/>
      <c r="AR194" s="351">
        <v>20000</v>
      </c>
      <c r="AS194" s="302"/>
      <c r="AT194" s="303"/>
      <c r="AU194" s="303"/>
      <c r="AV194" s="303"/>
      <c r="AW194" s="301">
        <f>90240+19555.38+222166.6</f>
        <v>331961.98</v>
      </c>
      <c r="AX194" s="351">
        <f>102757.18+54035.31+46988.75+126982.98</f>
        <v>330764.21999999997</v>
      </c>
      <c r="AY194" s="302"/>
      <c r="AZ194" s="303"/>
      <c r="BA194" s="303"/>
      <c r="BB194" s="303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hidden="1" customHeight="1">
      <c r="A195" s="297"/>
      <c r="B195" s="297"/>
      <c r="C195" s="309"/>
      <c r="D195" s="290" t="s">
        <v>453</v>
      </c>
      <c r="E195" s="291">
        <f>P195</f>
        <v>651958.93000000005</v>
      </c>
      <c r="F195" s="291">
        <f>R195</f>
        <v>42240</v>
      </c>
      <c r="G195" s="300">
        <f t="shared" ref="G195:H195" si="764">E195/E192</f>
        <v>0.306735077979227</v>
      </c>
      <c r="H195" s="300">
        <f t="shared" si="764"/>
        <v>2.6552482276155219E-2</v>
      </c>
      <c r="I195" s="308"/>
      <c r="J195" s="308"/>
      <c r="K195" s="308"/>
      <c r="L195" s="308"/>
      <c r="M195" s="308"/>
      <c r="N195" s="308"/>
      <c r="O195" s="308"/>
      <c r="P195" s="304">
        <f t="shared" ref="P195:R195" si="765">P4+P12+P68+P97+P160</f>
        <v>651958.93000000005</v>
      </c>
      <c r="Q195" s="304">
        <f t="shared" si="765"/>
        <v>2113068.0700000003</v>
      </c>
      <c r="R195" s="304">
        <f t="shared" si="765"/>
        <v>42240</v>
      </c>
      <c r="S195" s="286"/>
      <c r="T195" s="286"/>
      <c r="U195" s="286"/>
      <c r="V195" s="286"/>
      <c r="W195" s="287"/>
      <c r="X195" s="286"/>
      <c r="Y195" s="286"/>
      <c r="Z195" s="310"/>
      <c r="AA195" s="310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hidden="1" customHeight="1">
      <c r="A196" s="297"/>
      <c r="B196" s="297"/>
      <c r="C196" s="309"/>
      <c r="D196" s="312" t="s">
        <v>454</v>
      </c>
      <c r="E196" s="313">
        <f t="shared" ref="E196:F196" si="766">E191-E192</f>
        <v>-5207.2399999997579</v>
      </c>
      <c r="F196" s="313">
        <f t="shared" si="766"/>
        <v>3691856.9700000007</v>
      </c>
      <c r="G196" s="314">
        <f t="shared" ref="G196:H196" si="767">E196/E191</f>
        <v>-2.4559305995338209E-3</v>
      </c>
      <c r="H196" s="314">
        <f t="shared" si="767"/>
        <v>0.69886210675839311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562"/>
      <c r="AA196" s="546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hidden="1" customHeight="1">
      <c r="A197" s="297"/>
      <c r="B197" s="297"/>
      <c r="C197" s="309"/>
      <c r="D197" s="312" t="s">
        <v>455</v>
      </c>
      <c r="E197" s="315">
        <f>E192-I193</f>
        <v>247262.66999999923</v>
      </c>
      <c r="F197" s="315">
        <f>F192-L193</f>
        <v>565004.37000000011</v>
      </c>
      <c r="G197" s="314">
        <f t="shared" ref="G197:H197" si="768">E197/E192</f>
        <v>0.11633268734243986</v>
      </c>
      <c r="H197" s="314">
        <f t="shared" si="768"/>
        <v>0.35516734186494436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6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hidden="1" customHeight="1">
      <c r="A198" s="297"/>
      <c r="B198" s="297"/>
      <c r="C198" s="309"/>
      <c r="D198" s="312" t="s">
        <v>456</v>
      </c>
      <c r="E198" s="315">
        <f>I193-M194</f>
        <v>1234514.2200000007</v>
      </c>
      <c r="F198" s="315">
        <f>L193-O194</f>
        <v>983567.34999999986</v>
      </c>
      <c r="G198" s="314">
        <f>E198/I193</f>
        <v>0.65728014348252284</v>
      </c>
      <c r="H198" s="314">
        <f>F198/L193</f>
        <v>0.95882267757196316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hidden="1" customHeight="1">
      <c r="A199" s="297"/>
      <c r="B199" s="297"/>
      <c r="C199" s="309"/>
      <c r="D199" s="312" t="s">
        <v>457</v>
      </c>
      <c r="E199" s="315">
        <f>M194-P195</f>
        <v>-8256.9400000000605</v>
      </c>
      <c r="F199" s="315">
        <f>O194-R195</f>
        <v>0</v>
      </c>
      <c r="G199" s="314">
        <f>E199/M194</f>
        <v>-1.2827271203558126E-2</v>
      </c>
      <c r="H199" s="314">
        <f>F199/O194</f>
        <v>0</v>
      </c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7"/>
      <c r="X199" s="286"/>
      <c r="Y199" s="286"/>
      <c r="Z199" s="310"/>
      <c r="AA199" s="310"/>
      <c r="AB199" s="311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hidden="1" customHeight="1">
      <c r="A200" s="317"/>
      <c r="B200" s="317"/>
      <c r="C200" s="318"/>
      <c r="D200" s="319" t="s">
        <v>459</v>
      </c>
      <c r="E200" s="320">
        <f>J193-N194</f>
        <v>440047.14000000036</v>
      </c>
      <c r="F200" s="321"/>
      <c r="G200" s="322">
        <f>E200/J193</f>
        <v>0.17844496013027888</v>
      </c>
      <c r="H200" s="323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hidden="1" customHeight="1">
      <c r="A201" s="317"/>
      <c r="B201" s="317"/>
      <c r="C201" s="318"/>
      <c r="D201" s="59"/>
      <c r="E201" s="60"/>
      <c r="F201" s="60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hidden="1" customHeight="1">
      <c r="A202" s="317"/>
      <c r="B202" s="317"/>
      <c r="C202" s="318"/>
      <c r="D202" s="59"/>
      <c r="E202" s="325">
        <f>E191-E192</f>
        <v>-5207.2399999997579</v>
      </c>
      <c r="F202" s="386">
        <f>E191-E192</f>
        <v>-5207.2399999997579</v>
      </c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hidden="1" customHeight="1">
      <c r="A203" s="310"/>
      <c r="B203" s="310"/>
      <c r="C203" s="328"/>
      <c r="D203" s="57"/>
      <c r="E203" s="325">
        <f>E191-E192</f>
        <v>-5207.2399999997579</v>
      </c>
      <c r="F203" s="326">
        <f>5207.24-4792.12</f>
        <v>415.11999999999989</v>
      </c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hidden="1" customHeight="1">
      <c r="A204" s="329"/>
      <c r="B204" s="329"/>
      <c r="C204" s="330"/>
      <c r="D204" s="57"/>
      <c r="E204" s="331"/>
      <c r="F204" s="326"/>
      <c r="G204" s="327"/>
      <c r="H204" s="327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hidden="1" customHeight="1">
      <c r="A205" s="329"/>
      <c r="B205" s="329"/>
      <c r="C205" s="330"/>
      <c r="D205" s="9"/>
      <c r="E205" s="387" t="s">
        <v>804</v>
      </c>
      <c r="F205" s="332"/>
      <c r="G205" s="333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</row>
    <row r="206" spans="1:68" ht="15.75" customHeight="1">
      <c r="A206" s="329"/>
      <c r="B206" s="329"/>
      <c r="C206" s="330"/>
      <c r="D206" s="9"/>
      <c r="E206" s="326"/>
      <c r="F206" s="326"/>
      <c r="G206" s="334"/>
      <c r="H206" s="334"/>
      <c r="I206" s="335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21"/>
      <c r="BM206" s="21"/>
      <c r="BN206" s="21"/>
      <c r="BO206" s="21"/>
      <c r="BP206" s="21"/>
    </row>
    <row r="207" spans="1:68" ht="15.75" customHeight="1">
      <c r="A207" s="57"/>
      <c r="B207" s="57"/>
      <c r="C207" s="336"/>
      <c r="D207" s="9"/>
      <c r="E207" s="325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7"/>
      <c r="B208" s="57"/>
      <c r="C208" s="337"/>
      <c r="D208" s="9"/>
      <c r="E208" s="326"/>
      <c r="F208" s="326"/>
      <c r="G208" s="327"/>
      <c r="H208" s="327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38"/>
      <c r="F209" s="332"/>
      <c r="G209" s="339"/>
      <c r="H209" s="33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59"/>
      <c r="B210" s="59"/>
      <c r="C210" s="318"/>
      <c r="D210" s="59"/>
      <c r="E210" s="325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326"/>
      <c r="F212" s="326"/>
      <c r="G212" s="327"/>
      <c r="H212" s="327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0"/>
      <c r="B216" s="340"/>
      <c r="C216" s="341"/>
      <c r="D216" s="340"/>
      <c r="E216" s="60"/>
      <c r="F216" s="60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324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</row>
    <row r="217" spans="1:63" ht="15.75" customHeight="1">
      <c r="A217" s="342"/>
      <c r="B217" s="342"/>
      <c r="C217" s="343"/>
      <c r="D217" s="342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A219" s="340"/>
      <c r="C219" s="345"/>
      <c r="E219" s="21"/>
      <c r="F219" s="21"/>
      <c r="K219" s="21"/>
      <c r="W219" s="344"/>
    </row>
    <row r="220" spans="1:63" ht="15.75" customHeight="1">
      <c r="C220" s="345"/>
      <c r="E220" s="21"/>
      <c r="F220" s="21"/>
      <c r="K220" s="21"/>
      <c r="W220" s="344"/>
    </row>
    <row r="221" spans="1:63" ht="15.75" customHeight="1">
      <c r="A221" s="340"/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49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48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47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46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45" priority="5" operator="greaterThanOrEqual">
      <formula>"100%"</formula>
    </cfRule>
  </conditionalFormatting>
  <conditionalFormatting sqref="V138:X140">
    <cfRule type="cellIs" dxfId="44" priority="6" operator="between">
      <formula>"0%"</formula>
      <formula>"25%"</formula>
    </cfRule>
  </conditionalFormatting>
  <conditionalFormatting sqref="V138:X140">
    <cfRule type="cellIs" dxfId="43" priority="7" operator="between">
      <formula>"25.01%"</formula>
      <formula>"50%"</formula>
    </cfRule>
  </conditionalFormatting>
  <conditionalFormatting sqref="V138:X140">
    <cfRule type="cellIs" dxfId="42" priority="8" operator="between">
      <formula>"50.01%"</formula>
      <formula>"75%"</formula>
    </cfRule>
  </conditionalFormatting>
  <conditionalFormatting sqref="V138:X140">
    <cfRule type="cellIs" dxfId="41" priority="9" operator="between">
      <formula>"75.01%"</formula>
      <formula>"99.99%"</formula>
    </cfRule>
  </conditionalFormatting>
  <conditionalFormatting sqref="V138:X140">
    <cfRule type="cellIs" dxfId="40" priority="10" operator="greaterThanOrEqual">
      <formula>"100%"</formula>
    </cfRule>
  </conditionalFormatting>
  <conditionalFormatting sqref="G91:H92 V91:X92">
    <cfRule type="cellIs" dxfId="39" priority="11" operator="between">
      <formula>"0%"</formula>
      <formula>"25%"</formula>
    </cfRule>
  </conditionalFormatting>
  <conditionalFormatting sqref="G91:H92 V91:X92">
    <cfRule type="cellIs" dxfId="38" priority="12" operator="between">
      <formula>"25.01%"</formula>
      <formula>"50%"</formula>
    </cfRule>
  </conditionalFormatting>
  <conditionalFormatting sqref="G91:H92 V91:X92">
    <cfRule type="cellIs" dxfId="37" priority="13" operator="between">
      <formula>"50.01%"</formula>
      <formula>"75%"</formula>
    </cfRule>
  </conditionalFormatting>
  <conditionalFormatting sqref="G91:H92 V91:X92">
    <cfRule type="cellIs" dxfId="36" priority="14" operator="between">
      <formula>"75.01%"</formula>
      <formula>"99.99%"</formula>
    </cfRule>
  </conditionalFormatting>
  <conditionalFormatting sqref="G91:H92 V91:X92">
    <cfRule type="cellIs" dxfId="35" priority="15" operator="greaterThanOrEqual">
      <formula>"100%"</formula>
    </cfRule>
  </conditionalFormatting>
  <conditionalFormatting sqref="G5:H5 V5:X5">
    <cfRule type="cellIs" dxfId="34" priority="16" operator="between">
      <formula>"0%"</formula>
      <formula>"25%"</formula>
    </cfRule>
  </conditionalFormatting>
  <conditionalFormatting sqref="G5:H5 V5:X5">
    <cfRule type="cellIs" dxfId="33" priority="17" operator="between">
      <formula>"25.01%"</formula>
      <formula>"50%"</formula>
    </cfRule>
  </conditionalFormatting>
  <conditionalFormatting sqref="G5:H5 V5:X5">
    <cfRule type="cellIs" dxfId="32" priority="18" operator="between">
      <formula>"50.01%"</formula>
      <formula>"75%"</formula>
    </cfRule>
  </conditionalFormatting>
  <conditionalFormatting sqref="G5:H5 V5:X5">
    <cfRule type="cellIs" dxfId="31" priority="19" operator="between">
      <formula>"75.01%"</formula>
      <formula>"99.99%"</formula>
    </cfRule>
  </conditionalFormatting>
  <conditionalFormatting sqref="G5:H5 V5:X5">
    <cfRule type="cellIs" dxfId="30" priority="20" operator="greaterThanOrEqual">
      <formula>"100%"</formula>
    </cfRule>
  </conditionalFormatting>
  <conditionalFormatting sqref="G70:H70 V70:X70">
    <cfRule type="cellIs" dxfId="29" priority="21" operator="between">
      <formula>"0%"</formula>
      <formula>"25%"</formula>
    </cfRule>
  </conditionalFormatting>
  <conditionalFormatting sqref="G70:H70 V70:X70">
    <cfRule type="cellIs" dxfId="28" priority="22" operator="between">
      <formula>"25.01%"</formula>
      <formula>"50%"</formula>
    </cfRule>
  </conditionalFormatting>
  <conditionalFormatting sqref="G70:H70 V70:X70">
    <cfRule type="cellIs" dxfId="27" priority="23" operator="between">
      <formula>"50.01%"</formula>
      <formula>"75%"</formula>
    </cfRule>
  </conditionalFormatting>
  <conditionalFormatting sqref="G70:H70 V70:X70">
    <cfRule type="cellIs" dxfId="26" priority="24" operator="between">
      <formula>"75.01%"</formula>
      <formula>"99.99%"</formula>
    </cfRule>
  </conditionalFormatting>
  <conditionalFormatting sqref="G70:H70 V70:X70">
    <cfRule type="cellIs" dxfId="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xSplit="9" ySplit="4" topLeftCell="J5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7" width="19.7109375" customWidth="1"/>
    <col min="8" max="9" width="15" customWidth="1"/>
    <col min="10" max="10" width="19.7109375" customWidth="1"/>
    <col min="11" max="11" width="17.5703125" customWidth="1"/>
    <col min="12" max="12" width="15" customWidth="1"/>
    <col min="13" max="13" width="18.28515625" customWidth="1"/>
    <col min="14" max="14" width="17.42578125" customWidth="1"/>
    <col min="15" max="15" width="18.42578125" customWidth="1"/>
    <col min="16" max="16" width="16.7109375" customWidth="1"/>
    <col min="17" max="17" width="15.5703125" customWidth="1"/>
    <col min="18" max="18" width="19.140625" customWidth="1"/>
    <col min="19" max="19" width="15.5703125" customWidth="1"/>
    <col min="20" max="20" width="23.5703125" customWidth="1"/>
    <col min="21" max="21" width="18.140625" customWidth="1"/>
    <col min="22" max="22" width="16.7109375" customWidth="1"/>
    <col min="23" max="23" width="12.28515625" customWidth="1"/>
    <col min="24" max="24" width="11.42578125" customWidth="1"/>
    <col min="25" max="25" width="12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6"/>
      <c r="I1" s="564"/>
      <c r="J1" s="567" t="s">
        <v>169</v>
      </c>
      <c r="K1" s="566"/>
      <c r="L1" s="566"/>
      <c r="M1" s="564"/>
      <c r="N1" s="568" t="s">
        <v>170</v>
      </c>
      <c r="O1" s="566"/>
      <c r="P1" s="564"/>
      <c r="Q1" s="572" t="s">
        <v>171</v>
      </c>
      <c r="R1" s="566"/>
      <c r="S1" s="564"/>
      <c r="T1" s="568" t="s">
        <v>172</v>
      </c>
      <c r="U1" s="566"/>
      <c r="V1" s="564"/>
      <c r="W1" s="570" t="s">
        <v>173</v>
      </c>
      <c r="X1" s="566"/>
      <c r="Y1" s="564"/>
      <c r="Z1" s="569" t="s">
        <v>174</v>
      </c>
      <c r="AA1" s="566"/>
      <c r="AB1" s="564"/>
      <c r="AC1" s="569" t="s">
        <v>175</v>
      </c>
      <c r="AD1" s="566"/>
      <c r="AE1" s="564"/>
      <c r="AF1" s="569" t="s">
        <v>176</v>
      </c>
      <c r="AG1" s="566"/>
      <c r="AH1" s="564"/>
      <c r="AI1" s="569" t="s">
        <v>177</v>
      </c>
      <c r="AJ1" s="566"/>
      <c r="AK1" s="564"/>
      <c r="AL1" s="569" t="s">
        <v>178</v>
      </c>
      <c r="AM1" s="566"/>
      <c r="AN1" s="564"/>
      <c r="AO1" s="569" t="s">
        <v>179</v>
      </c>
      <c r="AP1" s="566"/>
      <c r="AQ1" s="564"/>
      <c r="AR1" s="569" t="s">
        <v>180</v>
      </c>
      <c r="AS1" s="566"/>
      <c r="AT1" s="564"/>
      <c r="AU1" s="569" t="s">
        <v>181</v>
      </c>
      <c r="AV1" s="566"/>
      <c r="AW1" s="564"/>
      <c r="AX1" s="569" t="s">
        <v>182</v>
      </c>
      <c r="AY1" s="566"/>
      <c r="AZ1" s="564"/>
      <c r="BA1" s="569" t="s">
        <v>183</v>
      </c>
      <c r="BB1" s="566"/>
      <c r="BC1" s="564"/>
      <c r="BD1" s="569" t="s">
        <v>184</v>
      </c>
      <c r="BE1" s="566"/>
      <c r="BF1" s="564"/>
      <c r="BG1" s="569" t="s">
        <v>185</v>
      </c>
      <c r="BH1" s="566"/>
      <c r="BI1" s="564"/>
      <c r="BJ1" s="569" t="s">
        <v>186</v>
      </c>
      <c r="BK1" s="566"/>
      <c r="BL1" s="564"/>
      <c r="BM1" s="64"/>
      <c r="BN1" s="64"/>
      <c r="BO1" s="64"/>
      <c r="BP1" s="64"/>
      <c r="BQ1" s="64"/>
    </row>
    <row r="2" spans="1:69" ht="45.75" customHeight="1">
      <c r="A2" s="65"/>
      <c r="B2" s="66"/>
      <c r="C2" s="65" t="s">
        <v>52</v>
      </c>
      <c r="D2" s="67" t="s">
        <v>187</v>
      </c>
      <c r="E2" s="68" t="s">
        <v>188</v>
      </c>
      <c r="F2" s="388">
        <f>E3-F3</f>
        <v>259382</v>
      </c>
      <c r="G2" s="69" t="s">
        <v>63</v>
      </c>
      <c r="H2" s="68" t="s">
        <v>189</v>
      </c>
      <c r="I2" s="68" t="s">
        <v>190</v>
      </c>
      <c r="J2" s="70" t="s">
        <v>62</v>
      </c>
      <c r="K2" s="70" t="s">
        <v>147</v>
      </c>
      <c r="L2" s="70" t="s">
        <v>191</v>
      </c>
      <c r="M2" s="70" t="s">
        <v>63</v>
      </c>
      <c r="N2" s="71" t="s">
        <v>62</v>
      </c>
      <c r="O2" s="71" t="s">
        <v>147</v>
      </c>
      <c r="P2" s="71" t="s">
        <v>63</v>
      </c>
      <c r="Q2" s="69" t="s">
        <v>62</v>
      </c>
      <c r="R2" s="69" t="s">
        <v>147</v>
      </c>
      <c r="S2" s="69" t="s">
        <v>63</v>
      </c>
      <c r="T2" s="71" t="s">
        <v>192</v>
      </c>
      <c r="U2" s="71" t="s">
        <v>147</v>
      </c>
      <c r="V2" s="71" t="s">
        <v>193</v>
      </c>
      <c r="W2" s="72" t="s">
        <v>194</v>
      </c>
      <c r="X2" s="73" t="s">
        <v>147</v>
      </c>
      <c r="Y2" s="72" t="s">
        <v>195</v>
      </c>
      <c r="Z2" s="74" t="s">
        <v>62</v>
      </c>
      <c r="AA2" s="74" t="s">
        <v>147</v>
      </c>
      <c r="AB2" s="74" t="s">
        <v>63</v>
      </c>
      <c r="AC2" s="74" t="s">
        <v>62</v>
      </c>
      <c r="AD2" s="74" t="s">
        <v>147</v>
      </c>
      <c r="AE2" s="74" t="s">
        <v>63</v>
      </c>
      <c r="AF2" s="74" t="s">
        <v>62</v>
      </c>
      <c r="AG2" s="74" t="s">
        <v>147</v>
      </c>
      <c r="AH2" s="74" t="s">
        <v>63</v>
      </c>
      <c r="AI2" s="74" t="s">
        <v>62</v>
      </c>
      <c r="AJ2" s="74" t="s">
        <v>147</v>
      </c>
      <c r="AK2" s="74" t="s">
        <v>63</v>
      </c>
      <c r="AL2" s="74" t="s">
        <v>62</v>
      </c>
      <c r="AM2" s="74" t="s">
        <v>147</v>
      </c>
      <c r="AN2" s="74" t="s">
        <v>63</v>
      </c>
      <c r="AO2" s="74" t="s">
        <v>62</v>
      </c>
      <c r="AP2" s="74" t="s">
        <v>147</v>
      </c>
      <c r="AQ2" s="74" t="s">
        <v>63</v>
      </c>
      <c r="AR2" s="74" t="s">
        <v>62</v>
      </c>
      <c r="AS2" s="74" t="s">
        <v>147</v>
      </c>
      <c r="AT2" s="74" t="s">
        <v>63</v>
      </c>
      <c r="AU2" s="74" t="s">
        <v>62</v>
      </c>
      <c r="AV2" s="74" t="s">
        <v>147</v>
      </c>
      <c r="AW2" s="74" t="s">
        <v>63</v>
      </c>
      <c r="AX2" s="74" t="s">
        <v>62</v>
      </c>
      <c r="AY2" s="74" t="s">
        <v>147</v>
      </c>
      <c r="AZ2" s="74" t="s">
        <v>63</v>
      </c>
      <c r="BA2" s="74" t="s">
        <v>62</v>
      </c>
      <c r="BB2" s="74" t="s">
        <v>147</v>
      </c>
      <c r="BC2" s="74" t="s">
        <v>63</v>
      </c>
      <c r="BD2" s="74" t="s">
        <v>62</v>
      </c>
      <c r="BE2" s="74" t="s">
        <v>147</v>
      </c>
      <c r="BF2" s="74" t="s">
        <v>63</v>
      </c>
      <c r="BG2" s="74" t="s">
        <v>62</v>
      </c>
      <c r="BH2" s="74" t="s">
        <v>147</v>
      </c>
      <c r="BI2" s="74" t="s">
        <v>63</v>
      </c>
      <c r="BJ2" s="74" t="s">
        <v>62</v>
      </c>
      <c r="BK2" s="74" t="s">
        <v>147</v>
      </c>
      <c r="BL2" s="74" t="s">
        <v>63</v>
      </c>
      <c r="BM2" s="64"/>
      <c r="BN2" s="64"/>
      <c r="BO2" s="64"/>
      <c r="BP2" s="64"/>
      <c r="BQ2" s="64"/>
    </row>
    <row r="3" spans="1:69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G3" si="0">E4+E12+E68+E97+E160</f>
        <v>2379653.64</v>
      </c>
      <c r="F3" s="389">
        <f t="shared" si="0"/>
        <v>2120271.64</v>
      </c>
      <c r="G3" s="78">
        <f t="shared" si="0"/>
        <v>4704632.4400000004</v>
      </c>
      <c r="H3" s="79">
        <f t="shared" ref="H3:H4" si="1">J3/E3</f>
        <v>1.0605067887106463</v>
      </c>
      <c r="I3" s="79">
        <f t="shared" ref="I3:I4" si="2">N3/E3</f>
        <v>0.18673716314446503</v>
      </c>
      <c r="J3" s="80">
        <f t="shared" ref="J3:P3" si="3">J4+J12+J68+J97+J160</f>
        <v>2523638.8400000003</v>
      </c>
      <c r="K3" s="80">
        <f t="shared" si="3"/>
        <v>2466010.4700000002</v>
      </c>
      <c r="L3" s="80">
        <f t="shared" si="3"/>
        <v>53449.969999999994</v>
      </c>
      <c r="M3" s="80">
        <f t="shared" si="3"/>
        <v>90240</v>
      </c>
      <c r="N3" s="81">
        <f t="shared" si="3"/>
        <v>444369.77000000008</v>
      </c>
      <c r="O3" s="81">
        <f t="shared" si="3"/>
        <v>1785795.72</v>
      </c>
      <c r="P3" s="81">
        <f t="shared" si="3"/>
        <v>0</v>
      </c>
      <c r="Q3" s="82">
        <f t="shared" ref="Q3:S3" si="4">IF(BJ3=0,SUM(Z3+AC3+AF3+AI3+AL3+AO3+AR3+AU3+AX3+BA3+BD3+BG3),BJ3)</f>
        <v>449119.37000000005</v>
      </c>
      <c r="R3" s="82">
        <f t="shared" si="4"/>
        <v>1872900.4600000002</v>
      </c>
      <c r="S3" s="69">
        <f t="shared" si="4"/>
        <v>0</v>
      </c>
      <c r="T3" s="71">
        <f t="shared" ref="T3:V3" si="5">T4+T12+T68+T97+T160</f>
        <v>2065469.07</v>
      </c>
      <c r="U3" s="71">
        <f t="shared" si="5"/>
        <v>626764.78</v>
      </c>
      <c r="V3" s="71">
        <f t="shared" si="5"/>
        <v>0</v>
      </c>
      <c r="W3" s="73">
        <f t="shared" ref="W3:X3" si="6">N3/J3</f>
        <v>0.17608294933359006</v>
      </c>
      <c r="X3" s="73">
        <f t="shared" si="6"/>
        <v>0.72416388402438525</v>
      </c>
      <c r="Y3" s="73">
        <f t="shared" ref="Y3:Y4" si="7">P3/M3</f>
        <v>0</v>
      </c>
      <c r="Z3" s="83">
        <f t="shared" ref="Z3:BL3" si="8">Z4+Z12+Z68+Z97+Z160</f>
        <v>0</v>
      </c>
      <c r="AA3" s="83">
        <f t="shared" si="8"/>
        <v>219966.24</v>
      </c>
      <c r="AB3" s="83">
        <f t="shared" si="8"/>
        <v>0</v>
      </c>
      <c r="AC3" s="83">
        <f t="shared" si="8"/>
        <v>0</v>
      </c>
      <c r="AD3" s="83">
        <f t="shared" si="8"/>
        <v>232440.47</v>
      </c>
      <c r="AE3" s="83">
        <f t="shared" si="8"/>
        <v>0</v>
      </c>
      <c r="AF3" s="83">
        <f t="shared" si="8"/>
        <v>2029.32</v>
      </c>
      <c r="AG3" s="83">
        <f t="shared" si="8"/>
        <v>268852.19999999995</v>
      </c>
      <c r="AH3" s="83">
        <f t="shared" si="8"/>
        <v>0</v>
      </c>
      <c r="AI3" s="83">
        <f t="shared" si="8"/>
        <v>18883.349999999999</v>
      </c>
      <c r="AJ3" s="83">
        <f t="shared" si="8"/>
        <v>265014.58</v>
      </c>
      <c r="AK3" s="83">
        <f t="shared" si="8"/>
        <v>0</v>
      </c>
      <c r="AL3" s="83">
        <f t="shared" si="8"/>
        <v>52862.33</v>
      </c>
      <c r="AM3" s="83">
        <f t="shared" si="8"/>
        <v>445323.15</v>
      </c>
      <c r="AN3" s="83">
        <f t="shared" si="8"/>
        <v>0</v>
      </c>
      <c r="AO3" s="83">
        <f t="shared" si="8"/>
        <v>118074.31</v>
      </c>
      <c r="AP3" s="83">
        <f t="shared" si="8"/>
        <v>336961.85</v>
      </c>
      <c r="AQ3" s="83">
        <f t="shared" si="8"/>
        <v>0</v>
      </c>
      <c r="AR3" s="83">
        <f t="shared" si="8"/>
        <v>257270.06000000006</v>
      </c>
      <c r="AS3" s="83">
        <f t="shared" si="8"/>
        <v>104341.97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3">
        <f t="shared" si="8"/>
        <v>0</v>
      </c>
      <c r="BM3" s="84"/>
      <c r="BN3" s="85"/>
      <c r="BO3" s="85"/>
      <c r="BP3" s="85"/>
      <c r="BQ3" s="85"/>
    </row>
    <row r="4" spans="1:69" ht="21">
      <c r="A4" s="86"/>
      <c r="B4" s="86"/>
      <c r="C4" s="86" t="s">
        <v>199</v>
      </c>
      <c r="D4" s="86"/>
      <c r="E4" s="87">
        <f t="shared" ref="E4:F4" si="9">SUM(E5:E11)</f>
        <v>48607.67</v>
      </c>
      <c r="F4" s="389">
        <f t="shared" si="9"/>
        <v>11529.07</v>
      </c>
      <c r="G4" s="87">
        <f>SUM(G6:G11)</f>
        <v>123386.01999999999</v>
      </c>
      <c r="H4" s="88">
        <f t="shared" si="1"/>
        <v>4.9312587910508777E-2</v>
      </c>
      <c r="I4" s="88">
        <f t="shared" si="2"/>
        <v>6.2541570085544113E-3</v>
      </c>
      <c r="J4" s="87">
        <f>SUM(J5:J11)</f>
        <v>2396.9700000000003</v>
      </c>
      <c r="K4" s="87">
        <f>SUM(K6:K11)</f>
        <v>17783.25</v>
      </c>
      <c r="L4" s="87"/>
      <c r="M4" s="87">
        <f>SUM(M14)</f>
        <v>0</v>
      </c>
      <c r="N4" s="87">
        <f t="shared" ref="N4:O4" si="10">SUM(N5:N11)</f>
        <v>304</v>
      </c>
      <c r="O4" s="87">
        <f t="shared" si="10"/>
        <v>12761.25</v>
      </c>
      <c r="P4" s="87">
        <f>SUM(P14)</f>
        <v>0</v>
      </c>
      <c r="Q4" s="87">
        <f t="shared" ref="Q4:S4" si="11">IF(BJ4=0,SUM(Z4+AC4+AF4+AI4+AL4+AO4+AR4+AU4+AX4+BA4+BD4+BG4),BJ4)</f>
        <v>304</v>
      </c>
      <c r="R4" s="87">
        <f t="shared" si="11"/>
        <v>12761.25</v>
      </c>
      <c r="S4" s="87">
        <f t="shared" si="11"/>
        <v>0</v>
      </c>
      <c r="T4" s="87">
        <f t="shared" ref="T4:V4" si="12">SUM(T5:T11)</f>
        <v>2092.9700000000003</v>
      </c>
      <c r="U4" s="87">
        <f t="shared" si="12"/>
        <v>5022</v>
      </c>
      <c r="V4" s="87">
        <f t="shared" si="12"/>
        <v>0</v>
      </c>
      <c r="W4" s="87">
        <f t="shared" ref="W4:X4" si="13">N4/J4</f>
        <v>0.12682678548333937</v>
      </c>
      <c r="X4" s="88">
        <f t="shared" si="13"/>
        <v>0.71759942642655306</v>
      </c>
      <c r="Y4" s="88" t="e">
        <f t="shared" si="7"/>
        <v>#DIV/0!</v>
      </c>
      <c r="Z4" s="87">
        <f t="shared" ref="Z4:AE4" si="14">SUM(Z14)</f>
        <v>0</v>
      </c>
      <c r="AA4" s="87">
        <f t="shared" si="14"/>
        <v>0</v>
      </c>
      <c r="AB4" s="87">
        <f t="shared" si="14"/>
        <v>0</v>
      </c>
      <c r="AC4" s="87">
        <f t="shared" si="14"/>
        <v>0</v>
      </c>
      <c r="AD4" s="87">
        <f t="shared" si="14"/>
        <v>0</v>
      </c>
      <c r="AE4" s="87">
        <f t="shared" si="14"/>
        <v>0</v>
      </c>
      <c r="AF4" s="87">
        <f>SUM(AF5:AF11)</f>
        <v>304</v>
      </c>
      <c r="AG4" s="87">
        <f t="shared" ref="AG4:AI4" si="15">SUM(AG14)</f>
        <v>0</v>
      </c>
      <c r="AH4" s="87">
        <f t="shared" si="15"/>
        <v>0</v>
      </c>
      <c r="AI4" s="87">
        <f t="shared" si="15"/>
        <v>0</v>
      </c>
      <c r="AJ4" s="87">
        <f t="shared" ref="AJ4:AT4" si="16">SUM(AJ5:AJ11)</f>
        <v>1950</v>
      </c>
      <c r="AK4" s="87">
        <f t="shared" si="16"/>
        <v>0</v>
      </c>
      <c r="AL4" s="87">
        <f t="shared" si="16"/>
        <v>0</v>
      </c>
      <c r="AM4" s="87">
        <f t="shared" si="16"/>
        <v>0</v>
      </c>
      <c r="AN4" s="87">
        <f t="shared" si="16"/>
        <v>0</v>
      </c>
      <c r="AO4" s="87">
        <f t="shared" si="16"/>
        <v>0</v>
      </c>
      <c r="AP4" s="87">
        <f t="shared" si="16"/>
        <v>0</v>
      </c>
      <c r="AQ4" s="87">
        <f t="shared" si="16"/>
        <v>0</v>
      </c>
      <c r="AR4" s="87">
        <f t="shared" si="16"/>
        <v>0</v>
      </c>
      <c r="AS4" s="87">
        <f t="shared" si="16"/>
        <v>10811.25</v>
      </c>
      <c r="AT4" s="87">
        <f t="shared" si="16"/>
        <v>0</v>
      </c>
      <c r="AU4" s="87">
        <f t="shared" ref="AU4:BL4" si="17">SUM(AU14)</f>
        <v>0</v>
      </c>
      <c r="AV4" s="87">
        <f t="shared" si="17"/>
        <v>0</v>
      </c>
      <c r="AW4" s="87">
        <f t="shared" si="17"/>
        <v>0</v>
      </c>
      <c r="AX4" s="87">
        <f t="shared" si="17"/>
        <v>0</v>
      </c>
      <c r="AY4" s="87">
        <f t="shared" si="17"/>
        <v>0</v>
      </c>
      <c r="AZ4" s="87">
        <f t="shared" si="17"/>
        <v>0</v>
      </c>
      <c r="BA4" s="87">
        <f t="shared" si="17"/>
        <v>0</v>
      </c>
      <c r="BB4" s="87">
        <f t="shared" si="17"/>
        <v>0</v>
      </c>
      <c r="BC4" s="87">
        <f t="shared" si="17"/>
        <v>0</v>
      </c>
      <c r="BD4" s="87">
        <f t="shared" si="17"/>
        <v>0</v>
      </c>
      <c r="BE4" s="87">
        <f t="shared" si="17"/>
        <v>0</v>
      </c>
      <c r="BF4" s="87">
        <f t="shared" si="17"/>
        <v>0</v>
      </c>
      <c r="BG4" s="87">
        <f t="shared" si="17"/>
        <v>0</v>
      </c>
      <c r="BH4" s="87">
        <f t="shared" si="17"/>
        <v>0</v>
      </c>
      <c r="BI4" s="87">
        <f t="shared" si="17"/>
        <v>0</v>
      </c>
      <c r="BJ4" s="87">
        <f t="shared" si="17"/>
        <v>0</v>
      </c>
      <c r="BK4" s="87">
        <f t="shared" si="17"/>
        <v>0</v>
      </c>
      <c r="BL4" s="87">
        <f t="shared" si="17"/>
        <v>0</v>
      </c>
      <c r="BM4" s="84"/>
      <c r="BN4" s="85"/>
      <c r="BO4" s="85"/>
      <c r="BP4" s="85"/>
      <c r="BQ4" s="85"/>
    </row>
    <row r="5" spans="1:69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390">
        <f>E5</f>
        <v>1500</v>
      </c>
      <c r="G5" s="93"/>
      <c r="H5" s="94"/>
      <c r="I5" s="94"/>
      <c r="J5" s="95">
        <v>1500</v>
      </c>
      <c r="K5" s="96"/>
      <c r="L5" s="96"/>
      <c r="M5" s="95"/>
      <c r="N5" s="97">
        <f t="shared" ref="N5:P5" si="18">Z5+AC5+AF5+AI5+AL5+AO5+AR5+AU5+AX5+BA5+BD5+BG5</f>
        <v>0</v>
      </c>
      <c r="O5" s="97">
        <f t="shared" si="18"/>
        <v>0</v>
      </c>
      <c r="P5" s="97">
        <f t="shared" si="18"/>
        <v>0</v>
      </c>
      <c r="Q5" s="82">
        <f t="shared" ref="Q5:S5" si="19">IF(BJ5=0,SUM(Z5+AC5+AF5+AI5+AL5+AO5+AR5+AU5+AX5+BA5+BD5+BG5),BJ5)</f>
        <v>0</v>
      </c>
      <c r="R5" s="82">
        <f t="shared" si="19"/>
        <v>0</v>
      </c>
      <c r="S5" s="82">
        <f t="shared" si="19"/>
        <v>0</v>
      </c>
      <c r="T5" s="97">
        <f t="shared" ref="T5:T11" si="20">J5-N5</f>
        <v>1500</v>
      </c>
      <c r="U5" s="97"/>
      <c r="V5" s="97"/>
      <c r="W5" s="97"/>
      <c r="X5" s="98"/>
      <c r="Y5" s="98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9"/>
      <c r="BN5" s="100"/>
      <c r="BO5" s="100"/>
      <c r="BP5" s="100"/>
      <c r="BQ5" s="100"/>
    </row>
    <row r="6" spans="1:69" ht="15.75" customHeight="1">
      <c r="A6" s="89"/>
      <c r="B6" s="89"/>
      <c r="C6" s="101" t="s">
        <v>202</v>
      </c>
      <c r="D6" s="91" t="s">
        <v>203</v>
      </c>
      <c r="E6" s="92">
        <v>4202</v>
      </c>
      <c r="F6" s="391">
        <v>0</v>
      </c>
      <c r="G6" s="93">
        <v>10345.6</v>
      </c>
      <c r="H6" s="94">
        <f t="shared" ref="H6:H24" si="21">J6/E6</f>
        <v>0</v>
      </c>
      <c r="I6" s="94">
        <f t="shared" ref="I6:I23" si="22">N6/E6</f>
        <v>0</v>
      </c>
      <c r="J6" s="95"/>
      <c r="K6" s="96"/>
      <c r="L6" s="96"/>
      <c r="M6" s="95"/>
      <c r="N6" s="97">
        <f t="shared" ref="N6:P6" si="23">Z6+AC6+AF6+AI6+AL6+AO6+AR6+AU6+AX6+BA6+BD6+BG6</f>
        <v>0</v>
      </c>
      <c r="O6" s="97">
        <f t="shared" si="23"/>
        <v>0</v>
      </c>
      <c r="P6" s="97">
        <f t="shared" si="23"/>
        <v>0</v>
      </c>
      <c r="Q6" s="82">
        <f t="shared" ref="Q6:S6" si="24">IF(BJ6=0,SUM(Z6+AC6+AF6+AI6+AL6+AO6+AR6+AU6+AX6+BA6+BD6+BG6),BJ6)</f>
        <v>0</v>
      </c>
      <c r="R6" s="82">
        <f t="shared" si="24"/>
        <v>0</v>
      </c>
      <c r="S6" s="82">
        <f t="shared" si="24"/>
        <v>0</v>
      </c>
      <c r="T6" s="97">
        <f t="shared" si="20"/>
        <v>0</v>
      </c>
      <c r="U6" s="97">
        <f t="shared" ref="U6:U11" si="25">K6-L6-O6</f>
        <v>0</v>
      </c>
      <c r="V6" s="97">
        <f t="shared" ref="V6:V11" si="26">M6-P6</f>
        <v>0</v>
      </c>
      <c r="W6" s="97" t="e">
        <f t="shared" ref="W6:X6" si="27">N6/J6</f>
        <v>#DIV/0!</v>
      </c>
      <c r="X6" s="98" t="e">
        <f t="shared" si="27"/>
        <v>#DIV/0!</v>
      </c>
      <c r="Y6" s="98" t="e">
        <f t="shared" ref="Y6:Y24" si="28">P6/M6</f>
        <v>#DIV/0!</v>
      </c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9"/>
      <c r="BN6" s="100"/>
      <c r="BO6" s="100"/>
      <c r="BP6" s="100"/>
      <c r="BQ6" s="100"/>
    </row>
    <row r="7" spans="1:69" ht="15.75" customHeight="1">
      <c r="A7" s="89"/>
      <c r="B7" s="89"/>
      <c r="C7" s="101" t="s">
        <v>204</v>
      </c>
      <c r="D7" s="91" t="s">
        <v>205</v>
      </c>
      <c r="E7" s="92">
        <v>1680.8</v>
      </c>
      <c r="F7" s="391">
        <v>0</v>
      </c>
      <c r="G7" s="93">
        <v>2955.35</v>
      </c>
      <c r="H7" s="94">
        <f t="shared" si="21"/>
        <v>0</v>
      </c>
      <c r="I7" s="94">
        <f t="shared" si="22"/>
        <v>0</v>
      </c>
      <c r="J7" s="95"/>
      <c r="K7" s="96"/>
      <c r="L7" s="96"/>
      <c r="M7" s="95"/>
      <c r="N7" s="97">
        <f t="shared" ref="N7:P7" si="29">Z7+AC7+AF7+AI7+AL7+AO7+AR7+AU7+AX7+BA7+BD7+BG7</f>
        <v>0</v>
      </c>
      <c r="O7" s="97">
        <f t="shared" si="29"/>
        <v>0</v>
      </c>
      <c r="P7" s="97">
        <f t="shared" si="29"/>
        <v>0</v>
      </c>
      <c r="Q7" s="82">
        <f t="shared" ref="Q7:S7" si="30">IF(BJ7=0,SUM(Z7+AC7+AF7+AI7+AL7+AO7+AR7+AU7+AX7+BA7+BD7+BG7),BJ7)</f>
        <v>0</v>
      </c>
      <c r="R7" s="82">
        <f t="shared" si="30"/>
        <v>0</v>
      </c>
      <c r="S7" s="82">
        <f t="shared" si="30"/>
        <v>0</v>
      </c>
      <c r="T7" s="97">
        <f t="shared" si="20"/>
        <v>0</v>
      </c>
      <c r="U7" s="97">
        <f t="shared" si="25"/>
        <v>0</v>
      </c>
      <c r="V7" s="97">
        <f t="shared" si="26"/>
        <v>0</v>
      </c>
      <c r="W7" s="97" t="e">
        <f t="shared" ref="W7:X7" si="31">N7/J7</f>
        <v>#DIV/0!</v>
      </c>
      <c r="X7" s="98" t="e">
        <f t="shared" si="31"/>
        <v>#DIV/0!</v>
      </c>
      <c r="Y7" s="98" t="e">
        <f t="shared" si="28"/>
        <v>#DIV/0!</v>
      </c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9"/>
      <c r="BN7" s="100"/>
      <c r="BO7" s="100"/>
      <c r="BP7" s="100"/>
      <c r="BQ7" s="100"/>
    </row>
    <row r="8" spans="1:69" ht="15.75" customHeight="1">
      <c r="A8" s="89"/>
      <c r="B8" s="371" t="s">
        <v>728</v>
      </c>
      <c r="C8" s="101" t="s">
        <v>207</v>
      </c>
      <c r="D8" s="91" t="s">
        <v>805</v>
      </c>
      <c r="E8" s="92">
        <v>15127.2</v>
      </c>
      <c r="F8" s="391" t="s">
        <v>806</v>
      </c>
      <c r="G8" s="93">
        <v>58483.53</v>
      </c>
      <c r="H8" s="94">
        <f t="shared" si="21"/>
        <v>0</v>
      </c>
      <c r="I8" s="94">
        <f t="shared" si="22"/>
        <v>0</v>
      </c>
      <c r="J8" s="95"/>
      <c r="K8" s="96">
        <v>15833.25</v>
      </c>
      <c r="L8" s="96"/>
      <c r="M8" s="95"/>
      <c r="N8" s="97">
        <f t="shared" ref="N8:P8" si="32">Z8+AC8+AF8+AI8+AL8+AO8+AR8+AU8+AX8+BA8+BD8+BG8</f>
        <v>0</v>
      </c>
      <c r="O8" s="97">
        <f t="shared" si="32"/>
        <v>10811.25</v>
      </c>
      <c r="P8" s="97">
        <f t="shared" si="32"/>
        <v>0</v>
      </c>
      <c r="Q8" s="82">
        <f t="shared" ref="Q8:S8" si="33">IF(BJ8=0,SUM(Z8+AC8+AF8+AI8+AL8+AO8+AR8+AU8+AX8+BA8+BD8+BG8),BJ8)</f>
        <v>0</v>
      </c>
      <c r="R8" s="82">
        <f t="shared" si="33"/>
        <v>10811.25</v>
      </c>
      <c r="S8" s="82">
        <f t="shared" si="33"/>
        <v>0</v>
      </c>
      <c r="T8" s="97">
        <f t="shared" si="20"/>
        <v>0</v>
      </c>
      <c r="U8" s="128">
        <f t="shared" si="25"/>
        <v>5022</v>
      </c>
      <c r="V8" s="97">
        <f t="shared" si="26"/>
        <v>0</v>
      </c>
      <c r="W8" s="97" t="e">
        <f t="shared" ref="W8:X8" si="34">N8/J8</f>
        <v>#DIV/0!</v>
      </c>
      <c r="X8" s="98">
        <f t="shared" si="34"/>
        <v>0.68281938325991187</v>
      </c>
      <c r="Y8" s="98" t="e">
        <f t="shared" si="28"/>
        <v>#DIV/0!</v>
      </c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>
        <f>5928.75+4882.5</f>
        <v>10811.25</v>
      </c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9"/>
      <c r="BN8" s="100"/>
      <c r="BO8" s="100"/>
      <c r="BP8" s="100"/>
      <c r="BQ8" s="100"/>
    </row>
    <row r="9" spans="1:69" ht="15.75" customHeight="1">
      <c r="A9" s="89"/>
      <c r="B9" s="102"/>
      <c r="C9" s="101" t="s">
        <v>209</v>
      </c>
      <c r="D9" s="91" t="s">
        <v>69</v>
      </c>
      <c r="E9" s="92">
        <v>8029.07</v>
      </c>
      <c r="F9" s="390">
        <f>E9</f>
        <v>8029.07</v>
      </c>
      <c r="G9" s="93"/>
      <c r="H9" s="94">
        <f t="shared" si="21"/>
        <v>0</v>
      </c>
      <c r="I9" s="94">
        <f t="shared" si="22"/>
        <v>0</v>
      </c>
      <c r="J9" s="95"/>
      <c r="K9" s="353">
        <v>1950</v>
      </c>
      <c r="L9" s="96"/>
      <c r="M9" s="95"/>
      <c r="N9" s="97">
        <f t="shared" ref="N9:P9" si="35">Z9+AC9+AF9+AI9+AL9+AO9+AR9+AU9+AX9+BA9+BD9+BG9</f>
        <v>0</v>
      </c>
      <c r="O9" s="97">
        <f t="shared" si="35"/>
        <v>1950</v>
      </c>
      <c r="P9" s="97">
        <f t="shared" si="35"/>
        <v>0</v>
      </c>
      <c r="Q9" s="82">
        <f t="shared" ref="Q9:S9" si="36">IF(BJ9=0,SUM(Z9+AC9+AF9+AI9+AL9+AO9+AR9+AU9+AX9+BA9+BD9+BG9),BJ9)</f>
        <v>0</v>
      </c>
      <c r="R9" s="82">
        <f t="shared" si="36"/>
        <v>1950</v>
      </c>
      <c r="S9" s="82">
        <f t="shared" si="36"/>
        <v>0</v>
      </c>
      <c r="T9" s="97">
        <f t="shared" si="20"/>
        <v>0</v>
      </c>
      <c r="U9" s="97">
        <f t="shared" si="25"/>
        <v>0</v>
      </c>
      <c r="V9" s="97">
        <f t="shared" si="26"/>
        <v>0</v>
      </c>
      <c r="W9" s="97" t="e">
        <f t="shared" ref="W9:X9" si="37">N9/J9</f>
        <v>#DIV/0!</v>
      </c>
      <c r="X9" s="98">
        <f t="shared" si="37"/>
        <v>1</v>
      </c>
      <c r="Y9" s="98" t="e">
        <f t="shared" si="28"/>
        <v>#DIV/0!</v>
      </c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362">
        <v>1950</v>
      </c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9"/>
      <c r="BN9" s="100"/>
      <c r="BO9" s="100"/>
      <c r="BP9" s="100"/>
      <c r="BQ9" s="100"/>
    </row>
    <row r="10" spans="1:69" ht="15.75" customHeight="1">
      <c r="A10" s="356" t="s">
        <v>730</v>
      </c>
      <c r="B10" s="89"/>
      <c r="C10" s="104" t="s">
        <v>210</v>
      </c>
      <c r="D10" s="91" t="s">
        <v>70</v>
      </c>
      <c r="E10" s="92">
        <v>13866.6</v>
      </c>
      <c r="F10" s="391">
        <v>2000</v>
      </c>
      <c r="G10" s="93">
        <v>51601.54</v>
      </c>
      <c r="H10" s="94">
        <f t="shared" si="21"/>
        <v>6.4685647527151571E-2</v>
      </c>
      <c r="I10" s="94">
        <f t="shared" si="22"/>
        <v>2.1923182322991938E-2</v>
      </c>
      <c r="J10" s="95">
        <f>304+183+361+48.97</f>
        <v>896.97</v>
      </c>
      <c r="K10" s="96"/>
      <c r="L10" s="96"/>
      <c r="M10" s="95"/>
      <c r="N10" s="97">
        <f t="shared" ref="N10:P10" si="38">Z10+AC10+AF10+AI10+AL10+AO10+AR10+AU10+AX10+BA10+BD10+BG10</f>
        <v>304</v>
      </c>
      <c r="O10" s="97">
        <f t="shared" si="38"/>
        <v>0</v>
      </c>
      <c r="P10" s="97">
        <f t="shared" si="38"/>
        <v>0</v>
      </c>
      <c r="Q10" s="82">
        <f t="shared" ref="Q10:S10" si="39">IF(BJ10=0,SUM(Z10+AC10+AF10+AI10+AL10+AO10+AR10+AU10+AX10+BA10+BD10+BG10),BJ10)</f>
        <v>304</v>
      </c>
      <c r="R10" s="82">
        <f t="shared" si="39"/>
        <v>0</v>
      </c>
      <c r="S10" s="82">
        <f t="shared" si="39"/>
        <v>0</v>
      </c>
      <c r="T10" s="97">
        <f t="shared" si="20"/>
        <v>592.97</v>
      </c>
      <c r="U10" s="97">
        <f t="shared" si="25"/>
        <v>0</v>
      </c>
      <c r="V10" s="97">
        <f t="shared" si="26"/>
        <v>0</v>
      </c>
      <c r="W10" s="97">
        <f t="shared" ref="W10:X10" si="40">N10/J10</f>
        <v>0.33891880441932282</v>
      </c>
      <c r="X10" s="98" t="e">
        <f t="shared" si="40"/>
        <v>#DIV/0!</v>
      </c>
      <c r="Y10" s="98" t="e">
        <f t="shared" si="28"/>
        <v>#DIV/0!</v>
      </c>
      <c r="Z10" s="96"/>
      <c r="AA10" s="96"/>
      <c r="AB10" s="96"/>
      <c r="AC10" s="96"/>
      <c r="AD10" s="96"/>
      <c r="AE10" s="96"/>
      <c r="AF10" s="103">
        <v>304</v>
      </c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9"/>
      <c r="BN10" s="100"/>
      <c r="BO10" s="100"/>
      <c r="BP10" s="100"/>
      <c r="BQ10" s="100"/>
    </row>
    <row r="11" spans="1:69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392">
        <v>0</v>
      </c>
      <c r="G11" s="92"/>
      <c r="H11" s="94">
        <f t="shared" si="21"/>
        <v>0</v>
      </c>
      <c r="I11" s="94">
        <f t="shared" si="22"/>
        <v>0</v>
      </c>
      <c r="J11" s="95"/>
      <c r="K11" s="96"/>
      <c r="L11" s="96"/>
      <c r="M11" s="95"/>
      <c r="N11" s="97">
        <f t="shared" ref="N11:P11" si="41">Z11+AC11+AF11+AI11+AL11+AO11+AR11+AU11+AX11+BA11+BD11+BG11</f>
        <v>0</v>
      </c>
      <c r="O11" s="97">
        <f t="shared" si="41"/>
        <v>0</v>
      </c>
      <c r="P11" s="97">
        <f t="shared" si="41"/>
        <v>0</v>
      </c>
      <c r="Q11" s="82">
        <f t="shared" ref="Q11:S11" si="42">IF(BJ11=0,SUM(Z11+AC11+AF11+AI11+AL11+AO11+AR11+AU11+AX11+BA11+BD11+BG11),BJ11)</f>
        <v>0</v>
      </c>
      <c r="R11" s="82">
        <f t="shared" si="42"/>
        <v>0</v>
      </c>
      <c r="S11" s="82">
        <f t="shared" si="42"/>
        <v>0</v>
      </c>
      <c r="T11" s="97">
        <f t="shared" si="20"/>
        <v>0</v>
      </c>
      <c r="U11" s="97">
        <f t="shared" si="25"/>
        <v>0</v>
      </c>
      <c r="V11" s="97">
        <f t="shared" si="26"/>
        <v>0</v>
      </c>
      <c r="W11" s="97" t="e">
        <f t="shared" ref="W11:X11" si="43">N11/J11</f>
        <v>#DIV/0!</v>
      </c>
      <c r="X11" s="98" t="e">
        <f t="shared" si="43"/>
        <v>#DIV/0!</v>
      </c>
      <c r="Y11" s="98" t="e">
        <f t="shared" si="28"/>
        <v>#DIV/0!</v>
      </c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9"/>
      <c r="BN11" s="100"/>
      <c r="BO11" s="100"/>
      <c r="BP11" s="100"/>
      <c r="BQ11" s="100"/>
    </row>
    <row r="12" spans="1:69" ht="21">
      <c r="A12" s="105"/>
      <c r="B12" s="105"/>
      <c r="C12" s="105" t="s">
        <v>212</v>
      </c>
      <c r="D12" s="106"/>
      <c r="E12" s="87">
        <f t="shared" ref="E12:G12" si="44">SUM(E13:E67)</f>
        <v>1669164.1900000002</v>
      </c>
      <c r="F12" s="389">
        <f t="shared" si="44"/>
        <v>1433730.47</v>
      </c>
      <c r="G12" s="87">
        <f t="shared" si="44"/>
        <v>3340240</v>
      </c>
      <c r="H12" s="107">
        <f t="shared" si="21"/>
        <v>0.97026603476318296</v>
      </c>
      <c r="I12" s="107">
        <f t="shared" si="22"/>
        <v>0.16343752258428215</v>
      </c>
      <c r="J12" s="87">
        <f>SUM(J13:J67)</f>
        <v>1619533.3200000003</v>
      </c>
      <c r="K12" s="87">
        <f t="shared" ref="K12:M12" si="45">SUM(K15:K67)</f>
        <v>1611770.46</v>
      </c>
      <c r="L12" s="87">
        <f t="shared" si="45"/>
        <v>38898.909999999996</v>
      </c>
      <c r="M12" s="87">
        <f t="shared" si="45"/>
        <v>90240</v>
      </c>
      <c r="N12" s="87">
        <f t="shared" ref="N12:O12" si="46">SUM(N13:N67)</f>
        <v>272804.06000000006</v>
      </c>
      <c r="O12" s="87">
        <f t="shared" si="46"/>
        <v>1231623.5900000001</v>
      </c>
      <c r="P12" s="108">
        <f>SUM(P13:P64)</f>
        <v>0</v>
      </c>
      <c r="Q12" s="87">
        <f t="shared" ref="Q12:S12" si="47">IF(BJ12=0,SUM(Z12+AC12+AF12+AI12+AL12+AO12+AR12+AU12+AX12+BA12+BD12+BG12),BJ12)</f>
        <v>276990.66000000003</v>
      </c>
      <c r="R12" s="87">
        <f t="shared" si="47"/>
        <v>1318728.33</v>
      </c>
      <c r="S12" s="108">
        <f t="shared" si="47"/>
        <v>0</v>
      </c>
      <c r="T12" s="87">
        <f>SUM(T13:T67)</f>
        <v>1346729.26</v>
      </c>
      <c r="U12" s="87">
        <f t="shared" ref="U12:V12" si="48">SUM(U15:U67)</f>
        <v>341247.96</v>
      </c>
      <c r="V12" s="108">
        <f t="shared" si="48"/>
        <v>0</v>
      </c>
      <c r="W12" s="88">
        <f t="shared" ref="W12:X12" si="49">N12/J12</f>
        <v>0.16844609285346474</v>
      </c>
      <c r="X12" s="88">
        <f t="shared" si="49"/>
        <v>0.76414329494536093</v>
      </c>
      <c r="Y12" s="88">
        <f t="shared" si="28"/>
        <v>0</v>
      </c>
      <c r="Z12" s="87">
        <f t="shared" ref="Z12:AD12" si="50">SUM(Z15:Z67)</f>
        <v>0</v>
      </c>
      <c r="AA12" s="87">
        <f t="shared" si="50"/>
        <v>162060.35</v>
      </c>
      <c r="AB12" s="87">
        <f t="shared" si="50"/>
        <v>0</v>
      </c>
      <c r="AC12" s="87">
        <f t="shared" si="50"/>
        <v>0</v>
      </c>
      <c r="AD12" s="87">
        <f t="shared" si="50"/>
        <v>163302.63</v>
      </c>
      <c r="AE12" s="87">
        <f>SUM(AE15:AE64)</f>
        <v>0</v>
      </c>
      <c r="AF12" s="87">
        <f>SUM(AF15:AF67)</f>
        <v>1725.32</v>
      </c>
      <c r="AG12" s="87">
        <f>SUM(AG15:AG66)</f>
        <v>200009.41999999995</v>
      </c>
      <c r="AH12" s="87">
        <f>SUM(AH15:AH64)</f>
        <v>0</v>
      </c>
      <c r="AI12" s="87">
        <f t="shared" ref="AI12:AJ12" si="51">SUM(AI13:AI67)</f>
        <v>18883.349999999999</v>
      </c>
      <c r="AJ12" s="87">
        <f t="shared" si="51"/>
        <v>93013.4</v>
      </c>
      <c r="AK12" s="87">
        <f>SUM(AK15:AK64)</f>
        <v>0</v>
      </c>
      <c r="AL12" s="87">
        <f t="shared" ref="AL12:AM12" si="52">SUM(AL15:AL67)</f>
        <v>49634.33</v>
      </c>
      <c r="AM12" s="87">
        <f t="shared" si="52"/>
        <v>390060.45</v>
      </c>
      <c r="AN12" s="87">
        <f>SUM(AN15:AN64)</f>
        <v>0</v>
      </c>
      <c r="AO12" s="87">
        <f t="shared" ref="AO12:AP12" si="53">SUM(AO13:AO67)</f>
        <v>67241.679999999993</v>
      </c>
      <c r="AP12" s="87">
        <f t="shared" si="53"/>
        <v>236345.26</v>
      </c>
      <c r="AQ12" s="87">
        <f>SUM(AQ15:AQ64)</f>
        <v>0</v>
      </c>
      <c r="AR12" s="87">
        <f t="shared" ref="AR12:AS12" si="54">SUM(AR13:AR67)</f>
        <v>139505.98000000004</v>
      </c>
      <c r="AS12" s="87">
        <f t="shared" si="54"/>
        <v>73936.820000000007</v>
      </c>
      <c r="AT12" s="87">
        <f>SUM(AT15:AT64)</f>
        <v>0</v>
      </c>
      <c r="AU12" s="87">
        <f>SUM(AU15:AU67)</f>
        <v>0</v>
      </c>
      <c r="AV12" s="87">
        <f t="shared" ref="AV12:AW12" si="55">SUM(AV15:AV64)</f>
        <v>0</v>
      </c>
      <c r="AW12" s="87">
        <f t="shared" si="55"/>
        <v>0</v>
      </c>
      <c r="AX12" s="87">
        <f t="shared" ref="AX12:AY12" si="56">SUM(AX15:AX67)</f>
        <v>0</v>
      </c>
      <c r="AY12" s="87">
        <f t="shared" si="56"/>
        <v>0</v>
      </c>
      <c r="AZ12" s="87">
        <f t="shared" ref="AZ12:BL12" si="57">SUM(AZ15:AZ64)</f>
        <v>0</v>
      </c>
      <c r="BA12" s="87">
        <f t="shared" si="57"/>
        <v>0</v>
      </c>
      <c r="BB12" s="87">
        <f t="shared" si="57"/>
        <v>0</v>
      </c>
      <c r="BC12" s="87">
        <f t="shared" si="57"/>
        <v>0</v>
      </c>
      <c r="BD12" s="87">
        <f t="shared" si="57"/>
        <v>0</v>
      </c>
      <c r="BE12" s="87">
        <f t="shared" si="57"/>
        <v>0</v>
      </c>
      <c r="BF12" s="87">
        <f t="shared" si="57"/>
        <v>0</v>
      </c>
      <c r="BG12" s="87">
        <f t="shared" si="57"/>
        <v>0</v>
      </c>
      <c r="BH12" s="87">
        <f t="shared" si="57"/>
        <v>0</v>
      </c>
      <c r="BI12" s="87">
        <f t="shared" si="57"/>
        <v>0</v>
      </c>
      <c r="BJ12" s="87">
        <f t="shared" si="57"/>
        <v>0</v>
      </c>
      <c r="BK12" s="87">
        <f t="shared" si="57"/>
        <v>0</v>
      </c>
      <c r="BL12" s="87">
        <f t="shared" si="57"/>
        <v>0</v>
      </c>
      <c r="BM12" s="109"/>
      <c r="BN12" s="110"/>
      <c r="BO12" s="110"/>
      <c r="BP12" s="110"/>
      <c r="BQ12" s="110"/>
    </row>
    <row r="13" spans="1:69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393">
        <f t="shared" ref="F13:F14" si="58">E13</f>
        <v>1500</v>
      </c>
      <c r="G13" s="92"/>
      <c r="H13" s="94">
        <f t="shared" si="21"/>
        <v>1</v>
      </c>
      <c r="I13" s="94">
        <f t="shared" si="22"/>
        <v>0</v>
      </c>
      <c r="J13" s="96">
        <v>1500</v>
      </c>
      <c r="K13" s="96"/>
      <c r="L13" s="96"/>
      <c r="M13" s="95"/>
      <c r="N13" s="97">
        <f t="shared" ref="N13:P13" si="59">Z13+AC13+AF13+AI13+AL13+AO13+AR13+AU13+AX13+BA13+BD13+BG13</f>
        <v>0</v>
      </c>
      <c r="O13" s="97">
        <f t="shared" si="59"/>
        <v>0</v>
      </c>
      <c r="P13" s="97">
        <f t="shared" si="59"/>
        <v>0</v>
      </c>
      <c r="Q13" s="82">
        <f t="shared" ref="Q13:S13" si="60">IF(BJ13=0,SUM(Z13+AC13+AF13+AI13+AL13+AO13+AR13+AU13+AX13+BA13+BD13+BG13),BJ13)</f>
        <v>0</v>
      </c>
      <c r="R13" s="82">
        <f t="shared" si="60"/>
        <v>0</v>
      </c>
      <c r="S13" s="82">
        <f t="shared" si="60"/>
        <v>0</v>
      </c>
      <c r="T13" s="97">
        <f t="shared" ref="T13:T24" si="61">J13-N13</f>
        <v>1500</v>
      </c>
      <c r="U13" s="97">
        <f t="shared" ref="U13:U67" si="62">K13-L13-O13</f>
        <v>0</v>
      </c>
      <c r="V13" s="97">
        <f t="shared" ref="V13:V24" si="63">M13-P13</f>
        <v>0</v>
      </c>
      <c r="W13" s="112">
        <f t="shared" ref="W13:X13" si="64">N13/J13</f>
        <v>0</v>
      </c>
      <c r="X13" s="98" t="e">
        <f t="shared" si="64"/>
        <v>#DIV/0!</v>
      </c>
      <c r="Y13" s="98" t="e">
        <f t="shared" si="28"/>
        <v>#DIV/0!</v>
      </c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103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103">
        <v>0</v>
      </c>
      <c r="BH13" s="96"/>
      <c r="BI13" s="96"/>
      <c r="BJ13" s="96"/>
      <c r="BK13" s="96"/>
      <c r="BL13" s="96"/>
      <c r="BM13" s="99"/>
      <c r="BN13" s="100"/>
      <c r="BO13" s="100"/>
      <c r="BP13" s="100"/>
      <c r="BQ13" s="100"/>
    </row>
    <row r="14" spans="1:69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393">
        <f t="shared" si="58"/>
        <v>2000</v>
      </c>
      <c r="G14" s="92"/>
      <c r="H14" s="94">
        <f t="shared" si="21"/>
        <v>0.10367</v>
      </c>
      <c r="I14" s="94">
        <f t="shared" si="22"/>
        <v>0.10367</v>
      </c>
      <c r="J14" s="355">
        <v>207.34</v>
      </c>
      <c r="K14" s="96"/>
      <c r="L14" s="96"/>
      <c r="M14" s="95"/>
      <c r="N14" s="97">
        <f t="shared" ref="N14:P14" si="65">Z14+AC14+AF14+AI14+AL14+AO14+AR14+AU14+AX14+BA14+BD14+BG14</f>
        <v>207.34</v>
      </c>
      <c r="O14" s="97">
        <f t="shared" si="65"/>
        <v>0</v>
      </c>
      <c r="P14" s="97">
        <f t="shared" si="65"/>
        <v>0</v>
      </c>
      <c r="Q14" s="82">
        <f t="shared" ref="Q14:S14" si="66">IF(BJ14=0,SUM(Z14+AC14+AF14+AI14+AL14+AO14+AR14+AU14+AX14+BA14+BD14+BG14),BJ14)</f>
        <v>207.34</v>
      </c>
      <c r="R14" s="82">
        <f t="shared" si="66"/>
        <v>0</v>
      </c>
      <c r="S14" s="82">
        <f t="shared" si="66"/>
        <v>0</v>
      </c>
      <c r="T14" s="97">
        <f t="shared" si="61"/>
        <v>0</v>
      </c>
      <c r="U14" s="97">
        <f t="shared" si="62"/>
        <v>0</v>
      </c>
      <c r="V14" s="97">
        <f t="shared" si="63"/>
        <v>0</v>
      </c>
      <c r="W14" s="97">
        <f t="shared" ref="W14:X14" si="67">N14/J14</f>
        <v>1</v>
      </c>
      <c r="X14" s="98" t="e">
        <f t="shared" si="67"/>
        <v>#DIV/0!</v>
      </c>
      <c r="Y14" s="98" t="e">
        <f t="shared" si="28"/>
        <v>#DIV/0!</v>
      </c>
      <c r="Z14" s="96"/>
      <c r="AA14" s="96"/>
      <c r="AB14" s="96"/>
      <c r="AC14" s="96"/>
      <c r="AD14" s="96"/>
      <c r="AE14" s="96"/>
      <c r="AF14" s="103">
        <v>207.34</v>
      </c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103">
        <v>0</v>
      </c>
      <c r="BH14" s="96"/>
      <c r="BI14" s="96"/>
      <c r="BJ14" s="96"/>
      <c r="BK14" s="96"/>
      <c r="BL14" s="96"/>
      <c r="BM14" s="99"/>
      <c r="BN14" s="100"/>
      <c r="BO14" s="100"/>
      <c r="BP14" s="100"/>
      <c r="BQ14" s="100"/>
    </row>
    <row r="15" spans="1:69" ht="15.75" customHeight="1">
      <c r="A15" s="356" t="s">
        <v>531</v>
      </c>
      <c r="B15" s="114" t="s">
        <v>214</v>
      </c>
      <c r="C15" s="101" t="s">
        <v>215</v>
      </c>
      <c r="D15" s="115" t="s">
        <v>807</v>
      </c>
      <c r="E15" s="116">
        <v>280175</v>
      </c>
      <c r="F15" s="394">
        <v>90000</v>
      </c>
      <c r="G15" s="116"/>
      <c r="H15" s="94">
        <f t="shared" si="21"/>
        <v>1.03948599982154</v>
      </c>
      <c r="I15" s="94">
        <f t="shared" si="22"/>
        <v>1.784598911394664E-2</v>
      </c>
      <c r="J15" s="96">
        <f>5000+295574.67-30000-50000+70663.32</f>
        <v>291237.99</v>
      </c>
      <c r="K15" s="117">
        <v>194909.32</v>
      </c>
      <c r="L15" s="117"/>
      <c r="M15" s="118"/>
      <c r="N15" s="97">
        <f t="shared" ref="N15:P15" si="68">Z15+AC15+AF15+AI15+AL15+AO15+AR15+AU15+AX15+BA15+BD15+BG15</f>
        <v>5000</v>
      </c>
      <c r="O15" s="97">
        <f t="shared" si="68"/>
        <v>126098.47</v>
      </c>
      <c r="P15" s="97">
        <f t="shared" si="68"/>
        <v>0</v>
      </c>
      <c r="Q15" s="82">
        <f t="shared" ref="Q15:S15" si="69">IF(BJ15=0,SUM(Z15+AC15+AF15+AI15+AL15+AO15+AR15+AU15+AX15+BA15+BD15+BG15),BJ15)</f>
        <v>5000</v>
      </c>
      <c r="R15" s="82">
        <f t="shared" si="69"/>
        <v>126098.47</v>
      </c>
      <c r="S15" s="82">
        <f t="shared" si="69"/>
        <v>0</v>
      </c>
      <c r="T15" s="97">
        <f t="shared" si="61"/>
        <v>286237.99</v>
      </c>
      <c r="U15" s="372">
        <f t="shared" si="62"/>
        <v>68810.850000000006</v>
      </c>
      <c r="V15" s="97">
        <f t="shared" si="63"/>
        <v>0</v>
      </c>
      <c r="W15" s="98">
        <f t="shared" ref="W15:X15" si="70">N15/J15</f>
        <v>1.7168089918489001E-2</v>
      </c>
      <c r="X15" s="98">
        <f t="shared" si="70"/>
        <v>0.64695967334963767</v>
      </c>
      <c r="Y15" s="98" t="e">
        <f t="shared" si="28"/>
        <v>#DIV/0!</v>
      </c>
      <c r="Z15" s="96"/>
      <c r="AA15" s="103">
        <v>7679.93</v>
      </c>
      <c r="AB15" s="96"/>
      <c r="AC15" s="119"/>
      <c r="AD15" s="131">
        <v>6222.79</v>
      </c>
      <c r="AE15" s="96"/>
      <c r="AF15" s="96"/>
      <c r="AG15" s="103">
        <v>20020.3</v>
      </c>
      <c r="AH15" s="96"/>
      <c r="AI15" s="96"/>
      <c r="AJ15" s="103">
        <v>32599.73</v>
      </c>
      <c r="AK15" s="96"/>
      <c r="AL15" s="103">
        <v>5000</v>
      </c>
      <c r="AM15" s="96">
        <f>20859.25-5000</f>
        <v>15859.25</v>
      </c>
      <c r="AN15" s="96"/>
      <c r="AO15" s="96"/>
      <c r="AP15" s="260">
        <v>22238.34</v>
      </c>
      <c r="AQ15" s="96"/>
      <c r="AR15" s="96"/>
      <c r="AS15" s="96">
        <f>21478.13</f>
        <v>21478.13</v>
      </c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9"/>
      <c r="BN15" s="100"/>
      <c r="BO15" s="100"/>
      <c r="BP15" s="100"/>
      <c r="BQ15" s="100"/>
    </row>
    <row r="16" spans="1:69" ht="15.75" customHeight="1">
      <c r="A16" s="120"/>
      <c r="B16" s="121" t="s">
        <v>217</v>
      </c>
      <c r="C16" s="101" t="s">
        <v>218</v>
      </c>
      <c r="D16" s="122" t="s">
        <v>808</v>
      </c>
      <c r="E16" s="92">
        <v>2000</v>
      </c>
      <c r="F16" s="393">
        <f t="shared" ref="F16:F17" si="71">E16</f>
        <v>2000</v>
      </c>
      <c r="G16" s="116"/>
      <c r="H16" s="94">
        <f t="shared" si="21"/>
        <v>0</v>
      </c>
      <c r="I16" s="94">
        <f t="shared" si="22"/>
        <v>0</v>
      </c>
      <c r="J16" s="96"/>
      <c r="K16" s="117">
        <f>2600+2712.58</f>
        <v>5312.58</v>
      </c>
      <c r="L16" s="117"/>
      <c r="M16" s="118"/>
      <c r="N16" s="97">
        <f t="shared" ref="N16:P16" si="72">Z16+AC16+AF16+AI16+AL16+AO16+AR16+AU16+AX16+BA16+BD16+BG16</f>
        <v>0</v>
      </c>
      <c r="O16" s="97">
        <f t="shared" si="72"/>
        <v>130.65</v>
      </c>
      <c r="P16" s="97">
        <f t="shared" si="72"/>
        <v>0</v>
      </c>
      <c r="Q16" s="82">
        <f t="shared" ref="Q16:S16" si="73">IF(BJ16=0,SUM(Z16+AC16+AF16+AI16+AL16+AO16+AR16+AU16+AX16+BA16+BD16+BG16),BJ16)</f>
        <v>0</v>
      </c>
      <c r="R16" s="82">
        <f t="shared" si="73"/>
        <v>130.65</v>
      </c>
      <c r="S16" s="82">
        <f t="shared" si="73"/>
        <v>0</v>
      </c>
      <c r="T16" s="97">
        <f t="shared" si="61"/>
        <v>0</v>
      </c>
      <c r="U16" s="97">
        <f t="shared" si="62"/>
        <v>5181.93</v>
      </c>
      <c r="V16" s="97">
        <f t="shared" si="63"/>
        <v>0</v>
      </c>
      <c r="W16" s="98" t="e">
        <f t="shared" ref="W16:X16" si="74">N16/J16</f>
        <v>#DIV/0!</v>
      </c>
      <c r="X16" s="98">
        <f t="shared" si="74"/>
        <v>2.4592570841286156E-2</v>
      </c>
      <c r="Y16" s="98" t="e">
        <f t="shared" si="28"/>
        <v>#DIV/0!</v>
      </c>
      <c r="Z16" s="96"/>
      <c r="AA16" s="96"/>
      <c r="AB16" s="96"/>
      <c r="AC16" s="119"/>
      <c r="AD16" s="119"/>
      <c r="AE16" s="96"/>
      <c r="AF16" s="96"/>
      <c r="AG16" s="96"/>
      <c r="AH16" s="96"/>
      <c r="AI16" s="96"/>
      <c r="AJ16" s="103">
        <v>49.62</v>
      </c>
      <c r="AK16" s="96"/>
      <c r="AL16" s="96"/>
      <c r="AM16" s="96"/>
      <c r="AN16" s="96"/>
      <c r="AO16" s="96"/>
      <c r="AP16" s="260">
        <v>64.680000000000007</v>
      </c>
      <c r="AQ16" s="96"/>
      <c r="AR16" s="96"/>
      <c r="AS16" s="96">
        <f>16.35</f>
        <v>16.350000000000001</v>
      </c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9"/>
      <c r="BN16" s="100"/>
      <c r="BO16" s="100"/>
      <c r="BP16" s="100"/>
      <c r="BQ16" s="100"/>
    </row>
    <row r="17" spans="1:69" ht="15.75" customHeight="1">
      <c r="A17" s="120"/>
      <c r="B17" s="114" t="s">
        <v>220</v>
      </c>
      <c r="C17" s="101" t="s">
        <v>221</v>
      </c>
      <c r="D17" s="122" t="s">
        <v>809</v>
      </c>
      <c r="E17" s="123">
        <v>0</v>
      </c>
      <c r="F17" s="393">
        <f t="shared" si="71"/>
        <v>0</v>
      </c>
      <c r="G17" s="124">
        <v>0</v>
      </c>
      <c r="H17" s="94" t="e">
        <f t="shared" si="21"/>
        <v>#DIV/0!</v>
      </c>
      <c r="I17" s="94" t="e">
        <f t="shared" si="22"/>
        <v>#DIV/0!</v>
      </c>
      <c r="J17" s="103">
        <v>0</v>
      </c>
      <c r="K17" s="117">
        <f>12487.09</f>
        <v>12487.09</v>
      </c>
      <c r="L17" s="117"/>
      <c r="M17" s="118"/>
      <c r="N17" s="97">
        <f t="shared" ref="N17:P17" si="75">Z17+AC17+AF17+AI17+AL17+AO17+AR17+AU17+AX17+BA17+BD17+BG17</f>
        <v>0</v>
      </c>
      <c r="O17" s="97">
        <f t="shared" si="75"/>
        <v>12487.09</v>
      </c>
      <c r="P17" s="97">
        <f t="shared" si="75"/>
        <v>0</v>
      </c>
      <c r="Q17" s="82">
        <f t="shared" ref="Q17:S17" si="76">IF(BJ17=0,SUM(Z17+AC17+AF17+AI17+AL17+AO17+AR17+AU17+AX17+BA17+BD17+BG17),BJ17)</f>
        <v>0</v>
      </c>
      <c r="R17" s="82">
        <f t="shared" si="76"/>
        <v>12487.09</v>
      </c>
      <c r="S17" s="82">
        <f t="shared" si="76"/>
        <v>0</v>
      </c>
      <c r="T17" s="97">
        <f t="shared" si="61"/>
        <v>0</v>
      </c>
      <c r="U17" s="97">
        <f t="shared" si="62"/>
        <v>0</v>
      </c>
      <c r="V17" s="97">
        <f t="shared" si="63"/>
        <v>0</v>
      </c>
      <c r="W17" s="98" t="e">
        <f t="shared" ref="W17:X17" si="77">N17/J17</f>
        <v>#DIV/0!</v>
      </c>
      <c r="X17" s="98">
        <f t="shared" si="77"/>
        <v>1</v>
      </c>
      <c r="Y17" s="98" t="e">
        <f t="shared" si="28"/>
        <v>#DIV/0!</v>
      </c>
      <c r="Z17" s="96"/>
      <c r="AA17" s="103">
        <v>12487.09</v>
      </c>
      <c r="AB17" s="96"/>
      <c r="AC17" s="119"/>
      <c r="AD17" s="119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129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9"/>
      <c r="BN17" s="100"/>
      <c r="BO17" s="100"/>
      <c r="BP17" s="100"/>
      <c r="BQ17" s="100"/>
    </row>
    <row r="18" spans="1:69" ht="15.75" customHeight="1">
      <c r="A18" s="359" t="s">
        <v>626</v>
      </c>
      <c r="B18" s="114" t="s">
        <v>223</v>
      </c>
      <c r="C18" s="101" t="s">
        <v>221</v>
      </c>
      <c r="D18" s="122" t="s">
        <v>810</v>
      </c>
      <c r="E18" s="92">
        <v>309000</v>
      </c>
      <c r="F18" s="394">
        <v>160000</v>
      </c>
      <c r="G18" s="116"/>
      <c r="H18" s="94">
        <f t="shared" si="21"/>
        <v>0.69126174757281555</v>
      </c>
      <c r="I18" s="94">
        <f t="shared" si="22"/>
        <v>4.224375404530744E-2</v>
      </c>
      <c r="J18" s="103">
        <f>160199.91+53399.97</f>
        <v>213599.88</v>
      </c>
      <c r="K18" s="117">
        <v>93746.62</v>
      </c>
      <c r="L18" s="117"/>
      <c r="M18" s="118"/>
      <c r="N18" s="97">
        <f t="shared" ref="N18:P18" si="78">Z18+AC18+AF18+AI18+AL18+AO18+AR18+AU18+AX18+BA18+BD18+BG18</f>
        <v>13053.32</v>
      </c>
      <c r="O18" s="97">
        <f t="shared" si="78"/>
        <v>93746.62000000001</v>
      </c>
      <c r="P18" s="97">
        <f t="shared" si="78"/>
        <v>0</v>
      </c>
      <c r="Q18" s="82">
        <f t="shared" ref="Q18:S18" si="79">IF(BJ18=0,SUM(Z18+AC18+AF18+AI18+AL18+AO18+AR18+AU18+AX18+BA18+BD18+BG18),BJ18)</f>
        <v>13053.32</v>
      </c>
      <c r="R18" s="82">
        <f t="shared" si="79"/>
        <v>93746.62000000001</v>
      </c>
      <c r="S18" s="82">
        <f t="shared" si="79"/>
        <v>0</v>
      </c>
      <c r="T18" s="97">
        <f t="shared" si="61"/>
        <v>200546.56</v>
      </c>
      <c r="U18" s="97">
        <f t="shared" si="62"/>
        <v>0</v>
      </c>
      <c r="V18" s="97">
        <f t="shared" si="63"/>
        <v>0</v>
      </c>
      <c r="W18" s="98">
        <f t="shared" ref="W18:X18" si="80">N18/J18</f>
        <v>6.1111083021207685E-2</v>
      </c>
      <c r="X18" s="98">
        <f t="shared" si="80"/>
        <v>1.0000000000000002</v>
      </c>
      <c r="Y18" s="98" t="e">
        <f t="shared" si="28"/>
        <v>#DIV/0!</v>
      </c>
      <c r="Z18" s="96"/>
      <c r="AA18" s="103">
        <v>17799.990000000002</v>
      </c>
      <c r="AB18" s="96"/>
      <c r="AC18" s="119"/>
      <c r="AD18" s="119">
        <f>17799.99</f>
        <v>17799.990000000002</v>
      </c>
      <c r="AE18" s="96"/>
      <c r="AF18" s="96"/>
      <c r="AG18" s="103">
        <v>17799.990000000002</v>
      </c>
      <c r="AH18" s="96"/>
      <c r="AI18" s="96"/>
      <c r="AJ18" s="103">
        <v>17799.990000000002</v>
      </c>
      <c r="AK18" s="96"/>
      <c r="AL18" s="96"/>
      <c r="AM18" s="96"/>
      <c r="AN18" s="96"/>
      <c r="AO18" s="96"/>
      <c r="AP18" s="260">
        <v>17799.990000000002</v>
      </c>
      <c r="AQ18" s="96"/>
      <c r="AR18" s="103">
        <v>13053.32</v>
      </c>
      <c r="AS18" s="103">
        <f>17799.99-13053.32</f>
        <v>4746.6700000000019</v>
      </c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9"/>
      <c r="BN18" s="100"/>
      <c r="BO18" s="100"/>
      <c r="BP18" s="100"/>
      <c r="BQ18" s="100"/>
    </row>
    <row r="19" spans="1:69" ht="15.75" customHeight="1">
      <c r="A19" s="359" t="s">
        <v>628</v>
      </c>
      <c r="B19" s="114" t="s">
        <v>225</v>
      </c>
      <c r="C19" s="101" t="s">
        <v>226</v>
      </c>
      <c r="D19" s="210" t="s">
        <v>811</v>
      </c>
      <c r="E19" s="92">
        <v>610000</v>
      </c>
      <c r="F19" s="393">
        <f t="shared" ref="F19:F20" si="81">E19</f>
        <v>610000</v>
      </c>
      <c r="G19" s="116"/>
      <c r="H19" s="94">
        <f t="shared" si="21"/>
        <v>1.2890851475409835</v>
      </c>
      <c r="I19" s="94">
        <f t="shared" si="22"/>
        <v>0.20553290163934426</v>
      </c>
      <c r="J19" s="103">
        <f>36673.86+499778.72+124944.68+124944.68</f>
        <v>786341.94</v>
      </c>
      <c r="K19" s="117">
        <v>180180.54</v>
      </c>
      <c r="L19" s="117"/>
      <c r="M19" s="118"/>
      <c r="N19" s="97">
        <f t="shared" ref="N19:N21" si="82">Z19+AC19+AF19+AI19+AL19+AO19+AR19+AU19+AX19+BA19+BD19+BG19</f>
        <v>125375.07</v>
      </c>
      <c r="O19" s="97">
        <f>AA19+AD19+AG19+AJ19+AP19+AS19+AV19+AY19+BB19+BE19+BH19</f>
        <v>106932.03</v>
      </c>
      <c r="P19" s="97">
        <f>AB19+AE19+AH19+AK19+AN19+AQ19+AT19+AW19+AZ19+BC19+BF19+BI19</f>
        <v>0</v>
      </c>
      <c r="Q19" s="82">
        <f t="shared" ref="Q19:S19" si="83">IF(BJ19=0,SUM(Z19+AC19+AF19+AI19+AL19+AO19+AR19+AU19+AX19+BA19+BD19+BG19),BJ19)</f>
        <v>125375.07</v>
      </c>
      <c r="R19" s="82">
        <f t="shared" si="83"/>
        <v>180180.53999999998</v>
      </c>
      <c r="S19" s="82">
        <f t="shared" si="83"/>
        <v>0</v>
      </c>
      <c r="T19" s="97">
        <f t="shared" si="61"/>
        <v>660966.86999999988</v>
      </c>
      <c r="U19" s="97">
        <f t="shared" si="62"/>
        <v>73248.510000000009</v>
      </c>
      <c r="V19" s="97">
        <f t="shared" si="63"/>
        <v>0</v>
      </c>
      <c r="W19" s="98">
        <f t="shared" ref="W19:X19" si="84">N19/J19</f>
        <v>0.15944090429667279</v>
      </c>
      <c r="X19" s="98">
        <f t="shared" si="84"/>
        <v>0.59347158133725209</v>
      </c>
      <c r="Y19" s="98" t="e">
        <f t="shared" si="28"/>
        <v>#DIV/0!</v>
      </c>
      <c r="Z19" s="96"/>
      <c r="AA19" s="103">
        <v>20020.060000000001</v>
      </c>
      <c r="AB19" s="125"/>
      <c r="AC19" s="119"/>
      <c r="AD19" s="131">
        <v>39105.86</v>
      </c>
      <c r="AE19" s="96"/>
      <c r="AF19" s="96"/>
      <c r="AG19" s="103">
        <f>3837.16+43968.95</f>
        <v>47806.11</v>
      </c>
      <c r="AH19" s="96"/>
      <c r="AI19" s="96"/>
      <c r="AJ19" s="96"/>
      <c r="AK19" s="96"/>
      <c r="AL19" s="103">
        <v>14689.39</v>
      </c>
      <c r="AM19" s="126">
        <f>43968.95+29279.56</f>
        <v>73248.509999999995</v>
      </c>
      <c r="AN19" s="96"/>
      <c r="AO19" s="96">
        <f>19029.55</f>
        <v>19029.55</v>
      </c>
      <c r="AP19" s="129"/>
      <c r="AQ19" s="96"/>
      <c r="AR19" s="96">
        <f>29183.79+62472.34</f>
        <v>91656.13</v>
      </c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9"/>
      <c r="BN19" s="100"/>
      <c r="BO19" s="100"/>
      <c r="BP19" s="100"/>
      <c r="BQ19" s="100"/>
    </row>
    <row r="20" spans="1:69" ht="15.75">
      <c r="A20" s="359" t="s">
        <v>680</v>
      </c>
      <c r="B20" s="114" t="s">
        <v>228</v>
      </c>
      <c r="C20" s="101" t="s">
        <v>229</v>
      </c>
      <c r="D20" s="91" t="s">
        <v>812</v>
      </c>
      <c r="E20" s="92">
        <v>43000</v>
      </c>
      <c r="F20" s="393">
        <f t="shared" si="81"/>
        <v>43000</v>
      </c>
      <c r="G20" s="92"/>
      <c r="H20" s="94">
        <f t="shared" si="21"/>
        <v>0.70610046511627911</v>
      </c>
      <c r="I20" s="94">
        <f t="shared" si="22"/>
        <v>0.11630093023255815</v>
      </c>
      <c r="J20" s="103">
        <v>30362.32</v>
      </c>
      <c r="K20" s="117">
        <v>20565.900000000001</v>
      </c>
      <c r="L20" s="117"/>
      <c r="M20" s="118"/>
      <c r="N20" s="97">
        <f t="shared" si="82"/>
        <v>5000.9400000000005</v>
      </c>
      <c r="O20" s="97">
        <f t="shared" ref="O20:P20" si="85">AA20+AD20+AG20+AJ20+AM20+AP20+AS20+AV20+AY20+BB20+BE20+BH20</f>
        <v>20565.900000000001</v>
      </c>
      <c r="P20" s="97">
        <f t="shared" si="85"/>
        <v>0</v>
      </c>
      <c r="Q20" s="82">
        <f t="shared" ref="Q20:S20" si="86">IF(BJ20=0,SUM(Z20+AC20+AF20+AI20+AL20+AO20+AR20+AU20+AX20+BA20+BD20+BG20),BJ20)</f>
        <v>5000.9400000000005</v>
      </c>
      <c r="R20" s="82">
        <f t="shared" si="86"/>
        <v>20565.900000000001</v>
      </c>
      <c r="S20" s="82">
        <f t="shared" si="86"/>
        <v>0</v>
      </c>
      <c r="T20" s="97">
        <f t="shared" si="61"/>
        <v>25361.379999999997</v>
      </c>
      <c r="U20" s="97">
        <f t="shared" si="62"/>
        <v>0</v>
      </c>
      <c r="V20" s="97">
        <f t="shared" si="63"/>
        <v>0</v>
      </c>
      <c r="W20" s="98">
        <f t="shared" ref="W20:X20" si="87">N20/J20</f>
        <v>0.16470875743355581</v>
      </c>
      <c r="X20" s="98">
        <f t="shared" si="87"/>
        <v>1</v>
      </c>
      <c r="Y20" s="98" t="e">
        <f t="shared" si="28"/>
        <v>#DIV/0!</v>
      </c>
      <c r="Z20" s="96"/>
      <c r="AA20" s="103">
        <v>3427.65</v>
      </c>
      <c r="AB20" s="96"/>
      <c r="AC20" s="119"/>
      <c r="AD20" s="131">
        <f>2856.37+306.37</f>
        <v>3162.74</v>
      </c>
      <c r="AE20" s="96"/>
      <c r="AF20" s="96"/>
      <c r="AG20" s="126">
        <f>3795.29</f>
        <v>3795.29</v>
      </c>
      <c r="AH20" s="96"/>
      <c r="AI20" s="96"/>
      <c r="AJ20" s="103">
        <v>3795.29</v>
      </c>
      <c r="AK20" s="96"/>
      <c r="AL20" s="96"/>
      <c r="AM20" s="103">
        <v>3795.29</v>
      </c>
      <c r="AN20" s="96"/>
      <c r="AO20" s="103">
        <v>1205.6500000000001</v>
      </c>
      <c r="AP20" s="260">
        <v>2589.64</v>
      </c>
      <c r="AQ20" s="96"/>
      <c r="AR20" s="96">
        <f>3795.29</f>
        <v>3795.29</v>
      </c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9"/>
      <c r="BN20" s="100"/>
      <c r="BO20" s="100"/>
      <c r="BP20" s="100"/>
      <c r="BQ20" s="100"/>
    </row>
    <row r="21" spans="1:69" ht="15.75" customHeight="1">
      <c r="A21" s="120"/>
      <c r="B21" s="114" t="s">
        <v>231</v>
      </c>
      <c r="C21" s="101" t="s">
        <v>232</v>
      </c>
      <c r="D21" s="91" t="s">
        <v>813</v>
      </c>
      <c r="E21" s="92">
        <v>2000</v>
      </c>
      <c r="F21" s="392">
        <v>4000</v>
      </c>
      <c r="G21" s="92"/>
      <c r="H21" s="94">
        <f t="shared" si="21"/>
        <v>0</v>
      </c>
      <c r="I21" s="94">
        <f t="shared" si="22"/>
        <v>0</v>
      </c>
      <c r="J21" s="96"/>
      <c r="K21" s="117">
        <v>1838.67</v>
      </c>
      <c r="L21" s="117"/>
      <c r="M21" s="118"/>
      <c r="N21" s="97">
        <f t="shared" si="82"/>
        <v>0</v>
      </c>
      <c r="O21" s="97">
        <f t="shared" ref="O21:P21" si="88">AA21+AD21+AG21+AJ21+AM21+AP21+AS21+AV21+AY21+BB21+BE21+BH21</f>
        <v>1163.06</v>
      </c>
      <c r="P21" s="97">
        <f t="shared" si="88"/>
        <v>0</v>
      </c>
      <c r="Q21" s="82">
        <f t="shared" ref="Q21:S21" si="89">IF(BJ21=0,SUM(Z21+AC21+AF21+AI21+AL21+AO21+AR21+AU21+AX21+BA21+BD21+BG21),BJ21)</f>
        <v>0</v>
      </c>
      <c r="R21" s="82">
        <f t="shared" si="89"/>
        <v>1163.06</v>
      </c>
      <c r="S21" s="82">
        <f t="shared" si="89"/>
        <v>0</v>
      </c>
      <c r="T21" s="97">
        <f t="shared" si="61"/>
        <v>0</v>
      </c>
      <c r="U21" s="97">
        <f t="shared" si="62"/>
        <v>675.61000000000013</v>
      </c>
      <c r="V21" s="97">
        <f t="shared" si="63"/>
        <v>0</v>
      </c>
      <c r="W21" s="98" t="e">
        <f t="shared" ref="W21:X21" si="90">N21/J21</f>
        <v>#DIV/0!</v>
      </c>
      <c r="X21" s="98">
        <f t="shared" si="90"/>
        <v>0.6325550533809764</v>
      </c>
      <c r="Y21" s="98" t="e">
        <f t="shared" si="28"/>
        <v>#DIV/0!</v>
      </c>
      <c r="Z21" s="96"/>
      <c r="AA21" s="96"/>
      <c r="AB21" s="96"/>
      <c r="AC21" s="119"/>
      <c r="AD21" s="119"/>
      <c r="AE21" s="96"/>
      <c r="AF21" s="96"/>
      <c r="AG21" s="96"/>
      <c r="AH21" s="96"/>
      <c r="AI21" s="96"/>
      <c r="AJ21" s="103">
        <v>1163.06</v>
      </c>
      <c r="AK21" s="96"/>
      <c r="AL21" s="96"/>
      <c r="AM21" s="96"/>
      <c r="AN21" s="96"/>
      <c r="AO21" s="96"/>
      <c r="AP21" s="129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9"/>
      <c r="BN21" s="100"/>
      <c r="BO21" s="100"/>
      <c r="BP21" s="100"/>
      <c r="BQ21" s="100"/>
    </row>
    <row r="22" spans="1:69" ht="15.75" customHeight="1">
      <c r="A22" s="120" t="s">
        <v>483</v>
      </c>
      <c r="B22" s="114" t="s">
        <v>234</v>
      </c>
      <c r="C22" s="101" t="s">
        <v>229</v>
      </c>
      <c r="D22" s="210" t="s">
        <v>814</v>
      </c>
      <c r="E22" s="92">
        <v>45000</v>
      </c>
      <c r="F22" s="392">
        <v>50000</v>
      </c>
      <c r="G22" s="116"/>
      <c r="H22" s="94">
        <f t="shared" si="21"/>
        <v>1.0740742222222224</v>
      </c>
      <c r="I22" s="94">
        <f t="shared" si="22"/>
        <v>0.31896733333333332</v>
      </c>
      <c r="J22" s="103">
        <f>4393.94+43939.4</f>
        <v>48333.340000000004</v>
      </c>
      <c r="K22" s="117">
        <v>16833.330000000002</v>
      </c>
      <c r="L22" s="135">
        <v>2977.1</v>
      </c>
      <c r="M22" s="118"/>
      <c r="N22" s="97">
        <f>Z22+AC22+AF22+AI22+AM22+AO22+AR22+AU22+AX22+BA22+BD22+BG22</f>
        <v>14353.529999999999</v>
      </c>
      <c r="O22" s="97"/>
      <c r="P22" s="97">
        <f>AB22+AE22+AH22+AK22+AN22+AQ22+AT22+AW22+AZ22+BC22+BF22+BI22</f>
        <v>0</v>
      </c>
      <c r="Q22" s="82">
        <f>IF(BJ22=0,SUM(Z22+AC22+AF22+AI22+AM22+AO22+AR22+AU22+AX22+BA22+BD22+BG22),BJ22)</f>
        <v>14353.529999999999</v>
      </c>
      <c r="R22" s="82">
        <f t="shared" ref="R22:S22" si="91">IF(BK22=0,SUM(AA22+AD22+AG22+AJ22+AM22+AP22+AS22+AV22+AY22+BB22+BE22+BH22),BK22)</f>
        <v>13856.23</v>
      </c>
      <c r="S22" s="82">
        <f t="shared" si="91"/>
        <v>0</v>
      </c>
      <c r="T22" s="97">
        <f t="shared" si="61"/>
        <v>33979.810000000005</v>
      </c>
      <c r="U22" s="97">
        <f t="shared" si="62"/>
        <v>13856.230000000001</v>
      </c>
      <c r="V22" s="97">
        <f t="shared" si="63"/>
        <v>0</v>
      </c>
      <c r="W22" s="98">
        <f t="shared" ref="W22:X22" si="92">N22/J22</f>
        <v>0.29696954524557989</v>
      </c>
      <c r="X22" s="98">
        <f t="shared" si="92"/>
        <v>0</v>
      </c>
      <c r="Y22" s="98" t="e">
        <f t="shared" si="28"/>
        <v>#DIV/0!</v>
      </c>
      <c r="Z22" s="96"/>
      <c r="AA22" s="103">
        <f>3725.61+3078.02</f>
        <v>6803.63</v>
      </c>
      <c r="AB22" s="96"/>
      <c r="AC22" s="119"/>
      <c r="AD22" s="131">
        <v>4068.81</v>
      </c>
      <c r="AE22" s="96"/>
      <c r="AF22" s="103">
        <v>1171.71</v>
      </c>
      <c r="AG22" s="103">
        <f>2983.79</f>
        <v>2983.79</v>
      </c>
      <c r="AH22" s="96"/>
      <c r="AI22" s="103">
        <v>4393.9399999999996</v>
      </c>
      <c r="AJ22" s="96"/>
      <c r="AK22" s="96"/>
      <c r="AL22" s="1">
        <v>4393.9399999999996</v>
      </c>
      <c r="AM22" s="103"/>
      <c r="AN22" s="96"/>
      <c r="AO22" s="103">
        <v>4393.9399999999996</v>
      </c>
      <c r="AP22" s="129"/>
      <c r="AQ22" s="96"/>
      <c r="AR22" s="103">
        <v>4393.9399999999996</v>
      </c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9"/>
      <c r="BN22" s="100"/>
      <c r="BO22" s="100"/>
      <c r="BP22" s="100"/>
      <c r="BQ22" s="100"/>
    </row>
    <row r="23" spans="1:69" ht="15.75" customHeight="1">
      <c r="A23" s="359" t="s">
        <v>684</v>
      </c>
      <c r="B23" s="114" t="s">
        <v>236</v>
      </c>
      <c r="C23" s="101" t="s">
        <v>229</v>
      </c>
      <c r="D23" s="122" t="s">
        <v>815</v>
      </c>
      <c r="E23" s="92">
        <v>43000</v>
      </c>
      <c r="F23" s="394">
        <v>30000</v>
      </c>
      <c r="G23" s="116"/>
      <c r="H23" s="94">
        <f t="shared" si="21"/>
        <v>0.6188762790697675</v>
      </c>
      <c r="I23" s="94">
        <f t="shared" si="22"/>
        <v>0.11147093023255814</v>
      </c>
      <c r="J23" s="103">
        <v>26611.68</v>
      </c>
      <c r="K23" s="117">
        <v>18798.599999999999</v>
      </c>
      <c r="L23" s="117"/>
      <c r="M23" s="118"/>
      <c r="N23" s="97">
        <f t="shared" ref="N23:P23" si="93">Z23+AC23+AF23+AI23+AL23+AO23+AR23+AU23+AX23+BA23+BD23+BG23</f>
        <v>4793.25</v>
      </c>
      <c r="O23" s="97">
        <f t="shared" si="93"/>
        <v>18798.599999999999</v>
      </c>
      <c r="P23" s="97">
        <f t="shared" si="93"/>
        <v>0</v>
      </c>
      <c r="Q23" s="82">
        <f t="shared" ref="Q23:S23" si="94">IF(BJ23=0,SUM(Z23+AC23+AF23+AI23+AL23+AO23+AR23+AU23+AX23+BA23+BD23+BG23),BJ23)</f>
        <v>4793.25</v>
      </c>
      <c r="R23" s="82">
        <f t="shared" si="94"/>
        <v>18798.599999999999</v>
      </c>
      <c r="S23" s="82">
        <f t="shared" si="94"/>
        <v>0</v>
      </c>
      <c r="T23" s="97">
        <f t="shared" si="61"/>
        <v>21818.43</v>
      </c>
      <c r="U23" s="97">
        <f t="shared" si="62"/>
        <v>0</v>
      </c>
      <c r="V23" s="97">
        <f t="shared" si="63"/>
        <v>0</v>
      </c>
      <c r="W23" s="98">
        <f t="shared" ref="W23:X23" si="95">N23/J23</f>
        <v>0.1801182788910734</v>
      </c>
      <c r="X23" s="98">
        <f t="shared" si="95"/>
        <v>1</v>
      </c>
      <c r="Y23" s="98" t="e">
        <f t="shared" si="28"/>
        <v>#DIV/0!</v>
      </c>
      <c r="Z23" s="96"/>
      <c r="AA23" s="103">
        <v>3133.1</v>
      </c>
      <c r="AB23" s="96"/>
      <c r="AC23" s="119"/>
      <c r="AD23" s="119">
        <f>3133.1</f>
        <v>3133.1</v>
      </c>
      <c r="AE23" s="96"/>
      <c r="AF23" s="96"/>
      <c r="AG23" s="357">
        <f>3133.1+886.71</f>
        <v>4019.81</v>
      </c>
      <c r="AH23" s="129"/>
      <c r="AI23" s="129"/>
      <c r="AJ23" s="260">
        <f>3297.25+29.21</f>
        <v>3326.46</v>
      </c>
      <c r="AK23" s="129"/>
      <c r="AL23" s="96"/>
      <c r="AM23" s="260">
        <v>3326.46</v>
      </c>
      <c r="AN23" s="129"/>
      <c r="AO23" s="103">
        <v>1466.79</v>
      </c>
      <c r="AP23" s="260">
        <v>1859.67</v>
      </c>
      <c r="AQ23" s="96"/>
      <c r="AR23" s="96">
        <f>3326.46</f>
        <v>3326.46</v>
      </c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9"/>
      <c r="BN23" s="100"/>
      <c r="BO23" s="100"/>
      <c r="BP23" s="100"/>
      <c r="BQ23" s="100"/>
    </row>
    <row r="24" spans="1:69" ht="15.75" customHeight="1">
      <c r="A24" s="359" t="s">
        <v>686</v>
      </c>
      <c r="B24" s="114"/>
      <c r="C24" s="101" t="s">
        <v>229</v>
      </c>
      <c r="D24" s="210" t="s">
        <v>816</v>
      </c>
      <c r="E24" s="92">
        <v>44707.32</v>
      </c>
      <c r="F24" s="393"/>
      <c r="G24" s="93">
        <v>50000</v>
      </c>
      <c r="H24" s="94">
        <f t="shared" si="21"/>
        <v>0.61751856295568608</v>
      </c>
      <c r="I24" s="94"/>
      <c r="J24" s="103">
        <f>3450.95+24156.65</f>
        <v>27607.600000000002</v>
      </c>
      <c r="K24" s="117"/>
      <c r="L24" s="117"/>
      <c r="M24" s="118"/>
      <c r="N24" s="97">
        <f t="shared" ref="N24:P24" si="96">Z24+AC24+AF24+AI24+AL24+AO24+AR24+AU24+AX24+BA24+BD24+BG24</f>
        <v>0</v>
      </c>
      <c r="O24" s="97">
        <f t="shared" si="96"/>
        <v>0</v>
      </c>
      <c r="P24" s="97">
        <f t="shared" si="96"/>
        <v>0</v>
      </c>
      <c r="Q24" s="82">
        <f t="shared" ref="Q24:S24" si="97">IF(BJ24=0,SUM(Z24+AC24+AF24+AI24+AL24+AO24+AR24+AU24+AX24+BA24+BD24+BG24),BJ24)</f>
        <v>0</v>
      </c>
      <c r="R24" s="82">
        <f t="shared" si="97"/>
        <v>0</v>
      </c>
      <c r="S24" s="82">
        <f t="shared" si="97"/>
        <v>0</v>
      </c>
      <c r="T24" s="97">
        <f t="shared" si="61"/>
        <v>27607.600000000002</v>
      </c>
      <c r="U24" s="97">
        <f t="shared" si="62"/>
        <v>0</v>
      </c>
      <c r="V24" s="97">
        <f t="shared" si="63"/>
        <v>0</v>
      </c>
      <c r="W24" s="98">
        <f t="shared" ref="W24:X24" si="98">N24/J24</f>
        <v>0</v>
      </c>
      <c r="X24" s="98" t="e">
        <f t="shared" si="98"/>
        <v>#DIV/0!</v>
      </c>
      <c r="Y24" s="98" t="e">
        <f t="shared" si="28"/>
        <v>#DIV/0!</v>
      </c>
      <c r="Z24" s="96"/>
      <c r="AA24" s="96"/>
      <c r="AB24" s="96"/>
      <c r="AC24" s="119"/>
      <c r="AD24" s="119"/>
      <c r="AE24" s="96"/>
      <c r="AF24" s="96"/>
      <c r="AG24" s="350"/>
      <c r="AH24" s="129"/>
      <c r="AI24" s="129"/>
      <c r="AJ24" s="129"/>
      <c r="AK24" s="129"/>
      <c r="AL24" s="96"/>
      <c r="AM24" s="129"/>
      <c r="AN24" s="129"/>
      <c r="AO24" s="96"/>
      <c r="AP24" s="129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9"/>
      <c r="BN24" s="100"/>
      <c r="BO24" s="100"/>
      <c r="BP24" s="100"/>
      <c r="BQ24" s="100"/>
    </row>
    <row r="25" spans="1:69" ht="15.75" customHeight="1">
      <c r="A25" s="356" t="s">
        <v>741</v>
      </c>
      <c r="B25" s="114"/>
      <c r="C25" s="104" t="s">
        <v>229</v>
      </c>
      <c r="D25" s="236" t="s">
        <v>817</v>
      </c>
      <c r="E25" s="92"/>
      <c r="F25" s="393">
        <f t="shared" ref="F25:F27" si="99">E25</f>
        <v>0</v>
      </c>
      <c r="G25" s="123">
        <v>90240</v>
      </c>
      <c r="H25" s="94"/>
      <c r="I25" s="94"/>
      <c r="J25" s="96"/>
      <c r="K25" s="117"/>
      <c r="L25" s="117"/>
      <c r="M25" s="380">
        <v>90240</v>
      </c>
      <c r="N25" s="97"/>
      <c r="O25" s="97"/>
      <c r="P25" s="97"/>
      <c r="Q25" s="82"/>
      <c r="R25" s="82"/>
      <c r="S25" s="82"/>
      <c r="T25" s="97"/>
      <c r="U25" s="97">
        <f t="shared" si="62"/>
        <v>0</v>
      </c>
      <c r="V25" s="97"/>
      <c r="W25" s="98"/>
      <c r="X25" s="98"/>
      <c r="Y25" s="98"/>
      <c r="Z25" s="96"/>
      <c r="AA25" s="96"/>
      <c r="AB25" s="96"/>
      <c r="AC25" s="119"/>
      <c r="AD25" s="119"/>
      <c r="AE25" s="96"/>
      <c r="AF25" s="96"/>
      <c r="AG25" s="103"/>
      <c r="AH25" s="96"/>
      <c r="AI25" s="96"/>
      <c r="AJ25" s="96"/>
      <c r="AK25" s="96"/>
      <c r="AL25" s="96"/>
      <c r="AM25" s="96"/>
      <c r="AN25" s="96"/>
      <c r="AO25" s="96"/>
      <c r="AP25" s="129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9"/>
      <c r="BN25" s="100"/>
      <c r="BO25" s="100"/>
      <c r="BP25" s="100"/>
      <c r="BQ25" s="100"/>
    </row>
    <row r="26" spans="1:69" ht="15.75" customHeight="1">
      <c r="A26" s="113"/>
      <c r="B26" s="114" t="s">
        <v>239</v>
      </c>
      <c r="C26" s="101" t="s">
        <v>240</v>
      </c>
      <c r="D26" s="91" t="s">
        <v>818</v>
      </c>
      <c r="E26" s="92">
        <v>7000</v>
      </c>
      <c r="F26" s="393">
        <f t="shared" si="99"/>
        <v>7000</v>
      </c>
      <c r="G26" s="92"/>
      <c r="H26" s="94">
        <f t="shared" ref="H26:H57" si="100">J26/E26</f>
        <v>0</v>
      </c>
      <c r="I26" s="94">
        <f t="shared" ref="I26:I55" si="101">N26/E26</f>
        <v>0</v>
      </c>
      <c r="J26" s="96"/>
      <c r="K26" s="117">
        <v>5583.4</v>
      </c>
      <c r="L26" s="117"/>
      <c r="M26" s="118"/>
      <c r="N26" s="97">
        <f t="shared" ref="N26:P26" si="102">Z26+AC26+AF26+AI26+AL26+AO26+AR26+AU26+AX26+BA26+BD26+BG26</f>
        <v>0</v>
      </c>
      <c r="O26" s="97">
        <f t="shared" si="102"/>
        <v>5583.4</v>
      </c>
      <c r="P26" s="97">
        <f t="shared" si="102"/>
        <v>0</v>
      </c>
      <c r="Q26" s="82">
        <f t="shared" ref="Q26:S26" si="103">IF(BJ26=0,SUM(Z26+AC26+AF26+AI26+AL26+AO26+AR26+AU26+AX26+BA26+BD26+BG26),BJ26)</f>
        <v>0</v>
      </c>
      <c r="R26" s="82">
        <f t="shared" si="103"/>
        <v>5583.4</v>
      </c>
      <c r="S26" s="82">
        <f t="shared" si="103"/>
        <v>0</v>
      </c>
      <c r="T26" s="97">
        <f t="shared" ref="T26:T67" si="104">J26-N26</f>
        <v>0</v>
      </c>
      <c r="U26" s="97">
        <f t="shared" si="62"/>
        <v>0</v>
      </c>
      <c r="V26" s="97">
        <f t="shared" ref="V26:V67" si="105">M26-P26</f>
        <v>0</v>
      </c>
      <c r="W26" s="98" t="e">
        <f t="shared" ref="W26:X26" si="106">N26/J26</f>
        <v>#DIV/0!</v>
      </c>
      <c r="X26" s="98">
        <f t="shared" si="106"/>
        <v>1</v>
      </c>
      <c r="Y26" s="98" t="e">
        <f t="shared" ref="Y26:Y90" si="107">P26/M26</f>
        <v>#DIV/0!</v>
      </c>
      <c r="Z26" s="96"/>
      <c r="AA26" s="96"/>
      <c r="AB26" s="96"/>
      <c r="AC26" s="119"/>
      <c r="AD26" s="119"/>
      <c r="AE26" s="96"/>
      <c r="AF26" s="96"/>
      <c r="AG26" s="103">
        <v>5583.4</v>
      </c>
      <c r="AH26" s="96"/>
      <c r="AI26" s="96"/>
      <c r="AJ26" s="96"/>
      <c r="AK26" s="96"/>
      <c r="AL26" s="96"/>
      <c r="AM26" s="96"/>
      <c r="AN26" s="96"/>
      <c r="AO26" s="96"/>
      <c r="AP26" s="129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9"/>
      <c r="BN26" s="100"/>
      <c r="BO26" s="100"/>
      <c r="BP26" s="100"/>
      <c r="BQ26" s="100"/>
    </row>
    <row r="27" spans="1:69" ht="15.75" customHeight="1">
      <c r="A27" s="356" t="s">
        <v>744</v>
      </c>
      <c r="B27" s="114"/>
      <c r="C27" s="101" t="s">
        <v>242</v>
      </c>
      <c r="D27" s="122" t="s">
        <v>819</v>
      </c>
      <c r="E27" s="116">
        <v>8404</v>
      </c>
      <c r="F27" s="393">
        <f t="shared" si="99"/>
        <v>8404</v>
      </c>
      <c r="G27" s="116"/>
      <c r="H27" s="94">
        <f t="shared" si="100"/>
        <v>0.87495240361732518</v>
      </c>
      <c r="I27" s="94">
        <f t="shared" si="101"/>
        <v>0.87495240361732518</v>
      </c>
      <c r="J27" s="103">
        <f>2874.5+4478.6</f>
        <v>7353.1</v>
      </c>
      <c r="K27" s="117"/>
      <c r="L27" s="117"/>
      <c r="M27" s="118"/>
      <c r="N27" s="97">
        <f t="shared" ref="N27:P27" si="108">Z27+AC27+AF27+AI27+AL27+AO27+AR27+AU27+AX27+BA27+BD27+BG27</f>
        <v>7353.1</v>
      </c>
      <c r="O27" s="97">
        <f t="shared" si="108"/>
        <v>0</v>
      </c>
      <c r="P27" s="97">
        <f t="shared" si="108"/>
        <v>0</v>
      </c>
      <c r="Q27" s="82">
        <f t="shared" ref="Q27:S27" si="109">IF(BJ27=0,SUM(Z27+AC27+AF27+AI27+AL27+AO27+AR27+AU27+AX27+BA27+BD27+BG27),BJ27)</f>
        <v>7353.1</v>
      </c>
      <c r="R27" s="82">
        <f t="shared" si="109"/>
        <v>0</v>
      </c>
      <c r="S27" s="82">
        <f t="shared" si="109"/>
        <v>0</v>
      </c>
      <c r="T27" s="97">
        <f t="shared" si="104"/>
        <v>0</v>
      </c>
      <c r="U27" s="97">
        <f t="shared" si="62"/>
        <v>0</v>
      </c>
      <c r="V27" s="97">
        <f t="shared" si="105"/>
        <v>0</v>
      </c>
      <c r="W27" s="98">
        <f t="shared" ref="W27:X27" si="110">N27/J27</f>
        <v>1</v>
      </c>
      <c r="X27" s="98" t="e">
        <f t="shared" si="110"/>
        <v>#DIV/0!</v>
      </c>
      <c r="Y27" s="98" t="e">
        <f t="shared" si="107"/>
        <v>#DIV/0!</v>
      </c>
      <c r="Z27" s="96"/>
      <c r="AA27" s="96"/>
      <c r="AB27" s="96"/>
      <c r="AC27" s="119"/>
      <c r="AD27" s="119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103">
        <v>2874.5</v>
      </c>
      <c r="AP27" s="129"/>
      <c r="AQ27" s="96"/>
      <c r="AR27" s="103">
        <v>4478.6000000000004</v>
      </c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9"/>
      <c r="BN27" s="100"/>
      <c r="BO27" s="100"/>
      <c r="BP27" s="100"/>
      <c r="BQ27" s="100"/>
    </row>
    <row r="28" spans="1:69" ht="15.75" customHeight="1">
      <c r="A28" s="113"/>
      <c r="B28" s="114" t="s">
        <v>244</v>
      </c>
      <c r="C28" s="101" t="s">
        <v>245</v>
      </c>
      <c r="D28" s="91" t="s">
        <v>86</v>
      </c>
      <c r="E28" s="92">
        <v>10000</v>
      </c>
      <c r="F28" s="394">
        <v>20000</v>
      </c>
      <c r="G28" s="92"/>
      <c r="H28" s="94">
        <f t="shared" si="100"/>
        <v>0</v>
      </c>
      <c r="I28" s="94">
        <f t="shared" si="101"/>
        <v>0</v>
      </c>
      <c r="J28" s="96"/>
      <c r="K28" s="117">
        <v>13095</v>
      </c>
      <c r="L28" s="117"/>
      <c r="M28" s="118"/>
      <c r="N28" s="97">
        <f t="shared" ref="N28:P28" si="111">Z28+AC28+AF28+AI28+AL28+AO28+AR28+AU28+AX28+BA28+BD28+BG28</f>
        <v>0</v>
      </c>
      <c r="O28" s="97">
        <f t="shared" si="111"/>
        <v>13095</v>
      </c>
      <c r="P28" s="97">
        <f t="shared" si="111"/>
        <v>0</v>
      </c>
      <c r="Q28" s="82">
        <f t="shared" ref="Q28:S28" si="112">IF(BJ28=0,SUM(Z28+AC28+AF28+AI28+AL28+AO28+AR28+AU28+AX28+BA28+BD28+BG28),BJ28)</f>
        <v>0</v>
      </c>
      <c r="R28" s="82">
        <f t="shared" si="112"/>
        <v>13095</v>
      </c>
      <c r="S28" s="82">
        <f t="shared" si="112"/>
        <v>0</v>
      </c>
      <c r="T28" s="97">
        <f t="shared" si="104"/>
        <v>0</v>
      </c>
      <c r="U28" s="97">
        <f t="shared" si="62"/>
        <v>0</v>
      </c>
      <c r="V28" s="97">
        <f t="shared" si="105"/>
        <v>0</v>
      </c>
      <c r="W28" s="98" t="e">
        <f t="shared" ref="W28:X28" si="113">N28/J28</f>
        <v>#DIV/0!</v>
      </c>
      <c r="X28" s="98">
        <f t="shared" si="113"/>
        <v>1</v>
      </c>
      <c r="Y28" s="98" t="e">
        <f t="shared" si="107"/>
        <v>#DIV/0!</v>
      </c>
      <c r="Z28" s="96"/>
      <c r="AA28" s="96">
        <f>13095</f>
        <v>13095</v>
      </c>
      <c r="AB28" s="96"/>
      <c r="AC28" s="119"/>
      <c r="AD28" s="119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129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9"/>
      <c r="BN28" s="100"/>
      <c r="BO28" s="100"/>
      <c r="BP28" s="100"/>
      <c r="BQ28" s="100"/>
    </row>
    <row r="29" spans="1:69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393">
        <f>E29</f>
        <v>4202</v>
      </c>
      <c r="G29" s="92"/>
      <c r="H29" s="94">
        <f t="shared" si="100"/>
        <v>0</v>
      </c>
      <c r="I29" s="94">
        <f t="shared" si="101"/>
        <v>0</v>
      </c>
      <c r="J29" s="96"/>
      <c r="K29" s="117">
        <v>16850</v>
      </c>
      <c r="L29" s="117"/>
      <c r="M29" s="118"/>
      <c r="N29" s="97">
        <f t="shared" ref="N29:P29" si="114">Z29+AC29+AF29+AI29+AL29+AO29+AR29+AU29+AX29+BA29+BD29+BG29</f>
        <v>0</v>
      </c>
      <c r="O29" s="97">
        <f t="shared" si="114"/>
        <v>15245</v>
      </c>
      <c r="P29" s="97">
        <f t="shared" si="114"/>
        <v>0</v>
      </c>
      <c r="Q29" s="82">
        <f t="shared" ref="Q29:S29" si="115">IF(BJ29=0,SUM(Z29+AC29+AF29+AI29+AL29+AO29+AR29+AU29+AX29+BA29+BD29+BG29),BJ29)</f>
        <v>0</v>
      </c>
      <c r="R29" s="82">
        <f t="shared" si="115"/>
        <v>15245</v>
      </c>
      <c r="S29" s="82">
        <f t="shared" si="115"/>
        <v>0</v>
      </c>
      <c r="T29" s="97">
        <f t="shared" si="104"/>
        <v>0</v>
      </c>
      <c r="U29" s="97">
        <f t="shared" si="62"/>
        <v>1605</v>
      </c>
      <c r="V29" s="97">
        <f t="shared" si="105"/>
        <v>0</v>
      </c>
      <c r="W29" s="98" t="e">
        <f t="shared" ref="W29:X29" si="116">N29/J29</f>
        <v>#DIV/0!</v>
      </c>
      <c r="X29" s="98">
        <f t="shared" si="116"/>
        <v>0.9047477744807122</v>
      </c>
      <c r="Y29" s="98" t="e">
        <f t="shared" si="107"/>
        <v>#DIV/0!</v>
      </c>
      <c r="Z29" s="96"/>
      <c r="AA29" s="96"/>
      <c r="AB29" s="96"/>
      <c r="AC29" s="119"/>
      <c r="AD29" s="131">
        <v>5229.5</v>
      </c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260">
        <v>4306.75</v>
      </c>
      <c r="AQ29" s="96"/>
      <c r="AR29" s="96"/>
      <c r="AS29" s="96">
        <f>3650+2058.75</f>
        <v>5708.75</v>
      </c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9"/>
      <c r="BN29" s="100"/>
      <c r="BO29" s="100"/>
      <c r="BP29" s="100"/>
      <c r="BQ29" s="100"/>
    </row>
    <row r="30" spans="1:69" ht="15.75" customHeight="1">
      <c r="A30" s="359" t="s">
        <v>691</v>
      </c>
      <c r="B30" s="114"/>
      <c r="C30" s="101" t="s">
        <v>242</v>
      </c>
      <c r="D30" s="91" t="s">
        <v>247</v>
      </c>
      <c r="E30" s="92">
        <v>4202</v>
      </c>
      <c r="F30" s="394">
        <v>5784</v>
      </c>
      <c r="G30" s="92"/>
      <c r="H30" s="94">
        <f t="shared" si="100"/>
        <v>1.3764873869585912</v>
      </c>
      <c r="I30" s="94">
        <f t="shared" si="101"/>
        <v>1.3764873869585912</v>
      </c>
      <c r="J30" s="103">
        <v>5784</v>
      </c>
      <c r="K30" s="117"/>
      <c r="L30" s="117"/>
      <c r="M30" s="118"/>
      <c r="N30" s="97">
        <f t="shared" ref="N30:P30" si="117">Z30+AC30+AF30+AI30+AL30+AO30+AR30+AU30+AX30+BA30+BD30+BG30</f>
        <v>5784</v>
      </c>
      <c r="O30" s="97">
        <f t="shared" si="117"/>
        <v>0</v>
      </c>
      <c r="P30" s="97">
        <f t="shared" si="117"/>
        <v>0</v>
      </c>
      <c r="Q30" s="82">
        <f t="shared" ref="Q30:S30" si="118">IF(BJ30=0,SUM(Z30+AC30+AF30+AI30+AL30+AO30+AR30+AU30+AX30+BA30+BD30+BG30),BJ30)</f>
        <v>5784</v>
      </c>
      <c r="R30" s="82">
        <f t="shared" si="118"/>
        <v>0</v>
      </c>
      <c r="S30" s="82">
        <f t="shared" si="118"/>
        <v>0</v>
      </c>
      <c r="T30" s="97">
        <f t="shared" si="104"/>
        <v>0</v>
      </c>
      <c r="U30" s="97">
        <f t="shared" si="62"/>
        <v>0</v>
      </c>
      <c r="V30" s="97">
        <f t="shared" si="105"/>
        <v>0</v>
      </c>
      <c r="W30" s="98">
        <f t="shared" ref="W30:X30" si="119">N30/J30</f>
        <v>1</v>
      </c>
      <c r="X30" s="98" t="e">
        <f t="shared" si="119"/>
        <v>#DIV/0!</v>
      </c>
      <c r="Y30" s="98" t="e">
        <f t="shared" si="107"/>
        <v>#DIV/0!</v>
      </c>
      <c r="Z30" s="96"/>
      <c r="AA30" s="129"/>
      <c r="AB30" s="96"/>
      <c r="AC30" s="119"/>
      <c r="AD30" s="119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103">
        <v>5784</v>
      </c>
      <c r="AP30" s="129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9"/>
      <c r="BN30" s="100"/>
      <c r="BO30" s="100"/>
      <c r="BP30" s="100"/>
      <c r="BQ30" s="100"/>
    </row>
    <row r="31" spans="1:69" ht="15.75" customHeight="1">
      <c r="A31" s="113"/>
      <c r="B31" s="121" t="s">
        <v>488</v>
      </c>
      <c r="C31" s="101" t="s">
        <v>240</v>
      </c>
      <c r="D31" s="91" t="s">
        <v>820</v>
      </c>
      <c r="E31" s="92">
        <v>18404</v>
      </c>
      <c r="F31" s="393">
        <f>E31</f>
        <v>18404</v>
      </c>
      <c r="G31" s="92"/>
      <c r="H31" s="94">
        <f t="shared" si="100"/>
        <v>0</v>
      </c>
      <c r="I31" s="94">
        <f t="shared" si="101"/>
        <v>0</v>
      </c>
      <c r="J31" s="96"/>
      <c r="K31" s="117">
        <f>2515+5718.85</f>
        <v>8233.85</v>
      </c>
      <c r="L31" s="117"/>
      <c r="M31" s="118"/>
      <c r="N31" s="97">
        <f t="shared" ref="N31:P31" si="120">Z31+AC31+AF31+AI31+AL31+AO31+AR31+AU31+AX31+BA31+BD31+BG31</f>
        <v>0</v>
      </c>
      <c r="O31" s="97">
        <f t="shared" si="120"/>
        <v>3965.87</v>
      </c>
      <c r="P31" s="97">
        <f t="shared" si="120"/>
        <v>0</v>
      </c>
      <c r="Q31" s="82">
        <f t="shared" ref="Q31:S31" si="121">IF(BJ31=0,SUM(Z31+AC31+AF31+AI31+AL31+AO31+AR31+AU31+AX31+BA31+BD31+BG31),BJ31)</f>
        <v>0</v>
      </c>
      <c r="R31" s="82">
        <f t="shared" si="121"/>
        <v>3965.87</v>
      </c>
      <c r="S31" s="82">
        <f t="shared" si="121"/>
        <v>0</v>
      </c>
      <c r="T31" s="97">
        <f t="shared" si="104"/>
        <v>0</v>
      </c>
      <c r="U31" s="97">
        <f t="shared" si="62"/>
        <v>4267.9800000000005</v>
      </c>
      <c r="V31" s="97">
        <f t="shared" si="105"/>
        <v>0</v>
      </c>
      <c r="W31" s="98" t="e">
        <f t="shared" ref="W31:X31" si="122">N31/J31</f>
        <v>#DIV/0!</v>
      </c>
      <c r="X31" s="98">
        <f t="shared" si="122"/>
        <v>0.4816543901091227</v>
      </c>
      <c r="Y31" s="98" t="e">
        <f t="shared" si="107"/>
        <v>#DIV/0!</v>
      </c>
      <c r="Z31" s="96"/>
      <c r="AA31" s="96"/>
      <c r="AB31" s="96"/>
      <c r="AC31" s="119"/>
      <c r="AD31" s="119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129"/>
      <c r="AQ31" s="96"/>
      <c r="AR31" s="96"/>
      <c r="AS31" s="103">
        <f>991.9+1523.1+1450.87</f>
        <v>3965.87</v>
      </c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9"/>
      <c r="BN31" s="100"/>
      <c r="BO31" s="100"/>
      <c r="BP31" s="100"/>
      <c r="BQ31" s="100"/>
    </row>
    <row r="32" spans="1:69" ht="15.75" customHeight="1">
      <c r="A32" s="356" t="s">
        <v>638</v>
      </c>
      <c r="B32" s="121" t="s">
        <v>490</v>
      </c>
      <c r="C32" s="101" t="s">
        <v>240</v>
      </c>
      <c r="D32" s="130" t="s">
        <v>821</v>
      </c>
      <c r="E32" s="92"/>
      <c r="F32" s="392">
        <v>1375.5</v>
      </c>
      <c r="G32" s="92"/>
      <c r="H32" s="94" t="e">
        <f t="shared" si="100"/>
        <v>#DIV/0!</v>
      </c>
      <c r="I32" s="94" t="e">
        <f t="shared" si="101"/>
        <v>#DIV/0!</v>
      </c>
      <c r="J32" s="96">
        <f>431.95+943.55</f>
        <v>1375.5</v>
      </c>
      <c r="K32" s="117">
        <f>977.38+2861.28</f>
        <v>3838.6600000000003</v>
      </c>
      <c r="L32" s="117"/>
      <c r="M32" s="118"/>
      <c r="N32" s="97">
        <f t="shared" ref="N32:P32" si="123">Z32+AC32+AF32+AI32+AL32+AO32+AR32+AU32+AX32+BA32+BD32+BG32</f>
        <v>1375.5</v>
      </c>
      <c r="O32" s="97">
        <f t="shared" si="123"/>
        <v>3838.66</v>
      </c>
      <c r="P32" s="97">
        <f t="shared" si="123"/>
        <v>0</v>
      </c>
      <c r="Q32" s="82">
        <f t="shared" ref="Q32:S32" si="124">IF(BJ32=0,SUM(Z32+AC32+AF32+AI32+AL32+AO32+AR32+AU32+AX32+BA32+BD32+BG32),BJ32)</f>
        <v>1375.5</v>
      </c>
      <c r="R32" s="82">
        <f t="shared" si="124"/>
        <v>3838.66</v>
      </c>
      <c r="S32" s="82">
        <f t="shared" si="124"/>
        <v>0</v>
      </c>
      <c r="T32" s="97">
        <f t="shared" si="104"/>
        <v>0</v>
      </c>
      <c r="U32" s="97">
        <f t="shared" si="62"/>
        <v>0</v>
      </c>
      <c r="V32" s="97">
        <f t="shared" si="105"/>
        <v>0</v>
      </c>
      <c r="W32" s="98">
        <f t="shared" ref="W32:X32" si="125">N32/J32</f>
        <v>1</v>
      </c>
      <c r="X32" s="98">
        <f t="shared" si="125"/>
        <v>0.99999999999999989</v>
      </c>
      <c r="Y32" s="98" t="e">
        <f t="shared" si="107"/>
        <v>#DIV/0!</v>
      </c>
      <c r="Z32" s="96"/>
      <c r="AA32" s="96"/>
      <c r="AB32" s="96"/>
      <c r="AC32" s="119"/>
      <c r="AD32" s="119"/>
      <c r="AE32" s="96"/>
      <c r="AF32" s="96"/>
      <c r="AG32" s="96"/>
      <c r="AH32" s="96"/>
      <c r="AI32" s="96"/>
      <c r="AJ32" s="103">
        <v>3838.66</v>
      </c>
      <c r="AK32" s="96"/>
      <c r="AL32" s="96"/>
      <c r="AM32" s="96"/>
      <c r="AN32" s="96"/>
      <c r="AO32" s="96"/>
      <c r="AP32" s="129"/>
      <c r="AQ32" s="96"/>
      <c r="AR32" s="96">
        <f>431.95+943.55</f>
        <v>1375.5</v>
      </c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9"/>
      <c r="BN32" s="100"/>
      <c r="BO32" s="100"/>
      <c r="BP32" s="100"/>
      <c r="BQ32" s="100"/>
    </row>
    <row r="33" spans="1:69" ht="15.75" customHeight="1">
      <c r="A33" s="113"/>
      <c r="B33" s="114"/>
      <c r="C33" s="101" t="s">
        <v>240</v>
      </c>
      <c r="D33" s="91" t="s">
        <v>822</v>
      </c>
      <c r="E33" s="92">
        <v>20000</v>
      </c>
      <c r="F33" s="393"/>
      <c r="G33" s="92"/>
      <c r="H33" s="94">
        <f t="shared" si="100"/>
        <v>0</v>
      </c>
      <c r="I33" s="94">
        <f t="shared" si="101"/>
        <v>0</v>
      </c>
      <c r="J33" s="96"/>
      <c r="K33" s="117"/>
      <c r="L33" s="117"/>
      <c r="M33" s="118"/>
      <c r="N33" s="97">
        <f t="shared" ref="N33:P33" si="126">Z33+AC33+AF33+AI33+AL33+AO33+AR33+AU33+AX33+BA33+BD33+BG33</f>
        <v>0</v>
      </c>
      <c r="O33" s="97">
        <f t="shared" si="126"/>
        <v>0</v>
      </c>
      <c r="P33" s="97">
        <f t="shared" si="126"/>
        <v>0</v>
      </c>
      <c r="Q33" s="82">
        <f t="shared" ref="Q33:S33" si="127">IF(BJ33=0,SUM(Z33+AC33+AF33+AI33+AL33+AO33+AR33+AU33+AX33+BA33+BD33+BG33),BJ33)</f>
        <v>0</v>
      </c>
      <c r="R33" s="82">
        <f t="shared" si="127"/>
        <v>0</v>
      </c>
      <c r="S33" s="82">
        <f t="shared" si="127"/>
        <v>0</v>
      </c>
      <c r="T33" s="97">
        <f t="shared" si="104"/>
        <v>0</v>
      </c>
      <c r="U33" s="97">
        <f t="shared" si="62"/>
        <v>0</v>
      </c>
      <c r="V33" s="97">
        <f t="shared" si="105"/>
        <v>0</v>
      </c>
      <c r="W33" s="98" t="e">
        <f t="shared" ref="W33:X33" si="128">N33/J33</f>
        <v>#DIV/0!</v>
      </c>
      <c r="X33" s="98" t="e">
        <f t="shared" si="128"/>
        <v>#DIV/0!</v>
      </c>
      <c r="Y33" s="98" t="e">
        <f t="shared" si="107"/>
        <v>#DIV/0!</v>
      </c>
      <c r="Z33" s="96"/>
      <c r="AA33" s="96"/>
      <c r="AB33" s="96"/>
      <c r="AC33" s="119"/>
      <c r="AD33" s="119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129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9"/>
      <c r="BN33" s="100"/>
      <c r="BO33" s="100"/>
      <c r="BP33" s="100"/>
      <c r="BQ33" s="100"/>
    </row>
    <row r="34" spans="1:69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394">
        <v>3500</v>
      </c>
      <c r="G34" s="92"/>
      <c r="H34" s="94">
        <f t="shared" si="100"/>
        <v>0</v>
      </c>
      <c r="I34" s="94">
        <f t="shared" si="101"/>
        <v>0</v>
      </c>
      <c r="J34" s="96"/>
      <c r="K34" s="117">
        <v>3374.7</v>
      </c>
      <c r="L34" s="117"/>
      <c r="M34" s="118"/>
      <c r="N34" s="97">
        <f t="shared" ref="N34:P34" si="129">Z34+AC34+AF34+AI34+AL34+AO34+AR34+AU34+AX34+BA34+BD34+BG34</f>
        <v>0</v>
      </c>
      <c r="O34" s="97">
        <f t="shared" si="129"/>
        <v>3374.7</v>
      </c>
      <c r="P34" s="97">
        <f t="shared" si="129"/>
        <v>0</v>
      </c>
      <c r="Q34" s="82">
        <f t="shared" ref="Q34:S34" si="130">IF(BJ34=0,SUM(Z34+AC34+AF34+AI34+AL34+AO34+AR34+AU34+AX34+BA34+BD34+BG34),BJ34)</f>
        <v>0</v>
      </c>
      <c r="R34" s="82">
        <f t="shared" si="130"/>
        <v>3374.7</v>
      </c>
      <c r="S34" s="82">
        <f t="shared" si="130"/>
        <v>0</v>
      </c>
      <c r="T34" s="97">
        <f t="shared" si="104"/>
        <v>0</v>
      </c>
      <c r="U34" s="97">
        <f t="shared" si="62"/>
        <v>0</v>
      </c>
      <c r="V34" s="97">
        <f t="shared" si="105"/>
        <v>0</v>
      </c>
      <c r="W34" s="98" t="e">
        <f t="shared" ref="W34:X34" si="131">N34/J34</f>
        <v>#DIV/0!</v>
      </c>
      <c r="X34" s="98">
        <f t="shared" si="131"/>
        <v>1</v>
      </c>
      <c r="Y34" s="98" t="e">
        <f t="shared" si="107"/>
        <v>#DIV/0!</v>
      </c>
      <c r="Z34" s="96"/>
      <c r="AA34" s="96"/>
      <c r="AB34" s="96"/>
      <c r="AC34" s="119"/>
      <c r="AD34" s="131">
        <v>3374.7</v>
      </c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129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9"/>
      <c r="BN34" s="100"/>
      <c r="BO34" s="100"/>
      <c r="BP34" s="100"/>
      <c r="BQ34" s="100"/>
    </row>
    <row r="35" spans="1:69" ht="15.75" customHeight="1">
      <c r="A35" s="359" t="s">
        <v>641</v>
      </c>
      <c r="B35" s="114" t="s">
        <v>254</v>
      </c>
      <c r="C35" s="101" t="s">
        <v>255</v>
      </c>
      <c r="D35" s="122" t="s">
        <v>101</v>
      </c>
      <c r="E35" s="395">
        <v>30000</v>
      </c>
      <c r="F35" s="396">
        <v>30000</v>
      </c>
      <c r="G35" s="124"/>
      <c r="H35" s="94">
        <f t="shared" si="100"/>
        <v>0.45</v>
      </c>
      <c r="I35" s="94">
        <f t="shared" si="101"/>
        <v>0.45</v>
      </c>
      <c r="J35" s="361">
        <v>13500</v>
      </c>
      <c r="K35" s="117">
        <v>4100</v>
      </c>
      <c r="L35" s="117"/>
      <c r="M35" s="118"/>
      <c r="N35" s="97">
        <f t="shared" ref="N35:P35" si="132">Z35+AC35+AF35+AI35+AL35+AO35+AR35+AU35+AX35+BA35+BD35+BG35</f>
        <v>13500</v>
      </c>
      <c r="O35" s="97">
        <f t="shared" si="132"/>
        <v>4100</v>
      </c>
      <c r="P35" s="97">
        <f t="shared" si="132"/>
        <v>0</v>
      </c>
      <c r="Q35" s="82">
        <f t="shared" ref="Q35:S35" si="133">IF(BJ35=0,SUM(Z35+AC35+AF35+AI35+AL35+AO35+AR35+AU35+AX35+BA35+BD35+BG35),BJ35)</f>
        <v>13500</v>
      </c>
      <c r="R35" s="82">
        <f t="shared" si="133"/>
        <v>4100</v>
      </c>
      <c r="S35" s="82">
        <f t="shared" si="133"/>
        <v>0</v>
      </c>
      <c r="T35" s="134">
        <f t="shared" si="104"/>
        <v>0</v>
      </c>
      <c r="U35" s="97">
        <f t="shared" si="62"/>
        <v>0</v>
      </c>
      <c r="V35" s="97">
        <f t="shared" si="105"/>
        <v>0</v>
      </c>
      <c r="W35" s="98">
        <f t="shared" ref="W35:X35" si="134">N35/J35</f>
        <v>1</v>
      </c>
      <c r="X35" s="98">
        <f t="shared" si="134"/>
        <v>1</v>
      </c>
      <c r="Y35" s="98" t="e">
        <f t="shared" si="107"/>
        <v>#DIV/0!</v>
      </c>
      <c r="Z35" s="119"/>
      <c r="AA35" s="96"/>
      <c r="AB35" s="96"/>
      <c r="AC35" s="119"/>
      <c r="AD35" s="119"/>
      <c r="AE35" s="96"/>
      <c r="AF35" s="96"/>
      <c r="AG35" s="96"/>
      <c r="AH35" s="96"/>
      <c r="AI35" s="96"/>
      <c r="AJ35" s="103">
        <v>4100</v>
      </c>
      <c r="AK35" s="96"/>
      <c r="AL35" s="96"/>
      <c r="AM35" s="96"/>
      <c r="AN35" s="96"/>
      <c r="AO35" s="96">
        <f>13500</f>
        <v>13500</v>
      </c>
      <c r="AP35" s="129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9"/>
      <c r="BN35" s="100"/>
      <c r="BO35" s="100"/>
      <c r="BP35" s="100"/>
      <c r="BQ35" s="100"/>
    </row>
    <row r="36" spans="1:69" ht="15.75" customHeight="1">
      <c r="A36" s="359" t="s">
        <v>591</v>
      </c>
      <c r="B36" s="121" t="s">
        <v>256</v>
      </c>
      <c r="C36" s="101" t="s">
        <v>257</v>
      </c>
      <c r="D36" s="122" t="s">
        <v>103</v>
      </c>
      <c r="E36" s="395">
        <v>10000</v>
      </c>
      <c r="F36" s="396">
        <v>10000</v>
      </c>
      <c r="G36" s="124"/>
      <c r="H36" s="94">
        <f t="shared" si="100"/>
        <v>0.17576</v>
      </c>
      <c r="I36" s="94">
        <f t="shared" si="101"/>
        <v>0.17576</v>
      </c>
      <c r="J36" s="103">
        <v>1757.6</v>
      </c>
      <c r="K36" s="117">
        <f>19903.04+4541.3+16240</f>
        <v>40684.339999999997</v>
      </c>
      <c r="L36" s="135">
        <v>16240</v>
      </c>
      <c r="M36" s="118"/>
      <c r="N36" s="97">
        <f t="shared" ref="N36:P36" si="135">Z36+AC36+AF36+AI36+AL36+AO36+AR36+AU36+AX36+BA36+BD36+BG36</f>
        <v>1757.6</v>
      </c>
      <c r="O36" s="97">
        <f t="shared" si="135"/>
        <v>24444.34</v>
      </c>
      <c r="P36" s="97">
        <f t="shared" si="135"/>
        <v>0</v>
      </c>
      <c r="Q36" s="82">
        <f t="shared" ref="Q36:S36" si="136">IF(BJ36=0,SUM(Z36+AC36+AF36+AI36+AL36+AO36+AR36+AU36+AX36+BA36+BD36+BG36),BJ36)</f>
        <v>1757.6</v>
      </c>
      <c r="R36" s="82">
        <f t="shared" si="136"/>
        <v>24444.34</v>
      </c>
      <c r="S36" s="82">
        <f t="shared" si="136"/>
        <v>0</v>
      </c>
      <c r="T36" s="97">
        <f t="shared" si="104"/>
        <v>0</v>
      </c>
      <c r="U36" s="97">
        <f t="shared" si="62"/>
        <v>0</v>
      </c>
      <c r="V36" s="97">
        <f t="shared" si="105"/>
        <v>0</v>
      </c>
      <c r="W36" s="98">
        <f t="shared" ref="W36:X36" si="137">N36/J36</f>
        <v>1</v>
      </c>
      <c r="X36" s="98">
        <f t="shared" si="137"/>
        <v>0.60082921340250328</v>
      </c>
      <c r="Y36" s="98" t="e">
        <f t="shared" si="107"/>
        <v>#DIV/0!</v>
      </c>
      <c r="Z36" s="96"/>
      <c r="AA36" s="96"/>
      <c r="AB36" s="96"/>
      <c r="AC36" s="119"/>
      <c r="AD36" s="119">
        <f>19903.04</f>
        <v>19903.04</v>
      </c>
      <c r="AE36" s="96"/>
      <c r="AF36" s="96"/>
      <c r="AG36" s="96"/>
      <c r="AH36" s="96"/>
      <c r="AI36" s="96"/>
      <c r="AJ36" s="103">
        <v>4541.3</v>
      </c>
      <c r="AK36" s="96"/>
      <c r="AL36" s="96"/>
      <c r="AM36" s="96"/>
      <c r="AN36" s="96"/>
      <c r="AO36" s="103">
        <v>1757.6</v>
      </c>
      <c r="AP36" s="129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9"/>
      <c r="BN36" s="100"/>
      <c r="BO36" s="100"/>
      <c r="BP36" s="100"/>
      <c r="BQ36" s="100"/>
    </row>
    <row r="37" spans="1:69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393">
        <f t="shared" ref="F37:F40" si="138">E37</f>
        <v>0</v>
      </c>
      <c r="G37" s="116"/>
      <c r="H37" s="94" t="e">
        <f t="shared" si="100"/>
        <v>#DIV/0!</v>
      </c>
      <c r="I37" s="94" t="e">
        <f t="shared" si="101"/>
        <v>#DIV/0!</v>
      </c>
      <c r="J37" s="96"/>
      <c r="K37" s="117">
        <v>949.5</v>
      </c>
      <c r="L37" s="117"/>
      <c r="M37" s="118"/>
      <c r="N37" s="97">
        <f t="shared" ref="N37:P37" si="139">Z37+AC37+AF37+AI37+AL37+AO37+AR37+AU37+AX37+BA37+BD37+BG37</f>
        <v>0</v>
      </c>
      <c r="O37" s="97">
        <f t="shared" si="139"/>
        <v>949.5</v>
      </c>
      <c r="P37" s="97">
        <f t="shared" si="139"/>
        <v>0</v>
      </c>
      <c r="Q37" s="82">
        <f t="shared" ref="Q37:S37" si="140">IF(BJ37=0,SUM(Z37+AC37+AF37+AI37+AL37+AO37+AR37+AU37+AX37+BA37+BD37+BG37),BJ37)</f>
        <v>0</v>
      </c>
      <c r="R37" s="82">
        <f t="shared" si="140"/>
        <v>949.5</v>
      </c>
      <c r="S37" s="82">
        <f t="shared" si="140"/>
        <v>0</v>
      </c>
      <c r="T37" s="97">
        <f t="shared" si="104"/>
        <v>0</v>
      </c>
      <c r="U37" s="97">
        <f t="shared" si="62"/>
        <v>0</v>
      </c>
      <c r="V37" s="97">
        <f t="shared" si="105"/>
        <v>0</v>
      </c>
      <c r="W37" s="98" t="e">
        <f t="shared" ref="W37:X37" si="141">N37/J37</f>
        <v>#DIV/0!</v>
      </c>
      <c r="X37" s="98">
        <f t="shared" si="141"/>
        <v>1</v>
      </c>
      <c r="Y37" s="98" t="e">
        <f t="shared" si="107"/>
        <v>#DIV/0!</v>
      </c>
      <c r="Z37" s="96"/>
      <c r="AA37" s="96"/>
      <c r="AB37" s="96"/>
      <c r="AC37" s="119"/>
      <c r="AD37" s="131">
        <v>949.5</v>
      </c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129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9"/>
      <c r="BN37" s="100"/>
      <c r="BO37" s="100"/>
      <c r="BP37" s="100"/>
      <c r="BQ37" s="100"/>
    </row>
    <row r="38" spans="1:69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393">
        <f t="shared" si="138"/>
        <v>19200</v>
      </c>
      <c r="G38" s="92"/>
      <c r="H38" s="94">
        <f t="shared" si="100"/>
        <v>0</v>
      </c>
      <c r="I38" s="94">
        <f t="shared" si="101"/>
        <v>0</v>
      </c>
      <c r="J38" s="96"/>
      <c r="K38" s="358">
        <v>50813</v>
      </c>
      <c r="L38" s="117"/>
      <c r="M38" s="118"/>
      <c r="N38" s="97">
        <f t="shared" ref="N38:P38" si="142">Z38+AC38+AF38+AI38+AL38+AO38+AR38+AU38+AX38+BA38+BD38+BG38</f>
        <v>0</v>
      </c>
      <c r="O38" s="97">
        <f t="shared" si="142"/>
        <v>28130</v>
      </c>
      <c r="P38" s="97">
        <f t="shared" si="142"/>
        <v>0</v>
      </c>
      <c r="Q38" s="82">
        <f t="shared" ref="Q38:S38" si="143">IF(BJ38=0,SUM(Z38+AC38+AF38+AI38+AL38+AO38+AR38+AU38+AX38+BA38+BD38+BG38),BJ38)</f>
        <v>0</v>
      </c>
      <c r="R38" s="82">
        <f t="shared" si="143"/>
        <v>28130</v>
      </c>
      <c r="S38" s="82">
        <f t="shared" si="143"/>
        <v>0</v>
      </c>
      <c r="T38" s="97">
        <f t="shared" si="104"/>
        <v>0</v>
      </c>
      <c r="U38" s="373">
        <f t="shared" si="62"/>
        <v>22683</v>
      </c>
      <c r="V38" s="97">
        <f t="shared" si="105"/>
        <v>0</v>
      </c>
      <c r="W38" s="98" t="e">
        <f t="shared" ref="W38:X38" si="144">N38/J38</f>
        <v>#DIV/0!</v>
      </c>
      <c r="X38" s="98">
        <f t="shared" si="144"/>
        <v>0.55359848857575822</v>
      </c>
      <c r="Y38" s="98" t="e">
        <f t="shared" si="107"/>
        <v>#DIV/0!</v>
      </c>
      <c r="Z38" s="96"/>
      <c r="AA38" s="96"/>
      <c r="AB38" s="96"/>
      <c r="AC38" s="119"/>
      <c r="AD38" s="119"/>
      <c r="AE38" s="96"/>
      <c r="AF38" s="96"/>
      <c r="AG38" s="96"/>
      <c r="AH38" s="96"/>
      <c r="AI38" s="96"/>
      <c r="AJ38" s="96"/>
      <c r="AK38" s="96"/>
      <c r="AL38" s="129"/>
      <c r="AM38" s="103">
        <v>28130</v>
      </c>
      <c r="AN38" s="96"/>
      <c r="AO38" s="96"/>
      <c r="AP38" s="129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129"/>
      <c r="BH38" s="96"/>
      <c r="BI38" s="96"/>
      <c r="BJ38" s="96"/>
      <c r="BK38" s="96"/>
      <c r="BL38" s="96"/>
      <c r="BM38" s="99"/>
      <c r="BN38" s="100"/>
      <c r="BO38" s="100"/>
      <c r="BP38" s="100"/>
      <c r="BQ38" s="100"/>
    </row>
    <row r="39" spans="1:69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393">
        <f t="shared" si="138"/>
        <v>20000</v>
      </c>
      <c r="G39" s="92"/>
      <c r="H39" s="94">
        <f t="shared" si="100"/>
        <v>0</v>
      </c>
      <c r="I39" s="94">
        <f t="shared" si="101"/>
        <v>0</v>
      </c>
      <c r="J39" s="96"/>
      <c r="K39" s="117"/>
      <c r="L39" s="117"/>
      <c r="M39" s="118"/>
      <c r="N39" s="97">
        <f t="shared" ref="N39:P39" si="145">Z39+AC39+AF39+AI39+AL39+AO39+AR39+AU39+AX39+BA39+BD39+BG39</f>
        <v>0</v>
      </c>
      <c r="O39" s="97">
        <f t="shared" si="145"/>
        <v>0</v>
      </c>
      <c r="P39" s="97">
        <f t="shared" si="145"/>
        <v>0</v>
      </c>
      <c r="Q39" s="82">
        <f t="shared" ref="Q39:S39" si="146">IF(BJ39=0,SUM(Z39+AC39+AF39+AI39+AL39+AO39+AR39+AU39+AX39+BA39+BD39+BG39),BJ39)</f>
        <v>0</v>
      </c>
      <c r="R39" s="82">
        <f t="shared" si="146"/>
        <v>0</v>
      </c>
      <c r="S39" s="82">
        <f t="shared" si="146"/>
        <v>0</v>
      </c>
      <c r="T39" s="97">
        <f t="shared" si="104"/>
        <v>0</v>
      </c>
      <c r="U39" s="97">
        <f t="shared" si="62"/>
        <v>0</v>
      </c>
      <c r="V39" s="97">
        <f t="shared" si="105"/>
        <v>0</v>
      </c>
      <c r="W39" s="98" t="e">
        <f t="shared" ref="W39:X39" si="147">N39/J39</f>
        <v>#DIV/0!</v>
      </c>
      <c r="X39" s="98" t="e">
        <f t="shared" si="147"/>
        <v>#DIV/0!</v>
      </c>
      <c r="Y39" s="98" t="e">
        <f t="shared" si="107"/>
        <v>#DIV/0!</v>
      </c>
      <c r="Z39" s="96"/>
      <c r="AA39" s="96"/>
      <c r="AB39" s="96"/>
      <c r="AC39" s="119"/>
      <c r="AD39" s="119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129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9"/>
      <c r="BN39" s="100"/>
      <c r="BO39" s="100"/>
      <c r="BP39" s="100"/>
      <c r="BQ39" s="100"/>
    </row>
    <row r="40" spans="1:69" ht="15.75" customHeight="1">
      <c r="A40" s="89"/>
      <c r="B40" s="136" t="s">
        <v>263</v>
      </c>
      <c r="C40" s="101" t="s">
        <v>218</v>
      </c>
      <c r="D40" s="91" t="s">
        <v>823</v>
      </c>
      <c r="E40" s="116">
        <v>2344.5</v>
      </c>
      <c r="F40" s="393">
        <f t="shared" si="138"/>
        <v>2344.5</v>
      </c>
      <c r="G40" s="92"/>
      <c r="H40" s="94">
        <f t="shared" si="100"/>
        <v>0</v>
      </c>
      <c r="I40" s="94">
        <f t="shared" si="101"/>
        <v>0</v>
      </c>
      <c r="J40" s="96"/>
      <c r="K40" s="117">
        <v>1424.02</v>
      </c>
      <c r="L40" s="117"/>
      <c r="M40" s="118"/>
      <c r="N40" s="97">
        <f t="shared" ref="N40:P40" si="148">Z40+AC40+AF40+AI40+AL40+AO40+AR40+AU40+AX40+BA40+BD40+BG40</f>
        <v>0</v>
      </c>
      <c r="O40" s="97">
        <f t="shared" si="148"/>
        <v>327.84000000000003</v>
      </c>
      <c r="P40" s="97">
        <f t="shared" si="148"/>
        <v>0</v>
      </c>
      <c r="Q40" s="82">
        <f t="shared" ref="Q40:S40" si="149">IF(BJ40=0,SUM(Z40+AC40+AF40+AI40+AL40+AO40+AR40+AU40+AX40+BA40+BD40+BG40),BJ40)</f>
        <v>0</v>
      </c>
      <c r="R40" s="82">
        <f t="shared" si="149"/>
        <v>327.84000000000003</v>
      </c>
      <c r="S40" s="82">
        <f t="shared" si="149"/>
        <v>0</v>
      </c>
      <c r="T40" s="97">
        <f t="shared" si="104"/>
        <v>0</v>
      </c>
      <c r="U40" s="97">
        <f t="shared" si="62"/>
        <v>1096.1799999999998</v>
      </c>
      <c r="V40" s="97">
        <f t="shared" si="105"/>
        <v>0</v>
      </c>
      <c r="W40" s="98" t="e">
        <f t="shared" ref="W40:X40" si="150">N40/J40</f>
        <v>#DIV/0!</v>
      </c>
      <c r="X40" s="98">
        <f t="shared" si="150"/>
        <v>0.23022148565329142</v>
      </c>
      <c r="Y40" s="98" t="e">
        <f t="shared" si="107"/>
        <v>#DIV/0!</v>
      </c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129"/>
      <c r="AQ40" s="96"/>
      <c r="AR40" s="96"/>
      <c r="AS40" s="96">
        <f>191.24+136.6</f>
        <v>327.84000000000003</v>
      </c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9"/>
      <c r="BN40" s="100"/>
      <c r="BO40" s="100"/>
      <c r="BP40" s="100"/>
      <c r="BQ40" s="100"/>
    </row>
    <row r="41" spans="1:69" ht="15.75" customHeight="1">
      <c r="A41" s="354" t="s">
        <v>696</v>
      </c>
      <c r="B41" s="136" t="s">
        <v>265</v>
      </c>
      <c r="C41" s="101" t="s">
        <v>266</v>
      </c>
      <c r="D41" s="91" t="s">
        <v>267</v>
      </c>
      <c r="E41" s="116">
        <v>2000</v>
      </c>
      <c r="F41" s="392">
        <v>6000</v>
      </c>
      <c r="G41" s="92"/>
      <c r="H41" s="94">
        <f t="shared" si="100"/>
        <v>2.5582099999999999</v>
      </c>
      <c r="I41" s="94">
        <f t="shared" si="101"/>
        <v>1.805E-3</v>
      </c>
      <c r="J41" s="96">
        <f>34.91+5081.51</f>
        <v>5116.42</v>
      </c>
      <c r="K41" s="117">
        <v>576.45000000000005</v>
      </c>
      <c r="L41" s="117"/>
      <c r="M41" s="118"/>
      <c r="N41" s="97">
        <f t="shared" ref="N41:P41" si="151">Z41+AC41+AF41+AI41+AL41+AO41+AR41+AU41+AX41+BA41+BD41+BG41</f>
        <v>3.61</v>
      </c>
      <c r="O41" s="97">
        <f t="shared" si="151"/>
        <v>0</v>
      </c>
      <c r="P41" s="97">
        <f t="shared" si="151"/>
        <v>0</v>
      </c>
      <c r="Q41" s="82">
        <f t="shared" ref="Q41:S41" si="152">IF(BJ41=0,SUM(Z41+AC41+AF41+AI41+AL41+AO41+AR41+AU41+AX41+BA41+BD41+BG41),BJ41)</f>
        <v>3.61</v>
      </c>
      <c r="R41" s="82">
        <f t="shared" si="152"/>
        <v>0</v>
      </c>
      <c r="S41" s="82">
        <f t="shared" si="152"/>
        <v>0</v>
      </c>
      <c r="T41" s="97">
        <f t="shared" si="104"/>
        <v>5112.8100000000004</v>
      </c>
      <c r="U41" s="97">
        <f t="shared" si="62"/>
        <v>576.45000000000005</v>
      </c>
      <c r="V41" s="97">
        <f t="shared" si="105"/>
        <v>0</v>
      </c>
      <c r="W41" s="98">
        <f t="shared" ref="W41:X41" si="153">N41/J41</f>
        <v>7.0557147380394887E-4</v>
      </c>
      <c r="X41" s="98">
        <f t="shared" si="153"/>
        <v>0</v>
      </c>
      <c r="Y41" s="98" t="e">
        <f t="shared" si="107"/>
        <v>#DIV/0!</v>
      </c>
      <c r="Z41" s="96"/>
      <c r="AA41" s="96"/>
      <c r="AB41" s="96"/>
      <c r="AC41" s="119"/>
      <c r="AD41" s="119"/>
      <c r="AE41" s="96"/>
      <c r="AF41" s="103">
        <v>3.61</v>
      </c>
      <c r="AG41" s="96"/>
      <c r="AH41" s="96"/>
      <c r="AI41" s="96"/>
      <c r="AJ41" s="96"/>
      <c r="AK41" s="96"/>
      <c r="AL41" s="96"/>
      <c r="AM41" s="96"/>
      <c r="AN41" s="96"/>
      <c r="AO41" s="96"/>
      <c r="AP41" s="129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9"/>
      <c r="BN41" s="100"/>
      <c r="BO41" s="100"/>
      <c r="BP41" s="100"/>
      <c r="BQ41" s="100"/>
    </row>
    <row r="42" spans="1:69" ht="15.75" customHeight="1">
      <c r="A42" s="356" t="s">
        <v>697</v>
      </c>
      <c r="B42" s="114"/>
      <c r="C42" s="101" t="s">
        <v>268</v>
      </c>
      <c r="D42" s="91" t="s">
        <v>824</v>
      </c>
      <c r="E42" s="116">
        <f>5000+1000</f>
        <v>6000</v>
      </c>
      <c r="F42" s="392">
        <v>5550</v>
      </c>
      <c r="G42" s="92"/>
      <c r="H42" s="94">
        <f t="shared" si="100"/>
        <v>0.92500000000000004</v>
      </c>
      <c r="I42" s="94">
        <f t="shared" si="101"/>
        <v>0.92500000000000004</v>
      </c>
      <c r="J42" s="103">
        <f>550+5000</f>
        <v>5550</v>
      </c>
      <c r="K42" s="117"/>
      <c r="L42" s="117"/>
      <c r="M42" s="118"/>
      <c r="N42" s="97">
        <f t="shared" ref="N42:P42" si="154">Z42+AC42+AF42+AI42+AL42+AO42+AR42+AU42+AX42+BA42+BD42+BG42</f>
        <v>5550</v>
      </c>
      <c r="O42" s="97">
        <f t="shared" si="154"/>
        <v>0</v>
      </c>
      <c r="P42" s="97">
        <f t="shared" si="154"/>
        <v>0</v>
      </c>
      <c r="Q42" s="82">
        <f t="shared" ref="Q42:S42" si="155">IF(BJ42=0,SUM(Z42+AC42+AF42+AI42+AL42+AO42+AR42+AU42+AX42+BA42+BD42+BG42),BJ42)</f>
        <v>5550</v>
      </c>
      <c r="R42" s="82">
        <f t="shared" si="155"/>
        <v>0</v>
      </c>
      <c r="S42" s="82">
        <f t="shared" si="155"/>
        <v>0</v>
      </c>
      <c r="T42" s="97">
        <f t="shared" si="104"/>
        <v>0</v>
      </c>
      <c r="U42" s="97">
        <f t="shared" si="62"/>
        <v>0</v>
      </c>
      <c r="V42" s="97">
        <f t="shared" si="105"/>
        <v>0</v>
      </c>
      <c r="W42" s="98">
        <f t="shared" ref="W42:X42" si="156">N42/J42</f>
        <v>1</v>
      </c>
      <c r="X42" s="98" t="e">
        <f t="shared" si="156"/>
        <v>#DIV/0!</v>
      </c>
      <c r="Y42" s="98" t="e">
        <f t="shared" si="107"/>
        <v>#DIV/0!</v>
      </c>
      <c r="Z42" s="96"/>
      <c r="AA42" s="96"/>
      <c r="AB42" s="96"/>
      <c r="AC42" s="119"/>
      <c r="AD42" s="119"/>
      <c r="AE42" s="96"/>
      <c r="AF42" s="103">
        <v>550</v>
      </c>
      <c r="AG42" s="96"/>
      <c r="AH42" s="96"/>
      <c r="AI42" s="96"/>
      <c r="AJ42" s="96"/>
      <c r="AK42" s="96"/>
      <c r="AL42" s="96"/>
      <c r="AM42" s="96"/>
      <c r="AN42" s="96"/>
      <c r="AO42" s="96">
        <f>5000</f>
        <v>5000</v>
      </c>
      <c r="AP42" s="129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9"/>
      <c r="BN42" s="100"/>
      <c r="BO42" s="100"/>
      <c r="BP42" s="100"/>
      <c r="BQ42" s="100"/>
    </row>
    <row r="43" spans="1:69" ht="15.75" customHeight="1">
      <c r="A43" s="354" t="s">
        <v>699</v>
      </c>
      <c r="B43" s="136" t="s">
        <v>270</v>
      </c>
      <c r="C43" s="101" t="s">
        <v>271</v>
      </c>
      <c r="D43" s="91" t="s">
        <v>825</v>
      </c>
      <c r="E43" s="116">
        <v>30000</v>
      </c>
      <c r="F43" s="394">
        <v>89466.47</v>
      </c>
      <c r="G43" s="92"/>
      <c r="H43" s="94">
        <f t="shared" si="100"/>
        <v>0.68436999999999992</v>
      </c>
      <c r="I43" s="94">
        <f t="shared" si="101"/>
        <v>0.68541700000000005</v>
      </c>
      <c r="J43" s="96">
        <f>17500+597+447.6+1083.4+648+255.1</f>
        <v>20531.099999999999</v>
      </c>
      <c r="K43" s="135">
        <v>362.4</v>
      </c>
      <c r="L43" s="135">
        <v>362.4</v>
      </c>
      <c r="M43" s="118"/>
      <c r="N43" s="97">
        <f t="shared" ref="N43:P43" si="157">Z43+AC43+AF43+AI43+AL43+AO43+AR43+AU43+AX43+BA43+BD43+BG43</f>
        <v>20562.510000000002</v>
      </c>
      <c r="O43" s="97">
        <f t="shared" si="157"/>
        <v>0</v>
      </c>
      <c r="P43" s="97">
        <f t="shared" si="157"/>
        <v>0</v>
      </c>
      <c r="Q43" s="82">
        <f t="shared" ref="Q43:S43" si="158">IF(BJ43=0,SUM(Z43+AC43+AF43+AI43+AL43+AO43+AR43+AU43+AX43+BA43+BD43+BG43),BJ43)</f>
        <v>20562.510000000002</v>
      </c>
      <c r="R43" s="82">
        <f t="shared" si="158"/>
        <v>0</v>
      </c>
      <c r="S43" s="82">
        <f t="shared" si="158"/>
        <v>0</v>
      </c>
      <c r="T43" s="97">
        <f t="shared" si="104"/>
        <v>-31.410000000003492</v>
      </c>
      <c r="U43" s="97">
        <f t="shared" si="62"/>
        <v>0</v>
      </c>
      <c r="V43" s="97">
        <f t="shared" si="105"/>
        <v>0</v>
      </c>
      <c r="W43" s="98">
        <f t="shared" ref="W43:X43" si="159">N43/J43</f>
        <v>1.0015298741908618</v>
      </c>
      <c r="X43" s="98">
        <f t="shared" si="159"/>
        <v>0</v>
      </c>
      <c r="Y43" s="98" t="e">
        <f t="shared" si="107"/>
        <v>#DIV/0!</v>
      </c>
      <c r="Z43" s="96"/>
      <c r="AA43" s="96"/>
      <c r="AB43" s="96"/>
      <c r="AC43" s="119"/>
      <c r="AD43" s="119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103">
        <v>9548.75</v>
      </c>
      <c r="AP43" s="129"/>
      <c r="AQ43" s="96"/>
      <c r="AR43" s="103">
        <f>648+255.1+447.6+1083.4+8579.66</f>
        <v>11013.76</v>
      </c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9"/>
      <c r="BN43" s="100"/>
      <c r="BO43" s="100"/>
      <c r="BP43" s="100"/>
      <c r="BQ43" s="100"/>
    </row>
    <row r="44" spans="1:69" ht="15.75" customHeight="1">
      <c r="A44" s="359" t="s">
        <v>826</v>
      </c>
      <c r="B44" s="140" t="s">
        <v>273</v>
      </c>
      <c r="C44" s="101" t="s">
        <v>161</v>
      </c>
      <c r="D44" s="91" t="s">
        <v>98</v>
      </c>
      <c r="E44" s="116">
        <v>20000</v>
      </c>
      <c r="F44" s="393">
        <f>E44</f>
        <v>20000</v>
      </c>
      <c r="G44" s="92"/>
      <c r="H44" s="94">
        <f t="shared" si="100"/>
        <v>0.20668000000000003</v>
      </c>
      <c r="I44" s="94">
        <f t="shared" si="101"/>
        <v>0.129583</v>
      </c>
      <c r="J44" s="103">
        <f>2658.6+1475</f>
        <v>4133.6000000000004</v>
      </c>
      <c r="K44" s="117">
        <f>1256.9+740+1407.15+678.68+610.54+4654.38+742.72+1006.2+186.96</f>
        <v>11283.53</v>
      </c>
      <c r="L44" s="135">
        <v>186.96</v>
      </c>
      <c r="M44" s="118"/>
      <c r="N44" s="97">
        <f t="shared" ref="N44:P44" si="160">Z44+AC44+AF44+AI44+AL44+AO44+AR44+AU44+AX44+BA44+BD44+BG44</f>
        <v>2591.66</v>
      </c>
      <c r="O44" s="97">
        <f t="shared" si="160"/>
        <v>4959.4699999999993</v>
      </c>
      <c r="P44" s="97">
        <f t="shared" si="160"/>
        <v>0</v>
      </c>
      <c r="Q44" s="82">
        <f t="shared" ref="Q44:S44" si="161">IF(BJ44=0,SUM(Z44+AC44+AF44+AI44+AL44+AO44+AR44+AU44+AX44+BA44+BD44+BG44),BJ44)</f>
        <v>2591.66</v>
      </c>
      <c r="R44" s="82">
        <f t="shared" si="161"/>
        <v>4959.4699999999993</v>
      </c>
      <c r="S44" s="82">
        <f t="shared" si="161"/>
        <v>0</v>
      </c>
      <c r="T44" s="97">
        <f t="shared" si="104"/>
        <v>1541.9400000000005</v>
      </c>
      <c r="U44" s="97">
        <f t="shared" si="62"/>
        <v>6137.1000000000022</v>
      </c>
      <c r="V44" s="97">
        <f t="shared" si="105"/>
        <v>0</v>
      </c>
      <c r="W44" s="98">
        <f t="shared" ref="W44:X44" si="162">N44/J44</f>
        <v>0.62697406618927798</v>
      </c>
      <c r="X44" s="98">
        <f t="shared" si="162"/>
        <v>0.43953177773267754</v>
      </c>
      <c r="Y44" s="98" t="e">
        <f t="shared" si="107"/>
        <v>#DIV/0!</v>
      </c>
      <c r="Z44" s="96"/>
      <c r="AA44" s="96"/>
      <c r="AB44" s="96"/>
      <c r="AC44" s="119"/>
      <c r="AD44" s="119">
        <f>427.8</f>
        <v>427.8</v>
      </c>
      <c r="AE44" s="96"/>
      <c r="AF44" s="96"/>
      <c r="AG44" s="103">
        <f>1006.2+2085.83+182.74</f>
        <v>3274.7699999999995</v>
      </c>
      <c r="AH44" s="96"/>
      <c r="AI44" s="96"/>
      <c r="AJ44" s="96"/>
      <c r="AK44" s="96"/>
      <c r="AL44" s="96"/>
      <c r="AM44" s="96"/>
      <c r="AN44" s="96"/>
      <c r="AO44" s="96"/>
      <c r="AP44" s="129"/>
      <c r="AQ44" s="96"/>
      <c r="AR44" s="96">
        <f>2591.66</f>
        <v>2591.66</v>
      </c>
      <c r="AS44" s="96">
        <f>1256.9</f>
        <v>1256.9000000000001</v>
      </c>
      <c r="AT44" s="96"/>
      <c r="AU44" s="103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9"/>
      <c r="BN44" s="100"/>
      <c r="BO44" s="100"/>
      <c r="BP44" s="100"/>
      <c r="BQ44" s="100"/>
    </row>
    <row r="45" spans="1:69" ht="15.75" customHeight="1">
      <c r="A45" s="359" t="s">
        <v>827</v>
      </c>
      <c r="B45" s="141" t="s">
        <v>828</v>
      </c>
      <c r="C45" s="101" t="s">
        <v>271</v>
      </c>
      <c r="D45" s="91" t="s">
        <v>99</v>
      </c>
      <c r="E45" s="116">
        <v>60000</v>
      </c>
      <c r="F45" s="397">
        <v>80000</v>
      </c>
      <c r="G45" s="93">
        <v>50000</v>
      </c>
      <c r="H45" s="94">
        <f t="shared" si="100"/>
        <v>0.41735016666666669</v>
      </c>
      <c r="I45" s="94">
        <f t="shared" si="101"/>
        <v>0.22660066666666664</v>
      </c>
      <c r="J45" s="142">
        <f>1890+2443+727.8+5511.95+3821.32+104.82+319.96+1524+3081+145.33+303.98+107.96+2284.4+1796+979.49</f>
        <v>25041.010000000002</v>
      </c>
      <c r="K45" s="117">
        <f>4740+413+1266+3806.39</f>
        <v>10225.39</v>
      </c>
      <c r="L45" s="117">
        <f>413+1266+3806.39</f>
        <v>5485.3899999999994</v>
      </c>
      <c r="M45" s="118"/>
      <c r="N45" s="97">
        <f t="shared" ref="N45:P45" si="163">Z45+AC45+AF45+AI45+AL45+AO45+AR45+AU45+AX45+BA45+BD45+BG45</f>
        <v>13596.039999999999</v>
      </c>
      <c r="O45" s="97">
        <f t="shared" si="163"/>
        <v>4740</v>
      </c>
      <c r="P45" s="97">
        <f t="shared" si="163"/>
        <v>0</v>
      </c>
      <c r="Q45" s="82">
        <f t="shared" ref="Q45:S45" si="164">IF(BJ45=0,SUM(Z45+AC45+AF45+AI45+AL45+AO45+AR45+AU45+AX45+BA45+BD45+BG45),BJ45)</f>
        <v>13596.039999999999</v>
      </c>
      <c r="R45" s="82">
        <f t="shared" si="164"/>
        <v>4740</v>
      </c>
      <c r="S45" s="82">
        <f t="shared" si="164"/>
        <v>0</v>
      </c>
      <c r="T45" s="97">
        <f t="shared" si="104"/>
        <v>11444.970000000003</v>
      </c>
      <c r="U45" s="97">
        <f t="shared" si="62"/>
        <v>0</v>
      </c>
      <c r="V45" s="97">
        <f t="shared" si="105"/>
        <v>0</v>
      </c>
      <c r="W45" s="98">
        <f t="shared" ref="W45:X45" si="165">N45/J45</f>
        <v>0.54295094327265547</v>
      </c>
      <c r="X45" s="98">
        <f t="shared" si="165"/>
        <v>0.46355200143955394</v>
      </c>
      <c r="Y45" s="98" t="e">
        <f t="shared" si="107"/>
        <v>#DIV/0!</v>
      </c>
      <c r="Z45" s="129"/>
      <c r="AA45" s="103">
        <v>4740</v>
      </c>
      <c r="AB45" s="129"/>
      <c r="AC45" s="119"/>
      <c r="AD45" s="119"/>
      <c r="AE45" s="129"/>
      <c r="AF45" s="129"/>
      <c r="AG45" s="129"/>
      <c r="AH45" s="129"/>
      <c r="AI45" s="260">
        <f>1890+2443+104.82</f>
        <v>4437.82</v>
      </c>
      <c r="AJ45" s="129"/>
      <c r="AK45" s="129"/>
      <c r="AL45" s="260">
        <f>3081+1524</f>
        <v>4605</v>
      </c>
      <c r="AM45" s="129"/>
      <c r="AN45" s="129"/>
      <c r="AO45" s="129">
        <f>303.98+319.96+107.96</f>
        <v>731.90000000000009</v>
      </c>
      <c r="AP45" s="129"/>
      <c r="AQ45" s="129"/>
      <c r="AR45" s="129">
        <f>3821.32</f>
        <v>3821.32</v>
      </c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99"/>
      <c r="BN45" s="100"/>
      <c r="BO45" s="100"/>
      <c r="BP45" s="100"/>
      <c r="BQ45" s="100"/>
    </row>
    <row r="46" spans="1:69" ht="15.75" customHeight="1">
      <c r="A46" s="374" t="s">
        <v>647</v>
      </c>
      <c r="B46" s="136"/>
      <c r="C46" s="101" t="s">
        <v>275</v>
      </c>
      <c r="D46" s="91" t="s">
        <v>276</v>
      </c>
      <c r="E46" s="116">
        <v>13000</v>
      </c>
      <c r="F46" s="393"/>
      <c r="G46" s="92"/>
      <c r="H46" s="94">
        <f t="shared" si="100"/>
        <v>0.22306538461538464</v>
      </c>
      <c r="I46" s="94">
        <f t="shared" si="101"/>
        <v>0.22299615384615384</v>
      </c>
      <c r="J46" s="103">
        <f>1949.9+949.95</f>
        <v>2899.8500000000004</v>
      </c>
      <c r="K46" s="358">
        <v>30000</v>
      </c>
      <c r="L46" s="117"/>
      <c r="M46" s="118"/>
      <c r="N46" s="97">
        <f t="shared" ref="N46:N67" si="166">Z46+AC46+AF46+AI46+AL46+AO46+AR46+AU46+AX46+BA46+BD46+BG46</f>
        <v>2898.95</v>
      </c>
      <c r="O46" s="97">
        <f>AD46+AG46+AJ46+AM46+AP46+AS46+AV46+AY46+BB46+BE46+BH46</f>
        <v>0</v>
      </c>
      <c r="P46" s="97">
        <f>AB46+AE46+AH46+AK46+AN46+AQ46+AT46+AW46+AZ46+BC46+BF46+BI46</f>
        <v>0</v>
      </c>
      <c r="Q46" s="82">
        <f t="shared" ref="Q46:S46" si="167">IF(BJ46=0,SUM(Z46+AC46+AF46+AI46+AL46+AO46+AR46+AU46+AX46+BA46+BD46+BG46),BJ46)</f>
        <v>2898.95</v>
      </c>
      <c r="R46" s="82">
        <f t="shared" si="167"/>
        <v>0</v>
      </c>
      <c r="S46" s="82">
        <f t="shared" si="167"/>
        <v>0</v>
      </c>
      <c r="T46" s="97">
        <f t="shared" si="104"/>
        <v>0.9000000000005457</v>
      </c>
      <c r="U46" s="373">
        <f t="shared" si="62"/>
        <v>30000</v>
      </c>
      <c r="V46" s="97">
        <f t="shared" si="105"/>
        <v>0</v>
      </c>
      <c r="W46" s="98">
        <f t="shared" ref="W46:X46" si="168">N46/J46</f>
        <v>0.99968963911926456</v>
      </c>
      <c r="X46" s="98">
        <f t="shared" si="168"/>
        <v>0</v>
      </c>
      <c r="Y46" s="98" t="e">
        <f t="shared" si="107"/>
        <v>#DIV/0!</v>
      </c>
      <c r="Z46" s="129"/>
      <c r="AA46" s="126"/>
      <c r="AB46" s="129"/>
      <c r="AC46" s="119"/>
      <c r="AD46" s="119"/>
      <c r="AE46" s="129"/>
      <c r="AF46" s="129"/>
      <c r="AG46" s="129"/>
      <c r="AH46" s="129"/>
      <c r="AI46" s="129"/>
      <c r="AJ46" s="129"/>
      <c r="AK46" s="129"/>
      <c r="AL46" s="260">
        <v>949.95</v>
      </c>
      <c r="AM46" s="129"/>
      <c r="AN46" s="129"/>
      <c r="AO46" s="260">
        <v>1949</v>
      </c>
      <c r="AP46" s="129"/>
      <c r="AQ46" s="129"/>
      <c r="AR46" s="129"/>
      <c r="AS46" s="260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99"/>
      <c r="BN46" s="100"/>
      <c r="BO46" s="100"/>
      <c r="BP46" s="100"/>
      <c r="BQ46" s="100"/>
    </row>
    <row r="47" spans="1:69" ht="15.75" customHeight="1">
      <c r="A47" s="111"/>
      <c r="B47" s="136" t="s">
        <v>277</v>
      </c>
      <c r="C47" s="101" t="s">
        <v>278</v>
      </c>
      <c r="D47" s="122" t="s">
        <v>829</v>
      </c>
      <c r="E47" s="116"/>
      <c r="F47" s="393">
        <f>E47</f>
        <v>0</v>
      </c>
      <c r="G47" s="93"/>
      <c r="H47" s="94" t="e">
        <f t="shared" si="100"/>
        <v>#DIV/0!</v>
      </c>
      <c r="I47" s="94" t="e">
        <f t="shared" si="101"/>
        <v>#DIV/0!</v>
      </c>
      <c r="J47" s="96"/>
      <c r="K47" s="117">
        <v>22098.39</v>
      </c>
      <c r="L47" s="135">
        <v>13647.06</v>
      </c>
      <c r="M47" s="118"/>
      <c r="N47" s="97">
        <f t="shared" si="166"/>
        <v>0</v>
      </c>
      <c r="O47" s="97">
        <f t="shared" ref="O47:P47" si="169">AA47+AD47+AG47+AJ47+AM47+AP47+AS47+AV47+AY47+BB47+BE47+BH47</f>
        <v>8451.33</v>
      </c>
      <c r="P47" s="97">
        <f t="shared" si="169"/>
        <v>0</v>
      </c>
      <c r="Q47" s="82">
        <f t="shared" ref="Q47:S47" si="170">IF(BJ47=0,SUM(Z47+AC47+AF47+AI47+AL47+AO47+AR47+AU47+AX47+BA47+BD47+BG47),BJ47)</f>
        <v>0</v>
      </c>
      <c r="R47" s="82">
        <f t="shared" si="170"/>
        <v>8451.33</v>
      </c>
      <c r="S47" s="82">
        <f t="shared" si="170"/>
        <v>0</v>
      </c>
      <c r="T47" s="97">
        <f t="shared" si="104"/>
        <v>0</v>
      </c>
      <c r="U47" s="97">
        <f t="shared" si="62"/>
        <v>0</v>
      </c>
      <c r="V47" s="97">
        <f t="shared" si="105"/>
        <v>0</v>
      </c>
      <c r="W47" s="98" t="e">
        <f t="shared" ref="W47:X47" si="171">N47/J47</f>
        <v>#DIV/0!</v>
      </c>
      <c r="X47" s="98">
        <f t="shared" si="171"/>
        <v>0.38244098325715131</v>
      </c>
      <c r="Y47" s="98" t="e">
        <f t="shared" si="107"/>
        <v>#DIV/0!</v>
      </c>
      <c r="Z47" s="129"/>
      <c r="AA47" s="96"/>
      <c r="AB47" s="129"/>
      <c r="AC47" s="119"/>
      <c r="AD47" s="119"/>
      <c r="AE47" s="129"/>
      <c r="AF47" s="129"/>
      <c r="AG47" s="260">
        <v>8367.65</v>
      </c>
      <c r="AH47" s="129"/>
      <c r="AI47" s="129"/>
      <c r="AJ47" s="129"/>
      <c r="AK47" s="129"/>
      <c r="AL47" s="129"/>
      <c r="AM47" s="260">
        <v>83.68</v>
      </c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99"/>
      <c r="BN47" s="100"/>
      <c r="BO47" s="100"/>
      <c r="BP47" s="100"/>
      <c r="BQ47" s="100"/>
    </row>
    <row r="48" spans="1:69" ht="15.75" customHeight="1">
      <c r="A48" s="360" t="s">
        <v>649</v>
      </c>
      <c r="B48" s="143" t="s">
        <v>830</v>
      </c>
      <c r="C48" s="101" t="s">
        <v>278</v>
      </c>
      <c r="D48" s="91" t="s">
        <v>831</v>
      </c>
      <c r="E48" s="116"/>
      <c r="F48" s="398">
        <v>65000</v>
      </c>
      <c r="G48" s="123" t="s">
        <v>832</v>
      </c>
      <c r="H48" s="94" t="e">
        <f t="shared" si="100"/>
        <v>#DIV/0!</v>
      </c>
      <c r="I48" s="94" t="e">
        <f t="shared" si="101"/>
        <v>#DIV/0!</v>
      </c>
      <c r="J48" s="103">
        <v>33207.879999999997</v>
      </c>
      <c r="K48" s="117">
        <f>50068.66+42203.34</f>
        <v>92272</v>
      </c>
      <c r="L48" s="117"/>
      <c r="M48" s="96"/>
      <c r="N48" s="97">
        <f t="shared" si="166"/>
        <v>19996.05</v>
      </c>
      <c r="O48" s="97">
        <f t="shared" ref="O48:P48" si="172">AA48+AD48+AG48+AJ48+AM48+AP48+AS48+AV48+AY48+BB48+BE48+BH48</f>
        <v>92272</v>
      </c>
      <c r="P48" s="97">
        <f t="shared" si="172"/>
        <v>0</v>
      </c>
      <c r="Q48" s="82">
        <f t="shared" ref="Q48:S48" si="173">IF(BJ48=0,SUM(Z48+AC48+AF48+AI48+AL48+AO48+AR48+AU48+AX48+BA48+BD48+BG48),BJ48)</f>
        <v>19996.05</v>
      </c>
      <c r="R48" s="82">
        <f t="shared" si="173"/>
        <v>92272</v>
      </c>
      <c r="S48" s="82">
        <f t="shared" si="173"/>
        <v>0</v>
      </c>
      <c r="T48" s="97">
        <f t="shared" si="104"/>
        <v>13211.829999999998</v>
      </c>
      <c r="U48" s="97">
        <f t="shared" si="62"/>
        <v>0</v>
      </c>
      <c r="V48" s="97">
        <f t="shared" si="105"/>
        <v>0</v>
      </c>
      <c r="W48" s="98">
        <f t="shared" ref="W48:X48" si="174">N48/J48</f>
        <v>0.60214774324648246</v>
      </c>
      <c r="X48" s="98">
        <f t="shared" si="174"/>
        <v>1</v>
      </c>
      <c r="Y48" s="98" t="e">
        <f t="shared" si="107"/>
        <v>#DIV/0!</v>
      </c>
      <c r="Z48" s="129"/>
      <c r="AA48" s="103">
        <v>49298.9</v>
      </c>
      <c r="AB48" s="129"/>
      <c r="AC48" s="119"/>
      <c r="AD48" s="119"/>
      <c r="AE48" s="129"/>
      <c r="AF48" s="129"/>
      <c r="AG48" s="129">
        <f>24069.07-6782.31</f>
        <v>17286.759999999998</v>
      </c>
      <c r="AH48" s="129"/>
      <c r="AI48" s="129"/>
      <c r="AJ48" s="129"/>
      <c r="AK48" s="129"/>
      <c r="AL48" s="260">
        <v>19996.05</v>
      </c>
      <c r="AM48" s="260">
        <f>12474.51+13211.83</f>
        <v>25686.34</v>
      </c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99"/>
      <c r="BN48" s="100"/>
      <c r="BO48" s="100"/>
      <c r="BP48" s="100"/>
      <c r="BQ48" s="100"/>
    </row>
    <row r="49" spans="1:69" ht="15.75" customHeight="1">
      <c r="A49" s="111"/>
      <c r="B49" s="136" t="s">
        <v>282</v>
      </c>
      <c r="C49" s="101" t="s">
        <v>278</v>
      </c>
      <c r="D49" s="91" t="s">
        <v>833</v>
      </c>
      <c r="E49" s="116"/>
      <c r="F49" s="393">
        <f t="shared" ref="F49:F53" si="175">E49</f>
        <v>0</v>
      </c>
      <c r="G49" s="92"/>
      <c r="H49" s="94" t="e">
        <f t="shared" si="100"/>
        <v>#DIV/0!</v>
      </c>
      <c r="I49" s="94" t="e">
        <f t="shared" si="101"/>
        <v>#DIV/0!</v>
      </c>
      <c r="J49" s="96"/>
      <c r="K49" s="117">
        <v>6782.31</v>
      </c>
      <c r="L49" s="117"/>
      <c r="M49" s="96"/>
      <c r="N49" s="97">
        <f t="shared" si="166"/>
        <v>0</v>
      </c>
      <c r="O49" s="97">
        <f t="shared" ref="O49:P49" si="176">AA49+AD49+AG49+AJ49+AM49+AP49+AS49+AV49+AY49+BB49+BE49+BH49</f>
        <v>6782.31</v>
      </c>
      <c r="P49" s="97">
        <f t="shared" si="176"/>
        <v>0</v>
      </c>
      <c r="Q49" s="82">
        <f t="shared" ref="Q49:S49" si="177">IF(BJ49=0,SUM(Z49+AC49+AF49+AI49+AL49+AO49+AR49+AU49+AX49+BA49+BD49+BG49),BJ49)</f>
        <v>0</v>
      </c>
      <c r="R49" s="82">
        <f t="shared" si="177"/>
        <v>6782.31</v>
      </c>
      <c r="S49" s="82">
        <f t="shared" si="177"/>
        <v>0</v>
      </c>
      <c r="T49" s="97">
        <f t="shared" si="104"/>
        <v>0</v>
      </c>
      <c r="U49" s="97">
        <f t="shared" si="62"/>
        <v>0</v>
      </c>
      <c r="V49" s="97">
        <f t="shared" si="105"/>
        <v>0</v>
      </c>
      <c r="W49" s="98" t="e">
        <f t="shared" ref="W49:X49" si="178">N49/J49</f>
        <v>#DIV/0!</v>
      </c>
      <c r="X49" s="98">
        <f t="shared" si="178"/>
        <v>1</v>
      </c>
      <c r="Y49" s="98" t="e">
        <f t="shared" si="107"/>
        <v>#DIV/0!</v>
      </c>
      <c r="Z49" s="129"/>
      <c r="AA49" s="96"/>
      <c r="AB49" s="129"/>
      <c r="AC49" s="119"/>
      <c r="AD49" s="119"/>
      <c r="AE49" s="129"/>
      <c r="AF49" s="129"/>
      <c r="AG49" s="129">
        <f>6782.31</f>
        <v>6782.31</v>
      </c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99"/>
      <c r="BN49" s="100"/>
      <c r="BO49" s="100"/>
      <c r="BP49" s="100"/>
      <c r="BQ49" s="100"/>
    </row>
    <row r="50" spans="1:69" ht="15.75" customHeight="1">
      <c r="A50" s="111"/>
      <c r="B50" s="140" t="s">
        <v>284</v>
      </c>
      <c r="C50" s="101" t="s">
        <v>242</v>
      </c>
      <c r="D50" s="91" t="s">
        <v>834</v>
      </c>
      <c r="E50" s="116"/>
      <c r="F50" s="393">
        <f t="shared" si="175"/>
        <v>0</v>
      </c>
      <c r="G50" s="92"/>
      <c r="H50" s="94" t="e">
        <f t="shared" si="100"/>
        <v>#DIV/0!</v>
      </c>
      <c r="I50" s="94" t="e">
        <f t="shared" si="101"/>
        <v>#DIV/0!</v>
      </c>
      <c r="J50" s="133"/>
      <c r="K50" s="117">
        <f>51880+30383</f>
        <v>82263</v>
      </c>
      <c r="L50" s="117"/>
      <c r="M50" s="96"/>
      <c r="N50" s="97">
        <f t="shared" si="166"/>
        <v>0</v>
      </c>
      <c r="O50" s="97">
        <f t="shared" ref="O50:P50" si="179">AA50+AD50+AG50+AJ50+AM50+AP50+AS50+AV50+AY50+BB50+BE50+BH50</f>
        <v>82263</v>
      </c>
      <c r="P50" s="97">
        <f t="shared" si="179"/>
        <v>0</v>
      </c>
      <c r="Q50" s="82">
        <f t="shared" ref="Q50:S50" si="180">IF(BJ50=0,SUM(Z50+AC50+AF50+AI50+AL50+AO50+AR50+AU50+AX50+BA50+BD50+BG50),BJ50)</f>
        <v>0</v>
      </c>
      <c r="R50" s="82">
        <f t="shared" si="180"/>
        <v>82263</v>
      </c>
      <c r="S50" s="82">
        <f t="shared" si="180"/>
        <v>0</v>
      </c>
      <c r="T50" s="97">
        <f t="shared" si="104"/>
        <v>0</v>
      </c>
      <c r="U50" s="97">
        <f t="shared" si="62"/>
        <v>0</v>
      </c>
      <c r="V50" s="97">
        <f t="shared" si="105"/>
        <v>0</v>
      </c>
      <c r="W50" s="98" t="e">
        <f t="shared" ref="W50:X50" si="181">N50/J50</f>
        <v>#DIV/0!</v>
      </c>
      <c r="X50" s="98">
        <f t="shared" si="181"/>
        <v>1</v>
      </c>
      <c r="Y50" s="98" t="e">
        <f t="shared" si="107"/>
        <v>#DIV/0!</v>
      </c>
      <c r="Z50" s="129"/>
      <c r="AA50" s="96"/>
      <c r="AB50" s="129"/>
      <c r="AC50" s="119"/>
      <c r="AD50" s="119">
        <f>11880+31280</f>
        <v>43160</v>
      </c>
      <c r="AE50" s="129"/>
      <c r="AF50" s="129"/>
      <c r="AG50" s="129">
        <f>39103</f>
        <v>39103</v>
      </c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99"/>
      <c r="BN50" s="100"/>
      <c r="BO50" s="100"/>
      <c r="BP50" s="100"/>
      <c r="BQ50" s="100"/>
    </row>
    <row r="51" spans="1:69" ht="15.75" customHeight="1">
      <c r="A51" s="356" t="s">
        <v>708</v>
      </c>
      <c r="B51" s="140" t="s">
        <v>286</v>
      </c>
      <c r="C51" s="101" t="s">
        <v>278</v>
      </c>
      <c r="D51" s="144" t="s">
        <v>835</v>
      </c>
      <c r="E51" s="116"/>
      <c r="F51" s="393">
        <f t="shared" si="175"/>
        <v>0</v>
      </c>
      <c r="G51" s="92"/>
      <c r="H51" s="94" t="e">
        <f t="shared" si="100"/>
        <v>#DIV/0!</v>
      </c>
      <c r="I51" s="94" t="e">
        <f t="shared" si="101"/>
        <v>#DIV/0!</v>
      </c>
      <c r="J51" s="361">
        <f>67481.17</f>
        <v>67481.17</v>
      </c>
      <c r="K51" s="117">
        <f>572638.78+46434.84</f>
        <v>619073.62</v>
      </c>
      <c r="L51" s="117"/>
      <c r="M51" s="118"/>
      <c r="N51" s="97">
        <f t="shared" si="166"/>
        <v>10051.59</v>
      </c>
      <c r="O51" s="97">
        <f t="shared" ref="O51:P51" si="182">AA51+AD51+AG51+AJ51+AM51+AP51+AS51+AV51+AY51+BB51+BE51+BH51</f>
        <v>505964.5</v>
      </c>
      <c r="P51" s="97">
        <f t="shared" si="182"/>
        <v>0</v>
      </c>
      <c r="Q51" s="82">
        <f t="shared" ref="Q51:S51" si="183">IF(BJ51=0,SUM(Z51+AC51+AF51+AI51+AL51+AO51+AR51+AU51+AX51+BA51+BD51+BG51),BJ51)</f>
        <v>10051.59</v>
      </c>
      <c r="R51" s="82">
        <f t="shared" si="183"/>
        <v>505964.5</v>
      </c>
      <c r="S51" s="82">
        <f t="shared" si="183"/>
        <v>0</v>
      </c>
      <c r="T51" s="97">
        <f t="shared" si="104"/>
        <v>57429.58</v>
      </c>
      <c r="U51" s="97">
        <f t="shared" si="62"/>
        <v>113109.12</v>
      </c>
      <c r="V51" s="97">
        <f t="shared" si="105"/>
        <v>0</v>
      </c>
      <c r="W51" s="98">
        <f t="shared" ref="W51:X51" si="184">N51/J51</f>
        <v>0.14895399709281865</v>
      </c>
      <c r="X51" s="98">
        <f t="shared" si="184"/>
        <v>0.81729294166984534</v>
      </c>
      <c r="Y51" s="98" t="e">
        <f t="shared" si="107"/>
        <v>#DIV/0!</v>
      </c>
      <c r="Z51" s="129"/>
      <c r="AA51" s="96"/>
      <c r="AB51" s="129"/>
      <c r="AC51" s="119"/>
      <c r="AD51" s="119"/>
      <c r="AE51" s="129"/>
      <c r="AF51" s="129"/>
      <c r="AG51" s="129">
        <f>23186.24</f>
        <v>23186.240000000002</v>
      </c>
      <c r="AH51" s="129"/>
      <c r="AI51" s="260">
        <v>10051.59</v>
      </c>
      <c r="AJ51" s="260">
        <v>18924.84</v>
      </c>
      <c r="AK51" s="129"/>
      <c r="AL51" s="260"/>
      <c r="AM51" s="260">
        <v>239930.92</v>
      </c>
      <c r="AN51" s="129"/>
      <c r="AO51" s="129"/>
      <c r="AP51" s="260">
        <v>187486.19</v>
      </c>
      <c r="AQ51" s="129"/>
      <c r="AR51" s="129"/>
      <c r="AS51" s="260">
        <v>36436.31</v>
      </c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99"/>
      <c r="BN51" s="100"/>
      <c r="BO51" s="100"/>
      <c r="BP51" s="100"/>
      <c r="BQ51" s="100"/>
    </row>
    <row r="52" spans="1:69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393">
        <f t="shared" si="175"/>
        <v>0</v>
      </c>
      <c r="G52" s="92"/>
      <c r="H52" s="94" t="e">
        <f t="shared" si="100"/>
        <v>#DIV/0!</v>
      </c>
      <c r="I52" s="94" t="e">
        <f t="shared" si="101"/>
        <v>#DIV/0!</v>
      </c>
      <c r="J52" s="133"/>
      <c r="K52" s="117">
        <f>5855+6447</f>
        <v>12302</v>
      </c>
      <c r="L52" s="117"/>
      <c r="M52" s="96"/>
      <c r="N52" s="97">
        <f t="shared" si="166"/>
        <v>0</v>
      </c>
      <c r="O52" s="97">
        <f t="shared" ref="O52:P52" si="185">AA52+AD52+AG52+AJ52+AM52+AP52+AS52+AV52+AY52+BB52+BE52+BH52</f>
        <v>12302</v>
      </c>
      <c r="P52" s="97">
        <f t="shared" si="185"/>
        <v>0</v>
      </c>
      <c r="Q52" s="82">
        <f t="shared" ref="Q52:S52" si="186">IF(BJ52=0,SUM(Z52+AC52+AF52+AI52+AL52+AO52+AR52+AU52+AX52+BA52+BD52+BG52),BJ52)</f>
        <v>0</v>
      </c>
      <c r="R52" s="82">
        <f t="shared" si="186"/>
        <v>12302</v>
      </c>
      <c r="S52" s="82">
        <f t="shared" si="186"/>
        <v>0</v>
      </c>
      <c r="T52" s="97">
        <f t="shared" si="104"/>
        <v>0</v>
      </c>
      <c r="U52" s="97">
        <f t="shared" si="62"/>
        <v>0</v>
      </c>
      <c r="V52" s="97">
        <f t="shared" si="105"/>
        <v>0</v>
      </c>
      <c r="W52" s="98" t="e">
        <f t="shared" ref="W52:X52" si="187">N52/J52</f>
        <v>#DIV/0!</v>
      </c>
      <c r="X52" s="98">
        <f t="shared" si="187"/>
        <v>1</v>
      </c>
      <c r="Y52" s="98" t="e">
        <f t="shared" si="107"/>
        <v>#DIV/0!</v>
      </c>
      <c r="Z52" s="129"/>
      <c r="AA52" s="103">
        <v>5855</v>
      </c>
      <c r="AB52" s="129"/>
      <c r="AC52" s="119"/>
      <c r="AD52" s="119">
        <f>6447</f>
        <v>6447</v>
      </c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99"/>
      <c r="BN52" s="100"/>
      <c r="BO52" s="100"/>
      <c r="BP52" s="100"/>
      <c r="BQ52" s="100"/>
    </row>
    <row r="53" spans="1:69" ht="15.75" customHeight="1">
      <c r="A53" s="111"/>
      <c r="B53" s="140" t="s">
        <v>507</v>
      </c>
      <c r="C53" s="101" t="s">
        <v>165</v>
      </c>
      <c r="D53" s="91" t="s">
        <v>836</v>
      </c>
      <c r="E53" s="116"/>
      <c r="F53" s="393">
        <f t="shared" si="175"/>
        <v>0</v>
      </c>
      <c r="G53" s="92"/>
      <c r="H53" s="94" t="e">
        <f t="shared" si="100"/>
        <v>#DIV/0!</v>
      </c>
      <c r="I53" s="94" t="e">
        <f t="shared" si="101"/>
        <v>#DIV/0!</v>
      </c>
      <c r="J53" s="133"/>
      <c r="K53" s="117">
        <f>2874.45+8500+15300+2420</f>
        <v>29094.45</v>
      </c>
      <c r="L53" s="117"/>
      <c r="M53" s="145"/>
      <c r="N53" s="97">
        <f t="shared" si="166"/>
        <v>0</v>
      </c>
      <c r="O53" s="97">
        <f t="shared" ref="O53:P53" si="188">AA53+AD53+AG53+AJ53+AM53+AP53+AS53+AV53+AY53+BB53+BE53+BH53</f>
        <v>29094.45</v>
      </c>
      <c r="P53" s="97">
        <f t="shared" si="188"/>
        <v>0</v>
      </c>
      <c r="Q53" s="82">
        <f t="shared" ref="Q53:S53" si="189">IF(BJ53=0,SUM(Z53+AC53+AF53+AI53+AL53+AO53+AR53+AU53+AX53+BA53+BD53+BG53),BJ53)</f>
        <v>0</v>
      </c>
      <c r="R53" s="82">
        <f t="shared" si="189"/>
        <v>29094.45</v>
      </c>
      <c r="S53" s="82">
        <f t="shared" si="189"/>
        <v>0</v>
      </c>
      <c r="T53" s="97">
        <f t="shared" si="104"/>
        <v>0</v>
      </c>
      <c r="U53" s="97">
        <f t="shared" si="62"/>
        <v>0</v>
      </c>
      <c r="V53" s="97">
        <f t="shared" si="105"/>
        <v>0</v>
      </c>
      <c r="W53" s="98" t="e">
        <f t="shared" ref="W53:X53" si="190">N53/J53</f>
        <v>#DIV/0!</v>
      </c>
      <c r="X53" s="98">
        <f t="shared" si="190"/>
        <v>1</v>
      </c>
      <c r="Y53" s="98" t="e">
        <f t="shared" si="107"/>
        <v>#DIV/0!</v>
      </c>
      <c r="Z53" s="129"/>
      <c r="AA53" s="103">
        <f>2420+15300</f>
        <v>17720</v>
      </c>
      <c r="AB53" s="129"/>
      <c r="AC53" s="119"/>
      <c r="AD53" s="119">
        <f>8500</f>
        <v>8500</v>
      </c>
      <c r="AE53" s="129"/>
      <c r="AF53" s="129"/>
      <c r="AG53" s="129"/>
      <c r="AH53" s="129"/>
      <c r="AI53" s="129"/>
      <c r="AJ53" s="260">
        <v>2874.45</v>
      </c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99"/>
      <c r="BN53" s="100"/>
      <c r="BO53" s="100"/>
      <c r="BP53" s="100"/>
      <c r="BQ53" s="100"/>
    </row>
    <row r="54" spans="1:69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392">
        <v>25000</v>
      </c>
      <c r="G54" s="93">
        <v>10000</v>
      </c>
      <c r="H54" s="94" t="e">
        <f t="shared" si="100"/>
        <v>#DIV/0!</v>
      </c>
      <c r="I54" s="94" t="e">
        <f t="shared" si="101"/>
        <v>#DIV/0!</v>
      </c>
      <c r="J54" s="133"/>
      <c r="K54" s="117"/>
      <c r="L54" s="117"/>
      <c r="M54" s="145"/>
      <c r="N54" s="97">
        <f t="shared" si="166"/>
        <v>0</v>
      </c>
      <c r="O54" s="97">
        <f t="shared" ref="O54:P54" si="191">AA54+AD54+AG54+AJ54+AM54+AP54+AS54+AV54+AY54+BB54+BE54+BH54</f>
        <v>0</v>
      </c>
      <c r="P54" s="97">
        <f t="shared" si="191"/>
        <v>0</v>
      </c>
      <c r="Q54" s="82">
        <f t="shared" ref="Q54:S54" si="192">IF(BJ54=0,SUM(Z54+AC54+AF54+AI54+AL54+AO54+AR54+AU54+AX54+BA54+BD54+BG54),BJ54)</f>
        <v>0</v>
      </c>
      <c r="R54" s="82">
        <f t="shared" si="192"/>
        <v>0</v>
      </c>
      <c r="S54" s="82">
        <f t="shared" si="192"/>
        <v>0</v>
      </c>
      <c r="T54" s="97">
        <f t="shared" si="104"/>
        <v>0</v>
      </c>
      <c r="U54" s="97">
        <f t="shared" si="62"/>
        <v>0</v>
      </c>
      <c r="V54" s="97">
        <f t="shared" si="105"/>
        <v>0</v>
      </c>
      <c r="W54" s="98" t="e">
        <f t="shared" ref="W54:X54" si="193">N54/J54</f>
        <v>#DIV/0!</v>
      </c>
      <c r="X54" s="98" t="e">
        <f t="shared" si="193"/>
        <v>#DIV/0!</v>
      </c>
      <c r="Y54" s="98" t="e">
        <f t="shared" si="107"/>
        <v>#DIV/0!</v>
      </c>
      <c r="Z54" s="129"/>
      <c r="AA54" s="96"/>
      <c r="AB54" s="129"/>
      <c r="AC54" s="119"/>
      <c r="AD54" s="11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99"/>
      <c r="BN54" s="100"/>
      <c r="BO54" s="100"/>
      <c r="BP54" s="100"/>
      <c r="BQ54" s="100"/>
    </row>
    <row r="55" spans="1:69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393">
        <f t="shared" ref="F55:F67" si="194">E55</f>
        <v>0</v>
      </c>
      <c r="G55" s="93">
        <v>160000</v>
      </c>
      <c r="H55" s="94" t="e">
        <f t="shared" si="100"/>
        <v>#DIV/0!</v>
      </c>
      <c r="I55" s="94" t="e">
        <f t="shared" si="101"/>
        <v>#DIV/0!</v>
      </c>
      <c r="J55" s="133"/>
      <c r="K55" s="117"/>
      <c r="L55" s="117"/>
      <c r="M55" s="145"/>
      <c r="N55" s="97">
        <f t="shared" si="166"/>
        <v>0</v>
      </c>
      <c r="O55" s="97">
        <f t="shared" ref="O55:P55" si="195">AA55+AD55+AG55+AJ55+AM55+AP55+AS55+AV55+AY55+BB55+BE55+BH55</f>
        <v>0</v>
      </c>
      <c r="P55" s="97">
        <f t="shared" si="195"/>
        <v>0</v>
      </c>
      <c r="Q55" s="82">
        <f t="shared" ref="Q55:S55" si="196">IF(BJ55=0,SUM(Z55+AC55+AF55+AI55+AL55+AO55+AR55+AU55+AX55+BA55+BD55+BG55),BJ55)</f>
        <v>0</v>
      </c>
      <c r="R55" s="82">
        <f t="shared" si="196"/>
        <v>0</v>
      </c>
      <c r="S55" s="82">
        <f t="shared" si="196"/>
        <v>0</v>
      </c>
      <c r="T55" s="97">
        <f t="shared" si="104"/>
        <v>0</v>
      </c>
      <c r="U55" s="97">
        <f t="shared" si="62"/>
        <v>0</v>
      </c>
      <c r="V55" s="97">
        <f t="shared" si="105"/>
        <v>0</v>
      </c>
      <c r="W55" s="98" t="e">
        <f t="shared" ref="W55:X55" si="197">N55/J55</f>
        <v>#DIV/0!</v>
      </c>
      <c r="X55" s="98" t="e">
        <f t="shared" si="197"/>
        <v>#DIV/0!</v>
      </c>
      <c r="Y55" s="98" t="e">
        <f t="shared" si="107"/>
        <v>#DIV/0!</v>
      </c>
      <c r="Z55" s="129"/>
      <c r="AA55" s="96"/>
      <c r="AB55" s="129"/>
      <c r="AC55" s="119"/>
      <c r="AD55" s="11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99"/>
      <c r="BN55" s="100"/>
      <c r="BO55" s="100"/>
      <c r="BP55" s="100"/>
      <c r="BQ55" s="100"/>
    </row>
    <row r="56" spans="1:69" ht="15.75" customHeight="1">
      <c r="A56" s="89"/>
      <c r="B56" s="114"/>
      <c r="C56" s="101" t="s">
        <v>294</v>
      </c>
      <c r="D56" s="122" t="s">
        <v>106</v>
      </c>
      <c r="E56" s="116"/>
      <c r="F56" s="393">
        <f t="shared" si="194"/>
        <v>0</v>
      </c>
      <c r="G56" s="93">
        <v>50000</v>
      </c>
      <c r="H56" s="94" t="e">
        <f t="shared" si="100"/>
        <v>#DIV/0!</v>
      </c>
      <c r="I56" s="94">
        <f t="shared" ref="I56:I61" si="198">N56/G56</f>
        <v>0</v>
      </c>
      <c r="J56" s="96"/>
      <c r="K56" s="117"/>
      <c r="L56" s="117"/>
      <c r="M56" s="118"/>
      <c r="N56" s="97">
        <f t="shared" si="166"/>
        <v>0</v>
      </c>
      <c r="O56" s="97">
        <f t="shared" ref="O56:P56" si="199">AA56+AD56+AG56+AJ56+AM56+AP56+AS56+AV56+AY56+BB56+BE56+BH56</f>
        <v>0</v>
      </c>
      <c r="P56" s="97">
        <f t="shared" si="199"/>
        <v>0</v>
      </c>
      <c r="Q56" s="82">
        <f t="shared" ref="Q56:S56" si="200">IF(BJ56=0,SUM(Z56+AC56+AF56+AI56+AL56+AO56+AR56+AU56+AX56+BA56+BD56+BG56),BJ56)</f>
        <v>0</v>
      </c>
      <c r="R56" s="82">
        <f t="shared" si="200"/>
        <v>0</v>
      </c>
      <c r="S56" s="82">
        <f t="shared" si="200"/>
        <v>0</v>
      </c>
      <c r="T56" s="97">
        <f t="shared" si="104"/>
        <v>0</v>
      </c>
      <c r="U56" s="97">
        <f t="shared" si="62"/>
        <v>0</v>
      </c>
      <c r="V56" s="97">
        <f t="shared" si="105"/>
        <v>0</v>
      </c>
      <c r="W56" s="98" t="e">
        <f t="shared" ref="W56:X56" si="201">N56/J56</f>
        <v>#DIV/0!</v>
      </c>
      <c r="X56" s="98" t="e">
        <f t="shared" si="201"/>
        <v>#DIV/0!</v>
      </c>
      <c r="Y56" s="98" t="e">
        <f t="shared" si="107"/>
        <v>#DIV/0!</v>
      </c>
      <c r="Z56" s="129"/>
      <c r="AA56" s="96"/>
      <c r="AB56" s="129"/>
      <c r="AC56" s="119"/>
      <c r="AD56" s="11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99"/>
      <c r="BN56" s="100"/>
      <c r="BO56" s="100"/>
      <c r="BP56" s="100"/>
      <c r="BQ56" s="100"/>
    </row>
    <row r="57" spans="1:69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393">
        <f t="shared" si="194"/>
        <v>0</v>
      </c>
      <c r="G57" s="93">
        <v>20000</v>
      </c>
      <c r="H57" s="94" t="e">
        <f t="shared" si="100"/>
        <v>#DIV/0!</v>
      </c>
      <c r="I57" s="94">
        <f t="shared" si="198"/>
        <v>0</v>
      </c>
      <c r="J57" s="96"/>
      <c r="K57" s="117">
        <v>1817.8</v>
      </c>
      <c r="L57" s="117"/>
      <c r="M57" s="118"/>
      <c r="N57" s="97">
        <f t="shared" si="166"/>
        <v>0</v>
      </c>
      <c r="O57" s="97">
        <f t="shared" ref="O57:P57" si="202">AA57+AD57+AG57+AJ57+AM57+AP57+AS57+AV57+AY57+BB57+BE57+BH57</f>
        <v>1817.8</v>
      </c>
      <c r="P57" s="97">
        <f t="shared" si="202"/>
        <v>0</v>
      </c>
      <c r="Q57" s="82">
        <f t="shared" ref="Q57:S57" si="203">IF(BJ57=0,SUM(Z57+AC57+AF57+AI57+AL57+AO57+AR57+AU57+AX57+BA57+BD57+BG57),BJ57)</f>
        <v>0</v>
      </c>
      <c r="R57" s="82">
        <f t="shared" si="203"/>
        <v>1817.8</v>
      </c>
      <c r="S57" s="82">
        <f t="shared" si="203"/>
        <v>0</v>
      </c>
      <c r="T57" s="97">
        <f t="shared" si="104"/>
        <v>0</v>
      </c>
      <c r="U57" s="97">
        <f t="shared" si="62"/>
        <v>0</v>
      </c>
      <c r="V57" s="97">
        <f t="shared" si="105"/>
        <v>0</v>
      </c>
      <c r="W57" s="98" t="e">
        <f t="shared" ref="W57:X57" si="204">N57/J57</f>
        <v>#DIV/0!</v>
      </c>
      <c r="X57" s="98">
        <f t="shared" si="204"/>
        <v>1</v>
      </c>
      <c r="Y57" s="98" t="e">
        <f t="shared" si="107"/>
        <v>#DIV/0!</v>
      </c>
      <c r="Z57" s="129"/>
      <c r="AA57" s="96"/>
      <c r="AB57" s="129"/>
      <c r="AC57" s="119"/>
      <c r="AD57" s="119">
        <f>1817.8</f>
        <v>1817.8</v>
      </c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99"/>
      <c r="BN57" s="100"/>
      <c r="BO57" s="100"/>
      <c r="BP57" s="100"/>
      <c r="BQ57" s="100"/>
    </row>
    <row r="58" spans="1:69" ht="15.75" customHeight="1">
      <c r="A58" s="89"/>
      <c r="B58" s="114"/>
      <c r="C58" s="101" t="s">
        <v>296</v>
      </c>
      <c r="D58" s="122" t="s">
        <v>108</v>
      </c>
      <c r="E58" s="116"/>
      <c r="F58" s="393">
        <f t="shared" si="194"/>
        <v>0</v>
      </c>
      <c r="G58" s="93">
        <v>50000</v>
      </c>
      <c r="H58" s="94">
        <f t="shared" ref="H58:H63" si="205">J58/G58</f>
        <v>0</v>
      </c>
      <c r="I58" s="94">
        <f t="shared" si="198"/>
        <v>0</v>
      </c>
      <c r="J58" s="96"/>
      <c r="K58" s="117"/>
      <c r="L58" s="117"/>
      <c r="M58" s="118"/>
      <c r="N58" s="97">
        <f t="shared" si="166"/>
        <v>0</v>
      </c>
      <c r="O58" s="97">
        <f t="shared" ref="O58:P58" si="206">AA58+AD58+AG58+AJ58+AM58+AP58+AS58+AV58+AY58+BB58+BE58+BH58</f>
        <v>0</v>
      </c>
      <c r="P58" s="97">
        <f t="shared" si="206"/>
        <v>0</v>
      </c>
      <c r="Q58" s="82">
        <f t="shared" ref="Q58:S58" si="207">IF(BJ58=0,SUM(Z58+AC58+AF58+AI58+AL58+AO58+AR58+AU58+AX58+BA58+BD58+BG58),BJ58)</f>
        <v>0</v>
      </c>
      <c r="R58" s="82">
        <f t="shared" si="207"/>
        <v>0</v>
      </c>
      <c r="S58" s="82">
        <f t="shared" si="207"/>
        <v>0</v>
      </c>
      <c r="T58" s="97">
        <f t="shared" si="104"/>
        <v>0</v>
      </c>
      <c r="U58" s="97">
        <f t="shared" si="62"/>
        <v>0</v>
      </c>
      <c r="V58" s="97">
        <f t="shared" si="105"/>
        <v>0</v>
      </c>
      <c r="W58" s="98" t="e">
        <f t="shared" ref="W58:X58" si="208">N58/J58</f>
        <v>#DIV/0!</v>
      </c>
      <c r="X58" s="98" t="e">
        <f t="shared" si="208"/>
        <v>#DIV/0!</v>
      </c>
      <c r="Y58" s="98" t="e">
        <f t="shared" si="107"/>
        <v>#DIV/0!</v>
      </c>
      <c r="Z58" s="129"/>
      <c r="AA58" s="96"/>
      <c r="AB58" s="129"/>
      <c r="AC58" s="119"/>
      <c r="AD58" s="11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99"/>
      <c r="BN58" s="100"/>
      <c r="BO58" s="100"/>
      <c r="BP58" s="100"/>
      <c r="BQ58" s="100"/>
    </row>
    <row r="59" spans="1:69" ht="15.75" customHeight="1">
      <c r="B59" s="114"/>
      <c r="C59" s="101" t="s">
        <v>242</v>
      </c>
      <c r="D59" s="122" t="s">
        <v>109</v>
      </c>
      <c r="E59" s="116"/>
      <c r="F59" s="393">
        <f t="shared" si="194"/>
        <v>0</v>
      </c>
      <c r="G59" s="93">
        <v>350000</v>
      </c>
      <c r="H59" s="94">
        <f t="shared" si="205"/>
        <v>0</v>
      </c>
      <c r="I59" s="94">
        <f t="shared" si="198"/>
        <v>0</v>
      </c>
      <c r="J59" s="142"/>
      <c r="K59" s="117"/>
      <c r="L59" s="117"/>
      <c r="M59" s="118"/>
      <c r="N59" s="97">
        <f t="shared" si="166"/>
        <v>0</v>
      </c>
      <c r="O59" s="97">
        <f t="shared" ref="O59:P59" si="209">AA59+AD59+AG59+AJ59+AM59+AP59+AS59+AV59+AY59+BB59+BE59+BH59</f>
        <v>0</v>
      </c>
      <c r="P59" s="97">
        <f t="shared" si="209"/>
        <v>0</v>
      </c>
      <c r="Q59" s="82">
        <f t="shared" ref="Q59:S59" si="210">IF(BJ59=0,SUM(Z59+AC59+AF59+AI59+AL59+AO59+AR59+AU59+AX59+BA59+BD59+BG59),BJ59)</f>
        <v>0</v>
      </c>
      <c r="R59" s="82">
        <f t="shared" si="210"/>
        <v>0</v>
      </c>
      <c r="S59" s="82">
        <f t="shared" si="210"/>
        <v>0</v>
      </c>
      <c r="T59" s="97">
        <f t="shared" si="104"/>
        <v>0</v>
      </c>
      <c r="U59" s="97">
        <f t="shared" si="62"/>
        <v>0</v>
      </c>
      <c r="V59" s="97">
        <f t="shared" si="105"/>
        <v>0</v>
      </c>
      <c r="W59" s="98" t="e">
        <f t="shared" ref="W59:X59" si="211">N59/J59</f>
        <v>#DIV/0!</v>
      </c>
      <c r="X59" s="98" t="e">
        <f t="shared" si="211"/>
        <v>#DIV/0!</v>
      </c>
      <c r="Y59" s="98" t="e">
        <f t="shared" si="107"/>
        <v>#DIV/0!</v>
      </c>
      <c r="Z59" s="96"/>
      <c r="AA59" s="96"/>
      <c r="AB59" s="96"/>
      <c r="AC59" s="119"/>
      <c r="AD59" s="119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129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9"/>
      <c r="BN59" s="100"/>
      <c r="BO59" s="100"/>
      <c r="BP59" s="100"/>
      <c r="BQ59" s="100"/>
    </row>
    <row r="60" spans="1:69" ht="15.75" customHeight="1">
      <c r="A60" s="89"/>
      <c r="B60" s="114"/>
      <c r="C60" s="101" t="s">
        <v>297</v>
      </c>
      <c r="D60" s="122" t="s">
        <v>110</v>
      </c>
      <c r="E60" s="116"/>
      <c r="F60" s="393">
        <f t="shared" si="194"/>
        <v>0</v>
      </c>
      <c r="G60" s="93">
        <v>200000</v>
      </c>
      <c r="H60" s="94">
        <f t="shared" si="205"/>
        <v>0</v>
      </c>
      <c r="I60" s="94">
        <f t="shared" si="198"/>
        <v>0</v>
      </c>
      <c r="J60" s="96"/>
      <c r="K60" s="117"/>
      <c r="L60" s="117"/>
      <c r="M60" s="118"/>
      <c r="N60" s="97">
        <f t="shared" si="166"/>
        <v>0</v>
      </c>
      <c r="O60" s="97">
        <f t="shared" ref="O60:P60" si="212">AA60+AD60+AG60+AJ60+AM60+AP60+AS60+AV60+AY60+BB60+BE60+BH60</f>
        <v>0</v>
      </c>
      <c r="P60" s="97">
        <f t="shared" si="212"/>
        <v>0</v>
      </c>
      <c r="Q60" s="82">
        <f t="shared" ref="Q60:S60" si="213">IF(BJ60=0,SUM(Z60+AC60+AF60+AI60+AL60+AO60+AR60+AU60+AX60+BA60+BD60+BG60),BJ60)</f>
        <v>0</v>
      </c>
      <c r="R60" s="82">
        <f t="shared" si="213"/>
        <v>0</v>
      </c>
      <c r="S60" s="82">
        <f t="shared" si="213"/>
        <v>0</v>
      </c>
      <c r="T60" s="97">
        <f t="shared" si="104"/>
        <v>0</v>
      </c>
      <c r="U60" s="97">
        <f t="shared" si="62"/>
        <v>0</v>
      </c>
      <c r="V60" s="97">
        <f t="shared" si="105"/>
        <v>0</v>
      </c>
      <c r="W60" s="98" t="e">
        <f t="shared" ref="W60:X60" si="214">N60/J60</f>
        <v>#DIV/0!</v>
      </c>
      <c r="X60" s="98" t="e">
        <f t="shared" si="214"/>
        <v>#DIV/0!</v>
      </c>
      <c r="Y60" s="98" t="e">
        <f t="shared" si="107"/>
        <v>#DIV/0!</v>
      </c>
      <c r="Z60" s="96"/>
      <c r="AA60" s="96"/>
      <c r="AB60" s="96"/>
      <c r="AC60" s="119"/>
      <c r="AD60" s="119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129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9"/>
      <c r="BN60" s="100"/>
      <c r="BO60" s="100"/>
      <c r="BP60" s="100"/>
      <c r="BQ60" s="100"/>
    </row>
    <row r="61" spans="1:69" ht="15.75" customHeight="1">
      <c r="A61" s="89"/>
      <c r="B61" s="114"/>
      <c r="C61" s="101" t="s">
        <v>298</v>
      </c>
      <c r="D61" s="122" t="s">
        <v>299</v>
      </c>
      <c r="E61" s="92"/>
      <c r="F61" s="393">
        <f t="shared" si="194"/>
        <v>0</v>
      </c>
      <c r="G61" s="93">
        <v>200000</v>
      </c>
      <c r="H61" s="94">
        <f t="shared" si="205"/>
        <v>0</v>
      </c>
      <c r="I61" s="94">
        <f t="shared" si="198"/>
        <v>0</v>
      </c>
      <c r="J61" s="96"/>
      <c r="K61" s="146"/>
      <c r="L61" s="146"/>
      <c r="M61" s="118"/>
      <c r="N61" s="97">
        <f t="shared" si="166"/>
        <v>0</v>
      </c>
      <c r="O61" s="97">
        <f t="shared" ref="O61:P61" si="215">AA61+AD61+AG61+AJ61+AM61+AP61+AS61+AV61+AY61+BB61+BE61+BH61</f>
        <v>0</v>
      </c>
      <c r="P61" s="97">
        <f t="shared" si="215"/>
        <v>0</v>
      </c>
      <c r="Q61" s="82">
        <f t="shared" ref="Q61:S61" si="216">IF(BJ61=0,SUM(Z61+AC61+AF61+AI61+AL61+AO61+AR61+AU61+AX61+BA61+BD61+BG61),BJ61)</f>
        <v>0</v>
      </c>
      <c r="R61" s="82">
        <f t="shared" si="216"/>
        <v>0</v>
      </c>
      <c r="S61" s="82">
        <f t="shared" si="216"/>
        <v>0</v>
      </c>
      <c r="T61" s="97">
        <f t="shared" si="104"/>
        <v>0</v>
      </c>
      <c r="U61" s="97">
        <f t="shared" si="62"/>
        <v>0</v>
      </c>
      <c r="V61" s="97">
        <f t="shared" si="105"/>
        <v>0</v>
      </c>
      <c r="W61" s="98" t="e">
        <f t="shared" ref="W61:X61" si="217">N61/J61</f>
        <v>#DIV/0!</v>
      </c>
      <c r="X61" s="98" t="e">
        <f t="shared" si="217"/>
        <v>#DIV/0!</v>
      </c>
      <c r="Y61" s="98" t="e">
        <f t="shared" si="107"/>
        <v>#DIV/0!</v>
      </c>
      <c r="Z61" s="96"/>
      <c r="AA61" s="96"/>
      <c r="AB61" s="96"/>
      <c r="AC61" s="119"/>
      <c r="AD61" s="119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129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9"/>
      <c r="BN61" s="100"/>
      <c r="BO61" s="100"/>
      <c r="BP61" s="100"/>
      <c r="BQ61" s="100"/>
    </row>
    <row r="62" spans="1:69" ht="15.75" customHeight="1">
      <c r="A62" s="89"/>
      <c r="B62" s="114"/>
      <c r="C62" s="101" t="s">
        <v>229</v>
      </c>
      <c r="D62" s="122" t="s">
        <v>113</v>
      </c>
      <c r="E62" s="92"/>
      <c r="F62" s="393">
        <f t="shared" si="194"/>
        <v>0</v>
      </c>
      <c r="G62" s="93">
        <v>60000</v>
      </c>
      <c r="H62" s="94">
        <f t="shared" si="205"/>
        <v>0</v>
      </c>
      <c r="I62" s="94"/>
      <c r="J62" s="96"/>
      <c r="K62" s="146"/>
      <c r="L62" s="146"/>
      <c r="M62" s="118"/>
      <c r="N62" s="97">
        <f t="shared" si="166"/>
        <v>0</v>
      </c>
      <c r="O62" s="97">
        <f t="shared" ref="O62:P62" si="218">AA62+AD62+AG62+AJ62+AM62+AP62+AS62+AV62+AY62+BB62+BE62+BH62</f>
        <v>0</v>
      </c>
      <c r="P62" s="97">
        <f t="shared" si="218"/>
        <v>0</v>
      </c>
      <c r="Q62" s="82">
        <f t="shared" ref="Q62:S62" si="219">IF(BJ62=0,SUM(Z62+AC62+AF62+AI62+AL62+AO62+AR62+AU62+AX62+BA62+BD62+BG62),BJ62)</f>
        <v>0</v>
      </c>
      <c r="R62" s="82">
        <f t="shared" si="219"/>
        <v>0</v>
      </c>
      <c r="S62" s="82">
        <f t="shared" si="219"/>
        <v>0</v>
      </c>
      <c r="T62" s="97">
        <f t="shared" si="104"/>
        <v>0</v>
      </c>
      <c r="U62" s="97">
        <f t="shared" si="62"/>
        <v>0</v>
      </c>
      <c r="V62" s="97">
        <f t="shared" si="105"/>
        <v>0</v>
      </c>
      <c r="W62" s="98" t="e">
        <f t="shared" ref="W62:X62" si="220">N62/J62</f>
        <v>#DIV/0!</v>
      </c>
      <c r="X62" s="98" t="e">
        <f t="shared" si="220"/>
        <v>#DIV/0!</v>
      </c>
      <c r="Y62" s="98" t="e">
        <f t="shared" si="107"/>
        <v>#DIV/0!</v>
      </c>
      <c r="Z62" s="96"/>
      <c r="AA62" s="96"/>
      <c r="AB62" s="96"/>
      <c r="AC62" s="119"/>
      <c r="AD62" s="119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129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9"/>
      <c r="BN62" s="100"/>
      <c r="BO62" s="100"/>
      <c r="BP62" s="100"/>
      <c r="BQ62" s="100"/>
    </row>
    <row r="63" spans="1:69" ht="15.75" customHeight="1">
      <c r="A63" s="89"/>
      <c r="B63" s="114"/>
      <c r="C63" s="101" t="s">
        <v>114</v>
      </c>
      <c r="D63" s="122" t="s">
        <v>115</v>
      </c>
      <c r="E63" s="92"/>
      <c r="F63" s="393">
        <f t="shared" si="194"/>
        <v>0</v>
      </c>
      <c r="G63" s="93">
        <v>1200000</v>
      </c>
      <c r="H63" s="94">
        <f t="shared" si="205"/>
        <v>0</v>
      </c>
      <c r="I63" s="94"/>
      <c r="J63" s="96"/>
      <c r="K63" s="146"/>
      <c r="L63" s="146"/>
      <c r="M63" s="118"/>
      <c r="N63" s="97">
        <f t="shared" si="166"/>
        <v>0</v>
      </c>
      <c r="O63" s="97">
        <f t="shared" ref="O63:P63" si="221">AA63+AD63+AG63+AJ63+AM63+AP63+AS63+AV63+AY63+BB63+BE63+BH63</f>
        <v>0</v>
      </c>
      <c r="P63" s="97">
        <f t="shared" si="221"/>
        <v>0</v>
      </c>
      <c r="Q63" s="82">
        <f t="shared" ref="Q63:S63" si="222">IF(BJ63=0,SUM(Z63+AC63+AF63+AI63+AL63+AO63+AR63+AU63+AX63+BA63+BD63+BG63),BJ63)</f>
        <v>0</v>
      </c>
      <c r="R63" s="82">
        <f t="shared" si="222"/>
        <v>0</v>
      </c>
      <c r="S63" s="82">
        <f t="shared" si="222"/>
        <v>0</v>
      </c>
      <c r="T63" s="97">
        <f t="shared" si="104"/>
        <v>0</v>
      </c>
      <c r="U63" s="97">
        <f t="shared" si="62"/>
        <v>0</v>
      </c>
      <c r="V63" s="97">
        <f t="shared" si="105"/>
        <v>0</v>
      </c>
      <c r="W63" s="98" t="e">
        <f t="shared" ref="W63:X63" si="223">N63/J63</f>
        <v>#DIV/0!</v>
      </c>
      <c r="X63" s="98" t="e">
        <f t="shared" si="223"/>
        <v>#DIV/0!</v>
      </c>
      <c r="Y63" s="98" t="e">
        <f t="shared" si="107"/>
        <v>#DIV/0!</v>
      </c>
      <c r="Z63" s="96"/>
      <c r="AA63" s="96"/>
      <c r="AB63" s="96"/>
      <c r="AC63" s="119"/>
      <c r="AD63" s="119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129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9"/>
      <c r="BN63" s="100"/>
      <c r="BO63" s="100"/>
      <c r="BP63" s="100"/>
      <c r="BQ63" s="100"/>
    </row>
    <row r="64" spans="1:69" ht="15.75" customHeight="1">
      <c r="A64" s="89"/>
      <c r="B64" s="114"/>
      <c r="C64" s="90" t="s">
        <v>114</v>
      </c>
      <c r="D64" s="122" t="s">
        <v>300</v>
      </c>
      <c r="E64" s="147"/>
      <c r="F64" s="393">
        <f t="shared" si="194"/>
        <v>0</v>
      </c>
      <c r="G64" s="148">
        <v>100000</v>
      </c>
      <c r="H64" s="94" t="e">
        <f t="shared" ref="H64:H81" si="224">J64/E64</f>
        <v>#DIV/0!</v>
      </c>
      <c r="I64" s="94" t="e">
        <f t="shared" ref="I64:I81" si="225">N64/E64</f>
        <v>#DIV/0!</v>
      </c>
      <c r="J64" s="96"/>
      <c r="K64" s="146"/>
      <c r="L64" s="146"/>
      <c r="M64" s="118"/>
      <c r="N64" s="97">
        <f t="shared" si="166"/>
        <v>0</v>
      </c>
      <c r="O64" s="97">
        <f t="shared" ref="O64:P64" si="226">AA64+AD64+AG64+AJ64+AM64+AP64+AS64+AV64+AY64+BB64+BE64+BH64</f>
        <v>0</v>
      </c>
      <c r="P64" s="97">
        <f t="shared" si="226"/>
        <v>0</v>
      </c>
      <c r="Q64" s="82">
        <f t="shared" ref="Q64:S64" si="227">IF(BJ64=0,SUM(Z64+AC64+AF64+AI64+AL64+AO64+AR64+AU64+AX64+BA64+BD64+BG64),BJ64)</f>
        <v>0</v>
      </c>
      <c r="R64" s="82">
        <f t="shared" si="227"/>
        <v>0</v>
      </c>
      <c r="S64" s="82">
        <f t="shared" si="227"/>
        <v>0</v>
      </c>
      <c r="T64" s="97">
        <f t="shared" si="104"/>
        <v>0</v>
      </c>
      <c r="U64" s="97">
        <f t="shared" si="62"/>
        <v>0</v>
      </c>
      <c r="V64" s="97">
        <f t="shared" si="105"/>
        <v>0</v>
      </c>
      <c r="W64" s="98" t="e">
        <f t="shared" ref="W64:X64" si="228">N64/J64</f>
        <v>#DIV/0!</v>
      </c>
      <c r="X64" s="98" t="e">
        <f t="shared" si="228"/>
        <v>#DIV/0!</v>
      </c>
      <c r="Y64" s="98" t="e">
        <f t="shared" si="107"/>
        <v>#DIV/0!</v>
      </c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129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9"/>
      <c r="BN64" s="100"/>
      <c r="BO64" s="100"/>
      <c r="BP64" s="100"/>
      <c r="BQ64" s="100"/>
    </row>
    <row r="65" spans="1:69" ht="15.75" customHeight="1">
      <c r="A65" s="89"/>
      <c r="B65" s="114"/>
      <c r="C65" s="90" t="s">
        <v>114</v>
      </c>
      <c r="D65" s="122" t="s">
        <v>117</v>
      </c>
      <c r="E65" s="147"/>
      <c r="F65" s="393">
        <f t="shared" si="194"/>
        <v>0</v>
      </c>
      <c r="G65" s="148">
        <v>500000</v>
      </c>
      <c r="H65" s="94" t="e">
        <f t="shared" si="224"/>
        <v>#DIV/0!</v>
      </c>
      <c r="I65" s="94" t="e">
        <f t="shared" si="225"/>
        <v>#DIV/0!</v>
      </c>
      <c r="J65" s="96"/>
      <c r="K65" s="146"/>
      <c r="L65" s="146"/>
      <c r="M65" s="118"/>
      <c r="N65" s="97">
        <f t="shared" si="166"/>
        <v>0</v>
      </c>
      <c r="O65" s="97">
        <f t="shared" ref="O65:P65" si="229">AA65+AD65+AG65+AJ65+AM65+AP65+AS65+AV65+AY65+BB65+BE65+BH65</f>
        <v>0</v>
      </c>
      <c r="P65" s="97">
        <f t="shared" si="229"/>
        <v>0</v>
      </c>
      <c r="Q65" s="82">
        <f t="shared" ref="Q65:S65" si="230">IF(BJ65=0,SUM(Z65+AC65+AF65+AI65+AL65+AO65+AR65+AU65+AX65+BA65+BD65+BG65),BJ65)</f>
        <v>0</v>
      </c>
      <c r="R65" s="82">
        <f t="shared" si="230"/>
        <v>0</v>
      </c>
      <c r="S65" s="82">
        <f t="shared" si="230"/>
        <v>0</v>
      </c>
      <c r="T65" s="97">
        <f t="shared" si="104"/>
        <v>0</v>
      </c>
      <c r="U65" s="97">
        <f t="shared" si="62"/>
        <v>0</v>
      </c>
      <c r="V65" s="97">
        <f t="shared" si="105"/>
        <v>0</v>
      </c>
      <c r="W65" s="98" t="e">
        <f t="shared" ref="W65:X65" si="231">N65/J65</f>
        <v>#DIV/0!</v>
      </c>
      <c r="X65" s="98" t="e">
        <f t="shared" si="231"/>
        <v>#DIV/0!</v>
      </c>
      <c r="Y65" s="98" t="e">
        <f t="shared" si="107"/>
        <v>#DIV/0!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129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9"/>
      <c r="BN65" s="100"/>
      <c r="BO65" s="100"/>
      <c r="BP65" s="100"/>
      <c r="BQ65" s="100"/>
    </row>
    <row r="66" spans="1:69" ht="15.75" customHeight="1">
      <c r="A66" s="89"/>
      <c r="B66" s="114"/>
      <c r="C66" s="90" t="s">
        <v>114</v>
      </c>
      <c r="D66" s="122" t="s">
        <v>118</v>
      </c>
      <c r="E66" s="147"/>
      <c r="F66" s="393">
        <f t="shared" si="194"/>
        <v>0</v>
      </c>
      <c r="G66" s="148">
        <v>100000</v>
      </c>
      <c r="H66" s="94" t="e">
        <f t="shared" si="224"/>
        <v>#DIV/0!</v>
      </c>
      <c r="I66" s="94" t="e">
        <f t="shared" si="225"/>
        <v>#DIV/0!</v>
      </c>
      <c r="J66" s="96"/>
      <c r="K66" s="126"/>
      <c r="L66" s="126"/>
      <c r="M66" s="118"/>
      <c r="N66" s="97">
        <f t="shared" si="166"/>
        <v>0</v>
      </c>
      <c r="O66" s="97">
        <f t="shared" ref="O66:P66" si="232">AA66+AD66+AG66+AJ66+AM66+AP66+AS66+AV66+AY66+BB66+BE66+BH66</f>
        <v>0</v>
      </c>
      <c r="P66" s="97">
        <f t="shared" si="232"/>
        <v>0</v>
      </c>
      <c r="Q66" s="82">
        <f t="shared" ref="Q66:S66" si="233">IF(BJ66=0,SUM(Z66+AC66+AF66+AI66+AL66+AO66+AR66+AU66+AX66+BA66+BD66+BG66),BJ66)</f>
        <v>0</v>
      </c>
      <c r="R66" s="82">
        <f t="shared" si="233"/>
        <v>0</v>
      </c>
      <c r="S66" s="82">
        <f t="shared" si="233"/>
        <v>0</v>
      </c>
      <c r="T66" s="97">
        <f t="shared" si="104"/>
        <v>0</v>
      </c>
      <c r="U66" s="97">
        <f t="shared" si="62"/>
        <v>0</v>
      </c>
      <c r="V66" s="97">
        <f t="shared" si="105"/>
        <v>0</v>
      </c>
      <c r="W66" s="98" t="e">
        <f t="shared" ref="W66:X66" si="234">N66/J66</f>
        <v>#DIV/0!</v>
      </c>
      <c r="X66" s="98" t="e">
        <f t="shared" si="234"/>
        <v>#DIV/0!</v>
      </c>
      <c r="Y66" s="98" t="e">
        <f t="shared" si="107"/>
        <v>#DIV/0!</v>
      </c>
      <c r="Z66" s="103">
        <v>0</v>
      </c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129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9"/>
      <c r="BN66" s="100"/>
      <c r="BO66" s="100"/>
      <c r="BP66" s="100"/>
      <c r="BQ66" s="100"/>
    </row>
    <row r="67" spans="1:69" ht="15.75" customHeight="1">
      <c r="A67" s="89"/>
      <c r="B67" s="89"/>
      <c r="C67" s="90" t="s">
        <v>114</v>
      </c>
      <c r="D67" s="122" t="s">
        <v>119</v>
      </c>
      <c r="E67" s="147"/>
      <c r="F67" s="393">
        <f t="shared" si="194"/>
        <v>0</v>
      </c>
      <c r="G67" s="148">
        <v>150000</v>
      </c>
      <c r="H67" s="94" t="e">
        <f t="shared" si="224"/>
        <v>#DIV/0!</v>
      </c>
      <c r="I67" s="94" t="e">
        <f t="shared" si="225"/>
        <v>#DIV/0!</v>
      </c>
      <c r="J67" s="96"/>
      <c r="K67" s="146"/>
      <c r="L67" s="146"/>
      <c r="M67" s="95"/>
      <c r="N67" s="97">
        <f t="shared" si="166"/>
        <v>0</v>
      </c>
      <c r="O67" s="97">
        <f t="shared" ref="O67:P67" si="235">AA67+AD67+AG67+AJ67+AM67+AP67+AS67+AV67+AY67+BB67+BE67+BH67</f>
        <v>0</v>
      </c>
      <c r="P67" s="97">
        <f t="shared" si="235"/>
        <v>0</v>
      </c>
      <c r="Q67" s="82">
        <f t="shared" ref="Q67:S67" si="236">IF(BJ67=0,SUM(Z67+AC67+AF67+AI67+AL67+AO67+AR67+AU67+AX67+BA67+BD67+BG67),BJ67)</f>
        <v>0</v>
      </c>
      <c r="R67" s="82">
        <f t="shared" si="236"/>
        <v>0</v>
      </c>
      <c r="S67" s="82">
        <f t="shared" si="236"/>
        <v>0</v>
      </c>
      <c r="T67" s="97">
        <f t="shared" si="104"/>
        <v>0</v>
      </c>
      <c r="U67" s="97">
        <f t="shared" si="62"/>
        <v>0</v>
      </c>
      <c r="V67" s="97">
        <f t="shared" si="105"/>
        <v>0</v>
      </c>
      <c r="W67" s="98" t="e">
        <f t="shared" ref="W67:X67" si="237">N67/J67</f>
        <v>#DIV/0!</v>
      </c>
      <c r="X67" s="98" t="e">
        <f t="shared" si="237"/>
        <v>#DIV/0!</v>
      </c>
      <c r="Y67" s="98" t="e">
        <f t="shared" si="107"/>
        <v>#DIV/0!</v>
      </c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9"/>
      <c r="BN67" s="100"/>
      <c r="BO67" s="100"/>
      <c r="BP67" s="100"/>
      <c r="BQ67" s="100"/>
    </row>
    <row r="68" spans="1:69" ht="15.75" customHeight="1">
      <c r="A68" s="86"/>
      <c r="B68" s="86"/>
      <c r="C68" s="86" t="s">
        <v>301</v>
      </c>
      <c r="D68" s="86"/>
      <c r="E68" s="87">
        <f t="shared" ref="E68:F68" si="238">E69+E81+E85+E90</f>
        <v>267218.16000000003</v>
      </c>
      <c r="F68" s="389">
        <f t="shared" si="238"/>
        <v>259018.16000000003</v>
      </c>
      <c r="G68" s="87">
        <f>G69+G81+G90</f>
        <v>21041.95</v>
      </c>
      <c r="H68" s="107">
        <f t="shared" si="224"/>
        <v>0.28679955733547446</v>
      </c>
      <c r="I68" s="107">
        <f t="shared" si="225"/>
        <v>7.8016366851713953E-2</v>
      </c>
      <c r="J68" s="87">
        <f t="shared" ref="J68:R68" si="239">J69+J76+J77+J78+J81+J85+J90</f>
        <v>76638.05</v>
      </c>
      <c r="K68" s="87">
        <f t="shared" si="239"/>
        <v>84340.34</v>
      </c>
      <c r="L68" s="87">
        <f t="shared" si="239"/>
        <v>0</v>
      </c>
      <c r="M68" s="87">
        <f t="shared" si="239"/>
        <v>0</v>
      </c>
      <c r="N68" s="87">
        <f t="shared" si="239"/>
        <v>20847.39</v>
      </c>
      <c r="O68" s="87">
        <f t="shared" si="239"/>
        <v>25270.99</v>
      </c>
      <c r="P68" s="87">
        <f t="shared" si="239"/>
        <v>0</v>
      </c>
      <c r="Q68" s="87">
        <f t="shared" si="239"/>
        <v>21410.39</v>
      </c>
      <c r="R68" s="87">
        <f t="shared" si="239"/>
        <v>25270.99</v>
      </c>
      <c r="S68" s="87">
        <f>IF(BL68=0,SUM(AB68+AE68+AH68+AK68+AN68+AQ68+AT68+AW68+AZ68+BC68+BF68+BI68),BL68)</f>
        <v>0</v>
      </c>
      <c r="T68" s="87">
        <f>T69+T76+T77+T78+T81+T85+T90</f>
        <v>55790.66</v>
      </c>
      <c r="U68" s="87">
        <f>U69+U85</f>
        <v>59069.35</v>
      </c>
      <c r="V68" s="87">
        <f>V69+V76+V77+V78+V81+V85+V90</f>
        <v>0</v>
      </c>
      <c r="W68" s="88">
        <f t="shared" ref="W68:X68" si="240">N68/J68</f>
        <v>0.27202401418094535</v>
      </c>
      <c r="X68" s="88">
        <f t="shared" si="240"/>
        <v>0.29963111365213851</v>
      </c>
      <c r="Y68" s="88" t="e">
        <f t="shared" si="107"/>
        <v>#DIV/0!</v>
      </c>
      <c r="Z68" s="87">
        <f t="shared" ref="Z68:BL68" si="241">Z69+Z76+Z77+Z78+Z81+Z85+Z90</f>
        <v>0</v>
      </c>
      <c r="AA68" s="87">
        <f t="shared" si="241"/>
        <v>4595.8899999999994</v>
      </c>
      <c r="AB68" s="87">
        <f t="shared" si="241"/>
        <v>0</v>
      </c>
      <c r="AC68" s="87">
        <f t="shared" si="241"/>
        <v>0</v>
      </c>
      <c r="AD68" s="87">
        <f t="shared" si="241"/>
        <v>7931.1</v>
      </c>
      <c r="AE68" s="87">
        <f t="shared" si="241"/>
        <v>0</v>
      </c>
      <c r="AF68" s="87">
        <f t="shared" si="241"/>
        <v>0</v>
      </c>
      <c r="AG68" s="87">
        <f t="shared" si="241"/>
        <v>5181.2700000000004</v>
      </c>
      <c r="AH68" s="87">
        <f t="shared" si="241"/>
        <v>0</v>
      </c>
      <c r="AI68" s="87">
        <f t="shared" si="241"/>
        <v>0</v>
      </c>
      <c r="AJ68" s="87">
        <f t="shared" si="241"/>
        <v>3205.84</v>
      </c>
      <c r="AK68" s="87">
        <f t="shared" si="241"/>
        <v>0</v>
      </c>
      <c r="AL68" s="87">
        <f t="shared" si="241"/>
        <v>3228</v>
      </c>
      <c r="AM68" s="87">
        <f t="shared" si="241"/>
        <v>855.3</v>
      </c>
      <c r="AN68" s="87">
        <f t="shared" si="241"/>
        <v>0</v>
      </c>
      <c r="AO68" s="87">
        <f t="shared" si="241"/>
        <v>12039.86</v>
      </c>
      <c r="AP68" s="87">
        <f t="shared" si="241"/>
        <v>333.62</v>
      </c>
      <c r="AQ68" s="87">
        <f t="shared" si="241"/>
        <v>0</v>
      </c>
      <c r="AR68" s="87">
        <f t="shared" si="241"/>
        <v>6142.53</v>
      </c>
      <c r="AS68" s="87">
        <f t="shared" si="241"/>
        <v>3167.9700000000003</v>
      </c>
      <c r="AT68" s="87">
        <f t="shared" si="241"/>
        <v>0</v>
      </c>
      <c r="AU68" s="87">
        <f t="shared" si="241"/>
        <v>0</v>
      </c>
      <c r="AV68" s="87">
        <f t="shared" si="241"/>
        <v>0</v>
      </c>
      <c r="AW68" s="87">
        <f t="shared" si="241"/>
        <v>0</v>
      </c>
      <c r="AX68" s="87">
        <f t="shared" si="241"/>
        <v>0</v>
      </c>
      <c r="AY68" s="87">
        <f t="shared" si="241"/>
        <v>0</v>
      </c>
      <c r="AZ68" s="87">
        <f t="shared" si="241"/>
        <v>0</v>
      </c>
      <c r="BA68" s="87">
        <f t="shared" si="241"/>
        <v>0</v>
      </c>
      <c r="BB68" s="87">
        <f t="shared" si="241"/>
        <v>0</v>
      </c>
      <c r="BC68" s="87">
        <f t="shared" si="241"/>
        <v>0</v>
      </c>
      <c r="BD68" s="87">
        <f t="shared" si="241"/>
        <v>0</v>
      </c>
      <c r="BE68" s="87">
        <f t="shared" si="241"/>
        <v>0</v>
      </c>
      <c r="BF68" s="87">
        <f t="shared" si="241"/>
        <v>0</v>
      </c>
      <c r="BG68" s="87">
        <f t="shared" si="241"/>
        <v>0</v>
      </c>
      <c r="BH68" s="87">
        <f t="shared" si="241"/>
        <v>0</v>
      </c>
      <c r="BI68" s="87">
        <f t="shared" si="241"/>
        <v>0</v>
      </c>
      <c r="BJ68" s="87">
        <f t="shared" si="241"/>
        <v>0</v>
      </c>
      <c r="BK68" s="87">
        <f t="shared" si="241"/>
        <v>0</v>
      </c>
      <c r="BL68" s="87">
        <f t="shared" si="241"/>
        <v>0</v>
      </c>
      <c r="BM68" s="149"/>
      <c r="BN68" s="150"/>
      <c r="BO68" s="150"/>
      <c r="BP68" s="150"/>
      <c r="BQ68" s="150"/>
    </row>
    <row r="69" spans="1:69" ht="15.75" customHeight="1">
      <c r="A69" s="151"/>
      <c r="B69" s="151"/>
      <c r="C69" s="152"/>
      <c r="D69" s="153" t="s">
        <v>302</v>
      </c>
      <c r="E69" s="154">
        <f t="shared" ref="E69:F69" si="242">SUM(E70:E78)</f>
        <v>151589.62000000002</v>
      </c>
      <c r="F69" s="399">
        <f t="shared" si="242"/>
        <v>161389.62000000002</v>
      </c>
      <c r="G69" s="154">
        <f>SUM(G71:G78)</f>
        <v>0</v>
      </c>
      <c r="H69" s="155">
        <f t="shared" si="224"/>
        <v>0.42473257733609987</v>
      </c>
      <c r="I69" s="155">
        <f t="shared" si="225"/>
        <v>0.12266928302874561</v>
      </c>
      <c r="J69" s="154">
        <f>SUM(J70:J75)</f>
        <v>64385.05</v>
      </c>
      <c r="K69" s="154">
        <f t="shared" ref="K69:L69" si="243">SUM(K71:K75)</f>
        <v>10402.67</v>
      </c>
      <c r="L69" s="154">
        <f t="shared" si="243"/>
        <v>0</v>
      </c>
      <c r="M69" s="154">
        <f>SUM(M71:M72)</f>
        <v>0</v>
      </c>
      <c r="N69" s="154">
        <f>SUM(N70:N75)</f>
        <v>18595.39</v>
      </c>
      <c r="O69" s="154">
        <f>SUM(O71:O75)</f>
        <v>6527.5900000000011</v>
      </c>
      <c r="P69" s="154">
        <f>SUM(P70:P75)</f>
        <v>0</v>
      </c>
      <c r="Q69" s="81">
        <f t="shared" ref="Q69:S69" si="244">IF(BJ69=0,SUM(Z69+AC69+AF69+AI69+AL69+AO69+AR69+AU69+AX69+BA69+BD69+BG69),BJ69)</f>
        <v>18595.39</v>
      </c>
      <c r="R69" s="81">
        <f t="shared" si="244"/>
        <v>6527.59</v>
      </c>
      <c r="S69" s="81">
        <f t="shared" si="244"/>
        <v>0</v>
      </c>
      <c r="T69" s="154">
        <f t="shared" ref="T69:U69" si="245">SUM(T70:T75)</f>
        <v>45789.66</v>
      </c>
      <c r="U69" s="154">
        <f t="shared" si="245"/>
        <v>3875.08</v>
      </c>
      <c r="V69" s="154">
        <f>SUM(V71:V75)</f>
        <v>0</v>
      </c>
      <c r="W69" s="156">
        <f t="shared" ref="W69:X69" si="246">N69/J69</f>
        <v>0.28881533834329554</v>
      </c>
      <c r="X69" s="156">
        <f t="shared" si="246"/>
        <v>0.62749178816592288</v>
      </c>
      <c r="Y69" s="156" t="e">
        <f t="shared" si="107"/>
        <v>#DIV/0!</v>
      </c>
      <c r="Z69" s="154">
        <f>SUM(Z71:Z72)</f>
        <v>0</v>
      </c>
      <c r="AA69" s="154">
        <f>SUM(AA71:AA75)</f>
        <v>324.49</v>
      </c>
      <c r="AB69" s="154">
        <f t="shared" ref="AB69:AC69" si="247">SUM(AB71:AB72)</f>
        <v>0</v>
      </c>
      <c r="AC69" s="154">
        <f t="shared" si="247"/>
        <v>0</v>
      </c>
      <c r="AD69" s="154">
        <f>SUM(AD71:AD75)</f>
        <v>1301.0999999999999</v>
      </c>
      <c r="AE69" s="154">
        <f>SUM(AE71:AE72)</f>
        <v>0</v>
      </c>
      <c r="AF69" s="154">
        <f t="shared" ref="AF69:AG69" si="248">SUM(AF71:AF75)</f>
        <v>0</v>
      </c>
      <c r="AG69" s="154">
        <f t="shared" si="248"/>
        <v>2089.27</v>
      </c>
      <c r="AH69" s="154">
        <f>SUM(AH71:AH72)</f>
        <v>0</v>
      </c>
      <c r="AI69" s="154">
        <f t="shared" ref="AI69:AJ69" si="249">SUM(AI71:AI75)</f>
        <v>0</v>
      </c>
      <c r="AJ69" s="154">
        <f t="shared" si="249"/>
        <v>1265.8399999999999</v>
      </c>
      <c r="AK69" s="154">
        <f>SUM(AK71:AK72)</f>
        <v>0</v>
      </c>
      <c r="AL69" s="154">
        <f t="shared" ref="AL69:AM69" si="250">SUM(AL71:AL75)</f>
        <v>3228</v>
      </c>
      <c r="AM69" s="154">
        <f t="shared" si="250"/>
        <v>855.3</v>
      </c>
      <c r="AN69" s="154">
        <f>SUM(AN71:AN72)</f>
        <v>0</v>
      </c>
      <c r="AO69" s="154">
        <f t="shared" ref="AO69:AP69" si="251">SUM(AO71:AO75)</f>
        <v>9224.86</v>
      </c>
      <c r="AP69" s="154">
        <f t="shared" si="251"/>
        <v>333.62</v>
      </c>
      <c r="AQ69" s="154">
        <f>SUM(AQ71:AQ72)</f>
        <v>0</v>
      </c>
      <c r="AR69" s="154">
        <f t="shared" ref="AR69:AS69" si="252">SUM(AR70:AR75)</f>
        <v>6142.53</v>
      </c>
      <c r="AS69" s="154">
        <f t="shared" si="252"/>
        <v>357.97</v>
      </c>
      <c r="AT69" s="154">
        <f>SUM(AT71:AT72)</f>
        <v>0</v>
      </c>
      <c r="AU69" s="154">
        <f>SUM(AU71:AU75)</f>
        <v>0</v>
      </c>
      <c r="AV69" s="154">
        <f>SUM(AV71:AV77)</f>
        <v>0</v>
      </c>
      <c r="AW69" s="154">
        <f>SUM(AW71:AW72)</f>
        <v>0</v>
      </c>
      <c r="AX69" s="154">
        <f t="shared" ref="AX69:AY69" si="253">SUM(AX71:AX75)</f>
        <v>0</v>
      </c>
      <c r="AY69" s="154">
        <f t="shared" si="253"/>
        <v>0</v>
      </c>
      <c r="AZ69" s="154">
        <f t="shared" ref="AZ69:BA69" si="254">SUM(AZ71:AZ72)</f>
        <v>0</v>
      </c>
      <c r="BA69" s="154">
        <f t="shared" si="254"/>
        <v>0</v>
      </c>
      <c r="BB69" s="154">
        <f>SUM(BB71:BB77)</f>
        <v>0</v>
      </c>
      <c r="BC69" s="154">
        <f t="shared" ref="BC69:BI69" si="255">SUM(BC71:BC72)</f>
        <v>0</v>
      </c>
      <c r="BD69" s="154">
        <f t="shared" si="255"/>
        <v>0</v>
      </c>
      <c r="BE69" s="154">
        <f t="shared" si="255"/>
        <v>0</v>
      </c>
      <c r="BF69" s="154">
        <f t="shared" si="255"/>
        <v>0</v>
      </c>
      <c r="BG69" s="154">
        <f t="shared" si="255"/>
        <v>0</v>
      </c>
      <c r="BH69" s="154">
        <f t="shared" si="255"/>
        <v>0</v>
      </c>
      <c r="BI69" s="154">
        <f t="shared" si="255"/>
        <v>0</v>
      </c>
      <c r="BJ69" s="154">
        <f t="shared" ref="BJ69:BL69" si="256">SUM(BJ70:BJ75)</f>
        <v>0</v>
      </c>
      <c r="BK69" s="154">
        <f t="shared" si="256"/>
        <v>0</v>
      </c>
      <c r="BL69" s="154">
        <f t="shared" si="256"/>
        <v>0</v>
      </c>
      <c r="BM69" s="157"/>
      <c r="BN69" s="158"/>
      <c r="BO69" s="158"/>
      <c r="BP69" s="158"/>
      <c r="BQ69" s="158"/>
    </row>
    <row r="70" spans="1:69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400">
        <f t="shared" ref="F70:F72" si="257">E70</f>
        <v>1500</v>
      </c>
      <c r="G70" s="142"/>
      <c r="H70" s="94">
        <f t="shared" si="224"/>
        <v>1</v>
      </c>
      <c r="I70" s="94">
        <f t="shared" si="225"/>
        <v>0</v>
      </c>
      <c r="J70" s="142">
        <v>1500</v>
      </c>
      <c r="K70" s="117"/>
      <c r="L70" s="117"/>
      <c r="M70" s="118"/>
      <c r="N70" s="97">
        <f t="shared" ref="N70:P70" si="258">Z70+AC70+AF70+AI70+AL70+AO70+AR70+AU70+AX70+BA70+BD70+BG70</f>
        <v>0</v>
      </c>
      <c r="O70" s="97">
        <f t="shared" si="258"/>
        <v>0</v>
      </c>
      <c r="P70" s="97">
        <f t="shared" si="258"/>
        <v>0</v>
      </c>
      <c r="Q70" s="82">
        <f t="shared" ref="Q70:S70" si="259">IF(BJ70=0,SUM(Z70+AC70+AF70+AI70+AL70+AO70+AR70+AU70+AX70+BA70+BD70+BG70),BJ70)</f>
        <v>0</v>
      </c>
      <c r="R70" s="82">
        <f t="shared" si="259"/>
        <v>0</v>
      </c>
      <c r="S70" s="82">
        <f t="shared" si="259"/>
        <v>0</v>
      </c>
      <c r="T70" s="97">
        <f t="shared" ref="T70:T77" si="260">J70-N70</f>
        <v>1500</v>
      </c>
      <c r="U70" s="97">
        <f t="shared" ref="U70:U77" si="261">K70-L70-O70</f>
        <v>0</v>
      </c>
      <c r="V70" s="97">
        <f t="shared" ref="V70:V77" si="262">M70-P70</f>
        <v>0</v>
      </c>
      <c r="W70" s="98">
        <f t="shared" ref="W70:X70" si="263">N70/J70</f>
        <v>0</v>
      </c>
      <c r="X70" s="98" t="e">
        <f t="shared" si="263"/>
        <v>#DIV/0!</v>
      </c>
      <c r="Y70" s="98" t="e">
        <f t="shared" si="107"/>
        <v>#DIV/0!</v>
      </c>
      <c r="Z70" s="96"/>
      <c r="AA70" s="96"/>
      <c r="AB70" s="96"/>
      <c r="AC70" s="96"/>
      <c r="AD70" s="119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83"/>
      <c r="AX70" s="96"/>
      <c r="AY70" s="83"/>
      <c r="AZ70" s="83"/>
      <c r="BA70" s="96"/>
      <c r="BB70" s="83"/>
      <c r="BC70" s="83"/>
      <c r="BD70" s="96"/>
      <c r="BE70" s="96"/>
      <c r="BF70" s="83"/>
      <c r="BG70" s="96"/>
      <c r="BH70" s="83"/>
      <c r="BI70" s="83"/>
      <c r="BJ70" s="96"/>
      <c r="BK70" s="83"/>
      <c r="BL70" s="83"/>
      <c r="BM70" s="99"/>
      <c r="BN70" s="164"/>
      <c r="BO70" s="164"/>
      <c r="BP70" s="164"/>
      <c r="BQ70" s="164"/>
    </row>
    <row r="71" spans="1:69" ht="15.75" customHeight="1">
      <c r="A71" s="369" t="s">
        <v>711</v>
      </c>
      <c r="B71" s="159" t="s">
        <v>303</v>
      </c>
      <c r="C71" s="160" t="s">
        <v>304</v>
      </c>
      <c r="D71" s="161" t="s">
        <v>837</v>
      </c>
      <c r="E71" s="162">
        <v>10000</v>
      </c>
      <c r="F71" s="400">
        <f t="shared" si="257"/>
        <v>10000</v>
      </c>
      <c r="G71" s="142"/>
      <c r="H71" s="94">
        <f t="shared" si="224"/>
        <v>0.29244000000000003</v>
      </c>
      <c r="I71" s="94">
        <f t="shared" si="225"/>
        <v>0</v>
      </c>
      <c r="J71" s="367">
        <v>2924.4</v>
      </c>
      <c r="K71" s="117">
        <v>5435.51</v>
      </c>
      <c r="L71" s="117"/>
      <c r="M71" s="118"/>
      <c r="N71" s="97">
        <f t="shared" ref="N71:P71" si="264">Z71+AC71+AF71+AI71+AL71+AO71+AR71+AU71+AX71+BA71+BD71+BG71</f>
        <v>0</v>
      </c>
      <c r="O71" s="97">
        <f t="shared" si="264"/>
        <v>2206.1000000000004</v>
      </c>
      <c r="P71" s="97">
        <f t="shared" si="264"/>
        <v>0</v>
      </c>
      <c r="Q71" s="82">
        <f t="shared" ref="Q71:S71" si="265">IF(BJ71=0,SUM(Z71+AC71+AF71+AI71+AL71+AO71+AR71+AU71+AX71+BA71+BD71+BG71),BJ71)</f>
        <v>0</v>
      </c>
      <c r="R71" s="82">
        <f t="shared" si="265"/>
        <v>2206.1000000000004</v>
      </c>
      <c r="S71" s="82">
        <f t="shared" si="265"/>
        <v>0</v>
      </c>
      <c r="T71" s="97">
        <f t="shared" si="260"/>
        <v>2924.4</v>
      </c>
      <c r="U71" s="97">
        <f t="shared" si="261"/>
        <v>3229.41</v>
      </c>
      <c r="V71" s="97">
        <f t="shared" si="262"/>
        <v>0</v>
      </c>
      <c r="W71" s="98">
        <f t="shared" ref="W71:X71" si="266">N71/J71</f>
        <v>0</v>
      </c>
      <c r="X71" s="98">
        <f t="shared" si="266"/>
        <v>0.40586807861635804</v>
      </c>
      <c r="Y71" s="98" t="e">
        <f t="shared" si="107"/>
        <v>#DIV/0!</v>
      </c>
      <c r="Z71" s="96"/>
      <c r="AA71" s="103">
        <v>324.49</v>
      </c>
      <c r="AB71" s="96"/>
      <c r="AC71" s="96"/>
      <c r="AD71" s="131">
        <v>0</v>
      </c>
      <c r="AE71" s="96"/>
      <c r="AF71" s="96"/>
      <c r="AG71" s="103">
        <v>358.36</v>
      </c>
      <c r="AH71" s="96"/>
      <c r="AI71" s="96"/>
      <c r="AJ71" s="103">
        <f>362.01+425.9</f>
        <v>787.91</v>
      </c>
      <c r="AK71" s="96"/>
      <c r="AL71" s="96"/>
      <c r="AM71" s="103">
        <v>377.37</v>
      </c>
      <c r="AN71" s="96"/>
      <c r="AO71" s="103">
        <v>0</v>
      </c>
      <c r="AP71" s="96"/>
      <c r="AQ71" s="96"/>
      <c r="AR71" s="103">
        <v>0</v>
      </c>
      <c r="AS71" s="103">
        <v>357.97</v>
      </c>
      <c r="AT71" s="96"/>
      <c r="AU71" s="103">
        <v>0</v>
      </c>
      <c r="AV71" s="103">
        <v>0</v>
      </c>
      <c r="AW71" s="83"/>
      <c r="AX71" s="103">
        <v>0</v>
      </c>
      <c r="AY71" s="83"/>
      <c r="AZ71" s="83"/>
      <c r="BA71" s="96"/>
      <c r="BB71" s="83"/>
      <c r="BC71" s="83"/>
      <c r="BD71" s="96"/>
      <c r="BE71" s="96"/>
      <c r="BF71" s="83"/>
      <c r="BG71" s="96"/>
      <c r="BH71" s="83"/>
      <c r="BI71" s="83"/>
      <c r="BJ71" s="96"/>
      <c r="BK71" s="83"/>
      <c r="BL71" s="83"/>
      <c r="BM71" s="99"/>
      <c r="BN71" s="164"/>
      <c r="BO71" s="164"/>
      <c r="BP71" s="164"/>
      <c r="BQ71" s="164"/>
    </row>
    <row r="72" spans="1:69" ht="15.75" customHeight="1">
      <c r="A72" s="354" t="s">
        <v>607</v>
      </c>
      <c r="B72" s="136"/>
      <c r="C72" s="101" t="s">
        <v>306</v>
      </c>
      <c r="D72" s="236" t="s">
        <v>838</v>
      </c>
      <c r="E72" s="92">
        <v>30000</v>
      </c>
      <c r="F72" s="400">
        <f t="shared" si="257"/>
        <v>30000</v>
      </c>
      <c r="G72" s="166"/>
      <c r="H72" s="94">
        <f t="shared" si="224"/>
        <v>0.90180000000000005</v>
      </c>
      <c r="I72" s="94">
        <f t="shared" si="225"/>
        <v>0.26719999999999999</v>
      </c>
      <c r="J72" s="103">
        <f>3006+24048</f>
        <v>27054</v>
      </c>
      <c r="K72" s="117"/>
      <c r="L72" s="117"/>
      <c r="M72" s="118"/>
      <c r="N72" s="97">
        <f t="shared" ref="N72:P72" si="267">Z72+AC72+AF72+AI72+AL72+AO72+AR72+AU72+AX72+BA72+BD72+BG72</f>
        <v>8016</v>
      </c>
      <c r="O72" s="97">
        <f t="shared" si="267"/>
        <v>0</v>
      </c>
      <c r="P72" s="97">
        <f t="shared" si="267"/>
        <v>0</v>
      </c>
      <c r="Q72" s="82">
        <f t="shared" ref="Q72:S72" si="268">IF(BJ72=0,SUM(Z72+AC72+AF72+AI72+AL72+AO72+AR72+AU72+AX72+BA72+BD72+BG72),BJ72)</f>
        <v>8016</v>
      </c>
      <c r="R72" s="82">
        <f t="shared" si="268"/>
        <v>0</v>
      </c>
      <c r="S72" s="82">
        <f t="shared" si="268"/>
        <v>0</v>
      </c>
      <c r="T72" s="97">
        <f t="shared" si="260"/>
        <v>19038</v>
      </c>
      <c r="U72" s="97">
        <f t="shared" si="261"/>
        <v>0</v>
      </c>
      <c r="V72" s="97">
        <f t="shared" si="262"/>
        <v>0</v>
      </c>
      <c r="W72" s="98">
        <f t="shared" ref="W72:X72" si="269">N72/J72</f>
        <v>0.29629629629629628</v>
      </c>
      <c r="X72" s="98" t="e">
        <f t="shared" si="269"/>
        <v>#DIV/0!</v>
      </c>
      <c r="Y72" s="98" t="e">
        <f t="shared" si="107"/>
        <v>#DIV/0!</v>
      </c>
      <c r="Z72" s="96"/>
      <c r="AA72" s="103">
        <v>0</v>
      </c>
      <c r="AB72" s="96"/>
      <c r="AC72" s="96"/>
      <c r="AD72" s="131">
        <v>0</v>
      </c>
      <c r="AE72" s="96"/>
      <c r="AF72" s="103">
        <v>0</v>
      </c>
      <c r="AG72" s="96"/>
      <c r="AH72" s="96"/>
      <c r="AI72" s="103">
        <v>0</v>
      </c>
      <c r="AJ72" s="96"/>
      <c r="AK72" s="96"/>
      <c r="AL72" s="103">
        <v>2004</v>
      </c>
      <c r="AM72" s="103"/>
      <c r="AN72" s="96"/>
      <c r="AO72" s="103">
        <v>3006</v>
      </c>
      <c r="AP72" s="96"/>
      <c r="AQ72" s="96"/>
      <c r="AR72" s="103">
        <f>3006</f>
        <v>3006</v>
      </c>
      <c r="AS72" s="96"/>
      <c r="AT72" s="96"/>
      <c r="AU72" s="103">
        <v>0</v>
      </c>
      <c r="AV72" s="103">
        <v>0</v>
      </c>
      <c r="AW72" s="83"/>
      <c r="AX72" s="103">
        <v>0</v>
      </c>
      <c r="AY72" s="83"/>
      <c r="AZ72" s="83"/>
      <c r="BA72" s="103">
        <v>0</v>
      </c>
      <c r="BB72" s="83"/>
      <c r="BC72" s="83"/>
      <c r="BD72" s="96"/>
      <c r="BE72" s="83"/>
      <c r="BF72" s="83"/>
      <c r="BG72" s="83"/>
      <c r="BH72" s="83"/>
      <c r="BI72" s="83"/>
      <c r="BJ72" s="83"/>
      <c r="BK72" s="83"/>
      <c r="BL72" s="83"/>
      <c r="BM72" s="99"/>
      <c r="BN72" s="164"/>
      <c r="BO72" s="164"/>
      <c r="BP72" s="164"/>
      <c r="BQ72" s="164"/>
    </row>
    <row r="73" spans="1:69" ht="15.75" customHeight="1">
      <c r="A73" s="354" t="s">
        <v>714</v>
      </c>
      <c r="B73" s="136" t="s">
        <v>308</v>
      </c>
      <c r="C73" s="101" t="s">
        <v>240</v>
      </c>
      <c r="D73" s="91" t="s">
        <v>839</v>
      </c>
      <c r="E73" s="92">
        <v>5200</v>
      </c>
      <c r="F73" s="401">
        <v>15000</v>
      </c>
      <c r="G73" s="166"/>
      <c r="H73" s="94">
        <f t="shared" si="224"/>
        <v>0.73527692307692305</v>
      </c>
      <c r="I73" s="94">
        <f t="shared" si="225"/>
        <v>0.11966153846153846</v>
      </c>
      <c r="J73" s="96">
        <f>3823.44</f>
        <v>3823.44</v>
      </c>
      <c r="K73" s="117">
        <v>2723.27</v>
      </c>
      <c r="L73" s="117"/>
      <c r="M73" s="118"/>
      <c r="N73" s="97">
        <f t="shared" ref="N73:P73" si="270">Z73+AC73+AF73+AI73+AL73+AO73+AR73+AU73+AX73+BA73+BD73+BG73</f>
        <v>622.24</v>
      </c>
      <c r="O73" s="97">
        <f t="shared" si="270"/>
        <v>2723.27</v>
      </c>
      <c r="P73" s="97">
        <f t="shared" si="270"/>
        <v>0</v>
      </c>
      <c r="Q73" s="82">
        <f t="shared" ref="Q73:Q88" si="271">IF(BJ73=0,SUM(Z73+AC73+AF73+AI73+AL73+AO73+AR73+AU73+AX73+BA73+BD73+BG73),BJ73)</f>
        <v>622.24</v>
      </c>
      <c r="R73" s="82">
        <f>IF(BK73=0,SUM(AA73+AD73+AG73+AJ73+AM73+AP73+AS73+AU73+AY73+BB73+BE73+BH73),BK73)</f>
        <v>2723.27</v>
      </c>
      <c r="S73" s="82">
        <f>IF(BL73=0,SUM(AB73+AE73+AH73+AK73+AN73+AQ73+AT73+AW73+AZ73+BC73+BF73+BI73),BL73)</f>
        <v>0</v>
      </c>
      <c r="T73" s="97">
        <f t="shared" si="260"/>
        <v>3201.2</v>
      </c>
      <c r="U73" s="97">
        <f t="shared" si="261"/>
        <v>0</v>
      </c>
      <c r="V73" s="97">
        <f t="shared" si="262"/>
        <v>0</v>
      </c>
      <c r="W73" s="98">
        <f t="shared" ref="W73:X73" si="272">N73/J73</f>
        <v>0.16274349800179944</v>
      </c>
      <c r="X73" s="98">
        <f t="shared" si="272"/>
        <v>1</v>
      </c>
      <c r="Y73" s="98" t="e">
        <f t="shared" si="107"/>
        <v>#DIV/0!</v>
      </c>
      <c r="Z73" s="96"/>
      <c r="AA73" s="103">
        <v>0</v>
      </c>
      <c r="AB73" s="96"/>
      <c r="AC73" s="96"/>
      <c r="AD73" s="131">
        <f>477.93+477.93</f>
        <v>955.86</v>
      </c>
      <c r="AE73" s="96"/>
      <c r="AF73" s="103">
        <v>0</v>
      </c>
      <c r="AG73" s="103">
        <v>477.93</v>
      </c>
      <c r="AH73" s="96"/>
      <c r="AI73" s="103"/>
      <c r="AJ73" s="103">
        <v>477.93</v>
      </c>
      <c r="AK73" s="96"/>
      <c r="AL73" s="103">
        <v>0</v>
      </c>
      <c r="AM73" s="103">
        <v>477.93</v>
      </c>
      <c r="AN73" s="103"/>
      <c r="AO73" s="103">
        <v>144.31</v>
      </c>
      <c r="AP73" s="103">
        <v>333.62</v>
      </c>
      <c r="AQ73" s="96"/>
      <c r="AR73" s="103">
        <f>477.93</f>
        <v>477.93</v>
      </c>
      <c r="AS73" s="96"/>
      <c r="AT73" s="96"/>
      <c r="AU73" s="103">
        <v>0</v>
      </c>
      <c r="AV73" s="103"/>
      <c r="AW73" s="83"/>
      <c r="AX73" s="103">
        <v>0</v>
      </c>
      <c r="AY73" s="83"/>
      <c r="AZ73" s="83"/>
      <c r="BA73" s="83"/>
      <c r="BB73" s="83"/>
      <c r="BC73" s="83"/>
      <c r="BD73" s="96"/>
      <c r="BE73" s="83"/>
      <c r="BF73" s="83"/>
      <c r="BG73" s="83"/>
      <c r="BH73" s="83"/>
      <c r="BI73" s="83"/>
      <c r="BJ73" s="83"/>
      <c r="BK73" s="83"/>
      <c r="BL73" s="83"/>
      <c r="BM73" s="99"/>
      <c r="BN73" s="164"/>
      <c r="BO73" s="164"/>
      <c r="BP73" s="164"/>
      <c r="BQ73" s="164"/>
    </row>
    <row r="74" spans="1:69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400">
        <f t="shared" ref="F74:F78" si="273">E74</f>
        <v>5000</v>
      </c>
      <c r="G74" s="166"/>
      <c r="H74" s="94">
        <f t="shared" si="224"/>
        <v>0</v>
      </c>
      <c r="I74" s="94">
        <f t="shared" si="225"/>
        <v>0.53171999999999997</v>
      </c>
      <c r="J74" s="96"/>
      <c r="K74" s="117"/>
      <c r="L74" s="117"/>
      <c r="M74" s="118"/>
      <c r="N74" s="97">
        <f t="shared" ref="N74:P74" si="274">Z74+AC74+AF74+AI74+AL74+AO74+AR74+AU74+AX74+BA74+BD74+BG74</f>
        <v>2658.6</v>
      </c>
      <c r="O74" s="97">
        <f t="shared" si="274"/>
        <v>0</v>
      </c>
      <c r="P74" s="97">
        <f t="shared" si="274"/>
        <v>0</v>
      </c>
      <c r="Q74" s="82">
        <f t="shared" si="271"/>
        <v>2658.6</v>
      </c>
      <c r="R74" s="82">
        <f t="shared" ref="R74:S74" si="275">IF(BK74=0,SUM(AA74+AD74+AG74+AJ74+AM74+AP74+AS74+AV74+AY74+BB74+BE74+BH74),BK74)</f>
        <v>0</v>
      </c>
      <c r="S74" s="82">
        <f t="shared" si="275"/>
        <v>0</v>
      </c>
      <c r="T74" s="97">
        <f t="shared" si="260"/>
        <v>-2658.6</v>
      </c>
      <c r="U74" s="97">
        <f t="shared" si="261"/>
        <v>0</v>
      </c>
      <c r="V74" s="97">
        <f t="shared" si="262"/>
        <v>0</v>
      </c>
      <c r="W74" s="98" t="e">
        <f t="shared" ref="W74:X74" si="276">N74/J74</f>
        <v>#DIV/0!</v>
      </c>
      <c r="X74" s="98" t="e">
        <f t="shared" si="276"/>
        <v>#DIV/0!</v>
      </c>
      <c r="Y74" s="98" t="e">
        <f t="shared" si="107"/>
        <v>#DIV/0!</v>
      </c>
      <c r="Z74" s="96"/>
      <c r="AA74" s="103">
        <v>0</v>
      </c>
      <c r="AB74" s="96"/>
      <c r="AC74" s="96"/>
      <c r="AD74" s="131">
        <v>0</v>
      </c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103">
        <v>2658.6</v>
      </c>
      <c r="AS74" s="96"/>
      <c r="AT74" s="96"/>
      <c r="AU74" s="96"/>
      <c r="AV74" s="96"/>
      <c r="AW74" s="83"/>
      <c r="AX74" s="83"/>
      <c r="AY74" s="83"/>
      <c r="AZ74" s="83"/>
      <c r="BA74" s="83"/>
      <c r="BB74" s="83"/>
      <c r="BC74" s="83"/>
      <c r="BD74" s="96"/>
      <c r="BE74" s="83"/>
      <c r="BF74" s="83"/>
      <c r="BG74" s="83"/>
      <c r="BH74" s="83"/>
      <c r="BI74" s="83"/>
      <c r="BJ74" s="83"/>
      <c r="BK74" s="83"/>
      <c r="BL74" s="83"/>
      <c r="BM74" s="99"/>
      <c r="BN74" s="164"/>
      <c r="BO74" s="164"/>
      <c r="BP74" s="164"/>
      <c r="BQ74" s="164"/>
    </row>
    <row r="75" spans="1:69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400">
        <f t="shared" si="273"/>
        <v>30000</v>
      </c>
      <c r="G75" s="166"/>
      <c r="H75" s="94">
        <f t="shared" si="224"/>
        <v>0.96944033333333335</v>
      </c>
      <c r="I75" s="94">
        <f t="shared" si="225"/>
        <v>0.243285</v>
      </c>
      <c r="J75" s="96">
        <f>3084+25999.21</f>
        <v>29083.21</v>
      </c>
      <c r="K75" s="167">
        <v>2243.89</v>
      </c>
      <c r="L75" s="117"/>
      <c r="M75" s="118"/>
      <c r="N75" s="97">
        <f t="shared" ref="N75:P75" si="277">Z75+AC75+AF75+AI75+AL75+AO75+AR75+AU75+AX75+BA75+BD75+BG75</f>
        <v>7298.55</v>
      </c>
      <c r="O75" s="97">
        <f t="shared" si="277"/>
        <v>1598.22</v>
      </c>
      <c r="P75" s="97">
        <f t="shared" si="277"/>
        <v>0</v>
      </c>
      <c r="Q75" s="82">
        <f t="shared" si="271"/>
        <v>7298.55</v>
      </c>
      <c r="R75" s="82">
        <f t="shared" ref="R75:S75" si="278">IF(BK75=0,SUM(AA75+AD75+AG75+AJ75+AM75+AP75+AS75+AV75+AY75+BB75+BE75+BH75),BK75)</f>
        <v>1598.22</v>
      </c>
      <c r="S75" s="82">
        <f t="shared" si="278"/>
        <v>0</v>
      </c>
      <c r="T75" s="97">
        <f t="shared" si="260"/>
        <v>21784.66</v>
      </c>
      <c r="U75" s="97">
        <f t="shared" si="261"/>
        <v>645.66999999999985</v>
      </c>
      <c r="V75" s="97">
        <f t="shared" si="262"/>
        <v>0</v>
      </c>
      <c r="W75" s="98">
        <f t="shared" ref="W75:X75" si="279">N75/J75</f>
        <v>0.25095407281383314</v>
      </c>
      <c r="X75" s="98">
        <f t="shared" si="279"/>
        <v>0.71225416575678846</v>
      </c>
      <c r="Y75" s="98" t="e">
        <f t="shared" si="107"/>
        <v>#DIV/0!</v>
      </c>
      <c r="Z75" s="96"/>
      <c r="AA75" s="103">
        <v>0</v>
      </c>
      <c r="AB75" s="96"/>
      <c r="AC75" s="96"/>
      <c r="AD75" s="131">
        <f>284.15+61.09</f>
        <v>345.24</v>
      </c>
      <c r="AE75" s="96"/>
      <c r="AF75" s="96"/>
      <c r="AG75" s="103">
        <f>1252.98</f>
        <v>1252.98</v>
      </c>
      <c r="AH75" s="96"/>
      <c r="AI75" s="96"/>
      <c r="AJ75" s="103">
        <v>0</v>
      </c>
      <c r="AK75" s="96"/>
      <c r="AL75" s="103">
        <v>1224</v>
      </c>
      <c r="AM75" s="103">
        <v>0</v>
      </c>
      <c r="AN75" s="96"/>
      <c r="AO75" s="103">
        <f>3213.61+2860.94</f>
        <v>6074.55</v>
      </c>
      <c r="AP75" s="103">
        <v>0</v>
      </c>
      <c r="AQ75" s="96"/>
      <c r="AR75" s="96"/>
      <c r="AS75" s="96"/>
      <c r="AT75" s="96"/>
      <c r="AU75" s="96"/>
      <c r="AV75" s="103">
        <v>0</v>
      </c>
      <c r="AW75" s="83"/>
      <c r="AX75" s="83"/>
      <c r="AY75" s="103">
        <v>0</v>
      </c>
      <c r="AZ75" s="83"/>
      <c r="BA75" s="83"/>
      <c r="BB75" s="96"/>
      <c r="BC75" s="83"/>
      <c r="BD75" s="96"/>
      <c r="BE75" s="96"/>
      <c r="BF75" s="83"/>
      <c r="BG75" s="83"/>
      <c r="BH75" s="83"/>
      <c r="BI75" s="83"/>
      <c r="BJ75" s="83"/>
      <c r="BK75" s="83"/>
      <c r="BL75" s="83"/>
      <c r="BM75" s="99"/>
      <c r="BN75" s="164"/>
      <c r="BO75" s="164"/>
      <c r="BP75" s="164"/>
      <c r="BQ75" s="164"/>
    </row>
    <row r="76" spans="1:69" ht="14.25" customHeight="1">
      <c r="A76" s="168"/>
      <c r="B76" s="168"/>
      <c r="C76" s="169"/>
      <c r="D76" s="170" t="s">
        <v>314</v>
      </c>
      <c r="E76" s="171">
        <v>23296.54</v>
      </c>
      <c r="F76" s="400">
        <f t="shared" si="273"/>
        <v>23296.54</v>
      </c>
      <c r="G76" s="172"/>
      <c r="H76" s="94">
        <f t="shared" si="224"/>
        <v>0</v>
      </c>
      <c r="I76" s="94">
        <f t="shared" si="225"/>
        <v>0</v>
      </c>
      <c r="J76" s="173"/>
      <c r="K76" s="174"/>
      <c r="L76" s="174"/>
      <c r="M76" s="174"/>
      <c r="N76" s="97">
        <f t="shared" ref="N76:P76" si="280">Z76+AC76+AF76+AI76+AL76+AO76+AR76+AU76+AX76+BA76+BD76+BG76</f>
        <v>0</v>
      </c>
      <c r="O76" s="97">
        <f t="shared" si="280"/>
        <v>0</v>
      </c>
      <c r="P76" s="175">
        <f t="shared" si="280"/>
        <v>0</v>
      </c>
      <c r="Q76" s="82">
        <f t="shared" si="271"/>
        <v>0</v>
      </c>
      <c r="R76" s="82">
        <f t="shared" ref="R76:S76" si="281">IF(BK76=0,SUM(AA76+AD76+AG76+AJ76+AM76+AP76+AS76+AV76+AY76+BB76+BE76+BH76),BK76)</f>
        <v>0</v>
      </c>
      <c r="S76" s="82">
        <f t="shared" si="281"/>
        <v>0</v>
      </c>
      <c r="T76" s="175">
        <f t="shared" si="260"/>
        <v>0</v>
      </c>
      <c r="U76" s="97">
        <f t="shared" si="261"/>
        <v>0</v>
      </c>
      <c r="V76" s="175">
        <f t="shared" si="262"/>
        <v>0</v>
      </c>
      <c r="W76" s="176" t="e">
        <f t="shared" ref="W76:X76" si="282">N76/J76</f>
        <v>#DIV/0!</v>
      </c>
      <c r="X76" s="176" t="e">
        <f t="shared" si="282"/>
        <v>#DIV/0!</v>
      </c>
      <c r="Y76" s="176" t="e">
        <f t="shared" si="107"/>
        <v>#DIV/0!</v>
      </c>
      <c r="Z76" s="172"/>
      <c r="AA76" s="172"/>
      <c r="AB76" s="172"/>
      <c r="AC76" s="172"/>
      <c r="AD76" s="177"/>
      <c r="AE76" s="172"/>
      <c r="AF76" s="172"/>
      <c r="AG76" s="172"/>
      <c r="AH76" s="172"/>
      <c r="AI76" s="172"/>
      <c r="AJ76" s="172"/>
      <c r="AK76" s="172"/>
      <c r="AL76" s="171">
        <v>0</v>
      </c>
      <c r="AM76" s="172"/>
      <c r="AN76" s="172"/>
      <c r="AO76" s="178"/>
      <c r="AP76" s="178"/>
      <c r="AQ76" s="178"/>
      <c r="AR76" s="178"/>
      <c r="AS76" s="178"/>
      <c r="AT76" s="178"/>
      <c r="AU76" s="178"/>
      <c r="AV76" s="179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80"/>
      <c r="BN76" s="181"/>
      <c r="BO76" s="181"/>
      <c r="BP76" s="181"/>
      <c r="BQ76" s="181"/>
    </row>
    <row r="77" spans="1:69" ht="15.75" customHeight="1">
      <c r="A77" s="168"/>
      <c r="B77" s="168"/>
      <c r="C77" s="169"/>
      <c r="D77" s="170" t="s">
        <v>315</v>
      </c>
      <c r="E77" s="171">
        <v>23296.54</v>
      </c>
      <c r="F77" s="400">
        <f t="shared" si="273"/>
        <v>23296.54</v>
      </c>
      <c r="G77" s="172"/>
      <c r="H77" s="94">
        <f t="shared" si="224"/>
        <v>0</v>
      </c>
      <c r="I77" s="94">
        <f t="shared" si="225"/>
        <v>0</v>
      </c>
      <c r="J77" s="174"/>
      <c r="K77" s="174"/>
      <c r="L77" s="174"/>
      <c r="M77" s="174"/>
      <c r="N77" s="175">
        <f t="shared" ref="N77:P77" si="283">Z77+AC77+AF77+AI77+AL77+AO77+AR77+AU77+AX77+BA77+BD77+BG77</f>
        <v>0</v>
      </c>
      <c r="O77" s="175">
        <f t="shared" si="283"/>
        <v>0</v>
      </c>
      <c r="P77" s="175">
        <f t="shared" si="283"/>
        <v>0</v>
      </c>
      <c r="Q77" s="82">
        <f t="shared" si="271"/>
        <v>0</v>
      </c>
      <c r="R77" s="82">
        <f t="shared" ref="R77:S77" si="284">IF(BK77=0,SUM(AA77+AD77+AG77+AJ77+AM77+AP77+AS77+AV77+AY77+BB77+BE77+BH77),BK77)</f>
        <v>0</v>
      </c>
      <c r="S77" s="82">
        <f t="shared" si="284"/>
        <v>0</v>
      </c>
      <c r="T77" s="175">
        <f t="shared" si="260"/>
        <v>0</v>
      </c>
      <c r="U77" s="97">
        <f t="shared" si="261"/>
        <v>0</v>
      </c>
      <c r="V77" s="175">
        <f t="shared" si="262"/>
        <v>0</v>
      </c>
      <c r="W77" s="176" t="e">
        <f t="shared" ref="W77:X77" si="285">N77/J77</f>
        <v>#DIV/0!</v>
      </c>
      <c r="X77" s="176" t="e">
        <f t="shared" si="285"/>
        <v>#DIV/0!</v>
      </c>
      <c r="Y77" s="176" t="e">
        <f t="shared" si="107"/>
        <v>#DIV/0!</v>
      </c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80"/>
      <c r="BN77" s="181"/>
      <c r="BO77" s="181"/>
      <c r="BP77" s="181"/>
      <c r="BQ77" s="181"/>
    </row>
    <row r="78" spans="1:69" ht="18.75" customHeight="1">
      <c r="A78" s="182"/>
      <c r="B78" s="182"/>
      <c r="C78" s="183"/>
      <c r="D78" s="184" t="s">
        <v>316</v>
      </c>
      <c r="E78" s="185">
        <v>23296.54</v>
      </c>
      <c r="F78" s="400">
        <f t="shared" si="273"/>
        <v>23296.54</v>
      </c>
      <c r="G78" s="186"/>
      <c r="H78" s="187">
        <f t="shared" si="224"/>
        <v>0</v>
      </c>
      <c r="I78" s="188">
        <f t="shared" si="225"/>
        <v>0</v>
      </c>
      <c r="J78" s="186">
        <f t="shared" ref="J78:P78" si="286">SUM(J79:J80)</f>
        <v>0</v>
      </c>
      <c r="K78" s="186">
        <f t="shared" si="286"/>
        <v>0</v>
      </c>
      <c r="L78" s="186">
        <f t="shared" si="286"/>
        <v>0</v>
      </c>
      <c r="M78" s="186">
        <f t="shared" si="286"/>
        <v>0</v>
      </c>
      <c r="N78" s="186">
        <f t="shared" si="286"/>
        <v>0</v>
      </c>
      <c r="O78" s="186">
        <f t="shared" si="286"/>
        <v>0</v>
      </c>
      <c r="P78" s="186">
        <f t="shared" si="286"/>
        <v>0</v>
      </c>
      <c r="Q78" s="81">
        <f t="shared" si="271"/>
        <v>0</v>
      </c>
      <c r="R78" s="81">
        <f t="shared" ref="R78:S78" si="287">IF(BK78=0,SUM(AA78+AD78+AG78+AJ78+AM78+AP78+AS78+AV78+AY78+BB78+BE78+BH78),BK78)</f>
        <v>0</v>
      </c>
      <c r="S78" s="81">
        <f t="shared" si="287"/>
        <v>0</v>
      </c>
      <c r="T78" s="186">
        <f t="shared" ref="T78:V78" si="288">SUM(T79:T80)</f>
        <v>0</v>
      </c>
      <c r="U78" s="186">
        <f t="shared" si="288"/>
        <v>0</v>
      </c>
      <c r="V78" s="186">
        <f t="shared" si="288"/>
        <v>0</v>
      </c>
      <c r="W78" s="189" t="e">
        <f t="shared" ref="W78:X78" si="289">N78/J78</f>
        <v>#DIV/0!</v>
      </c>
      <c r="X78" s="189" t="e">
        <f t="shared" si="289"/>
        <v>#DIV/0!</v>
      </c>
      <c r="Y78" s="189" t="e">
        <f t="shared" si="107"/>
        <v>#DIV/0!</v>
      </c>
      <c r="Z78" s="186">
        <f t="shared" ref="Z78:BL78" si="290">SUM(Z79:Z80)</f>
        <v>0</v>
      </c>
      <c r="AA78" s="186">
        <f t="shared" si="290"/>
        <v>0</v>
      </c>
      <c r="AB78" s="186">
        <f t="shared" si="290"/>
        <v>0</v>
      </c>
      <c r="AC78" s="186">
        <f t="shared" si="290"/>
        <v>0</v>
      </c>
      <c r="AD78" s="186">
        <f t="shared" si="290"/>
        <v>0</v>
      </c>
      <c r="AE78" s="186">
        <f t="shared" si="290"/>
        <v>0</v>
      </c>
      <c r="AF78" s="186">
        <f t="shared" si="290"/>
        <v>0</v>
      </c>
      <c r="AG78" s="186">
        <f t="shared" si="290"/>
        <v>0</v>
      </c>
      <c r="AH78" s="186">
        <f t="shared" si="290"/>
        <v>0</v>
      </c>
      <c r="AI78" s="186">
        <f t="shared" si="290"/>
        <v>0</v>
      </c>
      <c r="AJ78" s="186">
        <f t="shared" si="290"/>
        <v>0</v>
      </c>
      <c r="AK78" s="186">
        <f t="shared" si="290"/>
        <v>0</v>
      </c>
      <c r="AL78" s="186">
        <f t="shared" si="290"/>
        <v>0</v>
      </c>
      <c r="AM78" s="186">
        <f t="shared" si="290"/>
        <v>0</v>
      </c>
      <c r="AN78" s="186">
        <f t="shared" si="290"/>
        <v>0</v>
      </c>
      <c r="AO78" s="186">
        <f t="shared" si="290"/>
        <v>0</v>
      </c>
      <c r="AP78" s="186">
        <f t="shared" si="290"/>
        <v>0</v>
      </c>
      <c r="AQ78" s="186">
        <f t="shared" si="290"/>
        <v>0</v>
      </c>
      <c r="AR78" s="186">
        <f t="shared" si="290"/>
        <v>0</v>
      </c>
      <c r="AS78" s="186">
        <f t="shared" si="290"/>
        <v>0</v>
      </c>
      <c r="AT78" s="186">
        <f t="shared" si="290"/>
        <v>0</v>
      </c>
      <c r="AU78" s="186">
        <f t="shared" si="290"/>
        <v>0</v>
      </c>
      <c r="AV78" s="186">
        <f t="shared" si="290"/>
        <v>0</v>
      </c>
      <c r="AW78" s="186">
        <f t="shared" si="290"/>
        <v>0</v>
      </c>
      <c r="AX78" s="186">
        <f t="shared" si="290"/>
        <v>0</v>
      </c>
      <c r="AY78" s="186">
        <f t="shared" si="290"/>
        <v>0</v>
      </c>
      <c r="AZ78" s="186">
        <f t="shared" si="290"/>
        <v>0</v>
      </c>
      <c r="BA78" s="186">
        <f t="shared" si="290"/>
        <v>0</v>
      </c>
      <c r="BB78" s="186">
        <f t="shared" si="290"/>
        <v>0</v>
      </c>
      <c r="BC78" s="186">
        <f t="shared" si="290"/>
        <v>0</v>
      </c>
      <c r="BD78" s="186">
        <f t="shared" si="290"/>
        <v>0</v>
      </c>
      <c r="BE78" s="186">
        <f t="shared" si="290"/>
        <v>0</v>
      </c>
      <c r="BF78" s="186">
        <f t="shared" si="290"/>
        <v>0</v>
      </c>
      <c r="BG78" s="186">
        <f t="shared" si="290"/>
        <v>0</v>
      </c>
      <c r="BH78" s="186">
        <f t="shared" si="290"/>
        <v>0</v>
      </c>
      <c r="BI78" s="186">
        <f t="shared" si="290"/>
        <v>0</v>
      </c>
      <c r="BJ78" s="186">
        <f t="shared" si="290"/>
        <v>0</v>
      </c>
      <c r="BK78" s="186">
        <f t="shared" si="290"/>
        <v>0</v>
      </c>
      <c r="BL78" s="186">
        <f t="shared" si="290"/>
        <v>0</v>
      </c>
      <c r="BM78" s="157"/>
      <c r="BN78" s="158"/>
      <c r="BO78" s="158"/>
      <c r="BP78" s="158"/>
      <c r="BQ78" s="158"/>
    </row>
    <row r="79" spans="1:69" ht="15.75" customHeight="1">
      <c r="A79" s="89"/>
      <c r="B79" s="89"/>
      <c r="C79" s="90" t="s">
        <v>271</v>
      </c>
      <c r="D79" s="91" t="s">
        <v>317</v>
      </c>
      <c r="E79" s="166"/>
      <c r="F79" s="400"/>
      <c r="G79" s="166"/>
      <c r="H79" s="94" t="e">
        <f t="shared" si="224"/>
        <v>#DIV/0!</v>
      </c>
      <c r="I79" s="94" t="e">
        <f t="shared" si="225"/>
        <v>#DIV/0!</v>
      </c>
      <c r="J79" s="96"/>
      <c r="K79" s="190"/>
      <c r="L79" s="190"/>
      <c r="M79" s="190"/>
      <c r="N79" s="97">
        <f t="shared" ref="N79:P79" si="291">Z79+AC79+AF79+AI79+AL79+AO79+AR79+AU79+AX79+BA79+BD79+BG79</f>
        <v>0</v>
      </c>
      <c r="O79" s="97">
        <f t="shared" si="291"/>
        <v>0</v>
      </c>
      <c r="P79" s="97">
        <f t="shared" si="291"/>
        <v>0</v>
      </c>
      <c r="Q79" s="82">
        <f t="shared" si="271"/>
        <v>0</v>
      </c>
      <c r="R79" s="82">
        <f t="shared" ref="R79:S79" si="292">IF(BK79=0,SUM(AA79+AD79+AG79+AJ79+AM79+AP79+AS79+AV79+AY79+BB79+BE79+BH79),BK79)</f>
        <v>0</v>
      </c>
      <c r="S79" s="82">
        <f t="shared" si="292"/>
        <v>0</v>
      </c>
      <c r="T79" s="97">
        <f t="shared" ref="T79:U79" si="293">J79-N79</f>
        <v>0</v>
      </c>
      <c r="U79" s="97">
        <f t="shared" si="293"/>
        <v>0</v>
      </c>
      <c r="V79" s="97">
        <f t="shared" ref="V79:V80" si="294">M79-P79</f>
        <v>0</v>
      </c>
      <c r="W79" s="98" t="e">
        <f t="shared" ref="W79:X79" si="295">N79/J79</f>
        <v>#DIV/0!</v>
      </c>
      <c r="X79" s="98" t="e">
        <f t="shared" si="295"/>
        <v>#DIV/0!</v>
      </c>
      <c r="Y79" s="98" t="e">
        <f t="shared" si="107"/>
        <v>#DIV/0!</v>
      </c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95">
        <v>0</v>
      </c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95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99"/>
      <c r="BN79" s="100"/>
      <c r="BO79" s="100"/>
      <c r="BP79" s="100"/>
      <c r="BQ79" s="100"/>
    </row>
    <row r="80" spans="1:69" ht="15.75" customHeight="1">
      <c r="A80" s="89"/>
      <c r="B80" s="89"/>
      <c r="C80" s="90" t="s">
        <v>318</v>
      </c>
      <c r="D80" s="91" t="s">
        <v>319</v>
      </c>
      <c r="E80" s="166"/>
      <c r="F80" s="400"/>
      <c r="G80" s="166"/>
      <c r="H80" s="94" t="e">
        <f t="shared" si="224"/>
        <v>#DIV/0!</v>
      </c>
      <c r="I80" s="94" t="e">
        <f t="shared" si="225"/>
        <v>#DIV/0!</v>
      </c>
      <c r="J80" s="96"/>
      <c r="K80" s="190"/>
      <c r="L80" s="190"/>
      <c r="M80" s="190"/>
      <c r="N80" s="97">
        <f t="shared" ref="N80:P80" si="296">Z80+AC80+AF80+AI80+AL80+AO80+AR80+AU80+AX80+BA80+BD80+BG80</f>
        <v>0</v>
      </c>
      <c r="O80" s="97">
        <f t="shared" si="296"/>
        <v>0</v>
      </c>
      <c r="P80" s="97">
        <f t="shared" si="296"/>
        <v>0</v>
      </c>
      <c r="Q80" s="82">
        <f t="shared" si="271"/>
        <v>0</v>
      </c>
      <c r="R80" s="82">
        <f t="shared" ref="R80:S80" si="297">IF(BK80=0,SUM(AA80+AD80+AG80+AJ80+AM80+AP80+AS80+AV80+AY80+BB80+BE80+BH80),BK80)</f>
        <v>0</v>
      </c>
      <c r="S80" s="82">
        <f t="shared" si="297"/>
        <v>0</v>
      </c>
      <c r="T80" s="97">
        <f t="shared" ref="T80:U80" si="298">J80-N80</f>
        <v>0</v>
      </c>
      <c r="U80" s="97">
        <f t="shared" si="298"/>
        <v>0</v>
      </c>
      <c r="V80" s="97">
        <f t="shared" si="294"/>
        <v>0</v>
      </c>
      <c r="W80" s="98" t="e">
        <f t="shared" ref="W80:X80" si="299">N80/J80</f>
        <v>#DIV/0!</v>
      </c>
      <c r="X80" s="98" t="e">
        <f t="shared" si="299"/>
        <v>#DIV/0!</v>
      </c>
      <c r="Y80" s="98" t="e">
        <f t="shared" si="107"/>
        <v>#DIV/0!</v>
      </c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95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95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99"/>
      <c r="BN80" s="100"/>
      <c r="BO80" s="100"/>
      <c r="BP80" s="100"/>
      <c r="BQ80" s="100"/>
    </row>
    <row r="81" spans="1:69" ht="15.75" customHeight="1">
      <c r="A81" s="151"/>
      <c r="B81" s="151"/>
      <c r="C81" s="191"/>
      <c r="D81" s="153" t="s">
        <v>320</v>
      </c>
      <c r="E81" s="154">
        <f t="shared" ref="E81:G81" si="300">SUM(E82:E84)</f>
        <v>13808</v>
      </c>
      <c r="F81" s="399">
        <f t="shared" si="300"/>
        <v>8808</v>
      </c>
      <c r="G81" s="154">
        <f t="shared" si="300"/>
        <v>0</v>
      </c>
      <c r="H81" s="192">
        <f t="shared" si="224"/>
        <v>0.27578215527230593</v>
      </c>
      <c r="I81" s="192">
        <f t="shared" si="225"/>
        <v>0</v>
      </c>
      <c r="J81" s="154">
        <f t="shared" ref="J81:P81" si="301">SUM(J82:J84)</f>
        <v>3808</v>
      </c>
      <c r="K81" s="154">
        <f t="shared" si="301"/>
        <v>0</v>
      </c>
      <c r="L81" s="154">
        <f t="shared" si="301"/>
        <v>0</v>
      </c>
      <c r="M81" s="154">
        <f t="shared" si="301"/>
        <v>0</v>
      </c>
      <c r="N81" s="154">
        <f t="shared" si="301"/>
        <v>0</v>
      </c>
      <c r="O81" s="154">
        <f t="shared" si="301"/>
        <v>0</v>
      </c>
      <c r="P81" s="154">
        <f t="shared" si="301"/>
        <v>0</v>
      </c>
      <c r="Q81" s="81">
        <f t="shared" si="271"/>
        <v>0</v>
      </c>
      <c r="R81" s="81">
        <f t="shared" ref="R81:S81" si="302">IF(BK81=0,SUM(AA81+AD81+AG81+AJ81+AM81+AP81+AS81+AV81+AY81+BB81+BE81+BH81),BK81)</f>
        <v>0</v>
      </c>
      <c r="S81" s="81">
        <f t="shared" si="302"/>
        <v>0</v>
      </c>
      <c r="T81" s="154">
        <f t="shared" ref="T81:V81" si="303">SUM(T82:T84)</f>
        <v>3808</v>
      </c>
      <c r="U81" s="154">
        <f t="shared" si="303"/>
        <v>0</v>
      </c>
      <c r="V81" s="154">
        <f t="shared" si="303"/>
        <v>0</v>
      </c>
      <c r="W81" s="193">
        <f t="shared" ref="W81:X81" si="304">N81/J81</f>
        <v>0</v>
      </c>
      <c r="X81" s="193" t="e">
        <f t="shared" si="304"/>
        <v>#DIV/0!</v>
      </c>
      <c r="Y81" s="193" t="e">
        <f t="shared" si="107"/>
        <v>#DIV/0!</v>
      </c>
      <c r="Z81" s="154">
        <f t="shared" ref="Z81:BL81" si="305">SUM(Z82:Z84)</f>
        <v>0</v>
      </c>
      <c r="AA81" s="154">
        <f t="shared" si="305"/>
        <v>0</v>
      </c>
      <c r="AB81" s="154">
        <f t="shared" si="305"/>
        <v>0</v>
      </c>
      <c r="AC81" s="154">
        <f t="shared" si="305"/>
        <v>0</v>
      </c>
      <c r="AD81" s="154">
        <f t="shared" si="305"/>
        <v>0</v>
      </c>
      <c r="AE81" s="154">
        <f t="shared" si="305"/>
        <v>0</v>
      </c>
      <c r="AF81" s="154">
        <f t="shared" si="305"/>
        <v>0</v>
      </c>
      <c r="AG81" s="154">
        <f t="shared" si="305"/>
        <v>0</v>
      </c>
      <c r="AH81" s="154">
        <f t="shared" si="305"/>
        <v>0</v>
      </c>
      <c r="AI81" s="154">
        <f t="shared" si="305"/>
        <v>0</v>
      </c>
      <c r="AJ81" s="154">
        <f t="shared" si="305"/>
        <v>0</v>
      </c>
      <c r="AK81" s="154">
        <f t="shared" si="305"/>
        <v>0</v>
      </c>
      <c r="AL81" s="154">
        <f t="shared" si="305"/>
        <v>0</v>
      </c>
      <c r="AM81" s="154">
        <f t="shared" si="305"/>
        <v>0</v>
      </c>
      <c r="AN81" s="154">
        <f t="shared" si="305"/>
        <v>0</v>
      </c>
      <c r="AO81" s="154">
        <f t="shared" si="305"/>
        <v>0</v>
      </c>
      <c r="AP81" s="154">
        <f t="shared" si="305"/>
        <v>0</v>
      </c>
      <c r="AQ81" s="154">
        <f t="shared" si="305"/>
        <v>0</v>
      </c>
      <c r="AR81" s="154">
        <f t="shared" si="305"/>
        <v>0</v>
      </c>
      <c r="AS81" s="154">
        <f t="shared" si="305"/>
        <v>0</v>
      </c>
      <c r="AT81" s="154">
        <f t="shared" si="305"/>
        <v>0</v>
      </c>
      <c r="AU81" s="154">
        <f t="shared" si="305"/>
        <v>0</v>
      </c>
      <c r="AV81" s="154">
        <f t="shared" si="305"/>
        <v>0</v>
      </c>
      <c r="AW81" s="154">
        <f t="shared" si="305"/>
        <v>0</v>
      </c>
      <c r="AX81" s="154">
        <f t="shared" si="305"/>
        <v>0</v>
      </c>
      <c r="AY81" s="154">
        <f t="shared" si="305"/>
        <v>0</v>
      </c>
      <c r="AZ81" s="154">
        <f t="shared" si="305"/>
        <v>0</v>
      </c>
      <c r="BA81" s="154">
        <f t="shared" si="305"/>
        <v>0</v>
      </c>
      <c r="BB81" s="154">
        <f t="shared" si="305"/>
        <v>0</v>
      </c>
      <c r="BC81" s="154">
        <f t="shared" si="305"/>
        <v>0</v>
      </c>
      <c r="BD81" s="154">
        <f t="shared" si="305"/>
        <v>0</v>
      </c>
      <c r="BE81" s="154">
        <f t="shared" si="305"/>
        <v>0</v>
      </c>
      <c r="BF81" s="154">
        <f t="shared" si="305"/>
        <v>0</v>
      </c>
      <c r="BG81" s="154">
        <f t="shared" si="305"/>
        <v>0</v>
      </c>
      <c r="BH81" s="154">
        <f t="shared" si="305"/>
        <v>0</v>
      </c>
      <c r="BI81" s="154">
        <f t="shared" si="305"/>
        <v>0</v>
      </c>
      <c r="BJ81" s="154">
        <f t="shared" si="305"/>
        <v>0</v>
      </c>
      <c r="BK81" s="154">
        <f t="shared" si="305"/>
        <v>0</v>
      </c>
      <c r="BL81" s="154">
        <f t="shared" si="305"/>
        <v>0</v>
      </c>
      <c r="BM81" s="157"/>
      <c r="BN81" s="158"/>
      <c r="BO81" s="158"/>
      <c r="BP81" s="158"/>
      <c r="BQ81" s="158"/>
    </row>
    <row r="82" spans="1:69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400">
        <f>E82</f>
        <v>3808</v>
      </c>
      <c r="G82" s="166"/>
      <c r="H82" s="94" t="e">
        <f>J82/G82</f>
        <v>#DIV/0!</v>
      </c>
      <c r="I82" s="94" t="e">
        <f>N82/G82</f>
        <v>#DIV/0!</v>
      </c>
      <c r="J82" s="96">
        <v>3808</v>
      </c>
      <c r="K82" s="96"/>
      <c r="L82" s="96"/>
      <c r="M82" s="95"/>
      <c r="N82" s="97">
        <f t="shared" ref="N82:P82" si="306">Z82+AC82+AF82+AI82+AL82+AO82+AR82+AU82+AX82+BA82+BD82+BG82</f>
        <v>0</v>
      </c>
      <c r="O82" s="97">
        <f t="shared" si="306"/>
        <v>0</v>
      </c>
      <c r="P82" s="97">
        <f t="shared" si="306"/>
        <v>0</v>
      </c>
      <c r="Q82" s="82">
        <f t="shared" si="271"/>
        <v>0</v>
      </c>
      <c r="R82" s="82">
        <f t="shared" ref="R82:S82" si="307">IF(BK82=0,SUM(AA82+AD82+AG82+AJ82+AM82+AP82+AS82+AV82+AY82+BB82+BE82+BH82),BK82)</f>
        <v>0</v>
      </c>
      <c r="S82" s="82">
        <f t="shared" si="307"/>
        <v>0</v>
      </c>
      <c r="T82" s="97">
        <f t="shared" ref="T82:U82" si="308">J82-N82</f>
        <v>3808</v>
      </c>
      <c r="U82" s="97">
        <f t="shared" si="308"/>
        <v>0</v>
      </c>
      <c r="V82" s="97">
        <f t="shared" ref="V82:V84" si="309">M82-P82</f>
        <v>0</v>
      </c>
      <c r="W82" s="98">
        <f t="shared" ref="W82:X82" si="310">N82/J82</f>
        <v>0</v>
      </c>
      <c r="X82" s="98" t="e">
        <f t="shared" si="310"/>
        <v>#DIV/0!</v>
      </c>
      <c r="Y82" s="98" t="e">
        <f t="shared" si="107"/>
        <v>#DIV/0!</v>
      </c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9"/>
      <c r="BN82" s="100"/>
      <c r="BO82" s="100"/>
      <c r="BP82" s="100"/>
      <c r="BQ82" s="100"/>
    </row>
    <row r="83" spans="1:69" ht="15.75" customHeight="1">
      <c r="A83" s="89"/>
      <c r="B83" s="89"/>
      <c r="C83" s="90" t="s">
        <v>213</v>
      </c>
      <c r="D83" s="91" t="s">
        <v>74</v>
      </c>
      <c r="E83" s="166"/>
      <c r="F83" s="400"/>
      <c r="G83" s="166"/>
      <c r="H83" s="94" t="e">
        <f t="shared" ref="H83:H90" si="311">J83/E83</f>
        <v>#DIV/0!</v>
      </c>
      <c r="I83" s="94" t="e">
        <f t="shared" ref="I83:I90" si="312">N83/E83</f>
        <v>#DIV/0!</v>
      </c>
      <c r="J83" s="96"/>
      <c r="K83" s="96"/>
      <c r="L83" s="96"/>
      <c r="M83" s="95"/>
      <c r="N83" s="97">
        <f t="shared" ref="N83:P83" si="313">Z83+AC83+AF83+AI83+AL83+AO83+AR83+AU83+AX83+BA83+BD83+BG83</f>
        <v>0</v>
      </c>
      <c r="O83" s="97">
        <f t="shared" si="313"/>
        <v>0</v>
      </c>
      <c r="P83" s="97">
        <f t="shared" si="313"/>
        <v>0</v>
      </c>
      <c r="Q83" s="82">
        <f t="shared" si="271"/>
        <v>0</v>
      </c>
      <c r="R83" s="82">
        <f t="shared" ref="R83:S83" si="314">IF(BK83=0,SUM(AA83+AD83+AG83+AJ83+AM83+AP83+AS83+AV83+AY83+BB83+BE83+BH83),BK83)</f>
        <v>0</v>
      </c>
      <c r="S83" s="82">
        <f t="shared" si="314"/>
        <v>0</v>
      </c>
      <c r="T83" s="97">
        <f t="shared" ref="T83:U83" si="315">J83-N83</f>
        <v>0</v>
      </c>
      <c r="U83" s="97">
        <f t="shared" si="315"/>
        <v>0</v>
      </c>
      <c r="V83" s="97">
        <f t="shared" si="309"/>
        <v>0</v>
      </c>
      <c r="W83" s="98" t="e">
        <f t="shared" ref="W83:X83" si="316">N83/J83</f>
        <v>#DIV/0!</v>
      </c>
      <c r="X83" s="98" t="e">
        <f t="shared" si="316"/>
        <v>#DIV/0!</v>
      </c>
      <c r="Y83" s="98" t="e">
        <f t="shared" si="107"/>
        <v>#DIV/0!</v>
      </c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9"/>
      <c r="BN83" s="100"/>
      <c r="BO83" s="100"/>
      <c r="BP83" s="100"/>
      <c r="BQ83" s="100"/>
    </row>
    <row r="84" spans="1:69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401">
        <v>5000</v>
      </c>
      <c r="G84" s="195"/>
      <c r="H84" s="94">
        <f t="shared" si="311"/>
        <v>0</v>
      </c>
      <c r="I84" s="94">
        <f t="shared" si="312"/>
        <v>0</v>
      </c>
      <c r="J84" s="142"/>
      <c r="K84" s="96"/>
      <c r="L84" s="96"/>
      <c r="M84" s="95"/>
      <c r="N84" s="97">
        <f t="shared" ref="N84:P84" si="317">Z84+AC84+AF84+AI84+AL84+AO84+AR84+AU84+AX84+BA84+BD84+BG84</f>
        <v>0</v>
      </c>
      <c r="O84" s="97">
        <f t="shared" si="317"/>
        <v>0</v>
      </c>
      <c r="P84" s="97">
        <f t="shared" si="317"/>
        <v>0</v>
      </c>
      <c r="Q84" s="82">
        <f t="shared" si="271"/>
        <v>0</v>
      </c>
      <c r="R84" s="82">
        <f t="shared" ref="R84:S84" si="318">IF(BK84=0,SUM(AA84+AD84+AG84+AJ84+AM84+AP84+AS84+AV84+AY84+BB84+BE84+BH84),BK84)</f>
        <v>0</v>
      </c>
      <c r="S84" s="82">
        <f t="shared" si="318"/>
        <v>0</v>
      </c>
      <c r="T84" s="97">
        <f t="shared" ref="T84:U84" si="319">J84-N84</f>
        <v>0</v>
      </c>
      <c r="U84" s="97">
        <f t="shared" si="319"/>
        <v>0</v>
      </c>
      <c r="V84" s="97">
        <f t="shared" si="309"/>
        <v>0</v>
      </c>
      <c r="W84" s="98" t="e">
        <f t="shared" ref="W84:X84" si="320">N84/J84</f>
        <v>#DIV/0!</v>
      </c>
      <c r="X84" s="98" t="e">
        <f t="shared" si="320"/>
        <v>#DIV/0!</v>
      </c>
      <c r="Y84" s="98" t="e">
        <f t="shared" si="107"/>
        <v>#DIV/0!</v>
      </c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103">
        <v>0</v>
      </c>
      <c r="BB84" s="96"/>
      <c r="BC84" s="96"/>
      <c r="BD84" s="96"/>
      <c r="BE84" s="96"/>
      <c r="BF84" s="96"/>
      <c r="BG84" s="103">
        <v>0</v>
      </c>
      <c r="BH84" s="96"/>
      <c r="BI84" s="96"/>
      <c r="BJ84" s="96"/>
      <c r="BK84" s="96"/>
      <c r="BL84" s="96"/>
      <c r="BM84" s="99"/>
      <c r="BN84" s="100"/>
      <c r="BO84" s="100"/>
      <c r="BP84" s="100"/>
      <c r="BQ84" s="100"/>
    </row>
    <row r="85" spans="1:69" ht="15.75" customHeight="1">
      <c r="A85" s="151"/>
      <c r="B85" s="151"/>
      <c r="C85" s="191"/>
      <c r="D85" s="153" t="s">
        <v>322</v>
      </c>
      <c r="E85" s="154">
        <f t="shared" ref="E85:F85" si="321">SUM(E86:E89)</f>
        <v>32329.200000000001</v>
      </c>
      <c r="F85" s="399">
        <f t="shared" si="321"/>
        <v>19329.2</v>
      </c>
      <c r="G85" s="154">
        <f>SUM(G86:G88)</f>
        <v>0</v>
      </c>
      <c r="H85" s="192">
        <f t="shared" si="311"/>
        <v>0</v>
      </c>
      <c r="I85" s="192">
        <f t="shared" si="312"/>
        <v>0</v>
      </c>
      <c r="J85" s="154">
        <f t="shared" ref="J85:L85" si="322">SUM(J86:J89)</f>
        <v>0</v>
      </c>
      <c r="K85" s="154">
        <f t="shared" si="322"/>
        <v>73937.67</v>
      </c>
      <c r="L85" s="154">
        <f t="shared" si="322"/>
        <v>0</v>
      </c>
      <c r="M85" s="154">
        <f t="shared" ref="M85:N85" si="323">SUM(M86:M88)</f>
        <v>0</v>
      </c>
      <c r="N85" s="154">
        <f t="shared" si="323"/>
        <v>0</v>
      </c>
      <c r="O85" s="154">
        <f>SUM(O86:O89)</f>
        <v>18743.400000000001</v>
      </c>
      <c r="P85" s="154">
        <f>SUM(P86:P88)</f>
        <v>0</v>
      </c>
      <c r="Q85" s="81">
        <f t="shared" si="271"/>
        <v>0</v>
      </c>
      <c r="R85" s="81">
        <f t="shared" ref="R85:S85" si="324">IF(BK85=0,SUM(AA85+AD85+AG85+AJ85+AM85+AP85+AS85+AV85+AY85+BB85+BE85+BH85),BK85)</f>
        <v>18743.400000000001</v>
      </c>
      <c r="S85" s="81">
        <f t="shared" si="324"/>
        <v>0</v>
      </c>
      <c r="T85" s="154">
        <f t="shared" ref="T85:U85" si="325">SUM(T86:T89)</f>
        <v>0</v>
      </c>
      <c r="U85" s="154">
        <f t="shared" si="325"/>
        <v>55194.27</v>
      </c>
      <c r="V85" s="154">
        <f>SUM(V86:V88)</f>
        <v>0</v>
      </c>
      <c r="W85" s="193" t="e">
        <f t="shared" ref="W85:X85" si="326">N85/J85</f>
        <v>#DIV/0!</v>
      </c>
      <c r="X85" s="193">
        <f t="shared" si="326"/>
        <v>0.25350271383991413</v>
      </c>
      <c r="Y85" s="193" t="e">
        <f t="shared" si="107"/>
        <v>#DIV/0!</v>
      </c>
      <c r="Z85" s="154">
        <f t="shared" ref="Z85:AI85" si="327">SUM(Z86:Z88)</f>
        <v>0</v>
      </c>
      <c r="AA85" s="154">
        <f t="shared" si="327"/>
        <v>4271.3999999999996</v>
      </c>
      <c r="AB85" s="154">
        <f t="shared" si="327"/>
        <v>0</v>
      </c>
      <c r="AC85" s="154">
        <f t="shared" si="327"/>
        <v>0</v>
      </c>
      <c r="AD85" s="154">
        <f t="shared" si="327"/>
        <v>6630</v>
      </c>
      <c r="AE85" s="154">
        <f t="shared" si="327"/>
        <v>0</v>
      </c>
      <c r="AF85" s="154">
        <f t="shared" si="327"/>
        <v>0</v>
      </c>
      <c r="AG85" s="154">
        <f t="shared" si="327"/>
        <v>3092</v>
      </c>
      <c r="AH85" s="154">
        <f t="shared" si="327"/>
        <v>0</v>
      </c>
      <c r="AI85" s="154">
        <f t="shared" si="327"/>
        <v>0</v>
      </c>
      <c r="AJ85" s="154">
        <f>SUM(AJ86:AJ89)</f>
        <v>1940</v>
      </c>
      <c r="AK85" s="154">
        <f t="shared" ref="AK85:AQ85" si="328">SUM(AK86:AK88)</f>
        <v>0</v>
      </c>
      <c r="AL85" s="154">
        <f t="shared" si="328"/>
        <v>0</v>
      </c>
      <c r="AM85" s="154">
        <f t="shared" si="328"/>
        <v>0</v>
      </c>
      <c r="AN85" s="154">
        <f t="shared" si="328"/>
        <v>0</v>
      </c>
      <c r="AO85" s="154">
        <f t="shared" si="328"/>
        <v>0</v>
      </c>
      <c r="AP85" s="154">
        <f t="shared" si="328"/>
        <v>0</v>
      </c>
      <c r="AQ85" s="154">
        <f t="shared" si="328"/>
        <v>0</v>
      </c>
      <c r="AR85" s="154">
        <f t="shared" ref="AR85:AS85" si="329">SUM(AR86:AR89)</f>
        <v>0</v>
      </c>
      <c r="AS85" s="154">
        <f t="shared" si="329"/>
        <v>2810</v>
      </c>
      <c r="AT85" s="154">
        <f t="shared" ref="AT85:BL85" si="330">SUM(AT86:AT88)</f>
        <v>0</v>
      </c>
      <c r="AU85" s="154">
        <f t="shared" si="330"/>
        <v>0</v>
      </c>
      <c r="AV85" s="154">
        <f t="shared" si="330"/>
        <v>0</v>
      </c>
      <c r="AW85" s="154">
        <f t="shared" si="330"/>
        <v>0</v>
      </c>
      <c r="AX85" s="154">
        <f t="shared" si="330"/>
        <v>0</v>
      </c>
      <c r="AY85" s="154">
        <f t="shared" si="330"/>
        <v>0</v>
      </c>
      <c r="AZ85" s="154">
        <f t="shared" si="330"/>
        <v>0</v>
      </c>
      <c r="BA85" s="154">
        <f t="shared" si="330"/>
        <v>0</v>
      </c>
      <c r="BB85" s="154">
        <f t="shared" si="330"/>
        <v>0</v>
      </c>
      <c r="BC85" s="154">
        <f t="shared" si="330"/>
        <v>0</v>
      </c>
      <c r="BD85" s="154">
        <f t="shared" si="330"/>
        <v>0</v>
      </c>
      <c r="BE85" s="154">
        <f t="shared" si="330"/>
        <v>0</v>
      </c>
      <c r="BF85" s="154">
        <f t="shared" si="330"/>
        <v>0</v>
      </c>
      <c r="BG85" s="154">
        <f t="shared" si="330"/>
        <v>0</v>
      </c>
      <c r="BH85" s="154">
        <f t="shared" si="330"/>
        <v>0</v>
      </c>
      <c r="BI85" s="154">
        <f t="shared" si="330"/>
        <v>0</v>
      </c>
      <c r="BJ85" s="154">
        <f t="shared" si="330"/>
        <v>0</v>
      </c>
      <c r="BK85" s="154">
        <f t="shared" si="330"/>
        <v>0</v>
      </c>
      <c r="BL85" s="154">
        <f t="shared" si="330"/>
        <v>0</v>
      </c>
      <c r="BM85" s="157"/>
      <c r="BN85" s="158"/>
      <c r="BO85" s="158"/>
      <c r="BP85" s="158"/>
      <c r="BQ85" s="158"/>
    </row>
    <row r="86" spans="1:69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400">
        <f>E86</f>
        <v>10925.2</v>
      </c>
      <c r="G86" s="166"/>
      <c r="H86" s="94">
        <f t="shared" si="311"/>
        <v>0</v>
      </c>
      <c r="I86" s="94">
        <f t="shared" si="312"/>
        <v>0</v>
      </c>
      <c r="J86" s="142"/>
      <c r="K86" s="96"/>
      <c r="L86" s="96"/>
      <c r="M86" s="95"/>
      <c r="N86" s="97">
        <f t="shared" ref="N86:P86" si="331">Z86+AC86+AF86+AI86+AL86+AO86+AR86+AU86+AX86+BA86+BD86+BG86</f>
        <v>0</v>
      </c>
      <c r="O86" s="97">
        <f t="shared" si="331"/>
        <v>0</v>
      </c>
      <c r="P86" s="97">
        <f t="shared" si="331"/>
        <v>0</v>
      </c>
      <c r="Q86" s="82">
        <f t="shared" si="271"/>
        <v>0</v>
      </c>
      <c r="R86" s="82">
        <f t="shared" ref="R86:S86" si="332">IF(BK86=0,SUM(AA86+AD86+AG86+AJ86+AM86+AP86+AS86+AV86+AY86+BB86+BE86+BH86),BK86)</f>
        <v>0</v>
      </c>
      <c r="S86" s="82">
        <f t="shared" si="332"/>
        <v>0</v>
      </c>
      <c r="T86" s="97">
        <f t="shared" ref="T86:U86" si="333">J86-N86</f>
        <v>0</v>
      </c>
      <c r="U86" s="97">
        <f t="shared" si="333"/>
        <v>0</v>
      </c>
      <c r="V86" s="97">
        <f t="shared" ref="V86:V89" si="334">M86-P86</f>
        <v>0</v>
      </c>
      <c r="W86" s="98" t="e">
        <f t="shared" ref="W86:X86" si="335">N86/J86</f>
        <v>#DIV/0!</v>
      </c>
      <c r="X86" s="98" t="e">
        <f t="shared" si="335"/>
        <v>#DIV/0!</v>
      </c>
      <c r="Y86" s="98" t="e">
        <f t="shared" si="107"/>
        <v>#DIV/0!</v>
      </c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9"/>
      <c r="BN86" s="100"/>
      <c r="BO86" s="100"/>
      <c r="BP86" s="100"/>
      <c r="BQ86" s="100"/>
    </row>
    <row r="87" spans="1:69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400"/>
      <c r="G87" s="147"/>
      <c r="H87" s="94">
        <f t="shared" si="311"/>
        <v>0</v>
      </c>
      <c r="I87" s="94">
        <f t="shared" si="312"/>
        <v>0</v>
      </c>
      <c r="J87" s="95"/>
      <c r="K87" s="119"/>
      <c r="L87" s="119"/>
      <c r="M87" s="95"/>
      <c r="N87" s="97">
        <f t="shared" ref="N87:P87" si="336">Z87+AC87+AF87+AI87+AL87+AO87+AR87+AU87+AX87+BA87+BD87+BG87</f>
        <v>0</v>
      </c>
      <c r="O87" s="97">
        <f t="shared" si="336"/>
        <v>0</v>
      </c>
      <c r="P87" s="97">
        <f t="shared" si="336"/>
        <v>0</v>
      </c>
      <c r="Q87" s="82">
        <f t="shared" si="271"/>
        <v>0</v>
      </c>
      <c r="R87" s="82">
        <f t="shared" ref="R87:S87" si="337">IF(BK87=0,SUM(AA87+AD87+AG87+AJ87+AM87+AP87+AS87+AV87+AY87+BB87+BE87+BH87),BK87)</f>
        <v>0</v>
      </c>
      <c r="S87" s="82">
        <f t="shared" si="337"/>
        <v>0</v>
      </c>
      <c r="T87" s="97">
        <f t="shared" ref="T87:U87" si="338">J87-N87</f>
        <v>0</v>
      </c>
      <c r="U87" s="97">
        <f t="shared" si="338"/>
        <v>0</v>
      </c>
      <c r="V87" s="97">
        <f t="shared" si="334"/>
        <v>0</v>
      </c>
      <c r="W87" s="98" t="e">
        <f t="shared" ref="W87:X87" si="339">N87/J87</f>
        <v>#DIV/0!</v>
      </c>
      <c r="X87" s="98" t="e">
        <f t="shared" si="339"/>
        <v>#DIV/0!</v>
      </c>
      <c r="Y87" s="98" t="e">
        <f t="shared" si="107"/>
        <v>#DIV/0!</v>
      </c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103">
        <v>0</v>
      </c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9"/>
      <c r="BN87" s="100"/>
      <c r="BO87" s="100"/>
      <c r="BP87" s="100"/>
      <c r="BQ87" s="100"/>
    </row>
    <row r="88" spans="1:69" ht="15.75" customHeight="1">
      <c r="A88" s="89"/>
      <c r="B88" s="136" t="s">
        <v>324</v>
      </c>
      <c r="C88" s="101" t="s">
        <v>325</v>
      </c>
      <c r="D88" s="144" t="s">
        <v>135</v>
      </c>
      <c r="E88" s="92">
        <v>10000</v>
      </c>
      <c r="F88" s="400"/>
      <c r="G88" s="147"/>
      <c r="H88" s="94">
        <f t="shared" si="311"/>
        <v>0</v>
      </c>
      <c r="I88" s="94">
        <f t="shared" si="312"/>
        <v>0</v>
      </c>
      <c r="J88" s="96"/>
      <c r="K88" s="117">
        <v>73937.67</v>
      </c>
      <c r="L88" s="117"/>
      <c r="M88" s="95"/>
      <c r="N88" s="97">
        <f t="shared" ref="N88:P88" si="340">Z88+AC88+AF88+AI88+AL88+AO88+AR88+AU88+AX88+BA88+BD88+BG88</f>
        <v>0</v>
      </c>
      <c r="O88" s="97">
        <f t="shared" si="340"/>
        <v>18743.400000000001</v>
      </c>
      <c r="P88" s="97">
        <f t="shared" si="340"/>
        <v>0</v>
      </c>
      <c r="Q88" s="82">
        <f t="shared" si="271"/>
        <v>0</v>
      </c>
      <c r="R88" s="82">
        <f t="shared" ref="R88:S88" si="341">IF(BK88=0,SUM(AA88+AD88+AG88+AJ88+AM88+AP88+AS88+AV88+AY88+BB88+BE88+BH88),BK88)</f>
        <v>18743.400000000001</v>
      </c>
      <c r="S88" s="82">
        <f t="shared" si="341"/>
        <v>0</v>
      </c>
      <c r="T88" s="97">
        <f t="shared" ref="T88:T89" si="342">J88-N88</f>
        <v>0</v>
      </c>
      <c r="U88" s="97">
        <f>K88-L88-O88</f>
        <v>55194.27</v>
      </c>
      <c r="V88" s="97">
        <f t="shared" si="334"/>
        <v>0</v>
      </c>
      <c r="W88" s="98" t="e">
        <f t="shared" ref="W88:X88" si="343">N88/J88</f>
        <v>#DIV/0!</v>
      </c>
      <c r="X88" s="98">
        <f t="shared" si="343"/>
        <v>0.25350271383991413</v>
      </c>
      <c r="Y88" s="98" t="e">
        <f t="shared" si="107"/>
        <v>#DIV/0!</v>
      </c>
      <c r="Z88" s="96"/>
      <c r="AA88" s="96">
        <f>363.4+2000+900+1008</f>
        <v>4271.3999999999996</v>
      </c>
      <c r="AB88" s="96"/>
      <c r="AC88" s="96"/>
      <c r="AD88" s="103">
        <f>490+210+2000+3930</f>
        <v>6630</v>
      </c>
      <c r="AE88" s="96"/>
      <c r="AF88" s="96"/>
      <c r="AG88" s="103">
        <f>500+2592</f>
        <v>3092</v>
      </c>
      <c r="AH88" s="96"/>
      <c r="AI88" s="96"/>
      <c r="AJ88" s="103">
        <v>1940</v>
      </c>
      <c r="AK88" s="96"/>
      <c r="AL88" s="96"/>
      <c r="AM88" s="96"/>
      <c r="AN88" s="96"/>
      <c r="AO88" s="103">
        <v>0</v>
      </c>
      <c r="AP88" s="103"/>
      <c r="AQ88" s="96"/>
      <c r="AR88" s="103">
        <v>0</v>
      </c>
      <c r="AS88" s="103">
        <f>2000+810</f>
        <v>2810</v>
      </c>
      <c r="AT88" s="96"/>
      <c r="AU88" s="96"/>
      <c r="AV88" s="96"/>
      <c r="AW88" s="96"/>
      <c r="AX88" s="103">
        <v>0</v>
      </c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9"/>
      <c r="BN88" s="100"/>
      <c r="BO88" s="100"/>
      <c r="BP88" s="100"/>
      <c r="BQ88" s="100"/>
    </row>
    <row r="89" spans="1:69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400">
        <f>E89</f>
        <v>8404</v>
      </c>
      <c r="G89" s="147"/>
      <c r="H89" s="94">
        <f t="shared" si="311"/>
        <v>0</v>
      </c>
      <c r="I89" s="94">
        <f t="shared" si="312"/>
        <v>0</v>
      </c>
      <c r="J89" s="126"/>
      <c r="K89" s="126"/>
      <c r="L89" s="117"/>
      <c r="M89" s="95"/>
      <c r="N89" s="196">
        <f t="shared" ref="N89:O89" si="344">Z89+AF89+AI89+AL89+AO89+AR89+AU89+AX89+BA89+BD89+BG89</f>
        <v>0</v>
      </c>
      <c r="O89" s="97">
        <f t="shared" si="344"/>
        <v>0</v>
      </c>
      <c r="P89" s="97">
        <f>AB89+AE89+AH89+AK89+AN89+AQ89+AT89+AW89+AZ89+BC89+BF89+BI89</f>
        <v>0</v>
      </c>
      <c r="Q89" s="82">
        <f t="shared" ref="Q89:R89" si="345">IF(BJ89=0,SUM(Z89+AF89+AI89+AL89+AO89+AR89+AU89+AX89+BA89+BD89+BG89),BJ89)</f>
        <v>0</v>
      </c>
      <c r="R89" s="82">
        <f t="shared" si="345"/>
        <v>0</v>
      </c>
      <c r="S89" s="82">
        <f>IF(BL89=0,SUM(AB89+AE89+AH89+AK89+AN89+AQ89+AT89+AW89+AZ89+BC89+BF89+BI89),BL89)</f>
        <v>0</v>
      </c>
      <c r="T89" s="97">
        <f t="shared" si="342"/>
        <v>0</v>
      </c>
      <c r="U89" s="97">
        <f>K89-O89</f>
        <v>0</v>
      </c>
      <c r="V89" s="97">
        <f t="shared" si="334"/>
        <v>0</v>
      </c>
      <c r="W89" s="98" t="e">
        <f t="shared" ref="W89:X89" si="346">N89/J40</f>
        <v>#DIV/0!</v>
      </c>
      <c r="X89" s="98">
        <f t="shared" si="346"/>
        <v>0</v>
      </c>
      <c r="Y89" s="98" t="e">
        <f t="shared" si="107"/>
        <v>#DIV/0!</v>
      </c>
      <c r="Z89" s="96"/>
      <c r="AA89" s="96"/>
      <c r="AB89" s="96"/>
      <c r="AC89" s="126"/>
      <c r="AD89" s="126"/>
      <c r="AE89" s="96"/>
      <c r="AF89" s="96"/>
      <c r="AG89" s="96"/>
      <c r="AH89" s="96"/>
      <c r="AI89" s="96"/>
      <c r="AJ89" s="103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9"/>
      <c r="BN89" s="100"/>
      <c r="BO89" s="100"/>
      <c r="BP89" s="100"/>
      <c r="BQ89" s="100"/>
    </row>
    <row r="90" spans="1:69" ht="15.75" customHeight="1">
      <c r="A90" s="151"/>
      <c r="B90" s="151"/>
      <c r="C90" s="191"/>
      <c r="D90" s="153" t="s">
        <v>327</v>
      </c>
      <c r="E90" s="154">
        <f t="shared" ref="E90:G90" si="347">SUM(E91:E96)</f>
        <v>69491.34</v>
      </c>
      <c r="F90" s="399">
        <f t="shared" si="347"/>
        <v>69491.34</v>
      </c>
      <c r="G90" s="154">
        <f t="shared" si="347"/>
        <v>21041.95</v>
      </c>
      <c r="H90" s="192">
        <f t="shared" si="311"/>
        <v>0.12152593402285811</v>
      </c>
      <c r="I90" s="192">
        <f t="shared" si="312"/>
        <v>3.2406915739428825E-2</v>
      </c>
      <c r="J90" s="154">
        <f t="shared" ref="J90:P90" si="348">SUM(J92:J96)</f>
        <v>8445</v>
      </c>
      <c r="K90" s="154">
        <f t="shared" si="348"/>
        <v>0</v>
      </c>
      <c r="L90" s="154">
        <f t="shared" si="348"/>
        <v>0</v>
      </c>
      <c r="M90" s="154">
        <f t="shared" si="348"/>
        <v>0</v>
      </c>
      <c r="N90" s="154">
        <f t="shared" si="348"/>
        <v>2252</v>
      </c>
      <c r="O90" s="154">
        <f t="shared" si="348"/>
        <v>0</v>
      </c>
      <c r="P90" s="154">
        <f t="shared" si="348"/>
        <v>0</v>
      </c>
      <c r="Q90" s="81">
        <f t="shared" ref="Q90:S90" si="349">IF(BJ90=0,SUM(Z90+AC90+AF90+AI90+AL90+AO90+AR90+AU90+AX90+BA90+BD90+BG90),BJ90)</f>
        <v>2815</v>
      </c>
      <c r="R90" s="81">
        <f t="shared" si="349"/>
        <v>0</v>
      </c>
      <c r="S90" s="81">
        <f t="shared" si="349"/>
        <v>0</v>
      </c>
      <c r="T90" s="154">
        <f t="shared" ref="T90:V90" si="350">SUM(T92:T96)</f>
        <v>6193</v>
      </c>
      <c r="U90" s="154">
        <f t="shared" si="350"/>
        <v>0</v>
      </c>
      <c r="V90" s="154">
        <f t="shared" si="350"/>
        <v>0</v>
      </c>
      <c r="W90" s="193">
        <f t="shared" ref="W90:X90" si="351">N90/J90</f>
        <v>0.26666666666666666</v>
      </c>
      <c r="X90" s="193" t="e">
        <f t="shared" si="351"/>
        <v>#DIV/0!</v>
      </c>
      <c r="Y90" s="193" t="e">
        <f t="shared" si="107"/>
        <v>#DIV/0!</v>
      </c>
      <c r="Z90" s="154">
        <f t="shared" ref="Z90:BL90" si="352">SUM(Z92:Z96)</f>
        <v>0</v>
      </c>
      <c r="AA90" s="154">
        <f t="shared" si="352"/>
        <v>0</v>
      </c>
      <c r="AB90" s="154">
        <f t="shared" si="352"/>
        <v>0</v>
      </c>
      <c r="AC90" s="154">
        <f t="shared" si="352"/>
        <v>0</v>
      </c>
      <c r="AD90" s="154">
        <f t="shared" si="352"/>
        <v>0</v>
      </c>
      <c r="AE90" s="154">
        <f t="shared" si="352"/>
        <v>0</v>
      </c>
      <c r="AF90" s="154">
        <f t="shared" si="352"/>
        <v>0</v>
      </c>
      <c r="AG90" s="154">
        <f t="shared" si="352"/>
        <v>0</v>
      </c>
      <c r="AH90" s="154">
        <f t="shared" si="352"/>
        <v>0</v>
      </c>
      <c r="AI90" s="154">
        <f t="shared" si="352"/>
        <v>0</v>
      </c>
      <c r="AJ90" s="154">
        <f t="shared" si="352"/>
        <v>0</v>
      </c>
      <c r="AK90" s="154">
        <f t="shared" si="352"/>
        <v>0</v>
      </c>
      <c r="AL90" s="154">
        <f t="shared" si="352"/>
        <v>0</v>
      </c>
      <c r="AM90" s="154">
        <f t="shared" si="352"/>
        <v>0</v>
      </c>
      <c r="AN90" s="154">
        <f t="shared" si="352"/>
        <v>0</v>
      </c>
      <c r="AO90" s="154">
        <f t="shared" si="352"/>
        <v>2815</v>
      </c>
      <c r="AP90" s="154">
        <f t="shared" si="352"/>
        <v>0</v>
      </c>
      <c r="AQ90" s="154">
        <f t="shared" si="352"/>
        <v>0</v>
      </c>
      <c r="AR90" s="154">
        <f t="shared" si="352"/>
        <v>0</v>
      </c>
      <c r="AS90" s="154">
        <f t="shared" si="352"/>
        <v>0</v>
      </c>
      <c r="AT90" s="154">
        <f t="shared" si="352"/>
        <v>0</v>
      </c>
      <c r="AU90" s="154">
        <f t="shared" si="352"/>
        <v>0</v>
      </c>
      <c r="AV90" s="154">
        <f t="shared" si="352"/>
        <v>0</v>
      </c>
      <c r="AW90" s="154">
        <f t="shared" si="352"/>
        <v>0</v>
      </c>
      <c r="AX90" s="154">
        <f t="shared" si="352"/>
        <v>0</v>
      </c>
      <c r="AY90" s="154">
        <f t="shared" si="352"/>
        <v>0</v>
      </c>
      <c r="AZ90" s="154">
        <f t="shared" si="352"/>
        <v>0</v>
      </c>
      <c r="BA90" s="154">
        <f t="shared" si="352"/>
        <v>0</v>
      </c>
      <c r="BB90" s="154">
        <f t="shared" si="352"/>
        <v>0</v>
      </c>
      <c r="BC90" s="154">
        <f t="shared" si="352"/>
        <v>0</v>
      </c>
      <c r="BD90" s="154">
        <f t="shared" si="352"/>
        <v>0</v>
      </c>
      <c r="BE90" s="154">
        <f t="shared" si="352"/>
        <v>0</v>
      </c>
      <c r="BF90" s="154">
        <f t="shared" si="352"/>
        <v>0</v>
      </c>
      <c r="BG90" s="154">
        <f t="shared" si="352"/>
        <v>0</v>
      </c>
      <c r="BH90" s="154">
        <f t="shared" si="352"/>
        <v>0</v>
      </c>
      <c r="BI90" s="154">
        <f t="shared" si="352"/>
        <v>0</v>
      </c>
      <c r="BJ90" s="154">
        <f t="shared" si="352"/>
        <v>0</v>
      </c>
      <c r="BK90" s="154">
        <f t="shared" si="352"/>
        <v>0</v>
      </c>
      <c r="BL90" s="154">
        <f t="shared" si="352"/>
        <v>0</v>
      </c>
      <c r="BM90" s="157"/>
      <c r="BN90" s="158"/>
      <c r="BO90" s="158"/>
      <c r="BP90" s="158"/>
      <c r="BQ90" s="158"/>
    </row>
    <row r="91" spans="1:69" ht="15.75" customHeight="1">
      <c r="A91" s="168"/>
      <c r="B91" s="168"/>
      <c r="C91" s="169"/>
      <c r="D91" s="170" t="s">
        <v>328</v>
      </c>
      <c r="E91" s="171">
        <v>59491.34</v>
      </c>
      <c r="F91" s="402">
        <f>E91</f>
        <v>59491.34</v>
      </c>
      <c r="G91" s="172"/>
      <c r="H91" s="94"/>
      <c r="I91" s="94"/>
      <c r="J91" s="174"/>
      <c r="K91" s="174"/>
      <c r="L91" s="174"/>
      <c r="M91" s="174"/>
      <c r="N91" s="175"/>
      <c r="O91" s="175"/>
      <c r="P91" s="175"/>
      <c r="Q91" s="82"/>
      <c r="R91" s="82"/>
      <c r="S91" s="82"/>
      <c r="T91" s="175"/>
      <c r="U91" s="175"/>
      <c r="V91" s="175"/>
      <c r="W91" s="176"/>
      <c r="X91" s="176"/>
      <c r="Y91" s="176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78"/>
      <c r="BM91" s="180"/>
      <c r="BN91" s="181"/>
      <c r="BO91" s="181"/>
      <c r="BP91" s="181"/>
      <c r="BQ91" s="181"/>
    </row>
    <row r="92" spans="1:69" ht="15.75" customHeight="1">
      <c r="A92" s="375" t="s">
        <v>840</v>
      </c>
      <c r="B92" s="197"/>
      <c r="C92" s="198" t="s">
        <v>165</v>
      </c>
      <c r="D92" s="199" t="s">
        <v>841</v>
      </c>
      <c r="E92" s="200">
        <v>10000</v>
      </c>
      <c r="F92" s="403">
        <v>10000</v>
      </c>
      <c r="G92" s="172"/>
      <c r="H92" s="94">
        <f>J92/E92</f>
        <v>0.84450000000000003</v>
      </c>
      <c r="I92" s="94">
        <f>N92/E92</f>
        <v>0.22520000000000001</v>
      </c>
      <c r="J92" s="366">
        <f>2252+5630+563</f>
        <v>8445</v>
      </c>
      <c r="K92" s="174"/>
      <c r="L92" s="174"/>
      <c r="M92" s="174"/>
      <c r="N92" s="175">
        <f t="shared" ref="N92:P92" si="353">Z92+AC92+AF92+AI92+AL92+AO92+AR92+AU92+AX92+BA92+BD92+BG92</f>
        <v>2252</v>
      </c>
      <c r="O92" s="175">
        <f t="shared" si="353"/>
        <v>0</v>
      </c>
      <c r="P92" s="175">
        <f t="shared" si="353"/>
        <v>0</v>
      </c>
      <c r="Q92" s="82">
        <f t="shared" ref="Q92:S92" si="354">IF(BJ92=0,SUM(Z92+AC92+AF92+AI92+AL92+AO92+AR92+AU92+AX92+BA92+BD92+BG92),BJ92)</f>
        <v>2252</v>
      </c>
      <c r="R92" s="82">
        <f t="shared" si="354"/>
        <v>0</v>
      </c>
      <c r="S92" s="82">
        <f t="shared" si="354"/>
        <v>0</v>
      </c>
      <c r="T92" s="175">
        <f t="shared" ref="T92:U92" si="355">J92-N92</f>
        <v>6193</v>
      </c>
      <c r="U92" s="175">
        <f t="shared" si="355"/>
        <v>0</v>
      </c>
      <c r="V92" s="175">
        <f>M92-P92</f>
        <v>0</v>
      </c>
      <c r="W92" s="176">
        <f t="shared" ref="W92:X92" si="356">N92/J92</f>
        <v>0.26666666666666666</v>
      </c>
      <c r="X92" s="176" t="e">
        <f t="shared" si="356"/>
        <v>#DIV/0!</v>
      </c>
      <c r="Y92" s="176" t="e">
        <f>P92/M92</f>
        <v>#DIV/0!</v>
      </c>
      <c r="Z92" s="172"/>
      <c r="AA92" s="172"/>
      <c r="AB92" s="172"/>
      <c r="AC92" s="172"/>
      <c r="AD92" s="172"/>
      <c r="AE92" s="172"/>
      <c r="AF92" s="172"/>
      <c r="AG92" s="171">
        <v>0</v>
      </c>
      <c r="AH92" s="172"/>
      <c r="AI92" s="172"/>
      <c r="AJ92" s="171">
        <v>0</v>
      </c>
      <c r="AK92" s="172"/>
      <c r="AL92" s="172"/>
      <c r="AM92" s="171">
        <v>0</v>
      </c>
      <c r="AN92" s="172"/>
      <c r="AO92" s="178">
        <f>2252</f>
        <v>2252</v>
      </c>
      <c r="AP92" s="201">
        <v>0</v>
      </c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78"/>
      <c r="BM92" s="180"/>
      <c r="BN92" s="181"/>
      <c r="BO92" s="181"/>
      <c r="BP92" s="181"/>
      <c r="BQ92" s="181"/>
    </row>
    <row r="93" spans="1:69" ht="15.75" customHeight="1">
      <c r="A93" s="136"/>
      <c r="B93" s="136"/>
      <c r="C93" s="90" t="s">
        <v>165</v>
      </c>
      <c r="D93" s="122" t="s">
        <v>330</v>
      </c>
      <c r="E93" s="147"/>
      <c r="F93" s="404"/>
      <c r="G93" s="147">
        <v>0</v>
      </c>
      <c r="H93" s="94"/>
      <c r="I93" s="94"/>
      <c r="J93" s="202"/>
      <c r="K93" s="203"/>
      <c r="L93" s="203"/>
      <c r="M93" s="145"/>
      <c r="N93" s="97"/>
      <c r="O93" s="97"/>
      <c r="P93" s="97"/>
      <c r="Q93" s="82">
        <f t="shared" ref="Q93:R93" si="357">IF(BJ93=0,SUM(Z93+AC93+AF93+AI93+AL93+AO93+AR93+AU93+AX93+BA93+BD93+BG93),BJ93)</f>
        <v>0</v>
      </c>
      <c r="R93" s="82">
        <f t="shared" si="357"/>
        <v>0</v>
      </c>
      <c r="S93" s="82"/>
      <c r="T93" s="97"/>
      <c r="U93" s="97"/>
      <c r="V93" s="97"/>
      <c r="W93" s="98"/>
      <c r="X93" s="98"/>
      <c r="Y93" s="98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103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99"/>
      <c r="BN93" s="100"/>
      <c r="BO93" s="100"/>
      <c r="BP93" s="100"/>
      <c r="BQ93" s="100"/>
    </row>
    <row r="94" spans="1:69" ht="15.75" customHeight="1">
      <c r="A94" s="89"/>
      <c r="B94" s="136"/>
      <c r="C94" s="90" t="s">
        <v>240</v>
      </c>
      <c r="D94" s="122" t="s">
        <v>331</v>
      </c>
      <c r="E94" s="147"/>
      <c r="F94" s="405"/>
      <c r="G94" s="195">
        <v>21041.95</v>
      </c>
      <c r="H94" s="94"/>
      <c r="I94" s="94"/>
      <c r="J94" s="202"/>
      <c r="K94" s="203"/>
      <c r="L94" s="203"/>
      <c r="M94" s="204"/>
      <c r="N94" s="97"/>
      <c r="O94" s="97"/>
      <c r="P94" s="97"/>
      <c r="Q94" s="82">
        <f t="shared" ref="Q94:R94" si="358">IF(BJ94=0,SUM(Z94+AC94+AF94+AI94+AL94+AO94+AR94+AU94+AX94+BA94+BD94+BG94),BJ94)</f>
        <v>563</v>
      </c>
      <c r="R94" s="82">
        <f t="shared" si="358"/>
        <v>0</v>
      </c>
      <c r="S94" s="82"/>
      <c r="T94" s="97"/>
      <c r="U94" s="97"/>
      <c r="V94" s="97"/>
      <c r="W94" s="98"/>
      <c r="X94" s="98"/>
      <c r="Y94" s="98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103">
        <f>563</f>
        <v>563</v>
      </c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99"/>
      <c r="BN94" s="100"/>
      <c r="BO94" s="100"/>
      <c r="BP94" s="100"/>
      <c r="BQ94" s="100"/>
    </row>
    <row r="95" spans="1:69" ht="15.75" customHeight="1">
      <c r="A95" s="89"/>
      <c r="B95" s="89"/>
      <c r="C95" s="90" t="s">
        <v>332</v>
      </c>
      <c r="D95" s="91" t="s">
        <v>333</v>
      </c>
      <c r="E95" s="166"/>
      <c r="F95" s="400"/>
      <c r="G95" s="166"/>
      <c r="H95" s="94" t="e">
        <f t="shared" ref="H95:H117" si="359">J95/E95</f>
        <v>#DIV/0!</v>
      </c>
      <c r="I95" s="94" t="e">
        <f t="shared" ref="I95:I117" si="360">N95/E95</f>
        <v>#DIV/0!</v>
      </c>
      <c r="J95" s="96"/>
      <c r="K95" s="96"/>
      <c r="L95" s="96"/>
      <c r="M95" s="96"/>
      <c r="N95" s="97">
        <f t="shared" ref="N95:P95" si="361">Z95+AC95+AF95+AI95+AL95+AO95+AR95+AU95+AX95+BA95+BD95+BG95</f>
        <v>0</v>
      </c>
      <c r="O95" s="97">
        <f t="shared" si="361"/>
        <v>0</v>
      </c>
      <c r="P95" s="97">
        <f t="shared" si="361"/>
        <v>0</v>
      </c>
      <c r="Q95" s="82">
        <f t="shared" ref="Q95:S95" si="362">IF(BJ95=0,SUM(Z95+AC95+AF95+AI95+AL95+AO95+AR95+AU95+AX95+BA95+BD95+BG95),BJ95)</f>
        <v>0</v>
      </c>
      <c r="R95" s="82">
        <f t="shared" si="362"/>
        <v>0</v>
      </c>
      <c r="S95" s="82">
        <f t="shared" si="362"/>
        <v>0</v>
      </c>
      <c r="T95" s="97">
        <f t="shared" ref="T95:U95" si="363">J95-N95</f>
        <v>0</v>
      </c>
      <c r="U95" s="97">
        <f t="shared" si="363"/>
        <v>0</v>
      </c>
      <c r="V95" s="97">
        <f t="shared" ref="V95:V96" si="364">M95-P95</f>
        <v>0</v>
      </c>
      <c r="W95" s="98" t="e">
        <f t="shared" ref="W95:X95" si="365">N95/J95</f>
        <v>#DIV/0!</v>
      </c>
      <c r="X95" s="98" t="e">
        <f t="shared" si="365"/>
        <v>#DIV/0!</v>
      </c>
      <c r="Y95" s="98" t="e">
        <f t="shared" ref="Y95:Y103" si="366">P95/M95</f>
        <v>#DIV/0!</v>
      </c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9"/>
      <c r="BN95" s="100"/>
      <c r="BO95" s="100"/>
      <c r="BP95" s="100"/>
      <c r="BQ95" s="100"/>
    </row>
    <row r="96" spans="1:69" ht="15.75" customHeight="1">
      <c r="A96" s="89"/>
      <c r="B96" s="89"/>
      <c r="C96" s="90" t="s">
        <v>161</v>
      </c>
      <c r="D96" s="91" t="s">
        <v>317</v>
      </c>
      <c r="E96" s="166"/>
      <c r="F96" s="400"/>
      <c r="G96" s="166"/>
      <c r="H96" s="94" t="e">
        <f t="shared" si="359"/>
        <v>#DIV/0!</v>
      </c>
      <c r="I96" s="94" t="e">
        <f t="shared" si="360"/>
        <v>#DIV/0!</v>
      </c>
      <c r="J96" s="96"/>
      <c r="K96" s="96"/>
      <c r="L96" s="96"/>
      <c r="M96" s="96"/>
      <c r="N96" s="97">
        <f t="shared" ref="N96:P96" si="367">Z96+AC96+AF96+AI96+AL96+AO96+AR96+AU96+AX96+BA96+BD96+BG96</f>
        <v>0</v>
      </c>
      <c r="O96" s="97">
        <f t="shared" si="367"/>
        <v>0</v>
      </c>
      <c r="P96" s="97">
        <f t="shared" si="367"/>
        <v>0</v>
      </c>
      <c r="Q96" s="82">
        <f t="shared" ref="Q96:S96" si="368">IF(BJ96=0,SUM(Z96+AC96+AF96+AI96+AL96+AO96+AR96+AU96+AX96+BA96+BD96+BG96),BJ96)</f>
        <v>0</v>
      </c>
      <c r="R96" s="82">
        <f t="shared" si="368"/>
        <v>0</v>
      </c>
      <c r="S96" s="82">
        <f t="shared" si="368"/>
        <v>0</v>
      </c>
      <c r="T96" s="97">
        <f t="shared" ref="T96:U96" si="369">J96-N96</f>
        <v>0</v>
      </c>
      <c r="U96" s="97">
        <f t="shared" si="369"/>
        <v>0</v>
      </c>
      <c r="V96" s="97">
        <f t="shared" si="364"/>
        <v>0</v>
      </c>
      <c r="W96" s="98" t="e">
        <f t="shared" ref="W96:X96" si="370">N96/J96</f>
        <v>#DIV/0!</v>
      </c>
      <c r="X96" s="98" t="e">
        <f t="shared" si="370"/>
        <v>#DIV/0!</v>
      </c>
      <c r="Y96" s="98" t="e">
        <f t="shared" si="366"/>
        <v>#DIV/0!</v>
      </c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9"/>
      <c r="BN96" s="100"/>
      <c r="BO96" s="100"/>
      <c r="BP96" s="100"/>
      <c r="BQ96" s="100"/>
    </row>
    <row r="97" spans="1:69" ht="15.75" customHeight="1">
      <c r="A97" s="86"/>
      <c r="B97" s="86"/>
      <c r="C97" s="86" t="s">
        <v>334</v>
      </c>
      <c r="D97" s="86"/>
      <c r="E97" s="87">
        <f t="shared" ref="E97:G97" si="371">E98+E115+E120+E146+E151+E155</f>
        <v>273274.02</v>
      </c>
      <c r="F97" s="389">
        <f t="shared" si="371"/>
        <v>273939.48</v>
      </c>
      <c r="G97" s="87">
        <f t="shared" si="371"/>
        <v>1183964.47</v>
      </c>
      <c r="H97" s="107">
        <f t="shared" si="359"/>
        <v>2.9454158869547862</v>
      </c>
      <c r="I97" s="107">
        <f t="shared" si="360"/>
        <v>0.55041573289696544</v>
      </c>
      <c r="J97" s="87">
        <f t="shared" ref="J97:P97" si="372">J98+J115+J120+J146+J151+J155</f>
        <v>804905.64</v>
      </c>
      <c r="K97" s="87">
        <f t="shared" si="372"/>
        <v>751131.49</v>
      </c>
      <c r="L97" s="87">
        <f t="shared" si="372"/>
        <v>14193.02</v>
      </c>
      <c r="M97" s="87">
        <f t="shared" si="372"/>
        <v>0</v>
      </c>
      <c r="N97" s="87">
        <f t="shared" si="372"/>
        <v>150414.32</v>
      </c>
      <c r="O97" s="87">
        <f t="shared" si="372"/>
        <v>515513</v>
      </c>
      <c r="P97" s="87">
        <f t="shared" si="372"/>
        <v>0</v>
      </c>
      <c r="Q97" s="87">
        <f t="shared" ref="Q97:S97" si="373">IF(BJ97=0,SUM(Z97+AC97+AF97+AI97+AL97+AO97+AR97+AU97+AX97+BA97+BD97+BG97),BJ97)</f>
        <v>150414.32</v>
      </c>
      <c r="R97" s="87">
        <f t="shared" si="373"/>
        <v>515513.00000000006</v>
      </c>
      <c r="S97" s="87">
        <f t="shared" si="373"/>
        <v>0</v>
      </c>
      <c r="T97" s="87">
        <f t="shared" ref="T97:V97" si="374">T98+T115+T120+T146+T151+T155</f>
        <v>654491.32000000007</v>
      </c>
      <c r="U97" s="87">
        <f t="shared" si="374"/>
        <v>221425.47</v>
      </c>
      <c r="V97" s="87">
        <f t="shared" si="374"/>
        <v>0</v>
      </c>
      <c r="W97" s="88">
        <f t="shared" ref="W97:X97" si="375">N97/J97</f>
        <v>0.1868719916038854</v>
      </c>
      <c r="X97" s="88">
        <f t="shared" si="375"/>
        <v>0.68631525486969003</v>
      </c>
      <c r="Y97" s="88" t="e">
        <f t="shared" si="366"/>
        <v>#DIV/0!</v>
      </c>
      <c r="Z97" s="87">
        <f t="shared" ref="Z97:BL97" si="376">Z98+Z115+Z120+Z146+Z151+Z155</f>
        <v>0</v>
      </c>
      <c r="AA97" s="87">
        <f t="shared" si="376"/>
        <v>53060</v>
      </c>
      <c r="AB97" s="87">
        <f t="shared" si="376"/>
        <v>0</v>
      </c>
      <c r="AC97" s="87">
        <f t="shared" si="376"/>
        <v>0</v>
      </c>
      <c r="AD97" s="87">
        <f t="shared" si="376"/>
        <v>61206.74</v>
      </c>
      <c r="AE97" s="87">
        <f t="shared" si="376"/>
        <v>0</v>
      </c>
      <c r="AF97" s="87">
        <f t="shared" si="376"/>
        <v>0</v>
      </c>
      <c r="AG97" s="87">
        <f t="shared" si="376"/>
        <v>63661.509999999995</v>
      </c>
      <c r="AH97" s="87">
        <f t="shared" si="376"/>
        <v>0</v>
      </c>
      <c r="AI97" s="87">
        <f t="shared" si="376"/>
        <v>0</v>
      </c>
      <c r="AJ97" s="87">
        <f t="shared" si="376"/>
        <v>166468.45000000001</v>
      </c>
      <c r="AK97" s="87">
        <f t="shared" si="376"/>
        <v>0</v>
      </c>
      <c r="AL97" s="87">
        <f t="shared" si="376"/>
        <v>0</v>
      </c>
      <c r="AM97" s="87">
        <f t="shared" si="376"/>
        <v>54407.4</v>
      </c>
      <c r="AN97" s="87">
        <f t="shared" si="376"/>
        <v>0</v>
      </c>
      <c r="AO97" s="87">
        <f t="shared" si="376"/>
        <v>38792.769999999997</v>
      </c>
      <c r="AP97" s="87">
        <f t="shared" si="376"/>
        <v>100282.97</v>
      </c>
      <c r="AQ97" s="87">
        <f t="shared" si="376"/>
        <v>0</v>
      </c>
      <c r="AR97" s="87">
        <f t="shared" si="376"/>
        <v>111621.55</v>
      </c>
      <c r="AS97" s="87">
        <f t="shared" si="376"/>
        <v>16425.93</v>
      </c>
      <c r="AT97" s="87">
        <f t="shared" si="376"/>
        <v>0</v>
      </c>
      <c r="AU97" s="87">
        <f t="shared" si="376"/>
        <v>0</v>
      </c>
      <c r="AV97" s="87">
        <f t="shared" si="376"/>
        <v>0</v>
      </c>
      <c r="AW97" s="87">
        <f t="shared" si="376"/>
        <v>0</v>
      </c>
      <c r="AX97" s="87">
        <f t="shared" si="376"/>
        <v>0</v>
      </c>
      <c r="AY97" s="87">
        <f t="shared" si="376"/>
        <v>0</v>
      </c>
      <c r="AZ97" s="87">
        <f t="shared" si="376"/>
        <v>0</v>
      </c>
      <c r="BA97" s="87">
        <f t="shared" si="376"/>
        <v>0</v>
      </c>
      <c r="BB97" s="87">
        <f t="shared" si="376"/>
        <v>0</v>
      </c>
      <c r="BC97" s="87">
        <f t="shared" si="376"/>
        <v>0</v>
      </c>
      <c r="BD97" s="87">
        <f t="shared" si="376"/>
        <v>0</v>
      </c>
      <c r="BE97" s="87">
        <f t="shared" si="376"/>
        <v>0</v>
      </c>
      <c r="BF97" s="87">
        <f t="shared" si="376"/>
        <v>0</v>
      </c>
      <c r="BG97" s="87">
        <f t="shared" si="376"/>
        <v>0</v>
      </c>
      <c r="BH97" s="87">
        <f t="shared" si="376"/>
        <v>0</v>
      </c>
      <c r="BI97" s="87">
        <f t="shared" si="376"/>
        <v>0</v>
      </c>
      <c r="BJ97" s="87">
        <f t="shared" si="376"/>
        <v>0</v>
      </c>
      <c r="BK97" s="87">
        <f t="shared" si="376"/>
        <v>0</v>
      </c>
      <c r="BL97" s="87">
        <f t="shared" si="376"/>
        <v>0</v>
      </c>
      <c r="BM97" s="149"/>
      <c r="BN97" s="150"/>
      <c r="BO97" s="150"/>
      <c r="BP97" s="150"/>
      <c r="BQ97" s="150"/>
    </row>
    <row r="98" spans="1:69" ht="15.75" customHeight="1">
      <c r="A98" s="151"/>
      <c r="B98" s="151"/>
      <c r="C98" s="152"/>
      <c r="D98" s="153" t="s">
        <v>302</v>
      </c>
      <c r="E98" s="154">
        <f t="shared" ref="E98:G98" si="377">SUM(E99:E114)</f>
        <v>97800</v>
      </c>
      <c r="F98" s="399">
        <f t="shared" si="377"/>
        <v>90362</v>
      </c>
      <c r="G98" s="154">
        <f t="shared" si="377"/>
        <v>10000</v>
      </c>
      <c r="H98" s="192">
        <f t="shared" si="359"/>
        <v>0.86464212678936603</v>
      </c>
      <c r="I98" s="192">
        <f t="shared" si="360"/>
        <v>0.14752760736196319</v>
      </c>
      <c r="J98" s="154">
        <f t="shared" ref="J98:P98" si="378">SUM(J99:J114)</f>
        <v>84562</v>
      </c>
      <c r="K98" s="154">
        <f t="shared" si="378"/>
        <v>75763.899999999994</v>
      </c>
      <c r="L98" s="154">
        <f t="shared" si="378"/>
        <v>0</v>
      </c>
      <c r="M98" s="154">
        <f t="shared" si="378"/>
        <v>0</v>
      </c>
      <c r="N98" s="154">
        <f t="shared" si="378"/>
        <v>14428.2</v>
      </c>
      <c r="O98" s="154">
        <f t="shared" si="378"/>
        <v>57411.360000000001</v>
      </c>
      <c r="P98" s="154">
        <f t="shared" si="378"/>
        <v>0</v>
      </c>
      <c r="Q98" s="81">
        <f t="shared" ref="Q98:S98" si="379">IF(BJ98=0,SUM(Z98+AC98+AF98+AI98+AL98+AO98+AR98+AU98+AX98+BA98+BD98+BG98),BJ98)</f>
        <v>14428.2</v>
      </c>
      <c r="R98" s="81">
        <f t="shared" si="379"/>
        <v>57411.360000000001</v>
      </c>
      <c r="S98" s="81">
        <f t="shared" si="379"/>
        <v>0</v>
      </c>
      <c r="T98" s="154">
        <f t="shared" ref="T98:V98" si="380">SUM(T99:T114)</f>
        <v>70133.8</v>
      </c>
      <c r="U98" s="154">
        <f t="shared" si="380"/>
        <v>18352.54</v>
      </c>
      <c r="V98" s="154">
        <f t="shared" si="380"/>
        <v>0</v>
      </c>
      <c r="W98" s="193">
        <f t="shared" ref="W98:X98" si="381">N98/J98</f>
        <v>0.17062273834582911</v>
      </c>
      <c r="X98" s="193">
        <f t="shared" si="381"/>
        <v>0.75776669363641525</v>
      </c>
      <c r="Y98" s="193" t="e">
        <f t="shared" si="366"/>
        <v>#DIV/0!</v>
      </c>
      <c r="Z98" s="154">
        <f t="shared" ref="Z98:BL98" si="382">SUM(Z99:Z114)</f>
        <v>0</v>
      </c>
      <c r="AA98" s="154">
        <f t="shared" si="382"/>
        <v>52560</v>
      </c>
      <c r="AB98" s="154">
        <f t="shared" si="382"/>
        <v>0</v>
      </c>
      <c r="AC98" s="154">
        <f t="shared" si="382"/>
        <v>0</v>
      </c>
      <c r="AD98" s="154">
        <f t="shared" si="382"/>
        <v>0</v>
      </c>
      <c r="AE98" s="154">
        <f t="shared" si="382"/>
        <v>0</v>
      </c>
      <c r="AF98" s="154">
        <f t="shared" si="382"/>
        <v>0</v>
      </c>
      <c r="AG98" s="154">
        <f t="shared" si="382"/>
        <v>0</v>
      </c>
      <c r="AH98" s="154">
        <f t="shared" si="382"/>
        <v>0</v>
      </c>
      <c r="AI98" s="154">
        <f t="shared" si="382"/>
        <v>0</v>
      </c>
      <c r="AJ98" s="154">
        <f t="shared" si="382"/>
        <v>0</v>
      </c>
      <c r="AK98" s="154">
        <f t="shared" si="382"/>
        <v>0</v>
      </c>
      <c r="AL98" s="154">
        <f t="shared" si="382"/>
        <v>0</v>
      </c>
      <c r="AM98" s="154">
        <f t="shared" si="382"/>
        <v>3207</v>
      </c>
      <c r="AN98" s="154">
        <f t="shared" si="382"/>
        <v>0</v>
      </c>
      <c r="AO98" s="154">
        <f t="shared" si="382"/>
        <v>6922.2</v>
      </c>
      <c r="AP98" s="154">
        <f t="shared" si="382"/>
        <v>0</v>
      </c>
      <c r="AQ98" s="154">
        <f t="shared" si="382"/>
        <v>0</v>
      </c>
      <c r="AR98" s="154">
        <f t="shared" si="382"/>
        <v>7506</v>
      </c>
      <c r="AS98" s="154">
        <f t="shared" si="382"/>
        <v>1644.36</v>
      </c>
      <c r="AT98" s="154">
        <f t="shared" si="382"/>
        <v>0</v>
      </c>
      <c r="AU98" s="154">
        <f t="shared" si="382"/>
        <v>0</v>
      </c>
      <c r="AV98" s="154">
        <f t="shared" si="382"/>
        <v>0</v>
      </c>
      <c r="AW98" s="154">
        <f t="shared" si="382"/>
        <v>0</v>
      </c>
      <c r="AX98" s="154">
        <f t="shared" si="382"/>
        <v>0</v>
      </c>
      <c r="AY98" s="154">
        <f t="shared" si="382"/>
        <v>0</v>
      </c>
      <c r="AZ98" s="154">
        <f t="shared" si="382"/>
        <v>0</v>
      </c>
      <c r="BA98" s="154">
        <f t="shared" si="382"/>
        <v>0</v>
      </c>
      <c r="BB98" s="154">
        <f t="shared" si="382"/>
        <v>0</v>
      </c>
      <c r="BC98" s="154">
        <f t="shared" si="382"/>
        <v>0</v>
      </c>
      <c r="BD98" s="154">
        <f t="shared" si="382"/>
        <v>0</v>
      </c>
      <c r="BE98" s="154">
        <f t="shared" si="382"/>
        <v>0</v>
      </c>
      <c r="BF98" s="154">
        <f t="shared" si="382"/>
        <v>0</v>
      </c>
      <c r="BG98" s="154">
        <f t="shared" si="382"/>
        <v>0</v>
      </c>
      <c r="BH98" s="154">
        <f t="shared" si="382"/>
        <v>0</v>
      </c>
      <c r="BI98" s="154">
        <f t="shared" si="382"/>
        <v>0</v>
      </c>
      <c r="BJ98" s="154">
        <f t="shared" si="382"/>
        <v>0</v>
      </c>
      <c r="BK98" s="154">
        <f t="shared" si="382"/>
        <v>0</v>
      </c>
      <c r="BL98" s="154">
        <f t="shared" si="382"/>
        <v>0</v>
      </c>
      <c r="BM98" s="157"/>
      <c r="BN98" s="158"/>
      <c r="BO98" s="158"/>
      <c r="BP98" s="158"/>
      <c r="BQ98" s="158"/>
    </row>
    <row r="99" spans="1:69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400">
        <f t="shared" ref="F99:F100" si="383">E99</f>
        <v>4500</v>
      </c>
      <c r="G99" s="166"/>
      <c r="H99" s="94">
        <f t="shared" si="359"/>
        <v>1</v>
      </c>
      <c r="I99" s="94">
        <f t="shared" si="360"/>
        <v>0</v>
      </c>
      <c r="J99" s="96">
        <v>4500</v>
      </c>
      <c r="K99" s="96"/>
      <c r="L99" s="96"/>
      <c r="M99" s="96"/>
      <c r="N99" s="97">
        <f t="shared" ref="N99:P99" si="384">Z99+AC99+AF99+AI99+AL99+AO99+AR99+AU99+AX99+BA99+BD99+BG99</f>
        <v>0</v>
      </c>
      <c r="O99" s="97">
        <f t="shared" si="384"/>
        <v>0</v>
      </c>
      <c r="P99" s="97">
        <f t="shared" si="384"/>
        <v>0</v>
      </c>
      <c r="Q99" s="97">
        <f t="shared" ref="Q99:S99" si="385">IF(BJ99=0,SUM(Z99+AC99+AF99+AI99+AL99+AO99+AR99+AU99+AX99+BA99+BD99+BG99),BJ99)</f>
        <v>0</v>
      </c>
      <c r="R99" s="97">
        <f t="shared" si="385"/>
        <v>0</v>
      </c>
      <c r="S99" s="97">
        <f t="shared" si="385"/>
        <v>0</v>
      </c>
      <c r="T99" s="97">
        <f t="shared" ref="T99:U99" si="386">J99-N99</f>
        <v>4500</v>
      </c>
      <c r="U99" s="97">
        <f t="shared" si="386"/>
        <v>0</v>
      </c>
      <c r="V99" s="97">
        <f t="shared" ref="V99:V114" si="387">M99-P99</f>
        <v>0</v>
      </c>
      <c r="W99" s="98">
        <f t="shared" ref="W99:X99" si="388">N99/J99</f>
        <v>0</v>
      </c>
      <c r="X99" s="98" t="e">
        <f t="shared" si="388"/>
        <v>#DIV/0!</v>
      </c>
      <c r="Y99" s="98" t="e">
        <f t="shared" si="366"/>
        <v>#DIV/0!</v>
      </c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9"/>
      <c r="BN99" s="100"/>
      <c r="BO99" s="100"/>
      <c r="BP99" s="100"/>
      <c r="BQ99" s="100"/>
    </row>
    <row r="100" spans="1:69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400">
        <f t="shared" si="383"/>
        <v>2500</v>
      </c>
      <c r="G100" s="166"/>
      <c r="H100" s="94">
        <f t="shared" si="359"/>
        <v>1</v>
      </c>
      <c r="I100" s="94">
        <f t="shared" si="360"/>
        <v>0</v>
      </c>
      <c r="J100" s="96">
        <v>2500</v>
      </c>
      <c r="K100" s="96"/>
      <c r="L100" s="96"/>
      <c r="M100" s="96"/>
      <c r="N100" s="97">
        <f t="shared" ref="N100:P100" si="389">Z100+AC100+AF100+AI100+AL100+AO100+AR100+AU100+AX100+BA100+BD100+BG100</f>
        <v>0</v>
      </c>
      <c r="O100" s="97">
        <f t="shared" si="389"/>
        <v>0</v>
      </c>
      <c r="P100" s="97">
        <f t="shared" si="389"/>
        <v>0</v>
      </c>
      <c r="Q100" s="97">
        <f t="shared" ref="Q100:S100" si="390">IF(BJ100=0,SUM(Z100+AC100+AF100+AI100+AL100+AO100+AR100+AU100+AX100+BA100+BD100+BG100),BJ100)</f>
        <v>0</v>
      </c>
      <c r="R100" s="97">
        <f t="shared" si="390"/>
        <v>0</v>
      </c>
      <c r="S100" s="97">
        <f t="shared" si="390"/>
        <v>0</v>
      </c>
      <c r="T100" s="97">
        <f t="shared" ref="T100:U100" si="391">J100-N100</f>
        <v>2500</v>
      </c>
      <c r="U100" s="97">
        <f t="shared" si="391"/>
        <v>0</v>
      </c>
      <c r="V100" s="97">
        <f t="shared" si="387"/>
        <v>0</v>
      </c>
      <c r="W100" s="98">
        <f t="shared" ref="W100:X100" si="392">N100/J100</f>
        <v>0</v>
      </c>
      <c r="X100" s="98" t="e">
        <f t="shared" si="392"/>
        <v>#DIV/0!</v>
      </c>
      <c r="Y100" s="98" t="e">
        <f t="shared" si="366"/>
        <v>#DIV/0!</v>
      </c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9"/>
      <c r="BN100" s="100"/>
      <c r="BO100" s="100"/>
      <c r="BP100" s="100"/>
      <c r="BQ100" s="100"/>
    </row>
    <row r="101" spans="1:69" ht="15.75" customHeight="1">
      <c r="A101" s="89"/>
      <c r="B101" s="206"/>
      <c r="C101" s="90" t="s">
        <v>213</v>
      </c>
      <c r="D101" s="91" t="s">
        <v>74</v>
      </c>
      <c r="E101" s="166"/>
      <c r="F101" s="400"/>
      <c r="G101" s="166"/>
      <c r="H101" s="94" t="e">
        <f t="shared" si="359"/>
        <v>#DIV/0!</v>
      </c>
      <c r="I101" s="94" t="e">
        <f t="shared" si="360"/>
        <v>#DIV/0!</v>
      </c>
      <c r="J101" s="96"/>
      <c r="K101" s="96"/>
      <c r="L101" s="96"/>
      <c r="M101" s="96"/>
      <c r="N101" s="97">
        <f t="shared" ref="N101:P101" si="393">Z101+AC101+AF101+AI101+AL101+AO101+AR101+AU101+AX101+BA101+BD101+BG101</f>
        <v>0</v>
      </c>
      <c r="O101" s="97">
        <f t="shared" si="393"/>
        <v>0</v>
      </c>
      <c r="P101" s="97">
        <f t="shared" si="393"/>
        <v>0</v>
      </c>
      <c r="Q101" s="97">
        <f t="shared" ref="Q101:S101" si="394">IF(BJ101=0,SUM(Z101+AC101+AF101+AI101+AL101+AO101+AR101+AU101+AX101+BA101+BD101+BG101),BJ101)</f>
        <v>0</v>
      </c>
      <c r="R101" s="97">
        <f t="shared" si="394"/>
        <v>0</v>
      </c>
      <c r="S101" s="97">
        <f t="shared" si="394"/>
        <v>0</v>
      </c>
      <c r="T101" s="97">
        <f t="shared" ref="T101:U101" si="395">J101-N101</f>
        <v>0</v>
      </c>
      <c r="U101" s="97">
        <f t="shared" si="395"/>
        <v>0</v>
      </c>
      <c r="V101" s="97">
        <f t="shared" si="387"/>
        <v>0</v>
      </c>
      <c r="W101" s="98" t="e">
        <f t="shared" ref="W101:X101" si="396">N101/J101</f>
        <v>#DIV/0!</v>
      </c>
      <c r="X101" s="98" t="e">
        <f t="shared" si="396"/>
        <v>#DIV/0!</v>
      </c>
      <c r="Y101" s="98" t="e">
        <f t="shared" si="366"/>
        <v>#DIV/0!</v>
      </c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9"/>
      <c r="BN101" s="100"/>
      <c r="BO101" s="100"/>
      <c r="BP101" s="100"/>
      <c r="BQ101" s="100"/>
    </row>
    <row r="102" spans="1:69" ht="15.75" customHeight="1">
      <c r="A102" s="89"/>
      <c r="B102" s="206"/>
      <c r="C102" s="90"/>
      <c r="D102" s="207" t="s">
        <v>842</v>
      </c>
      <c r="E102" s="208"/>
      <c r="F102" s="406"/>
      <c r="G102" s="208"/>
      <c r="H102" s="94" t="e">
        <f t="shared" si="359"/>
        <v>#DIV/0!</v>
      </c>
      <c r="I102" s="94" t="e">
        <f t="shared" si="360"/>
        <v>#DIV/0!</v>
      </c>
      <c r="J102" s="202"/>
      <c r="K102" s="204"/>
      <c r="L102" s="204"/>
      <c r="M102" s="202"/>
      <c r="N102" s="97">
        <f t="shared" ref="N102:P102" si="397">Z102+AC102+AF102+AI102+AL102+AO102+AR102+AU102+AX102+BA102+BD102+BG102</f>
        <v>0</v>
      </c>
      <c r="O102" s="97">
        <f t="shared" si="397"/>
        <v>0</v>
      </c>
      <c r="P102" s="97">
        <f t="shared" si="397"/>
        <v>0</v>
      </c>
      <c r="Q102" s="97">
        <f t="shared" ref="Q102:S102" si="398">IF(BJ102=0,SUM(Z102+AC102+AF102+AI102+AL102+AO102+AR102+AU102+AX102+BA102+BD102+BG102),BJ102)</f>
        <v>0</v>
      </c>
      <c r="R102" s="97">
        <f t="shared" si="398"/>
        <v>0</v>
      </c>
      <c r="S102" s="97">
        <f t="shared" si="398"/>
        <v>0</v>
      </c>
      <c r="T102" s="97">
        <f t="shared" ref="T102:U102" si="399">J102-N102</f>
        <v>0</v>
      </c>
      <c r="U102" s="97">
        <f t="shared" si="399"/>
        <v>0</v>
      </c>
      <c r="V102" s="97">
        <f t="shared" si="387"/>
        <v>0</v>
      </c>
      <c r="W102" s="98" t="e">
        <f t="shared" ref="W102:X102" si="400">N102/J102</f>
        <v>#DIV/0!</v>
      </c>
      <c r="X102" s="98" t="e">
        <f t="shared" si="400"/>
        <v>#DIV/0!</v>
      </c>
      <c r="Y102" s="98" t="e">
        <f t="shared" si="366"/>
        <v>#DIV/0!</v>
      </c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9"/>
      <c r="BH102" s="204"/>
      <c r="BI102" s="204"/>
      <c r="BJ102" s="209"/>
      <c r="BK102" s="204"/>
      <c r="BL102" s="204"/>
      <c r="BM102" s="99"/>
      <c r="BN102" s="100"/>
      <c r="BO102" s="100"/>
      <c r="BP102" s="100"/>
      <c r="BQ102" s="100"/>
    </row>
    <row r="103" spans="1:69" ht="15.75" customHeight="1">
      <c r="A103" s="89"/>
      <c r="B103" s="206"/>
      <c r="C103" s="90" t="s">
        <v>240</v>
      </c>
      <c r="D103" s="210" t="s">
        <v>843</v>
      </c>
      <c r="E103" s="166"/>
      <c r="F103" s="404"/>
      <c r="G103" s="147"/>
      <c r="H103" s="94" t="e">
        <f t="shared" si="359"/>
        <v>#DIV/0!</v>
      </c>
      <c r="I103" s="94" t="e">
        <f t="shared" si="360"/>
        <v>#DIV/0!</v>
      </c>
      <c r="J103" s="96"/>
      <c r="K103" s="96"/>
      <c r="L103" s="96"/>
      <c r="M103" s="96"/>
      <c r="N103" s="97">
        <f t="shared" ref="N103:P103" si="401">Z103+AC103+AF103+AI103+AL103+AO103+AR103+AU103+AX103+BA103+BD103+BG103</f>
        <v>0</v>
      </c>
      <c r="O103" s="97">
        <f t="shared" si="401"/>
        <v>0</v>
      </c>
      <c r="P103" s="97">
        <f t="shared" si="401"/>
        <v>0</v>
      </c>
      <c r="Q103" s="97">
        <f t="shared" ref="Q103:S103" si="402">IF(BJ103=0,SUM(Z103+AC103+AF103+AI103+AL103+AO103+AR103+AU103+AX103+BA103+BD103+BG103),BJ103)</f>
        <v>0</v>
      </c>
      <c r="R103" s="97">
        <f t="shared" si="402"/>
        <v>0</v>
      </c>
      <c r="S103" s="97">
        <f t="shared" si="402"/>
        <v>0</v>
      </c>
      <c r="T103" s="97">
        <f t="shared" ref="T103:U103" si="403">J103-N103</f>
        <v>0</v>
      </c>
      <c r="U103" s="97">
        <f t="shared" si="403"/>
        <v>0</v>
      </c>
      <c r="V103" s="97">
        <f t="shared" si="387"/>
        <v>0</v>
      </c>
      <c r="W103" s="98" t="e">
        <f t="shared" ref="W103:X103" si="404">N103/J103</f>
        <v>#DIV/0!</v>
      </c>
      <c r="X103" s="98" t="e">
        <f t="shared" si="404"/>
        <v>#DIV/0!</v>
      </c>
      <c r="Y103" s="98" t="e">
        <f t="shared" si="366"/>
        <v>#DIV/0!</v>
      </c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9"/>
      <c r="BN103" s="100"/>
      <c r="BO103" s="100"/>
      <c r="BP103" s="100"/>
      <c r="BQ103" s="100"/>
    </row>
    <row r="104" spans="1:69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400">
        <f>E104</f>
        <v>800</v>
      </c>
      <c r="G104" s="166"/>
      <c r="H104" s="94">
        <f t="shared" si="359"/>
        <v>0</v>
      </c>
      <c r="I104" s="94">
        <f t="shared" si="360"/>
        <v>0</v>
      </c>
      <c r="J104" s="96"/>
      <c r="K104" s="96"/>
      <c r="L104" s="96"/>
      <c r="M104" s="96"/>
      <c r="N104" s="97">
        <f t="shared" ref="N104:P104" si="405">Z104+AC104+AF104+AI104+AL104+AO104+AR104+AU104+AX104+BA104+BD104+BG104</f>
        <v>0</v>
      </c>
      <c r="O104" s="97">
        <f t="shared" si="405"/>
        <v>0</v>
      </c>
      <c r="P104" s="97">
        <f t="shared" si="405"/>
        <v>0</v>
      </c>
      <c r="Q104" s="97">
        <f t="shared" ref="Q104:S104" si="406">IF(BJ104=0,SUM(Z104+AC104+AF104+AI104+AL104+AO104+AR104+AU104+AX104+BA104+BD104+BG104),BJ104)</f>
        <v>0</v>
      </c>
      <c r="R104" s="97">
        <f t="shared" si="406"/>
        <v>0</v>
      </c>
      <c r="S104" s="97">
        <f t="shared" si="406"/>
        <v>0</v>
      </c>
      <c r="T104" s="97">
        <f t="shared" ref="T104:U104" si="407">J104-N104</f>
        <v>0</v>
      </c>
      <c r="U104" s="97">
        <f t="shared" si="407"/>
        <v>0</v>
      </c>
      <c r="V104" s="97">
        <f t="shared" si="387"/>
        <v>0</v>
      </c>
      <c r="W104" s="98" t="e">
        <f t="shared" ref="W104:X104" si="408">N104/J104</f>
        <v>#DIV/0!</v>
      </c>
      <c r="X104" s="98" t="e">
        <f t="shared" si="408"/>
        <v>#DIV/0!</v>
      </c>
      <c r="Y104" s="98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103">
        <v>0</v>
      </c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9"/>
      <c r="BN104" s="100"/>
      <c r="BO104" s="100"/>
      <c r="BP104" s="100"/>
      <c r="BQ104" s="100"/>
    </row>
    <row r="105" spans="1:69" ht="15.75" customHeight="1">
      <c r="A105" s="89"/>
      <c r="B105" s="206"/>
      <c r="C105" s="90" t="s">
        <v>340</v>
      </c>
      <c r="D105" s="91" t="s">
        <v>341</v>
      </c>
      <c r="E105" s="166"/>
      <c r="F105" s="400"/>
      <c r="G105" s="166"/>
      <c r="H105" s="94" t="e">
        <f t="shared" si="359"/>
        <v>#DIV/0!</v>
      </c>
      <c r="I105" s="94" t="e">
        <f t="shared" si="360"/>
        <v>#DIV/0!</v>
      </c>
      <c r="J105" s="96"/>
      <c r="K105" s="96"/>
      <c r="L105" s="96"/>
      <c r="M105" s="96"/>
      <c r="N105" s="97">
        <f t="shared" ref="N105:P105" si="409">Z105+AC105+AF105+AI105+AL105+AO105+AR105+AU105+AX105+BA105+BD105+BG105</f>
        <v>0</v>
      </c>
      <c r="O105" s="97">
        <f t="shared" si="409"/>
        <v>0</v>
      </c>
      <c r="P105" s="97">
        <f t="shared" si="409"/>
        <v>0</v>
      </c>
      <c r="Q105" s="97">
        <f t="shared" ref="Q105:S105" si="410">IF(BJ105=0,SUM(Z105+AC105+AF105+AI105+AL105+AO105+AR105+AU105+AX105+BA105+BD105+BG105),BJ105)</f>
        <v>0</v>
      </c>
      <c r="R105" s="97">
        <f t="shared" si="410"/>
        <v>0</v>
      </c>
      <c r="S105" s="97">
        <f t="shared" si="410"/>
        <v>0</v>
      </c>
      <c r="T105" s="97">
        <f t="shared" ref="T105:U105" si="411">J105-N105</f>
        <v>0</v>
      </c>
      <c r="U105" s="97">
        <f t="shared" si="411"/>
        <v>0</v>
      </c>
      <c r="V105" s="97">
        <f t="shared" si="387"/>
        <v>0</v>
      </c>
      <c r="W105" s="98" t="e">
        <f t="shared" ref="W105:X105" si="412">N105/J105</f>
        <v>#DIV/0!</v>
      </c>
      <c r="X105" s="98" t="e">
        <f t="shared" si="412"/>
        <v>#DIV/0!</v>
      </c>
      <c r="Y105" s="98" t="e">
        <f t="shared" ref="Y105:Y117" si="413">P105/M105</f>
        <v>#DIV/0!</v>
      </c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9"/>
      <c r="BN105" s="100"/>
      <c r="BO105" s="100"/>
      <c r="BP105" s="100"/>
      <c r="BQ105" s="100"/>
    </row>
    <row r="106" spans="1:69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400"/>
      <c r="G106" s="166"/>
      <c r="H106" s="94">
        <f t="shared" si="359"/>
        <v>0</v>
      </c>
      <c r="I106" s="94">
        <f t="shared" si="360"/>
        <v>0</v>
      </c>
      <c r="J106" s="96"/>
      <c r="K106" s="96"/>
      <c r="L106" s="96"/>
      <c r="M106" s="96"/>
      <c r="N106" s="97">
        <f t="shared" ref="N106:P106" si="414">Z106+AC106+AF106+AI106+AL106+AO106+AR106+AU106+AX106+BA106+BD106+BG106</f>
        <v>0</v>
      </c>
      <c r="O106" s="97">
        <f t="shared" si="414"/>
        <v>0</v>
      </c>
      <c r="P106" s="97">
        <f t="shared" si="414"/>
        <v>0</v>
      </c>
      <c r="Q106" s="97">
        <f t="shared" ref="Q106:S106" si="415">IF(BJ106=0,SUM(Z106+AC106+AF106+AI106+AL106+AO106+AR106+AU106+AX106+BA106+BD106+BG106),BJ106)</f>
        <v>0</v>
      </c>
      <c r="R106" s="97">
        <f t="shared" si="415"/>
        <v>0</v>
      </c>
      <c r="S106" s="97">
        <f t="shared" si="415"/>
        <v>0</v>
      </c>
      <c r="T106" s="97">
        <f t="shared" ref="T106:U106" si="416">J106-N106</f>
        <v>0</v>
      </c>
      <c r="U106" s="97">
        <f t="shared" si="416"/>
        <v>0</v>
      </c>
      <c r="V106" s="97">
        <f t="shared" si="387"/>
        <v>0</v>
      </c>
      <c r="W106" s="98" t="e">
        <f t="shared" ref="W106:X106" si="417">N106/J106</f>
        <v>#DIV/0!</v>
      </c>
      <c r="X106" s="98" t="e">
        <f t="shared" si="417"/>
        <v>#DIV/0!</v>
      </c>
      <c r="Y106" s="98" t="e">
        <f t="shared" si="413"/>
        <v>#DIV/0!</v>
      </c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9"/>
      <c r="BN106" s="100"/>
      <c r="BO106" s="100"/>
      <c r="BP106" s="100"/>
      <c r="BQ106" s="100"/>
    </row>
    <row r="107" spans="1:69" ht="15.75" customHeight="1">
      <c r="A107" s="354" t="s">
        <v>614</v>
      </c>
      <c r="B107" s="211"/>
      <c r="C107" s="101" t="s">
        <v>229</v>
      </c>
      <c r="D107" s="210" t="s">
        <v>844</v>
      </c>
      <c r="E107" s="116">
        <v>70000</v>
      </c>
      <c r="F107" s="401">
        <v>77562</v>
      </c>
      <c r="G107" s="166"/>
      <c r="H107" s="94">
        <f t="shared" si="359"/>
        <v>1.1080285714285714</v>
      </c>
      <c r="I107" s="94">
        <f t="shared" si="360"/>
        <v>0.20611714285714286</v>
      </c>
      <c r="J107" s="103">
        <f>2502+75060</f>
        <v>77562</v>
      </c>
      <c r="K107" s="96"/>
      <c r="L107" s="96"/>
      <c r="M107" s="96"/>
      <c r="N107" s="97">
        <f t="shared" ref="N107:P107" si="418">Z107+AC107+AF107+AI107+AL107+AO107+AR107+AU107+AX107+BA107+BD107+BG107</f>
        <v>14428.2</v>
      </c>
      <c r="O107" s="97">
        <f t="shared" si="418"/>
        <v>0</v>
      </c>
      <c r="P107" s="97">
        <f t="shared" si="418"/>
        <v>0</v>
      </c>
      <c r="Q107" s="97">
        <f t="shared" ref="Q107:S107" si="419">IF(BJ107=0,SUM(Z107+AC107+AF107+AI107+AL107+AO107+AR107+AU107+AX107+BA107+BD107+BG107),BJ107)</f>
        <v>14428.2</v>
      </c>
      <c r="R107" s="97">
        <f t="shared" si="419"/>
        <v>0</v>
      </c>
      <c r="S107" s="97">
        <f t="shared" si="419"/>
        <v>0</v>
      </c>
      <c r="T107" s="97">
        <f t="shared" ref="T107:T114" si="420">J107-N107</f>
        <v>63133.8</v>
      </c>
      <c r="U107" s="97">
        <f>K107-O107-L107</f>
        <v>0</v>
      </c>
      <c r="V107" s="97">
        <f t="shared" si="387"/>
        <v>0</v>
      </c>
      <c r="W107" s="98">
        <f t="shared" ref="W107:X107" si="421">N107/J107</f>
        <v>0.1860215053763441</v>
      </c>
      <c r="X107" s="98" t="e">
        <f t="shared" si="421"/>
        <v>#DIV/0!</v>
      </c>
      <c r="Y107" s="98" t="e">
        <f t="shared" si="413"/>
        <v>#DIV/0!</v>
      </c>
      <c r="Z107" s="96"/>
      <c r="AA107" s="103">
        <v>0</v>
      </c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103">
        <f>6421.8+500.4</f>
        <v>6922.2</v>
      </c>
      <c r="AP107" s="96"/>
      <c r="AQ107" s="96"/>
      <c r="AR107" s="96">
        <f>7506</f>
        <v>7506</v>
      </c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9"/>
      <c r="BN107" s="100"/>
      <c r="BO107" s="100"/>
      <c r="BP107" s="100"/>
      <c r="BQ107" s="100"/>
    </row>
    <row r="108" spans="1:69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400">
        <f t="shared" ref="F108:F109" si="422">E108</f>
        <v>2000</v>
      </c>
      <c r="G108" s="166"/>
      <c r="H108" s="94">
        <f t="shared" si="359"/>
        <v>0</v>
      </c>
      <c r="I108" s="94">
        <f t="shared" si="360"/>
        <v>0</v>
      </c>
      <c r="J108" s="96"/>
      <c r="K108" s="96"/>
      <c r="L108" s="96"/>
      <c r="M108" s="96"/>
      <c r="N108" s="97">
        <f t="shared" ref="N108:P108" si="423">Z108+AC108+AF108+AI108+AL108+AO108+AR108+AU108+AX108+BA108+BD108+BG108</f>
        <v>0</v>
      </c>
      <c r="O108" s="97">
        <f t="shared" si="423"/>
        <v>0</v>
      </c>
      <c r="P108" s="97">
        <f t="shared" si="423"/>
        <v>0</v>
      </c>
      <c r="Q108" s="97">
        <f t="shared" ref="Q108:S108" si="424">IF(BJ108=0,SUM(Z108+AC108+AF108+AI108+AL108+AO108+AR108+AU108+AX108+BA108+BD108+BG108),BJ108)</f>
        <v>0</v>
      </c>
      <c r="R108" s="97">
        <f t="shared" si="424"/>
        <v>0</v>
      </c>
      <c r="S108" s="97">
        <f t="shared" si="424"/>
        <v>0</v>
      </c>
      <c r="T108" s="97">
        <f t="shared" si="420"/>
        <v>0</v>
      </c>
      <c r="U108" s="97">
        <f>K108-O108</f>
        <v>0</v>
      </c>
      <c r="V108" s="97">
        <f t="shared" si="387"/>
        <v>0</v>
      </c>
      <c r="W108" s="98" t="e">
        <f t="shared" ref="W108:X108" si="425">N108/J108</f>
        <v>#DIV/0!</v>
      </c>
      <c r="X108" s="98" t="e">
        <f t="shared" si="425"/>
        <v>#DIV/0!</v>
      </c>
      <c r="Y108" s="98" t="e">
        <f t="shared" si="413"/>
        <v>#DIV/0!</v>
      </c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9"/>
      <c r="BN108" s="100"/>
      <c r="BO108" s="100"/>
      <c r="BP108" s="100"/>
      <c r="BQ108" s="100"/>
    </row>
    <row r="109" spans="1:69" ht="15.75" customHeight="1">
      <c r="A109" s="89"/>
      <c r="B109" s="206" t="s">
        <v>343</v>
      </c>
      <c r="C109" s="101" t="s">
        <v>344</v>
      </c>
      <c r="D109" s="122" t="s">
        <v>845</v>
      </c>
      <c r="E109" s="92">
        <v>3000</v>
      </c>
      <c r="F109" s="400">
        <f t="shared" si="422"/>
        <v>3000</v>
      </c>
      <c r="G109" s="93">
        <v>10000</v>
      </c>
      <c r="H109" s="94">
        <f t="shared" si="359"/>
        <v>0</v>
      </c>
      <c r="I109" s="94">
        <f t="shared" si="360"/>
        <v>0</v>
      </c>
      <c r="J109" s="96"/>
      <c r="K109" s="96">
        <v>19996.900000000001</v>
      </c>
      <c r="L109" s="96"/>
      <c r="M109" s="96"/>
      <c r="N109" s="97">
        <f t="shared" ref="N109:P109" si="426">Z109+AC109+AF109+AI109+AL109+AO109+AR109+AU109+AX109+BA109+BD109+BG109</f>
        <v>0</v>
      </c>
      <c r="O109" s="97">
        <f t="shared" si="426"/>
        <v>1644.36</v>
      </c>
      <c r="P109" s="97">
        <f t="shared" si="426"/>
        <v>0</v>
      </c>
      <c r="Q109" s="97">
        <f t="shared" ref="Q109:S109" si="427">IF(BJ109=0,SUM(Z109+AC109+AF109+AI109+AL109+AO109+AR109+AU109+AX109+BA109+BD109+BG109),BJ109)</f>
        <v>0</v>
      </c>
      <c r="R109" s="97">
        <f t="shared" si="427"/>
        <v>1644.36</v>
      </c>
      <c r="S109" s="97">
        <f t="shared" si="427"/>
        <v>0</v>
      </c>
      <c r="T109" s="97">
        <f t="shared" si="420"/>
        <v>0</v>
      </c>
      <c r="U109" s="97">
        <f>K109-L109-O109</f>
        <v>18352.54</v>
      </c>
      <c r="V109" s="97">
        <f t="shared" si="387"/>
        <v>0</v>
      </c>
      <c r="W109" s="98" t="e">
        <f t="shared" ref="W109:X109" si="428">N109/J109</f>
        <v>#DIV/0!</v>
      </c>
      <c r="X109" s="98">
        <f t="shared" si="428"/>
        <v>8.2230745765593652E-2</v>
      </c>
      <c r="Y109" s="98" t="e">
        <f t="shared" si="413"/>
        <v>#DIV/0!</v>
      </c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>
        <f>1644.36</f>
        <v>1644.36</v>
      </c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9"/>
      <c r="BN109" s="100"/>
      <c r="BO109" s="100"/>
      <c r="BP109" s="100"/>
      <c r="BQ109" s="100"/>
    </row>
    <row r="110" spans="1:69" ht="15.75" customHeight="1">
      <c r="A110" s="89"/>
      <c r="B110" s="206" t="s">
        <v>346</v>
      </c>
      <c r="C110" s="90" t="s">
        <v>347</v>
      </c>
      <c r="D110" s="91" t="s">
        <v>846</v>
      </c>
      <c r="E110" s="92"/>
      <c r="F110" s="407"/>
      <c r="G110" s="93"/>
      <c r="H110" s="94" t="e">
        <f t="shared" si="359"/>
        <v>#DIV/0!</v>
      </c>
      <c r="I110" s="94" t="e">
        <f t="shared" si="360"/>
        <v>#DIV/0!</v>
      </c>
      <c r="J110" s="96"/>
      <c r="K110" s="117">
        <v>52560</v>
      </c>
      <c r="L110" s="117"/>
      <c r="M110" s="96"/>
      <c r="N110" s="97">
        <f t="shared" ref="N110:P110" si="429">Z110+AC110+AF110+AI110+AL110+AO110+AR110+AU110+AX110+BA110+BD110+BG110</f>
        <v>0</v>
      </c>
      <c r="O110" s="97">
        <f t="shared" si="429"/>
        <v>52560</v>
      </c>
      <c r="P110" s="97">
        <f t="shared" si="429"/>
        <v>0</v>
      </c>
      <c r="Q110" s="97">
        <f t="shared" ref="Q110:S110" si="430">IF(BJ110=0,SUM(Z110+AC110+AF110+AI110+AL110+AO110+AR110+AU110+AX110+BA110+BD110+BG110),BJ110)</f>
        <v>0</v>
      </c>
      <c r="R110" s="97">
        <f t="shared" si="430"/>
        <v>52560</v>
      </c>
      <c r="S110" s="97">
        <f t="shared" si="430"/>
        <v>0</v>
      </c>
      <c r="T110" s="97">
        <f t="shared" si="420"/>
        <v>0</v>
      </c>
      <c r="U110" s="97">
        <f t="shared" ref="U110:U114" si="431">K110-O110</f>
        <v>0</v>
      </c>
      <c r="V110" s="97">
        <f t="shared" si="387"/>
        <v>0</v>
      </c>
      <c r="W110" s="98" t="e">
        <f t="shared" ref="W110:X110" si="432">N110/J110</f>
        <v>#DIV/0!</v>
      </c>
      <c r="X110" s="98">
        <f t="shared" si="432"/>
        <v>1</v>
      </c>
      <c r="Y110" s="98" t="e">
        <f t="shared" si="413"/>
        <v>#DIV/0!</v>
      </c>
      <c r="Z110" s="96"/>
      <c r="AA110" s="103">
        <v>52560</v>
      </c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103">
        <v>0</v>
      </c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9"/>
      <c r="BN110" s="100"/>
      <c r="BO110" s="100"/>
      <c r="BP110" s="100"/>
      <c r="BQ110" s="100"/>
    </row>
    <row r="111" spans="1:69" ht="16.5" customHeight="1">
      <c r="A111" s="89"/>
      <c r="B111" s="206"/>
      <c r="C111" s="90" t="s">
        <v>349</v>
      </c>
      <c r="D111" s="122" t="s">
        <v>847</v>
      </c>
      <c r="E111" s="166"/>
      <c r="F111" s="404"/>
      <c r="G111" s="147"/>
      <c r="H111" s="94" t="e">
        <f t="shared" si="359"/>
        <v>#DIV/0!</v>
      </c>
      <c r="I111" s="94" t="e">
        <f t="shared" si="360"/>
        <v>#DIV/0!</v>
      </c>
      <c r="J111" s="96"/>
      <c r="K111" s="96"/>
      <c r="L111" s="96"/>
      <c r="M111" s="96"/>
      <c r="N111" s="97">
        <f t="shared" ref="N111:P111" si="433">Z111+AC111+AF111+AI111+AL111+AO111+AR111+AU111+AX111+BA111+BD111+BG111</f>
        <v>0</v>
      </c>
      <c r="O111" s="97">
        <f t="shared" si="433"/>
        <v>0</v>
      </c>
      <c r="P111" s="97">
        <f t="shared" si="433"/>
        <v>0</v>
      </c>
      <c r="Q111" s="97">
        <f t="shared" ref="Q111:S111" si="434">IF(BJ111=0,SUM(Z111+AC111+AF111+AI111+AL111+AO111+AR111+AU111+AX111+BA111+BD111+BG111),BJ111)</f>
        <v>0</v>
      </c>
      <c r="R111" s="97">
        <f t="shared" si="434"/>
        <v>0</v>
      </c>
      <c r="S111" s="97">
        <f t="shared" si="434"/>
        <v>0</v>
      </c>
      <c r="T111" s="97">
        <f t="shared" si="420"/>
        <v>0</v>
      </c>
      <c r="U111" s="97">
        <f t="shared" si="431"/>
        <v>0</v>
      </c>
      <c r="V111" s="97">
        <f t="shared" si="387"/>
        <v>0</v>
      </c>
      <c r="W111" s="98" t="e">
        <f t="shared" ref="W111:X111" si="435">N111/J111</f>
        <v>#DIV/0!</v>
      </c>
      <c r="X111" s="98" t="e">
        <f t="shared" si="435"/>
        <v>#DIV/0!</v>
      </c>
      <c r="Y111" s="98" t="e">
        <f t="shared" si="413"/>
        <v>#DIV/0!</v>
      </c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9"/>
      <c r="BN111" s="100"/>
      <c r="BO111" s="100"/>
      <c r="BP111" s="100"/>
      <c r="BQ111" s="100"/>
    </row>
    <row r="112" spans="1:69" ht="17.25" customHeight="1">
      <c r="A112" s="89"/>
      <c r="B112" s="206"/>
      <c r="C112" s="90" t="s">
        <v>318</v>
      </c>
      <c r="D112" s="212" t="s">
        <v>848</v>
      </c>
      <c r="E112" s="166"/>
      <c r="F112" s="399"/>
      <c r="G112" s="213"/>
      <c r="H112" s="94" t="e">
        <f t="shared" si="359"/>
        <v>#DIV/0!</v>
      </c>
      <c r="I112" s="94" t="e">
        <f t="shared" si="360"/>
        <v>#DIV/0!</v>
      </c>
      <c r="J112" s="96"/>
      <c r="K112" s="96"/>
      <c r="L112" s="96"/>
      <c r="M112" s="96"/>
      <c r="N112" s="97">
        <f t="shared" ref="N112:P112" si="436">Z112+AC112+AF112+AI112+AL112+AO112+AR112+AU112+AX112+BA112+BD112+BG112</f>
        <v>0</v>
      </c>
      <c r="O112" s="97">
        <f t="shared" si="436"/>
        <v>0</v>
      </c>
      <c r="P112" s="97">
        <f t="shared" si="436"/>
        <v>0</v>
      </c>
      <c r="Q112" s="97">
        <f t="shared" ref="Q112:S112" si="437">IF(BJ112=0,SUM(Z112+AC112+AF112+AI112+AL112+AO112+AR112+AU112+AX112+BA112+BD112+BG112),BJ112)</f>
        <v>0</v>
      </c>
      <c r="R112" s="97">
        <f t="shared" si="437"/>
        <v>0</v>
      </c>
      <c r="S112" s="97">
        <f t="shared" si="437"/>
        <v>0</v>
      </c>
      <c r="T112" s="97">
        <f t="shared" si="420"/>
        <v>0</v>
      </c>
      <c r="U112" s="97">
        <f t="shared" si="431"/>
        <v>0</v>
      </c>
      <c r="V112" s="97">
        <f t="shared" si="387"/>
        <v>0</v>
      </c>
      <c r="W112" s="98" t="e">
        <f t="shared" ref="W112:X112" si="438">N112/J112</f>
        <v>#DIV/0!</v>
      </c>
      <c r="X112" s="98" t="e">
        <f t="shared" si="438"/>
        <v>#DIV/0!</v>
      </c>
      <c r="Y112" s="98" t="e">
        <f t="shared" si="413"/>
        <v>#DIV/0!</v>
      </c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9"/>
      <c r="BN112" s="100"/>
      <c r="BO112" s="100"/>
      <c r="BP112" s="100"/>
      <c r="BQ112" s="100"/>
    </row>
    <row r="113" spans="1:69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400"/>
      <c r="G113" s="166">
        <v>0</v>
      </c>
      <c r="H113" s="94" t="e">
        <f t="shared" si="359"/>
        <v>#DIV/0!</v>
      </c>
      <c r="I113" s="94" t="e">
        <f t="shared" si="360"/>
        <v>#DIV/0!</v>
      </c>
      <c r="J113" s="96"/>
      <c r="K113" s="96">
        <v>3207</v>
      </c>
      <c r="L113" s="96"/>
      <c r="M113" s="214"/>
      <c r="N113" s="97">
        <f t="shared" ref="N113:P113" si="439">Z113+AC113+AF113+AI113+AL113+AO113+AR113+AU113+AX113+BA113+BD113+BG113</f>
        <v>0</v>
      </c>
      <c r="O113" s="97">
        <f t="shared" si="439"/>
        <v>3207</v>
      </c>
      <c r="P113" s="97">
        <f t="shared" si="439"/>
        <v>0</v>
      </c>
      <c r="Q113" s="97">
        <f t="shared" ref="Q113:S113" si="440">IF(BJ113=0,SUM(Z113+AC113+AF113+AI113+AL113+AO113+AR113+AU113+AX113+BA113+BD113+BG113),BJ113)</f>
        <v>0</v>
      </c>
      <c r="R113" s="97">
        <f t="shared" si="440"/>
        <v>3207</v>
      </c>
      <c r="S113" s="97">
        <f t="shared" si="440"/>
        <v>0</v>
      </c>
      <c r="T113" s="97">
        <f t="shared" si="420"/>
        <v>0</v>
      </c>
      <c r="U113" s="97">
        <f t="shared" si="431"/>
        <v>0</v>
      </c>
      <c r="V113" s="97">
        <f t="shared" si="387"/>
        <v>0</v>
      </c>
      <c r="W113" s="98" t="e">
        <f t="shared" ref="W113:X113" si="441">N113/J113</f>
        <v>#DIV/0!</v>
      </c>
      <c r="X113" s="98">
        <f t="shared" si="441"/>
        <v>1</v>
      </c>
      <c r="Y113" s="98" t="e">
        <f t="shared" si="413"/>
        <v>#DIV/0!</v>
      </c>
      <c r="Z113" s="96"/>
      <c r="AA113" s="96"/>
      <c r="AB113" s="96"/>
      <c r="AC113" s="96"/>
      <c r="AD113" s="96"/>
      <c r="AE113" s="96"/>
      <c r="AF113" s="215"/>
      <c r="AG113" s="96"/>
      <c r="AH113" s="96"/>
      <c r="AI113" s="96"/>
      <c r="AJ113" s="96"/>
      <c r="AK113" s="96"/>
      <c r="AL113" s="96"/>
      <c r="AM113" s="103">
        <v>3207</v>
      </c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9"/>
      <c r="BN113" s="100"/>
      <c r="BO113" s="100"/>
      <c r="BP113" s="100"/>
      <c r="BQ113" s="100"/>
    </row>
    <row r="114" spans="1:69" ht="15.75" customHeight="1">
      <c r="A114" s="216"/>
      <c r="B114" s="216"/>
      <c r="C114" s="217" t="s">
        <v>354</v>
      </c>
      <c r="D114" s="144" t="s">
        <v>355</v>
      </c>
      <c r="E114" s="213"/>
      <c r="F114" s="399"/>
      <c r="G114" s="213"/>
      <c r="H114" s="155" t="e">
        <f t="shared" si="359"/>
        <v>#DIV/0!</v>
      </c>
      <c r="I114" s="155" t="e">
        <f t="shared" si="360"/>
        <v>#DIV/0!</v>
      </c>
      <c r="J114" s="218"/>
      <c r="K114" s="219"/>
      <c r="L114" s="219"/>
      <c r="M114" s="219"/>
      <c r="N114" s="82">
        <f t="shared" ref="N114:P114" si="442">Z114+AC114+AF114+AI114+AL114+AO114+AR114+AU114+AX114+BA114+BD114+BG114</f>
        <v>0</v>
      </c>
      <c r="O114" s="82">
        <f t="shared" si="442"/>
        <v>0</v>
      </c>
      <c r="P114" s="82">
        <f t="shared" si="442"/>
        <v>0</v>
      </c>
      <c r="Q114" s="97">
        <f t="shared" ref="Q114:S114" si="443">IF(BJ114=0,SUM(Z114+AC114+AF114+AI114+AL114+AO114+AR114+AU114+AX114+BA114+BD114+BG114),BJ114)</f>
        <v>0</v>
      </c>
      <c r="R114" s="97">
        <f t="shared" si="443"/>
        <v>0</v>
      </c>
      <c r="S114" s="97">
        <f t="shared" si="443"/>
        <v>0</v>
      </c>
      <c r="T114" s="97">
        <f t="shared" si="420"/>
        <v>0</v>
      </c>
      <c r="U114" s="97">
        <f t="shared" si="431"/>
        <v>0</v>
      </c>
      <c r="V114" s="97">
        <f t="shared" si="387"/>
        <v>0</v>
      </c>
      <c r="W114" s="79" t="e">
        <f t="shared" ref="W114:X114" si="444">N114/J114</f>
        <v>#DIV/0!</v>
      </c>
      <c r="X114" s="79" t="e">
        <f t="shared" si="444"/>
        <v>#DIV/0!</v>
      </c>
      <c r="Y114" s="79" t="e">
        <f t="shared" si="413"/>
        <v>#DIV/0!</v>
      </c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/>
      <c r="BN114" s="221"/>
      <c r="BO114" s="221"/>
      <c r="BP114" s="221"/>
      <c r="BQ114" s="221"/>
    </row>
    <row r="115" spans="1:69" ht="15.75" customHeight="1">
      <c r="A115" s="182"/>
      <c r="B115" s="182"/>
      <c r="C115" s="222"/>
      <c r="D115" s="184" t="s">
        <v>356</v>
      </c>
      <c r="E115" s="186">
        <f t="shared" ref="E115:G115" si="445">SUM(E116:E119)</f>
        <v>23296.54</v>
      </c>
      <c r="F115" s="402">
        <f t="shared" si="445"/>
        <v>26400</v>
      </c>
      <c r="G115" s="186">
        <f t="shared" si="445"/>
        <v>0</v>
      </c>
      <c r="H115" s="223">
        <f t="shared" si="359"/>
        <v>1.133215490368956</v>
      </c>
      <c r="I115" s="223">
        <f t="shared" si="360"/>
        <v>0</v>
      </c>
      <c r="J115" s="186">
        <f t="shared" ref="J115:K115" si="446">SUM(J116:J119)</f>
        <v>26400</v>
      </c>
      <c r="K115" s="186">
        <f t="shared" si="446"/>
        <v>0</v>
      </c>
      <c r="L115" s="186"/>
      <c r="M115" s="186">
        <f t="shared" ref="M115:P115" si="447">SUM(M116:M119)</f>
        <v>0</v>
      </c>
      <c r="N115" s="186">
        <f t="shared" si="447"/>
        <v>0</v>
      </c>
      <c r="O115" s="186">
        <f t="shared" si="447"/>
        <v>0</v>
      </c>
      <c r="P115" s="186">
        <f t="shared" si="447"/>
        <v>0</v>
      </c>
      <c r="Q115" s="186">
        <f t="shared" ref="Q115:S115" si="448">IF(BJ115=0,SUM(Z115+AC115+AF115+AI115+AL115+AO115+AR115+AU115+AX115+BA115+BD115+BG115),BJ115)</f>
        <v>0</v>
      </c>
      <c r="R115" s="186">
        <f t="shared" si="448"/>
        <v>0</v>
      </c>
      <c r="S115" s="186">
        <f t="shared" si="448"/>
        <v>0</v>
      </c>
      <c r="T115" s="186">
        <f t="shared" ref="T115:V115" si="449">SUM(T116:T119)</f>
        <v>26400</v>
      </c>
      <c r="U115" s="186">
        <f t="shared" si="449"/>
        <v>0</v>
      </c>
      <c r="V115" s="186">
        <f t="shared" si="449"/>
        <v>0</v>
      </c>
      <c r="W115" s="189">
        <f t="shared" ref="W115:X115" si="450">N115/J115</f>
        <v>0</v>
      </c>
      <c r="X115" s="189" t="e">
        <f t="shared" si="450"/>
        <v>#DIV/0!</v>
      </c>
      <c r="Y115" s="189" t="e">
        <f t="shared" si="413"/>
        <v>#DIV/0!</v>
      </c>
      <c r="Z115" s="186">
        <f t="shared" ref="Z115:BL115" si="451">SUM(Z116:Z119)</f>
        <v>0</v>
      </c>
      <c r="AA115" s="186">
        <f t="shared" si="451"/>
        <v>0</v>
      </c>
      <c r="AB115" s="186">
        <f t="shared" si="451"/>
        <v>0</v>
      </c>
      <c r="AC115" s="186">
        <f t="shared" si="451"/>
        <v>0</v>
      </c>
      <c r="AD115" s="186">
        <f t="shared" si="451"/>
        <v>0</v>
      </c>
      <c r="AE115" s="186">
        <f t="shared" si="451"/>
        <v>0</v>
      </c>
      <c r="AF115" s="186">
        <f t="shared" si="451"/>
        <v>0</v>
      </c>
      <c r="AG115" s="186">
        <f t="shared" si="451"/>
        <v>0</v>
      </c>
      <c r="AH115" s="186">
        <f t="shared" si="451"/>
        <v>0</v>
      </c>
      <c r="AI115" s="186">
        <f t="shared" si="451"/>
        <v>0</v>
      </c>
      <c r="AJ115" s="186">
        <f t="shared" si="451"/>
        <v>0</v>
      </c>
      <c r="AK115" s="186">
        <f t="shared" si="451"/>
        <v>0</v>
      </c>
      <c r="AL115" s="186">
        <f t="shared" si="451"/>
        <v>0</v>
      </c>
      <c r="AM115" s="186">
        <f t="shared" si="451"/>
        <v>0</v>
      </c>
      <c r="AN115" s="186">
        <f t="shared" si="451"/>
        <v>0</v>
      </c>
      <c r="AO115" s="186">
        <f t="shared" si="451"/>
        <v>0</v>
      </c>
      <c r="AP115" s="186">
        <f t="shared" si="451"/>
        <v>0</v>
      </c>
      <c r="AQ115" s="186">
        <f t="shared" si="451"/>
        <v>0</v>
      </c>
      <c r="AR115" s="186">
        <f t="shared" si="451"/>
        <v>0</v>
      </c>
      <c r="AS115" s="186">
        <f t="shared" si="451"/>
        <v>0</v>
      </c>
      <c r="AT115" s="186">
        <f t="shared" si="451"/>
        <v>0</v>
      </c>
      <c r="AU115" s="186">
        <f t="shared" si="451"/>
        <v>0</v>
      </c>
      <c r="AV115" s="186">
        <f t="shared" si="451"/>
        <v>0</v>
      </c>
      <c r="AW115" s="186">
        <f t="shared" si="451"/>
        <v>0</v>
      </c>
      <c r="AX115" s="186">
        <f t="shared" si="451"/>
        <v>0</v>
      </c>
      <c r="AY115" s="186">
        <f t="shared" si="451"/>
        <v>0</v>
      </c>
      <c r="AZ115" s="186">
        <f t="shared" si="451"/>
        <v>0</v>
      </c>
      <c r="BA115" s="186">
        <f t="shared" si="451"/>
        <v>0</v>
      </c>
      <c r="BB115" s="186">
        <f t="shared" si="451"/>
        <v>0</v>
      </c>
      <c r="BC115" s="186">
        <f t="shared" si="451"/>
        <v>0</v>
      </c>
      <c r="BD115" s="186">
        <f t="shared" si="451"/>
        <v>0</v>
      </c>
      <c r="BE115" s="186">
        <f t="shared" si="451"/>
        <v>0</v>
      </c>
      <c r="BF115" s="186">
        <f t="shared" si="451"/>
        <v>0</v>
      </c>
      <c r="BG115" s="186">
        <f t="shared" si="451"/>
        <v>0</v>
      </c>
      <c r="BH115" s="186">
        <f t="shared" si="451"/>
        <v>0</v>
      </c>
      <c r="BI115" s="186">
        <f t="shared" si="451"/>
        <v>0</v>
      </c>
      <c r="BJ115" s="186">
        <f t="shared" si="451"/>
        <v>0</v>
      </c>
      <c r="BK115" s="186">
        <f t="shared" si="451"/>
        <v>0</v>
      </c>
      <c r="BL115" s="186">
        <f t="shared" si="451"/>
        <v>0</v>
      </c>
      <c r="BM115" s="157"/>
      <c r="BN115" s="158"/>
      <c r="BO115" s="158"/>
      <c r="BP115" s="158"/>
      <c r="BQ115" s="158"/>
    </row>
    <row r="116" spans="1:69" ht="15.75" customHeight="1">
      <c r="A116" s="354" t="s">
        <v>667</v>
      </c>
      <c r="B116" s="89"/>
      <c r="C116" s="90" t="s">
        <v>357</v>
      </c>
      <c r="D116" s="91" t="s">
        <v>358</v>
      </c>
      <c r="E116" s="194">
        <v>18000</v>
      </c>
      <c r="F116" s="408">
        <v>26400</v>
      </c>
      <c r="G116" s="166"/>
      <c r="H116" s="94">
        <f t="shared" si="359"/>
        <v>1.4666666666666666</v>
      </c>
      <c r="I116" s="94">
        <f t="shared" si="360"/>
        <v>0</v>
      </c>
      <c r="J116" s="367">
        <v>26400</v>
      </c>
      <c r="K116" s="96"/>
      <c r="L116" s="96"/>
      <c r="M116" s="95"/>
      <c r="N116" s="97">
        <f t="shared" ref="N116:P116" si="452">Z116+AC116+AF116+AI116+AL116+AO116+AR116+AU116+AX116+BA116+BD116+BG116</f>
        <v>0</v>
      </c>
      <c r="O116" s="97">
        <f t="shared" si="452"/>
        <v>0</v>
      </c>
      <c r="P116" s="97">
        <f t="shared" si="452"/>
        <v>0</v>
      </c>
      <c r="Q116" s="97">
        <f t="shared" ref="Q116:S116" si="453">IF(BJ116=0,SUM(Z116+AC116+AF116+AI116+AL116+AO116+AR116+AU116+AX116+BA116+BD116+BG116),BJ116)</f>
        <v>0</v>
      </c>
      <c r="R116" s="97">
        <f t="shared" si="453"/>
        <v>0</v>
      </c>
      <c r="S116" s="97">
        <f t="shared" si="453"/>
        <v>0</v>
      </c>
      <c r="T116" s="97">
        <f t="shared" ref="T116:U116" si="454">J116-N116</f>
        <v>26400</v>
      </c>
      <c r="U116" s="97">
        <f t="shared" si="454"/>
        <v>0</v>
      </c>
      <c r="V116" s="97">
        <f t="shared" ref="V116:V119" si="455">M116-P116</f>
        <v>0</v>
      </c>
      <c r="W116" s="98">
        <f t="shared" ref="W116:X116" si="456">N116/J116</f>
        <v>0</v>
      </c>
      <c r="X116" s="98" t="e">
        <f t="shared" si="456"/>
        <v>#DIV/0!</v>
      </c>
      <c r="Y116" s="98" t="e">
        <f t="shared" si="413"/>
        <v>#DIV/0!</v>
      </c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103">
        <v>0</v>
      </c>
      <c r="BH116" s="96"/>
      <c r="BI116" s="96"/>
      <c r="BJ116" s="96"/>
      <c r="BK116" s="96"/>
      <c r="BL116" s="96"/>
      <c r="BM116" s="99"/>
      <c r="BN116" s="100"/>
      <c r="BO116" s="100"/>
      <c r="BP116" s="100"/>
      <c r="BQ116" s="100"/>
    </row>
    <row r="117" spans="1:69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400"/>
      <c r="G117" s="166"/>
      <c r="H117" s="94">
        <f t="shared" si="359"/>
        <v>0</v>
      </c>
      <c r="I117" s="94">
        <f t="shared" si="360"/>
        <v>0</v>
      </c>
      <c r="J117" s="96"/>
      <c r="K117" s="96"/>
      <c r="L117" s="96"/>
      <c r="M117" s="95"/>
      <c r="N117" s="97">
        <f t="shared" ref="N117:P117" si="457">Z117+AC117+AF117+AI117+AL117+AO117+AR117+AU117+AX117+BA117+BD117+BG117</f>
        <v>0</v>
      </c>
      <c r="O117" s="97">
        <f t="shared" si="457"/>
        <v>0</v>
      </c>
      <c r="P117" s="97">
        <f t="shared" si="457"/>
        <v>0</v>
      </c>
      <c r="Q117" s="97">
        <f t="shared" ref="Q117:S117" si="458">IF(BJ117=0,SUM(Z117+AC117+AF117+AI117+AL117+AO117+AR117+AU117+AX117+BA117+BD117+BG117),BJ117)</f>
        <v>0</v>
      </c>
      <c r="R117" s="97">
        <f t="shared" si="458"/>
        <v>0</v>
      </c>
      <c r="S117" s="97">
        <f t="shared" si="458"/>
        <v>0</v>
      </c>
      <c r="T117" s="97">
        <f t="shared" ref="T117:U117" si="459">J117-N117</f>
        <v>0</v>
      </c>
      <c r="U117" s="97">
        <f t="shared" si="459"/>
        <v>0</v>
      </c>
      <c r="V117" s="97">
        <f t="shared" si="455"/>
        <v>0</v>
      </c>
      <c r="W117" s="98" t="e">
        <f t="shared" ref="W117:X117" si="460">N117/J117</f>
        <v>#DIV/0!</v>
      </c>
      <c r="X117" s="98" t="e">
        <f t="shared" si="460"/>
        <v>#DIV/0!</v>
      </c>
      <c r="Y117" s="98" t="e">
        <f t="shared" si="413"/>
        <v>#DIV/0!</v>
      </c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9"/>
      <c r="BN117" s="100"/>
      <c r="BO117" s="100"/>
      <c r="BP117" s="100"/>
      <c r="BQ117" s="100"/>
    </row>
    <row r="118" spans="1:69" ht="15.75" customHeight="1">
      <c r="A118" s="89"/>
      <c r="B118" s="89"/>
      <c r="C118" s="90"/>
      <c r="D118" s="91" t="s">
        <v>361</v>
      </c>
      <c r="E118" s="166"/>
      <c r="F118" s="400"/>
      <c r="G118" s="166"/>
      <c r="H118" s="94"/>
      <c r="I118" s="94"/>
      <c r="J118" s="96"/>
      <c r="K118" s="96"/>
      <c r="L118" s="96"/>
      <c r="M118" s="95"/>
      <c r="N118" s="97">
        <f t="shared" ref="N118:P118" si="461">Z118+AC118+AF118+AI118+AL118+AO118+AR118+AU118+AX118+BA118+BD118+BG118</f>
        <v>0</v>
      </c>
      <c r="O118" s="97">
        <f t="shared" si="461"/>
        <v>0</v>
      </c>
      <c r="P118" s="97">
        <f t="shared" si="461"/>
        <v>0</v>
      </c>
      <c r="Q118" s="97">
        <f t="shared" ref="Q118:S118" si="462">IF(BJ118=0,SUM(Z118+AC118+AF118+AI118+AL118+AO118+AR118+AU118+AX118+BA118+BD118+BG118),BJ118)</f>
        <v>0</v>
      </c>
      <c r="R118" s="97">
        <f t="shared" si="462"/>
        <v>0</v>
      </c>
      <c r="S118" s="97">
        <f t="shared" si="462"/>
        <v>0</v>
      </c>
      <c r="T118" s="97">
        <f t="shared" ref="T118:U118" si="463">J118-N118</f>
        <v>0</v>
      </c>
      <c r="U118" s="97">
        <f t="shared" si="463"/>
        <v>0</v>
      </c>
      <c r="V118" s="97">
        <f t="shared" si="455"/>
        <v>0</v>
      </c>
      <c r="W118" s="98" t="e">
        <f t="shared" ref="W118:W128" si="464">N118/J118</f>
        <v>#DIV/0!</v>
      </c>
      <c r="X118" s="98"/>
      <c r="Y118" s="98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9"/>
      <c r="BN118" s="100"/>
      <c r="BO118" s="100"/>
      <c r="BP118" s="100"/>
      <c r="BQ118" s="100"/>
    </row>
    <row r="119" spans="1:69" ht="15.75" customHeight="1">
      <c r="A119" s="89"/>
      <c r="B119" s="89"/>
      <c r="C119" s="90" t="s">
        <v>318</v>
      </c>
      <c r="D119" s="91" t="s">
        <v>362</v>
      </c>
      <c r="E119" s="166"/>
      <c r="F119" s="400"/>
      <c r="G119" s="166"/>
      <c r="H119" s="94" t="e">
        <f>J119/E119</f>
        <v>#DIV/0!</v>
      </c>
      <c r="I119" s="94" t="e">
        <f t="shared" ref="I119:I128" si="465">N119/E119</f>
        <v>#DIV/0!</v>
      </c>
      <c r="J119" s="96"/>
      <c r="K119" s="96"/>
      <c r="L119" s="96"/>
      <c r="M119" s="95"/>
      <c r="N119" s="97">
        <f t="shared" ref="N119:P119" si="466">Z119+AC119+AF119+AI119+AL119+AO119+AR119+AU119+AX119+BA119+BD119+BG119</f>
        <v>0</v>
      </c>
      <c r="O119" s="97">
        <f t="shared" si="466"/>
        <v>0</v>
      </c>
      <c r="P119" s="97">
        <f t="shared" si="466"/>
        <v>0</v>
      </c>
      <c r="Q119" s="97">
        <f t="shared" ref="Q119:S119" si="467">IF(BJ119=0,SUM(Z119+AC119+AF119+AI119+AL119+AO119+AR119+AU119+AX119+BA119+BD119+BG119),BJ119)</f>
        <v>0</v>
      </c>
      <c r="R119" s="97">
        <f t="shared" si="467"/>
        <v>0</v>
      </c>
      <c r="S119" s="97">
        <f t="shared" si="467"/>
        <v>0</v>
      </c>
      <c r="T119" s="97">
        <f t="shared" ref="T119:U119" si="468">J119-N119</f>
        <v>0</v>
      </c>
      <c r="U119" s="97">
        <f t="shared" si="468"/>
        <v>0</v>
      </c>
      <c r="V119" s="97">
        <f t="shared" si="455"/>
        <v>0</v>
      </c>
      <c r="W119" s="98" t="e">
        <f t="shared" si="464"/>
        <v>#DIV/0!</v>
      </c>
      <c r="X119" s="98" t="e">
        <f t="shared" ref="X119:X128" si="469">O119/K119</f>
        <v>#DIV/0!</v>
      </c>
      <c r="Y119" s="98" t="e">
        <f t="shared" ref="Y119:Y128" si="470">P119/M119</f>
        <v>#DIV/0!</v>
      </c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9"/>
      <c r="BN119" s="100"/>
      <c r="BO119" s="100"/>
      <c r="BP119" s="100"/>
      <c r="BQ119" s="100"/>
    </row>
    <row r="120" spans="1:69" ht="15.75" customHeight="1">
      <c r="A120" s="182"/>
      <c r="B120" s="182"/>
      <c r="C120" s="222"/>
      <c r="D120" s="224" t="s">
        <v>363</v>
      </c>
      <c r="E120" s="186">
        <f t="shared" ref="E120:H120" si="471">E121+E131+E137+E141</f>
        <v>152177.47999999998</v>
      </c>
      <c r="F120" s="402">
        <f t="shared" si="471"/>
        <v>157177.47999999998</v>
      </c>
      <c r="G120" s="186">
        <f t="shared" si="471"/>
        <v>1173964.47</v>
      </c>
      <c r="H120" s="225" t="e">
        <f t="shared" si="471"/>
        <v>#DIV/0!</v>
      </c>
      <c r="I120" s="223">
        <f t="shared" si="465"/>
        <v>0.89360212825182816</v>
      </c>
      <c r="J120" s="186">
        <f t="shared" ref="J120:V120" si="472">J121+J131+J137+J141</f>
        <v>689037.1</v>
      </c>
      <c r="K120" s="186">
        <f t="shared" si="472"/>
        <v>665873.97</v>
      </c>
      <c r="L120" s="186">
        <f t="shared" si="472"/>
        <v>5199.4000000000005</v>
      </c>
      <c r="M120" s="186">
        <f t="shared" si="472"/>
        <v>0</v>
      </c>
      <c r="N120" s="186">
        <f t="shared" si="472"/>
        <v>135986.12</v>
      </c>
      <c r="O120" s="186">
        <f t="shared" si="472"/>
        <v>457601.64</v>
      </c>
      <c r="P120" s="186">
        <f t="shared" si="472"/>
        <v>0</v>
      </c>
      <c r="Q120" s="186">
        <f t="shared" si="472"/>
        <v>135986.12</v>
      </c>
      <c r="R120" s="186">
        <f t="shared" si="472"/>
        <v>457601.64</v>
      </c>
      <c r="S120" s="186">
        <f t="shared" si="472"/>
        <v>0</v>
      </c>
      <c r="T120" s="186">
        <f t="shared" si="472"/>
        <v>553050.98</v>
      </c>
      <c r="U120" s="186">
        <f t="shared" si="472"/>
        <v>203072.93</v>
      </c>
      <c r="V120" s="186">
        <f t="shared" si="472"/>
        <v>0</v>
      </c>
      <c r="W120" s="189">
        <f t="shared" si="464"/>
        <v>0.19735674610264092</v>
      </c>
      <c r="X120" s="189">
        <f t="shared" si="469"/>
        <v>0.6872195950233646</v>
      </c>
      <c r="Y120" s="189" t="e">
        <f t="shared" si="470"/>
        <v>#DIV/0!</v>
      </c>
      <c r="Z120" s="186">
        <f t="shared" ref="Z120:BL120" si="473">Z121+Z131+Z137+Z141</f>
        <v>0</v>
      </c>
      <c r="AA120" s="186">
        <f t="shared" si="473"/>
        <v>0</v>
      </c>
      <c r="AB120" s="186">
        <f t="shared" si="473"/>
        <v>0</v>
      </c>
      <c r="AC120" s="186">
        <f t="shared" si="473"/>
        <v>0</v>
      </c>
      <c r="AD120" s="186">
        <f t="shared" si="473"/>
        <v>61206.74</v>
      </c>
      <c r="AE120" s="186">
        <f t="shared" si="473"/>
        <v>0</v>
      </c>
      <c r="AF120" s="186">
        <f t="shared" si="473"/>
        <v>0</v>
      </c>
      <c r="AG120" s="186">
        <f t="shared" si="473"/>
        <v>63661.509999999995</v>
      </c>
      <c r="AH120" s="186">
        <f t="shared" si="473"/>
        <v>0</v>
      </c>
      <c r="AI120" s="186">
        <f t="shared" si="473"/>
        <v>0</v>
      </c>
      <c r="AJ120" s="186">
        <f t="shared" si="473"/>
        <v>166468.45000000001</v>
      </c>
      <c r="AK120" s="186">
        <f t="shared" si="473"/>
        <v>0</v>
      </c>
      <c r="AL120" s="186">
        <f t="shared" si="473"/>
        <v>0</v>
      </c>
      <c r="AM120" s="186">
        <f t="shared" si="473"/>
        <v>51200.4</v>
      </c>
      <c r="AN120" s="186">
        <f t="shared" si="473"/>
        <v>0</v>
      </c>
      <c r="AO120" s="186">
        <f t="shared" si="473"/>
        <v>31870.57</v>
      </c>
      <c r="AP120" s="186">
        <f t="shared" si="473"/>
        <v>100282.97</v>
      </c>
      <c r="AQ120" s="186">
        <f t="shared" si="473"/>
        <v>0</v>
      </c>
      <c r="AR120" s="186">
        <f t="shared" si="473"/>
        <v>104115.55</v>
      </c>
      <c r="AS120" s="186">
        <f t="shared" si="473"/>
        <v>14781.57</v>
      </c>
      <c r="AT120" s="186">
        <f t="shared" si="473"/>
        <v>0</v>
      </c>
      <c r="AU120" s="186">
        <f t="shared" si="473"/>
        <v>0</v>
      </c>
      <c r="AV120" s="186">
        <f t="shared" si="473"/>
        <v>0</v>
      </c>
      <c r="AW120" s="186">
        <f t="shared" si="473"/>
        <v>0</v>
      </c>
      <c r="AX120" s="186">
        <f t="shared" si="473"/>
        <v>0</v>
      </c>
      <c r="AY120" s="186">
        <f t="shared" si="473"/>
        <v>0</v>
      </c>
      <c r="AZ120" s="186">
        <f t="shared" si="473"/>
        <v>0</v>
      </c>
      <c r="BA120" s="186">
        <f t="shared" si="473"/>
        <v>0</v>
      </c>
      <c r="BB120" s="186">
        <f t="shared" si="473"/>
        <v>0</v>
      </c>
      <c r="BC120" s="186">
        <f t="shared" si="473"/>
        <v>0</v>
      </c>
      <c r="BD120" s="186">
        <f t="shared" si="473"/>
        <v>0</v>
      </c>
      <c r="BE120" s="186">
        <f t="shared" si="473"/>
        <v>0</v>
      </c>
      <c r="BF120" s="186">
        <f t="shared" si="473"/>
        <v>0</v>
      </c>
      <c r="BG120" s="186">
        <f t="shared" si="473"/>
        <v>0</v>
      </c>
      <c r="BH120" s="186">
        <f t="shared" si="473"/>
        <v>0</v>
      </c>
      <c r="BI120" s="186">
        <f t="shared" si="473"/>
        <v>0</v>
      </c>
      <c r="BJ120" s="186">
        <f t="shared" si="473"/>
        <v>0</v>
      </c>
      <c r="BK120" s="186">
        <f t="shared" si="473"/>
        <v>0</v>
      </c>
      <c r="BL120" s="186">
        <f t="shared" si="473"/>
        <v>0</v>
      </c>
      <c r="BM120" s="226"/>
      <c r="BN120" s="227"/>
      <c r="BO120" s="227"/>
      <c r="BP120" s="227"/>
      <c r="BQ120" s="227"/>
    </row>
    <row r="121" spans="1:69" ht="15.75" customHeight="1">
      <c r="A121" s="228"/>
      <c r="B121" s="228"/>
      <c r="C121" s="229"/>
      <c r="D121" s="230" t="s">
        <v>364</v>
      </c>
      <c r="E121" s="231">
        <f>SUM(E122:E130)</f>
        <v>152177.47999999998</v>
      </c>
      <c r="F121" s="409">
        <f>SUM(F122:F159)</f>
        <v>157177.47999999998</v>
      </c>
      <c r="G121" s="231">
        <f>SUM(G122:G130)</f>
        <v>0</v>
      </c>
      <c r="H121" s="187">
        <f t="shared" ref="H121:H128" si="474">J121/E121</f>
        <v>1.3259214175448302</v>
      </c>
      <c r="I121" s="187">
        <f t="shared" si="465"/>
        <v>0</v>
      </c>
      <c r="J121" s="231">
        <f t="shared" ref="J121:P121" si="475">SUM(J122:J130)</f>
        <v>201775.38</v>
      </c>
      <c r="K121" s="231">
        <f t="shared" si="475"/>
        <v>457969.89</v>
      </c>
      <c r="L121" s="231">
        <f t="shared" si="475"/>
        <v>5199.4000000000005</v>
      </c>
      <c r="M121" s="231">
        <f t="shared" si="475"/>
        <v>0</v>
      </c>
      <c r="N121" s="231">
        <f t="shared" si="475"/>
        <v>0</v>
      </c>
      <c r="O121" s="231">
        <f t="shared" si="475"/>
        <v>249697.56</v>
      </c>
      <c r="P121" s="231">
        <f t="shared" si="475"/>
        <v>0</v>
      </c>
      <c r="Q121" s="232">
        <f t="shared" ref="Q121:S121" si="476">IF(BJ121=0,SUM(Z121+AC121+AF121+AI121+AL121+AO121+AR121+AU121+AX121+BA121+BD121+BG121),BJ121)</f>
        <v>0</v>
      </c>
      <c r="R121" s="232">
        <f t="shared" si="476"/>
        <v>249697.56</v>
      </c>
      <c r="S121" s="232">
        <f t="shared" si="476"/>
        <v>0</v>
      </c>
      <c r="T121" s="231">
        <f t="shared" ref="T121:V121" si="477">SUM(T122:T130)</f>
        <v>201775.38</v>
      </c>
      <c r="U121" s="231">
        <f t="shared" si="477"/>
        <v>203072.93</v>
      </c>
      <c r="V121" s="231">
        <f t="shared" si="477"/>
        <v>0</v>
      </c>
      <c r="W121" s="188">
        <f t="shared" si="464"/>
        <v>0</v>
      </c>
      <c r="X121" s="188">
        <f t="shared" si="469"/>
        <v>0.54522702354951758</v>
      </c>
      <c r="Y121" s="188" t="e">
        <f t="shared" si="470"/>
        <v>#DIV/0!</v>
      </c>
      <c r="Z121" s="231">
        <f t="shared" ref="Z121:BL121" si="478">SUM(Z122:Z130)</f>
        <v>0</v>
      </c>
      <c r="AA121" s="231">
        <f t="shared" si="478"/>
        <v>0</v>
      </c>
      <c r="AB121" s="231">
        <f t="shared" si="478"/>
        <v>0</v>
      </c>
      <c r="AC121" s="231">
        <f t="shared" si="478"/>
        <v>0</v>
      </c>
      <c r="AD121" s="231">
        <f t="shared" si="478"/>
        <v>61206.74</v>
      </c>
      <c r="AE121" s="231">
        <f t="shared" si="478"/>
        <v>0</v>
      </c>
      <c r="AF121" s="231">
        <f t="shared" si="478"/>
        <v>0</v>
      </c>
      <c r="AG121" s="231">
        <f t="shared" si="478"/>
        <v>0</v>
      </c>
      <c r="AH121" s="231">
        <f t="shared" si="478"/>
        <v>0</v>
      </c>
      <c r="AI121" s="231">
        <f t="shared" si="478"/>
        <v>0</v>
      </c>
      <c r="AJ121" s="231">
        <f t="shared" si="478"/>
        <v>95054.76</v>
      </c>
      <c r="AK121" s="231">
        <f t="shared" si="478"/>
        <v>0</v>
      </c>
      <c r="AL121" s="231">
        <f t="shared" si="478"/>
        <v>0</v>
      </c>
      <c r="AM121" s="231">
        <f t="shared" si="478"/>
        <v>21848.15</v>
      </c>
      <c r="AN121" s="231">
        <f t="shared" si="478"/>
        <v>0</v>
      </c>
      <c r="AO121" s="231">
        <f t="shared" si="478"/>
        <v>0</v>
      </c>
      <c r="AP121" s="231">
        <f t="shared" si="478"/>
        <v>56806.34</v>
      </c>
      <c r="AQ121" s="231">
        <f t="shared" si="478"/>
        <v>0</v>
      </c>
      <c r="AR121" s="231">
        <f t="shared" si="478"/>
        <v>0</v>
      </c>
      <c r="AS121" s="231">
        <f t="shared" si="478"/>
        <v>14781.57</v>
      </c>
      <c r="AT121" s="231">
        <f t="shared" si="478"/>
        <v>0</v>
      </c>
      <c r="AU121" s="231">
        <f t="shared" si="478"/>
        <v>0</v>
      </c>
      <c r="AV121" s="231">
        <f t="shared" si="478"/>
        <v>0</v>
      </c>
      <c r="AW121" s="231">
        <f t="shared" si="478"/>
        <v>0</v>
      </c>
      <c r="AX121" s="231">
        <f t="shared" si="478"/>
        <v>0</v>
      </c>
      <c r="AY121" s="231">
        <f t="shared" si="478"/>
        <v>0</v>
      </c>
      <c r="AZ121" s="231">
        <f t="shared" si="478"/>
        <v>0</v>
      </c>
      <c r="BA121" s="231">
        <f t="shared" si="478"/>
        <v>0</v>
      </c>
      <c r="BB121" s="231">
        <f t="shared" si="478"/>
        <v>0</v>
      </c>
      <c r="BC121" s="231">
        <f t="shared" si="478"/>
        <v>0</v>
      </c>
      <c r="BD121" s="231">
        <f t="shared" si="478"/>
        <v>0</v>
      </c>
      <c r="BE121" s="231">
        <f t="shared" si="478"/>
        <v>0</v>
      </c>
      <c r="BF121" s="231">
        <f t="shared" si="478"/>
        <v>0</v>
      </c>
      <c r="BG121" s="231">
        <f t="shared" si="478"/>
        <v>0</v>
      </c>
      <c r="BH121" s="231">
        <f t="shared" si="478"/>
        <v>0</v>
      </c>
      <c r="BI121" s="231">
        <f t="shared" si="478"/>
        <v>0</v>
      </c>
      <c r="BJ121" s="231">
        <f t="shared" si="478"/>
        <v>0</v>
      </c>
      <c r="BK121" s="231">
        <f t="shared" si="478"/>
        <v>0</v>
      </c>
      <c r="BL121" s="231">
        <f t="shared" si="478"/>
        <v>0</v>
      </c>
      <c r="BM121" s="233"/>
      <c r="BN121" s="234"/>
      <c r="BO121" s="234"/>
      <c r="BP121" s="234"/>
      <c r="BQ121" s="234"/>
    </row>
    <row r="122" spans="1:69" ht="15.75" customHeight="1">
      <c r="A122" s="360" t="s">
        <v>723</v>
      </c>
      <c r="B122" s="111"/>
      <c r="C122" s="90" t="s">
        <v>365</v>
      </c>
      <c r="D122" s="91" t="s">
        <v>143</v>
      </c>
      <c r="E122" s="194">
        <v>116482.68</v>
      </c>
      <c r="F122" s="400">
        <f>E122</f>
        <v>116482.68</v>
      </c>
      <c r="G122" s="166"/>
      <c r="H122" s="94">
        <f t="shared" si="474"/>
        <v>1.7322350412954099</v>
      </c>
      <c r="I122" s="94">
        <f t="shared" si="465"/>
        <v>0</v>
      </c>
      <c r="J122" s="103">
        <v>201775.38</v>
      </c>
      <c r="K122" s="96"/>
      <c r="L122" s="96"/>
      <c r="M122" s="96"/>
      <c r="N122" s="97">
        <f t="shared" ref="N122:P122" si="479">Z122+AC122+AF122+AI122+AL122+AO122+AR122+AU122+AX122+BA122+BD122+BG122</f>
        <v>0</v>
      </c>
      <c r="O122" s="97">
        <f t="shared" si="479"/>
        <v>0</v>
      </c>
      <c r="P122" s="97">
        <f t="shared" si="479"/>
        <v>0</v>
      </c>
      <c r="Q122" s="97">
        <f t="shared" ref="Q122:S122" si="480">IF(BJ122=0,SUM(Z122+AC122+AF122+AI122+AL122+AO122+AR122+AU122+AX122+BA122+BD122+BG122),BJ122)</f>
        <v>0</v>
      </c>
      <c r="R122" s="97">
        <f t="shared" si="480"/>
        <v>0</v>
      </c>
      <c r="S122" s="97">
        <f t="shared" si="480"/>
        <v>0</v>
      </c>
      <c r="T122" s="97">
        <f t="shared" ref="T122:T130" si="481">J122-N122</f>
        <v>201775.38</v>
      </c>
      <c r="U122" s="97">
        <f t="shared" ref="U122:U125" si="482">K122-O122-O122</f>
        <v>0</v>
      </c>
      <c r="V122" s="97">
        <f t="shared" ref="V122:V130" si="483">M122-P122</f>
        <v>0</v>
      </c>
      <c r="W122" s="94">
        <f t="shared" si="464"/>
        <v>0</v>
      </c>
      <c r="X122" s="94" t="e">
        <f t="shared" si="469"/>
        <v>#DIV/0!</v>
      </c>
      <c r="Y122" s="94" t="e">
        <f t="shared" si="470"/>
        <v>#DIV/0!</v>
      </c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119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9"/>
      <c r="BN122" s="100"/>
      <c r="BO122" s="100"/>
      <c r="BP122" s="100"/>
      <c r="BQ122" s="100"/>
    </row>
    <row r="123" spans="1:69" ht="15.75" customHeight="1">
      <c r="A123" s="111"/>
      <c r="B123" s="111"/>
      <c r="C123" s="90" t="s">
        <v>318</v>
      </c>
      <c r="D123" s="91" t="s">
        <v>366</v>
      </c>
      <c r="E123" s="166"/>
      <c r="F123" s="400"/>
      <c r="G123" s="166"/>
      <c r="H123" s="94" t="e">
        <f t="shared" si="474"/>
        <v>#DIV/0!</v>
      </c>
      <c r="I123" s="94" t="e">
        <f t="shared" si="465"/>
        <v>#DIV/0!</v>
      </c>
      <c r="J123" s="96"/>
      <c r="K123" s="96"/>
      <c r="L123" s="96"/>
      <c r="M123" s="96"/>
      <c r="N123" s="97">
        <f t="shared" ref="N123:P123" si="484">Z123+AC123+AF123+AI123+AL123+AO123+AR123+AU123+AX123+BA123+BD123+BG123</f>
        <v>0</v>
      </c>
      <c r="O123" s="97">
        <f t="shared" si="484"/>
        <v>0</v>
      </c>
      <c r="P123" s="97">
        <f t="shared" si="484"/>
        <v>0</v>
      </c>
      <c r="Q123" s="97">
        <f t="shared" ref="Q123:S123" si="485">IF(BJ123=0,SUM(Z123+AC123+AF123+AI123+AL123+AO123+AR123+AU123+AX123+BA123+BD123+BG123),BJ123)</f>
        <v>0</v>
      </c>
      <c r="R123" s="97">
        <f t="shared" si="485"/>
        <v>0</v>
      </c>
      <c r="S123" s="97">
        <f t="shared" si="485"/>
        <v>0</v>
      </c>
      <c r="T123" s="97">
        <f t="shared" si="481"/>
        <v>0</v>
      </c>
      <c r="U123" s="97">
        <f t="shared" si="482"/>
        <v>0</v>
      </c>
      <c r="V123" s="97">
        <f t="shared" si="483"/>
        <v>0</v>
      </c>
      <c r="W123" s="94" t="e">
        <f t="shared" si="464"/>
        <v>#DIV/0!</v>
      </c>
      <c r="X123" s="94" t="e">
        <f t="shared" si="469"/>
        <v>#DIV/0!</v>
      </c>
      <c r="Y123" s="94" t="e">
        <f t="shared" si="470"/>
        <v>#DIV/0!</v>
      </c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119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9"/>
      <c r="BN123" s="100"/>
      <c r="BO123" s="100"/>
      <c r="BP123" s="100"/>
      <c r="BQ123" s="100"/>
    </row>
    <row r="124" spans="1:69" ht="15.75" customHeight="1">
      <c r="A124" s="111"/>
      <c r="B124" s="111"/>
      <c r="C124" s="90" t="s">
        <v>367</v>
      </c>
      <c r="D124" s="91" t="s">
        <v>368</v>
      </c>
      <c r="E124" s="166"/>
      <c r="F124" s="400"/>
      <c r="G124" s="166"/>
      <c r="H124" s="94" t="e">
        <f t="shared" si="474"/>
        <v>#DIV/0!</v>
      </c>
      <c r="I124" s="94" t="e">
        <f t="shared" si="465"/>
        <v>#DIV/0!</v>
      </c>
      <c r="J124" s="96"/>
      <c r="K124" s="96"/>
      <c r="L124" s="96"/>
      <c r="M124" s="96"/>
      <c r="N124" s="97">
        <f t="shared" ref="N124:P124" si="486">Z124+AC124+AF124+AI124+AL124+AO124+AR124+AU124+AX124+BA124+BD124+BG124</f>
        <v>0</v>
      </c>
      <c r="O124" s="97">
        <f t="shared" si="486"/>
        <v>0</v>
      </c>
      <c r="P124" s="97">
        <f t="shared" si="486"/>
        <v>0</v>
      </c>
      <c r="Q124" s="97">
        <f t="shared" ref="Q124:S124" si="487">IF(BJ124=0,SUM(Z124+AC124+AF124+AI124+AL124+AO124+AR124+AU124+AX124+BA124+BD124+BG124),BJ124)</f>
        <v>0</v>
      </c>
      <c r="R124" s="97">
        <f t="shared" si="487"/>
        <v>0</v>
      </c>
      <c r="S124" s="97">
        <f t="shared" si="487"/>
        <v>0</v>
      </c>
      <c r="T124" s="97">
        <f t="shared" si="481"/>
        <v>0</v>
      </c>
      <c r="U124" s="97">
        <f t="shared" si="482"/>
        <v>0</v>
      </c>
      <c r="V124" s="97">
        <f t="shared" si="483"/>
        <v>0</v>
      </c>
      <c r="W124" s="94" t="e">
        <f t="shared" si="464"/>
        <v>#DIV/0!</v>
      </c>
      <c r="X124" s="94" t="e">
        <f t="shared" si="469"/>
        <v>#DIV/0!</v>
      </c>
      <c r="Y124" s="94" t="e">
        <f t="shared" si="470"/>
        <v>#DIV/0!</v>
      </c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119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9"/>
      <c r="BN124" s="100"/>
      <c r="BO124" s="100"/>
      <c r="BP124" s="100"/>
      <c r="BQ124" s="100"/>
    </row>
    <row r="125" spans="1:69" ht="18" customHeight="1">
      <c r="A125" s="111"/>
      <c r="B125" s="111"/>
      <c r="C125" s="90" t="s">
        <v>161</v>
      </c>
      <c r="D125" s="91" t="s">
        <v>369</v>
      </c>
      <c r="E125" s="166"/>
      <c r="F125" s="400"/>
      <c r="G125" s="166"/>
      <c r="H125" s="94" t="e">
        <f t="shared" si="474"/>
        <v>#DIV/0!</v>
      </c>
      <c r="I125" s="94" t="e">
        <f t="shared" si="465"/>
        <v>#DIV/0!</v>
      </c>
      <c r="J125" s="96"/>
      <c r="K125" s="96"/>
      <c r="L125" s="96"/>
      <c r="M125" s="96"/>
      <c r="N125" s="97">
        <f t="shared" ref="N125:P125" si="488">Z125+AC125+AF125+AI125+AL125+AO125+AR125+AU125+AX125+BA125+BD125+BG125</f>
        <v>0</v>
      </c>
      <c r="O125" s="97">
        <f t="shared" si="488"/>
        <v>0</v>
      </c>
      <c r="P125" s="97">
        <f t="shared" si="488"/>
        <v>0</v>
      </c>
      <c r="Q125" s="97">
        <f t="shared" ref="Q125:S125" si="489">IF(BJ125=0,SUM(Z125+AC125+AF125+AI125+AL125+AO125+AR125+AU125+AX125+BA125+BD125+BG125),BJ125)</f>
        <v>0</v>
      </c>
      <c r="R125" s="97">
        <f t="shared" si="489"/>
        <v>0</v>
      </c>
      <c r="S125" s="97">
        <f t="shared" si="489"/>
        <v>0</v>
      </c>
      <c r="T125" s="97">
        <f t="shared" si="481"/>
        <v>0</v>
      </c>
      <c r="U125" s="97">
        <f t="shared" si="482"/>
        <v>0</v>
      </c>
      <c r="V125" s="97">
        <f t="shared" si="483"/>
        <v>0</v>
      </c>
      <c r="W125" s="94" t="e">
        <f t="shared" si="464"/>
        <v>#DIV/0!</v>
      </c>
      <c r="X125" s="94" t="e">
        <f t="shared" si="469"/>
        <v>#DIV/0!</v>
      </c>
      <c r="Y125" s="94" t="e">
        <f t="shared" si="470"/>
        <v>#DIV/0!</v>
      </c>
      <c r="Z125" s="96"/>
      <c r="AA125" s="103">
        <v>0</v>
      </c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119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9"/>
      <c r="BN125" s="100"/>
      <c r="BO125" s="100"/>
      <c r="BP125" s="100"/>
      <c r="BQ125" s="100"/>
    </row>
    <row r="126" spans="1:69" ht="15.75" customHeight="1">
      <c r="A126" s="111"/>
      <c r="B126" s="143" t="s">
        <v>370</v>
      </c>
      <c r="C126" s="90" t="s">
        <v>161</v>
      </c>
      <c r="D126" s="91" t="s">
        <v>849</v>
      </c>
      <c r="E126" s="166"/>
      <c r="F126" s="400"/>
      <c r="G126" s="166"/>
      <c r="H126" s="94" t="e">
        <f t="shared" si="474"/>
        <v>#DIV/0!</v>
      </c>
      <c r="I126" s="94" t="e">
        <f t="shared" si="465"/>
        <v>#DIV/0!</v>
      </c>
      <c r="J126" s="96"/>
      <c r="K126" s="235">
        <f t="shared" ref="K126:L126" si="490">2187.61+388.49+200+59.9+14.5+358.9+1990</f>
        <v>5199.4000000000005</v>
      </c>
      <c r="L126" s="135">
        <f t="shared" si="490"/>
        <v>5199.4000000000005</v>
      </c>
      <c r="M126" s="96"/>
      <c r="N126" s="97">
        <f t="shared" ref="N126:P126" si="491">Z126+AC126+AF126+AI126+AL126+AO126+AR126+AU126+AX126+BA126+BD126+BG126</f>
        <v>0</v>
      </c>
      <c r="O126" s="97">
        <f t="shared" si="491"/>
        <v>0</v>
      </c>
      <c r="P126" s="97">
        <f t="shared" si="491"/>
        <v>0</v>
      </c>
      <c r="Q126" s="97">
        <f t="shared" ref="Q126:S126" si="492">IF(BJ126=0,SUM(Z126+AC126+AF126+AI126+AL126+AO126+AR126+AU126+AX126+BA126+BD126+BG126),BJ126)</f>
        <v>0</v>
      </c>
      <c r="R126" s="97">
        <f t="shared" si="492"/>
        <v>0</v>
      </c>
      <c r="S126" s="97">
        <f t="shared" si="492"/>
        <v>0</v>
      </c>
      <c r="T126" s="97">
        <f t="shared" si="481"/>
        <v>0</v>
      </c>
      <c r="U126" s="97">
        <f>K126-L126-O126</f>
        <v>0</v>
      </c>
      <c r="V126" s="97">
        <f t="shared" si="483"/>
        <v>0</v>
      </c>
      <c r="W126" s="94" t="e">
        <f t="shared" si="464"/>
        <v>#DIV/0!</v>
      </c>
      <c r="X126" s="94">
        <f t="shared" si="469"/>
        <v>0</v>
      </c>
      <c r="Y126" s="94" t="e">
        <f t="shared" si="470"/>
        <v>#DIV/0!</v>
      </c>
      <c r="Z126" s="96"/>
      <c r="AA126" s="96"/>
      <c r="AB126" s="96"/>
      <c r="AC126" s="96"/>
      <c r="AD126" s="103">
        <v>0</v>
      </c>
      <c r="AE126" s="96"/>
      <c r="AF126" s="96"/>
      <c r="AG126" s="103">
        <v>0</v>
      </c>
      <c r="AH126" s="96"/>
      <c r="AI126" s="96"/>
      <c r="AJ126" s="96"/>
      <c r="AK126" s="96"/>
      <c r="AL126" s="96"/>
      <c r="AM126" s="103">
        <v>0</v>
      </c>
      <c r="AN126" s="96"/>
      <c r="AO126" s="96"/>
      <c r="AP126" s="96"/>
      <c r="AQ126" s="96"/>
      <c r="AR126" s="96"/>
      <c r="AS126" s="103">
        <v>0</v>
      </c>
      <c r="AT126" s="96"/>
      <c r="AU126" s="119"/>
      <c r="AV126" s="103">
        <v>0</v>
      </c>
      <c r="AW126" s="96"/>
      <c r="AX126" s="96"/>
      <c r="AY126" s="103">
        <v>0</v>
      </c>
      <c r="AZ126" s="96"/>
      <c r="BA126" s="96"/>
      <c r="BB126" s="103">
        <v>0</v>
      </c>
      <c r="BC126" s="96"/>
      <c r="BD126" s="96"/>
      <c r="BE126" s="96"/>
      <c r="BF126" s="96"/>
      <c r="BG126" s="96"/>
      <c r="BH126" s="103"/>
      <c r="BI126" s="96"/>
      <c r="BJ126" s="96"/>
      <c r="BK126" s="96"/>
      <c r="BL126" s="96"/>
      <c r="BM126" s="99"/>
      <c r="BN126" s="100"/>
      <c r="BO126" s="100"/>
      <c r="BP126" s="100"/>
      <c r="BQ126" s="100"/>
    </row>
    <row r="127" spans="1:69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400">
        <f>E127</f>
        <v>35694.800000000003</v>
      </c>
      <c r="G127" s="166"/>
      <c r="H127" s="94">
        <f t="shared" si="474"/>
        <v>0</v>
      </c>
      <c r="I127" s="94">
        <f t="shared" si="465"/>
        <v>0</v>
      </c>
      <c r="J127" s="96"/>
      <c r="K127" s="96"/>
      <c r="L127" s="96"/>
      <c r="M127" s="96"/>
      <c r="N127" s="97">
        <f t="shared" ref="N127:P127" si="493">Z127+AC127+AF127+AI127+AL127+AO127+AR127+AU127+AX127+BA127+BD127+BG127</f>
        <v>0</v>
      </c>
      <c r="O127" s="97">
        <f t="shared" si="493"/>
        <v>0</v>
      </c>
      <c r="P127" s="97">
        <f t="shared" si="493"/>
        <v>0</v>
      </c>
      <c r="Q127" s="97">
        <f t="shared" ref="Q127:S127" si="494">IF(BJ127=0,SUM(Z127+AC127+AF127+AI127+AL127+AO127+AR127+AU127+AX127+BA127+BD127+BG127),BJ127)</f>
        <v>0</v>
      </c>
      <c r="R127" s="97">
        <f t="shared" si="494"/>
        <v>0</v>
      </c>
      <c r="S127" s="97">
        <f t="shared" si="494"/>
        <v>0</v>
      </c>
      <c r="T127" s="97">
        <f t="shared" si="481"/>
        <v>0</v>
      </c>
      <c r="U127" s="97">
        <f t="shared" ref="U127:U128" si="495">K127-O127-O127</f>
        <v>0</v>
      </c>
      <c r="V127" s="97">
        <f t="shared" si="483"/>
        <v>0</v>
      </c>
      <c r="W127" s="94" t="e">
        <f t="shared" si="464"/>
        <v>#DIV/0!</v>
      </c>
      <c r="X127" s="94" t="e">
        <f t="shared" si="469"/>
        <v>#DIV/0!</v>
      </c>
      <c r="Y127" s="94" t="e">
        <f t="shared" si="470"/>
        <v>#DIV/0!</v>
      </c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119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9"/>
      <c r="BN127" s="100"/>
      <c r="BO127" s="100"/>
      <c r="BP127" s="100"/>
      <c r="BQ127" s="100"/>
    </row>
    <row r="128" spans="1:69" ht="15.75" customHeight="1">
      <c r="A128" s="111"/>
      <c r="B128" s="136"/>
      <c r="C128" s="90" t="s">
        <v>374</v>
      </c>
      <c r="D128" s="141" t="s">
        <v>375</v>
      </c>
      <c r="E128" s="166"/>
      <c r="F128" s="400"/>
      <c r="G128" s="166"/>
      <c r="H128" s="94" t="e">
        <f t="shared" si="474"/>
        <v>#DIV/0!</v>
      </c>
      <c r="I128" s="94" t="e">
        <f t="shared" si="465"/>
        <v>#DIV/0!</v>
      </c>
      <c r="J128" s="96"/>
      <c r="K128" s="96"/>
      <c r="L128" s="96"/>
      <c r="M128" s="96"/>
      <c r="N128" s="97">
        <f t="shared" ref="N128:P128" si="496">Z128+AC128+AF128+AI128+AL128+AO128+AR128+AU128+AX128+BA128+BD128+BG128</f>
        <v>0</v>
      </c>
      <c r="O128" s="97">
        <f t="shared" si="496"/>
        <v>0</v>
      </c>
      <c r="P128" s="97">
        <f t="shared" si="496"/>
        <v>0</v>
      </c>
      <c r="Q128" s="97">
        <f t="shared" ref="Q128:S128" si="497">IF(BJ128=0,SUM(Z128+AC128+AF128+AI128+AL128+AO128+AR128+AU128+AX128+BA128+BD128+BG128),BJ128)</f>
        <v>0</v>
      </c>
      <c r="R128" s="97">
        <f t="shared" si="497"/>
        <v>0</v>
      </c>
      <c r="S128" s="97">
        <f t="shared" si="497"/>
        <v>0</v>
      </c>
      <c r="T128" s="97">
        <f t="shared" si="481"/>
        <v>0</v>
      </c>
      <c r="U128" s="97">
        <f t="shared" si="495"/>
        <v>0</v>
      </c>
      <c r="V128" s="97">
        <f t="shared" si="483"/>
        <v>0</v>
      </c>
      <c r="W128" s="94" t="e">
        <f t="shared" si="464"/>
        <v>#DIV/0!</v>
      </c>
      <c r="X128" s="94" t="e">
        <f t="shared" si="469"/>
        <v>#DIV/0!</v>
      </c>
      <c r="Y128" s="94" t="e">
        <f t="shared" si="470"/>
        <v>#DIV/0!</v>
      </c>
      <c r="Z128" s="96"/>
      <c r="AA128" s="96"/>
      <c r="AB128" s="96"/>
      <c r="AC128" s="96"/>
      <c r="AD128" s="96"/>
      <c r="AE128" s="96"/>
      <c r="AF128" s="96"/>
      <c r="AG128" s="103">
        <v>0</v>
      </c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119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9"/>
      <c r="BN128" s="100"/>
      <c r="BO128" s="100"/>
      <c r="BP128" s="100"/>
      <c r="BQ128" s="100"/>
    </row>
    <row r="129" spans="1:69" ht="15.75" customHeight="1">
      <c r="A129" s="111"/>
      <c r="B129" s="136" t="s">
        <v>376</v>
      </c>
      <c r="C129" s="90" t="s">
        <v>114</v>
      </c>
      <c r="D129" s="141" t="s">
        <v>850</v>
      </c>
      <c r="E129" s="166"/>
      <c r="F129" s="400"/>
      <c r="G129" s="166"/>
      <c r="H129" s="94"/>
      <c r="I129" s="94"/>
      <c r="J129" s="96"/>
      <c r="K129" s="96">
        <v>452770.49</v>
      </c>
      <c r="L129" s="96"/>
      <c r="M129" s="145"/>
      <c r="N129" s="97">
        <f t="shared" ref="N129:P129" si="498">Z129+AC129+AF129+AI129+AL129+AO129+AR129+AU129+AX129+BA129+BD129+BG129</f>
        <v>0</v>
      </c>
      <c r="O129" s="97">
        <f t="shared" si="498"/>
        <v>249697.56</v>
      </c>
      <c r="P129" s="97">
        <f t="shared" si="498"/>
        <v>0</v>
      </c>
      <c r="Q129" s="97">
        <f t="shared" ref="Q129:S129" si="499">IF(BJ129=0,SUM(Z129+AC129+AF129+AI129+AL129+AO129+AR129+AU129+AX129+BA129+BD129+BG129),BJ129)</f>
        <v>0</v>
      </c>
      <c r="R129" s="97">
        <f t="shared" si="499"/>
        <v>249697.56</v>
      </c>
      <c r="S129" s="97">
        <f t="shared" si="499"/>
        <v>0</v>
      </c>
      <c r="T129" s="97">
        <f t="shared" si="481"/>
        <v>0</v>
      </c>
      <c r="U129" s="97">
        <f>K129-L129-O129</f>
        <v>203072.93</v>
      </c>
      <c r="V129" s="97">
        <f t="shared" si="483"/>
        <v>0</v>
      </c>
      <c r="W129" s="94"/>
      <c r="X129" s="94"/>
      <c r="Y129" s="94"/>
      <c r="Z129" s="96"/>
      <c r="AA129" s="96"/>
      <c r="AB129" s="96"/>
      <c r="AC129" s="96"/>
      <c r="AD129" s="96">
        <f>61206.74</f>
        <v>61206.74</v>
      </c>
      <c r="AE129" s="96"/>
      <c r="AF129" s="96"/>
      <c r="AG129" s="96"/>
      <c r="AH129" s="96"/>
      <c r="AI129" s="96"/>
      <c r="AJ129" s="103">
        <f>95054.76</f>
        <v>95054.76</v>
      </c>
      <c r="AK129" s="96"/>
      <c r="AL129" s="96"/>
      <c r="AM129" s="103">
        <v>21848.15</v>
      </c>
      <c r="AN129" s="96"/>
      <c r="AO129" s="96"/>
      <c r="AP129" s="260">
        <v>56806.34</v>
      </c>
      <c r="AQ129" s="96"/>
      <c r="AR129" s="96"/>
      <c r="AS129" s="96">
        <f>14781.57</f>
        <v>14781.57</v>
      </c>
      <c r="AT129" s="96"/>
      <c r="AU129" s="119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9"/>
      <c r="BN129" s="100"/>
      <c r="BO129" s="100"/>
      <c r="BP129" s="100"/>
      <c r="BQ129" s="100"/>
    </row>
    <row r="130" spans="1:69" ht="15.75" customHeight="1">
      <c r="A130" s="111"/>
      <c r="B130" s="111"/>
      <c r="C130" s="90"/>
      <c r="D130" s="236" t="s">
        <v>378</v>
      </c>
      <c r="E130" s="166"/>
      <c r="F130" s="400"/>
      <c r="G130" s="166">
        <v>0</v>
      </c>
      <c r="H130" s="94" t="e">
        <f t="shared" ref="H130:H137" si="500">J130/E130</f>
        <v>#DIV/0!</v>
      </c>
      <c r="I130" s="94" t="e">
        <f t="shared" ref="I130:I137" si="501">N130/E130</f>
        <v>#DIV/0!</v>
      </c>
      <c r="J130" s="96"/>
      <c r="K130" s="96"/>
      <c r="L130" s="96"/>
      <c r="M130" s="237"/>
      <c r="N130" s="97">
        <f t="shared" ref="N130:P130" si="502">Z130+AC130+AF130+AI130+AL130+AO130+AR130+AU130+AX130+BA130+BD130+BG130</f>
        <v>0</v>
      </c>
      <c r="O130" s="97">
        <f t="shared" si="502"/>
        <v>0</v>
      </c>
      <c r="P130" s="97">
        <f t="shared" si="502"/>
        <v>0</v>
      </c>
      <c r="Q130" s="97">
        <f t="shared" ref="Q130:S130" si="503">IF(BJ130=0,SUM(Z130+AC130+AF130+AI130+AL130+AO130+AR130+AU130+AX130+BA130+BD130+BG130),BJ130)</f>
        <v>0</v>
      </c>
      <c r="R130" s="97">
        <f t="shared" si="503"/>
        <v>0</v>
      </c>
      <c r="S130" s="97">
        <f t="shared" si="503"/>
        <v>0</v>
      </c>
      <c r="T130" s="97">
        <f t="shared" si="481"/>
        <v>0</v>
      </c>
      <c r="U130" s="97">
        <f>K130-O130-O130</f>
        <v>0</v>
      </c>
      <c r="V130" s="97">
        <f t="shared" si="483"/>
        <v>0</v>
      </c>
      <c r="W130" s="94" t="e">
        <f t="shared" ref="W130:X130" si="504">N130/J130</f>
        <v>#DIV/0!</v>
      </c>
      <c r="X130" s="94" t="e">
        <f t="shared" si="504"/>
        <v>#DIV/0!</v>
      </c>
      <c r="Y130" s="94" t="e">
        <f>P130/M130</f>
        <v>#DIV/0!</v>
      </c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119"/>
      <c r="AV130" s="96"/>
      <c r="AW130" s="96"/>
      <c r="AX130" s="96"/>
      <c r="AY130" s="96"/>
      <c r="AZ130" s="96"/>
      <c r="BA130" s="96"/>
      <c r="BB130" s="96"/>
      <c r="BC130" s="103">
        <v>0</v>
      </c>
      <c r="BD130" s="96"/>
      <c r="BE130" s="96"/>
      <c r="BF130" s="103">
        <v>0</v>
      </c>
      <c r="BG130" s="96"/>
      <c r="BH130" s="96"/>
      <c r="BI130" s="96"/>
      <c r="BJ130" s="96"/>
      <c r="BK130" s="96"/>
      <c r="BL130" s="96"/>
      <c r="BM130" s="99"/>
      <c r="BN130" s="100"/>
      <c r="BO130" s="100"/>
      <c r="BP130" s="100"/>
      <c r="BQ130" s="100"/>
    </row>
    <row r="131" spans="1:69" ht="15.75" customHeight="1">
      <c r="A131" s="228"/>
      <c r="B131" s="228"/>
      <c r="C131" s="229"/>
      <c r="D131" s="230" t="s">
        <v>379</v>
      </c>
      <c r="E131" s="231">
        <f>SUM(E132:E136)</f>
        <v>0</v>
      </c>
      <c r="F131" s="409"/>
      <c r="G131" s="231">
        <f>SUM(G132:G136)</f>
        <v>216000</v>
      </c>
      <c r="H131" s="187" t="e">
        <f t="shared" si="500"/>
        <v>#DIV/0!</v>
      </c>
      <c r="I131" s="187" t="e">
        <f t="shared" si="501"/>
        <v>#DIV/0!</v>
      </c>
      <c r="J131" s="231">
        <f t="shared" ref="J131:P131" si="505">SUM(J132:J136)</f>
        <v>204403</v>
      </c>
      <c r="K131" s="231">
        <f t="shared" si="505"/>
        <v>0</v>
      </c>
      <c r="L131" s="231">
        <f t="shared" si="505"/>
        <v>0</v>
      </c>
      <c r="M131" s="231">
        <f t="shared" si="505"/>
        <v>0</v>
      </c>
      <c r="N131" s="231">
        <f t="shared" si="505"/>
        <v>0</v>
      </c>
      <c r="O131" s="238">
        <f t="shared" si="505"/>
        <v>0</v>
      </c>
      <c r="P131" s="238">
        <f t="shared" si="505"/>
        <v>0</v>
      </c>
      <c r="Q131" s="238">
        <f t="shared" ref="Q131:S131" si="506">IF(BJ131=0,SUM(Z131+AC131+AF131+AI131+AL131+AO131+AR131+AU131+AX131+BA131+BD131+BG131),BJ131)</f>
        <v>0</v>
      </c>
      <c r="R131" s="238">
        <f t="shared" si="506"/>
        <v>0</v>
      </c>
      <c r="S131" s="238">
        <f t="shared" si="506"/>
        <v>0</v>
      </c>
      <c r="T131" s="238">
        <f t="shared" ref="T131:BL131" si="507">SUM(T132:T136)</f>
        <v>204403</v>
      </c>
      <c r="U131" s="238">
        <f t="shared" si="507"/>
        <v>0</v>
      </c>
      <c r="V131" s="238">
        <f t="shared" si="507"/>
        <v>0</v>
      </c>
      <c r="W131" s="238" t="e">
        <f t="shared" si="507"/>
        <v>#DIV/0!</v>
      </c>
      <c r="X131" s="238" t="e">
        <f t="shared" si="507"/>
        <v>#DIV/0!</v>
      </c>
      <c r="Y131" s="238" t="e">
        <f t="shared" si="507"/>
        <v>#DIV/0!</v>
      </c>
      <c r="Z131" s="231">
        <f t="shared" si="507"/>
        <v>0</v>
      </c>
      <c r="AA131" s="231">
        <f t="shared" si="507"/>
        <v>0</v>
      </c>
      <c r="AB131" s="231">
        <f t="shared" si="507"/>
        <v>0</v>
      </c>
      <c r="AC131" s="231">
        <f t="shared" si="507"/>
        <v>0</v>
      </c>
      <c r="AD131" s="231">
        <f t="shared" si="507"/>
        <v>0</v>
      </c>
      <c r="AE131" s="231">
        <f t="shared" si="507"/>
        <v>0</v>
      </c>
      <c r="AF131" s="231">
        <f t="shared" si="507"/>
        <v>0</v>
      </c>
      <c r="AG131" s="231">
        <f t="shared" si="507"/>
        <v>0</v>
      </c>
      <c r="AH131" s="231">
        <f t="shared" si="507"/>
        <v>0</v>
      </c>
      <c r="AI131" s="231">
        <f t="shared" si="507"/>
        <v>0</v>
      </c>
      <c r="AJ131" s="231">
        <f t="shared" si="507"/>
        <v>0</v>
      </c>
      <c r="AK131" s="231">
        <f t="shared" si="507"/>
        <v>0</v>
      </c>
      <c r="AL131" s="231">
        <f t="shared" si="507"/>
        <v>0</v>
      </c>
      <c r="AM131" s="231">
        <f t="shared" si="507"/>
        <v>0</v>
      </c>
      <c r="AN131" s="231">
        <f t="shared" si="507"/>
        <v>0</v>
      </c>
      <c r="AO131" s="231">
        <f t="shared" si="507"/>
        <v>0</v>
      </c>
      <c r="AP131" s="231">
        <f t="shared" si="507"/>
        <v>0</v>
      </c>
      <c r="AQ131" s="231">
        <f t="shared" si="507"/>
        <v>0</v>
      </c>
      <c r="AR131" s="231">
        <f t="shared" si="507"/>
        <v>0</v>
      </c>
      <c r="AS131" s="231">
        <f t="shared" si="507"/>
        <v>0</v>
      </c>
      <c r="AT131" s="231">
        <f t="shared" si="507"/>
        <v>0</v>
      </c>
      <c r="AU131" s="231">
        <f t="shared" si="507"/>
        <v>0</v>
      </c>
      <c r="AV131" s="231">
        <f t="shared" si="507"/>
        <v>0</v>
      </c>
      <c r="AW131" s="231">
        <f t="shared" si="507"/>
        <v>0</v>
      </c>
      <c r="AX131" s="231">
        <f t="shared" si="507"/>
        <v>0</v>
      </c>
      <c r="AY131" s="231">
        <f t="shared" si="507"/>
        <v>0</v>
      </c>
      <c r="AZ131" s="231">
        <f t="shared" si="507"/>
        <v>0</v>
      </c>
      <c r="BA131" s="231">
        <f t="shared" si="507"/>
        <v>0</v>
      </c>
      <c r="BB131" s="231">
        <f t="shared" si="507"/>
        <v>0</v>
      </c>
      <c r="BC131" s="231">
        <f t="shared" si="507"/>
        <v>0</v>
      </c>
      <c r="BD131" s="231">
        <f t="shared" si="507"/>
        <v>0</v>
      </c>
      <c r="BE131" s="231">
        <f t="shared" si="507"/>
        <v>0</v>
      </c>
      <c r="BF131" s="231">
        <f t="shared" si="507"/>
        <v>0</v>
      </c>
      <c r="BG131" s="231">
        <f t="shared" si="507"/>
        <v>0</v>
      </c>
      <c r="BH131" s="231">
        <f t="shared" si="507"/>
        <v>0</v>
      </c>
      <c r="BI131" s="231">
        <f t="shared" si="507"/>
        <v>0</v>
      </c>
      <c r="BJ131" s="231">
        <f t="shared" si="507"/>
        <v>0</v>
      </c>
      <c r="BK131" s="231">
        <f t="shared" si="507"/>
        <v>0</v>
      </c>
      <c r="BL131" s="231">
        <f t="shared" si="507"/>
        <v>0</v>
      </c>
      <c r="BM131" s="233"/>
      <c r="BN131" s="234"/>
      <c r="BO131" s="234"/>
      <c r="BP131" s="234"/>
      <c r="BQ131" s="234"/>
    </row>
    <row r="132" spans="1:69" ht="15.75" customHeight="1">
      <c r="A132" s="360" t="s">
        <v>670</v>
      </c>
      <c r="B132" s="111"/>
      <c r="C132" s="90" t="s">
        <v>380</v>
      </c>
      <c r="D132" s="91" t="s">
        <v>381</v>
      </c>
      <c r="E132" s="166"/>
      <c r="F132" s="400"/>
      <c r="G132" s="166">
        <v>216000</v>
      </c>
      <c r="H132" s="94" t="e">
        <f t="shared" si="500"/>
        <v>#DIV/0!</v>
      </c>
      <c r="I132" s="94" t="e">
        <f t="shared" si="501"/>
        <v>#DIV/0!</v>
      </c>
      <c r="J132" s="103">
        <f>12000+192403</f>
        <v>204403</v>
      </c>
      <c r="K132" s="96"/>
      <c r="L132" s="96"/>
      <c r="M132" s="96"/>
      <c r="N132" s="97">
        <f t="shared" ref="N132:P132" si="508">Z132+AC132+AF132+AI132+AL132+AO132+AR132+AU132+AX132+BA132+BD132+BG132</f>
        <v>0</v>
      </c>
      <c r="O132" s="97">
        <f t="shared" si="508"/>
        <v>0</v>
      </c>
      <c r="P132" s="97">
        <f t="shared" si="508"/>
        <v>0</v>
      </c>
      <c r="Q132" s="97">
        <f t="shared" ref="Q132:S132" si="509">IF(BJ132=0,SUM(Z132+AC132+AF132+AI132+AL132+AO132+AR132+AU132+AX132+BA132+BD132+BG132),BJ132)</f>
        <v>0</v>
      </c>
      <c r="R132" s="97">
        <f t="shared" si="509"/>
        <v>0</v>
      </c>
      <c r="S132" s="97">
        <f t="shared" si="509"/>
        <v>0</v>
      </c>
      <c r="T132" s="97">
        <f t="shared" ref="T132:U132" si="510">J132-N132</f>
        <v>204403</v>
      </c>
      <c r="U132" s="97">
        <f t="shared" si="510"/>
        <v>0</v>
      </c>
      <c r="V132" s="97">
        <f t="shared" ref="V132:V136" si="511">M132-P132</f>
        <v>0</v>
      </c>
      <c r="W132" s="98">
        <f t="shared" ref="W132:X132" si="512">N132/J132</f>
        <v>0</v>
      </c>
      <c r="X132" s="98" t="e">
        <f t="shared" si="512"/>
        <v>#DIV/0!</v>
      </c>
      <c r="Y132" s="98" t="e">
        <f t="shared" ref="Y132:Y136" si="513">P132/M132</f>
        <v>#DIV/0!</v>
      </c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103">
        <v>0</v>
      </c>
      <c r="AL132" s="96"/>
      <c r="AM132" s="96"/>
      <c r="AN132" s="103">
        <v>0</v>
      </c>
      <c r="AO132" s="96"/>
      <c r="AP132" s="96"/>
      <c r="AQ132" s="103">
        <v>0</v>
      </c>
      <c r="AR132" s="96"/>
      <c r="AS132" s="96"/>
      <c r="AT132" s="96"/>
      <c r="AU132" s="119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9"/>
      <c r="BN132" s="100"/>
      <c r="BO132" s="100"/>
      <c r="BP132" s="100"/>
      <c r="BQ132" s="100"/>
    </row>
    <row r="133" spans="1:69" ht="15.75" customHeight="1">
      <c r="A133" s="89"/>
      <c r="B133" s="89"/>
      <c r="C133" s="90" t="s">
        <v>380</v>
      </c>
      <c r="D133" s="91" t="s">
        <v>382</v>
      </c>
      <c r="E133" s="166"/>
      <c r="F133" s="400"/>
      <c r="G133" s="166"/>
      <c r="H133" s="94" t="e">
        <f t="shared" si="500"/>
        <v>#DIV/0!</v>
      </c>
      <c r="I133" s="94" t="e">
        <f t="shared" si="501"/>
        <v>#DIV/0!</v>
      </c>
      <c r="J133" s="96"/>
      <c r="K133" s="96"/>
      <c r="L133" s="96"/>
      <c r="M133" s="83"/>
      <c r="N133" s="97">
        <f t="shared" ref="N133:P133" si="514">Z133+AC133+AF133+AI133+AL133+AO133+AR133+AU133+AX133+BA133+BD133+BG133</f>
        <v>0</v>
      </c>
      <c r="O133" s="97">
        <f t="shared" si="514"/>
        <v>0</v>
      </c>
      <c r="P133" s="97">
        <f t="shared" si="514"/>
        <v>0</v>
      </c>
      <c r="Q133" s="97">
        <f t="shared" ref="Q133:S133" si="515">IF(BJ133=0,SUM(Z133+AC133+AF133+AI133+AL133+AO133+AR133+AU133+AX133+BA133+BD133+BG133),BJ133)</f>
        <v>0</v>
      </c>
      <c r="R133" s="97">
        <f t="shared" si="515"/>
        <v>0</v>
      </c>
      <c r="S133" s="97">
        <f t="shared" si="515"/>
        <v>0</v>
      </c>
      <c r="T133" s="97">
        <f t="shared" ref="T133:U133" si="516">J133-N133</f>
        <v>0</v>
      </c>
      <c r="U133" s="97">
        <f t="shared" si="516"/>
        <v>0</v>
      </c>
      <c r="V133" s="97">
        <f t="shared" si="511"/>
        <v>0</v>
      </c>
      <c r="W133" s="98" t="e">
        <f t="shared" ref="W133:X133" si="517">N133/J133</f>
        <v>#DIV/0!</v>
      </c>
      <c r="X133" s="98" t="e">
        <f t="shared" si="517"/>
        <v>#DIV/0!</v>
      </c>
      <c r="Y133" s="98" t="e">
        <f t="shared" si="513"/>
        <v>#DIV/0!</v>
      </c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5"/>
      <c r="AK133" s="96"/>
      <c r="AL133" s="96"/>
      <c r="AM133" s="95"/>
      <c r="AN133" s="96"/>
      <c r="AO133" s="96"/>
      <c r="AP133" s="95"/>
      <c r="AQ133" s="95"/>
      <c r="AR133" s="96"/>
      <c r="AS133" s="96"/>
      <c r="AT133" s="95"/>
      <c r="AU133" s="96"/>
      <c r="AV133" s="95"/>
      <c r="AW133" s="95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9"/>
      <c r="BN133" s="100"/>
      <c r="BO133" s="100"/>
      <c r="BP133" s="100"/>
      <c r="BQ133" s="100"/>
    </row>
    <row r="134" spans="1:69" ht="15.75" customHeight="1">
      <c r="A134" s="89"/>
      <c r="B134" s="89"/>
      <c r="C134" s="90" t="s">
        <v>380</v>
      </c>
      <c r="D134" s="91" t="s">
        <v>383</v>
      </c>
      <c r="E134" s="166"/>
      <c r="F134" s="400"/>
      <c r="G134" s="166"/>
      <c r="H134" s="94" t="e">
        <f t="shared" si="500"/>
        <v>#DIV/0!</v>
      </c>
      <c r="I134" s="94" t="e">
        <f t="shared" si="501"/>
        <v>#DIV/0!</v>
      </c>
      <c r="J134" s="96"/>
      <c r="K134" s="96"/>
      <c r="L134" s="96"/>
      <c r="M134" s="96"/>
      <c r="N134" s="97">
        <f t="shared" ref="N134:P134" si="518">Z134+AC134+AF134+AI134+AL134+AO134+AR134+AU134+AX134+BA134+BD134+BG134</f>
        <v>0</v>
      </c>
      <c r="O134" s="97">
        <f t="shared" si="518"/>
        <v>0</v>
      </c>
      <c r="P134" s="97">
        <f t="shared" si="518"/>
        <v>0</v>
      </c>
      <c r="Q134" s="97">
        <f t="shared" ref="Q134:S134" si="519">IF(BJ134=0,SUM(Z134+AC134+AF134+AI134+AL134+AO134+AR134+AU134+AX134+BA134+BD134+BG134),BJ134)</f>
        <v>0</v>
      </c>
      <c r="R134" s="97">
        <f t="shared" si="519"/>
        <v>0</v>
      </c>
      <c r="S134" s="97">
        <f t="shared" si="519"/>
        <v>0</v>
      </c>
      <c r="T134" s="97">
        <f t="shared" ref="T134:U134" si="520">J134-N134</f>
        <v>0</v>
      </c>
      <c r="U134" s="97">
        <f t="shared" si="520"/>
        <v>0</v>
      </c>
      <c r="V134" s="97">
        <f t="shared" si="511"/>
        <v>0</v>
      </c>
      <c r="W134" s="98" t="e">
        <f t="shared" ref="W134:X134" si="521">N134/J134</f>
        <v>#DIV/0!</v>
      </c>
      <c r="X134" s="98" t="e">
        <f t="shared" si="521"/>
        <v>#DIV/0!</v>
      </c>
      <c r="Y134" s="98" t="e">
        <f t="shared" si="513"/>
        <v>#DIV/0!</v>
      </c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5"/>
      <c r="AK134" s="96"/>
      <c r="AL134" s="96"/>
      <c r="AM134" s="95"/>
      <c r="AN134" s="96"/>
      <c r="AO134" s="96"/>
      <c r="AP134" s="95"/>
      <c r="AQ134" s="95"/>
      <c r="AR134" s="96"/>
      <c r="AS134" s="96"/>
      <c r="AT134" s="95"/>
      <c r="AU134" s="96"/>
      <c r="AV134" s="95"/>
      <c r="AW134" s="95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9"/>
      <c r="BN134" s="100"/>
      <c r="BO134" s="100"/>
      <c r="BP134" s="100"/>
      <c r="BQ134" s="100"/>
    </row>
    <row r="135" spans="1:69" ht="15.75" customHeight="1">
      <c r="A135" s="89"/>
      <c r="B135" s="89"/>
      <c r="C135" s="90" t="s">
        <v>380</v>
      </c>
      <c r="D135" s="91" t="s">
        <v>384</v>
      </c>
      <c r="E135" s="166"/>
      <c r="F135" s="400"/>
      <c r="G135" s="166"/>
      <c r="H135" s="94" t="e">
        <f t="shared" si="500"/>
        <v>#DIV/0!</v>
      </c>
      <c r="I135" s="94" t="e">
        <f t="shared" si="501"/>
        <v>#DIV/0!</v>
      </c>
      <c r="J135" s="96"/>
      <c r="K135" s="96"/>
      <c r="L135" s="96"/>
      <c r="M135" s="96"/>
      <c r="N135" s="97">
        <f t="shared" ref="N135:P135" si="522">Z135+AC135+AF135+AI135+AL135+AO135+AR135+AU135+AX135+BA135+BD135+BG135</f>
        <v>0</v>
      </c>
      <c r="O135" s="97">
        <f t="shared" si="522"/>
        <v>0</v>
      </c>
      <c r="P135" s="97">
        <f t="shared" si="522"/>
        <v>0</v>
      </c>
      <c r="Q135" s="97">
        <f t="shared" ref="Q135:S135" si="523">IF(BJ135=0,SUM(Z135+AC135+AF135+AI135+AL135+AO135+AR135+AU135+AX135+BA135+BD135+BG135),BJ135)</f>
        <v>0</v>
      </c>
      <c r="R135" s="97">
        <f t="shared" si="523"/>
        <v>0</v>
      </c>
      <c r="S135" s="97">
        <f t="shared" si="523"/>
        <v>0</v>
      </c>
      <c r="T135" s="97">
        <f t="shared" ref="T135:U135" si="524">J135-N135</f>
        <v>0</v>
      </c>
      <c r="U135" s="97">
        <f t="shared" si="524"/>
        <v>0</v>
      </c>
      <c r="V135" s="97">
        <f t="shared" si="511"/>
        <v>0</v>
      </c>
      <c r="W135" s="98" t="e">
        <f t="shared" ref="W135:X135" si="525">N135/J135</f>
        <v>#DIV/0!</v>
      </c>
      <c r="X135" s="98" t="e">
        <f t="shared" si="525"/>
        <v>#DIV/0!</v>
      </c>
      <c r="Y135" s="98" t="e">
        <f t="shared" si="513"/>
        <v>#DIV/0!</v>
      </c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5"/>
      <c r="AK135" s="96"/>
      <c r="AL135" s="96"/>
      <c r="AM135" s="95"/>
      <c r="AN135" s="96"/>
      <c r="AO135" s="96"/>
      <c r="AP135" s="95"/>
      <c r="AQ135" s="95"/>
      <c r="AR135" s="96"/>
      <c r="AS135" s="96"/>
      <c r="AT135" s="95"/>
      <c r="AU135" s="96"/>
      <c r="AV135" s="95"/>
      <c r="AW135" s="95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9"/>
      <c r="BN135" s="100"/>
      <c r="BO135" s="100"/>
      <c r="BP135" s="100"/>
      <c r="BQ135" s="100"/>
    </row>
    <row r="136" spans="1:69" ht="15.75" customHeight="1">
      <c r="A136" s="89"/>
      <c r="B136" s="89"/>
      <c r="C136" s="90" t="s">
        <v>385</v>
      </c>
      <c r="D136" s="91" t="s">
        <v>386</v>
      </c>
      <c r="E136" s="166"/>
      <c r="F136" s="400"/>
      <c r="G136" s="166"/>
      <c r="H136" s="94" t="e">
        <f t="shared" si="500"/>
        <v>#DIV/0!</v>
      </c>
      <c r="I136" s="94" t="e">
        <f t="shared" si="501"/>
        <v>#DIV/0!</v>
      </c>
      <c r="J136" s="96"/>
      <c r="K136" s="96"/>
      <c r="L136" s="96"/>
      <c r="M136" s="239"/>
      <c r="N136" s="97">
        <f t="shared" ref="N136:P136" si="526">Z136+AC136+AF136+AI136+AL136+AO136+AR136+AU136+AX136+BA136+BD136+BG136</f>
        <v>0</v>
      </c>
      <c r="O136" s="97">
        <f t="shared" si="526"/>
        <v>0</v>
      </c>
      <c r="P136" s="97">
        <f t="shared" si="526"/>
        <v>0</v>
      </c>
      <c r="Q136" s="97">
        <f t="shared" ref="Q136:S136" si="527">IF(BJ136=0,SUM(Z136+AC136+AF136+AI136+AL136+AO136+AR136+AU136+AX136+BA136+BD136+BG136),BJ136)</f>
        <v>0</v>
      </c>
      <c r="R136" s="97">
        <f t="shared" si="527"/>
        <v>0</v>
      </c>
      <c r="S136" s="97">
        <f t="shared" si="527"/>
        <v>0</v>
      </c>
      <c r="T136" s="97">
        <f t="shared" ref="T136:U136" si="528">J136-N136</f>
        <v>0</v>
      </c>
      <c r="U136" s="97">
        <f t="shared" si="528"/>
        <v>0</v>
      </c>
      <c r="V136" s="97">
        <f t="shared" si="511"/>
        <v>0</v>
      </c>
      <c r="W136" s="98" t="e">
        <f t="shared" ref="W136:X136" si="529">N136/J136</f>
        <v>#DIV/0!</v>
      </c>
      <c r="X136" s="98" t="e">
        <f t="shared" si="529"/>
        <v>#DIV/0!</v>
      </c>
      <c r="Y136" s="98" t="e">
        <f t="shared" si="513"/>
        <v>#DIV/0!</v>
      </c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9"/>
      <c r="BN136" s="100"/>
      <c r="BO136" s="100"/>
      <c r="BP136" s="100"/>
      <c r="BQ136" s="100"/>
    </row>
    <row r="137" spans="1:69" ht="15.75" customHeight="1">
      <c r="A137" s="240"/>
      <c r="B137" s="240"/>
      <c r="C137" s="229"/>
      <c r="D137" s="241" t="s">
        <v>387</v>
      </c>
      <c r="E137" s="242">
        <f>SUM(E138:E140)</f>
        <v>0</v>
      </c>
      <c r="F137" s="409"/>
      <c r="G137" s="242">
        <f>SUM(G138:G140)</f>
        <v>867964.47</v>
      </c>
      <c r="H137" s="187" t="e">
        <f t="shared" si="500"/>
        <v>#DIV/0!</v>
      </c>
      <c r="I137" s="187" t="e">
        <f t="shared" si="501"/>
        <v>#DIV/0!</v>
      </c>
      <c r="J137" s="242">
        <f t="shared" ref="J137:P137" si="530">SUM(J138:J140)</f>
        <v>282858.71999999997</v>
      </c>
      <c r="K137" s="242">
        <f t="shared" si="530"/>
        <v>203666.88</v>
      </c>
      <c r="L137" s="242">
        <f t="shared" si="530"/>
        <v>0</v>
      </c>
      <c r="M137" s="242">
        <f t="shared" si="530"/>
        <v>0</v>
      </c>
      <c r="N137" s="242">
        <f t="shared" si="530"/>
        <v>135986.12</v>
      </c>
      <c r="O137" s="243">
        <f t="shared" si="530"/>
        <v>203666.88</v>
      </c>
      <c r="P137" s="243">
        <f t="shared" si="530"/>
        <v>0</v>
      </c>
      <c r="Q137" s="243">
        <f t="shared" ref="Q137:S137" si="531">IF(BJ137=0,SUM(Z137+AC137+AF137+AI137+AL137+AO137+AR137+AU137+AX137+BA137+BD137+BG137),BJ137)</f>
        <v>135986.12</v>
      </c>
      <c r="R137" s="243">
        <f t="shared" si="531"/>
        <v>203666.88</v>
      </c>
      <c r="S137" s="243">
        <f t="shared" si="531"/>
        <v>0</v>
      </c>
      <c r="T137" s="242">
        <f t="shared" ref="T137:BL137" si="532">SUM(T138:T140)</f>
        <v>146872.59999999998</v>
      </c>
      <c r="U137" s="186">
        <f t="shared" si="532"/>
        <v>0</v>
      </c>
      <c r="V137" s="186">
        <f t="shared" si="532"/>
        <v>0</v>
      </c>
      <c r="W137" s="186" t="e">
        <f t="shared" si="532"/>
        <v>#DIV/0!</v>
      </c>
      <c r="X137" s="186" t="e">
        <f t="shared" si="532"/>
        <v>#DIV/0!</v>
      </c>
      <c r="Y137" s="186" t="e">
        <f t="shared" si="532"/>
        <v>#DIV/0!</v>
      </c>
      <c r="Z137" s="242">
        <f t="shared" si="532"/>
        <v>0</v>
      </c>
      <c r="AA137" s="242">
        <f t="shared" si="532"/>
        <v>0</v>
      </c>
      <c r="AB137" s="242">
        <f t="shared" si="532"/>
        <v>0</v>
      </c>
      <c r="AC137" s="242">
        <f t="shared" si="532"/>
        <v>0</v>
      </c>
      <c r="AD137" s="242">
        <f t="shared" si="532"/>
        <v>0</v>
      </c>
      <c r="AE137" s="242">
        <f t="shared" si="532"/>
        <v>0</v>
      </c>
      <c r="AF137" s="242">
        <f t="shared" si="532"/>
        <v>0</v>
      </c>
      <c r="AG137" s="242">
        <f t="shared" si="532"/>
        <v>59424.31</v>
      </c>
      <c r="AH137" s="242">
        <f t="shared" si="532"/>
        <v>0</v>
      </c>
      <c r="AI137" s="242">
        <f t="shared" si="532"/>
        <v>0</v>
      </c>
      <c r="AJ137" s="242">
        <f t="shared" si="532"/>
        <v>71413.69</v>
      </c>
      <c r="AK137" s="242">
        <f t="shared" si="532"/>
        <v>0</v>
      </c>
      <c r="AL137" s="242">
        <f t="shared" si="532"/>
        <v>0</v>
      </c>
      <c r="AM137" s="242">
        <f t="shared" si="532"/>
        <v>29352.25</v>
      </c>
      <c r="AN137" s="242">
        <f t="shared" si="532"/>
        <v>0</v>
      </c>
      <c r="AO137" s="242">
        <f t="shared" si="532"/>
        <v>31870.57</v>
      </c>
      <c r="AP137" s="242">
        <f t="shared" si="532"/>
        <v>43476.63</v>
      </c>
      <c r="AQ137" s="242">
        <f t="shared" si="532"/>
        <v>0</v>
      </c>
      <c r="AR137" s="242">
        <f t="shared" si="532"/>
        <v>104115.55</v>
      </c>
      <c r="AS137" s="242">
        <f t="shared" si="532"/>
        <v>0</v>
      </c>
      <c r="AT137" s="242">
        <f t="shared" si="532"/>
        <v>0</v>
      </c>
      <c r="AU137" s="242">
        <f t="shared" si="532"/>
        <v>0</v>
      </c>
      <c r="AV137" s="242">
        <f t="shared" si="532"/>
        <v>0</v>
      </c>
      <c r="AW137" s="242">
        <f t="shared" si="532"/>
        <v>0</v>
      </c>
      <c r="AX137" s="242">
        <f t="shared" si="532"/>
        <v>0</v>
      </c>
      <c r="AY137" s="242">
        <f t="shared" si="532"/>
        <v>0</v>
      </c>
      <c r="AZ137" s="242">
        <f t="shared" si="532"/>
        <v>0</v>
      </c>
      <c r="BA137" s="242">
        <f t="shared" si="532"/>
        <v>0</v>
      </c>
      <c r="BB137" s="242">
        <f t="shared" si="532"/>
        <v>0</v>
      </c>
      <c r="BC137" s="242">
        <f t="shared" si="532"/>
        <v>0</v>
      </c>
      <c r="BD137" s="242">
        <f t="shared" si="532"/>
        <v>0</v>
      </c>
      <c r="BE137" s="242">
        <f t="shared" si="532"/>
        <v>0</v>
      </c>
      <c r="BF137" s="242">
        <f t="shared" si="532"/>
        <v>0</v>
      </c>
      <c r="BG137" s="242">
        <f t="shared" si="532"/>
        <v>0</v>
      </c>
      <c r="BH137" s="242">
        <f t="shared" si="532"/>
        <v>0</v>
      </c>
      <c r="BI137" s="242">
        <f t="shared" si="532"/>
        <v>0</v>
      </c>
      <c r="BJ137" s="242">
        <f t="shared" si="532"/>
        <v>0</v>
      </c>
      <c r="BK137" s="242">
        <f t="shared" si="532"/>
        <v>0</v>
      </c>
      <c r="BL137" s="242">
        <f t="shared" si="532"/>
        <v>0</v>
      </c>
      <c r="BM137" s="233"/>
      <c r="BN137" s="234"/>
      <c r="BO137" s="234"/>
      <c r="BP137" s="234"/>
      <c r="BQ137" s="234"/>
    </row>
    <row r="138" spans="1:69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405"/>
      <c r="G138" s="195"/>
      <c r="H138" s="94" t="e">
        <f t="shared" ref="H138:H139" si="533">J138/#REF!</f>
        <v>#REF!</v>
      </c>
      <c r="I138" s="94" t="e">
        <f t="shared" ref="I138:I139" si="534">N138/#REF!</f>
        <v>#REF!</v>
      </c>
      <c r="J138" s="96"/>
      <c r="K138" s="96">
        <v>193192.78</v>
      </c>
      <c r="L138" s="96"/>
      <c r="M138" s="96"/>
      <c r="N138" s="97">
        <f t="shared" ref="N138:P138" si="535">Z138+AC138+AF138+AI138+AL138+AO138+AR138+AU138+AX138+BA138+BD138+BG138</f>
        <v>0</v>
      </c>
      <c r="O138" s="97">
        <f t="shared" si="535"/>
        <v>193192.78</v>
      </c>
      <c r="P138" s="97">
        <f t="shared" si="535"/>
        <v>0</v>
      </c>
      <c r="Q138" s="97">
        <f t="shared" ref="Q138:S138" si="536">IF(BJ138=0,SUM(Z138+AC138+AF138+AI138+AL138+AO138+AR138+AU138+AX138+BA138+BD138+BG138),BJ138)</f>
        <v>0</v>
      </c>
      <c r="R138" s="97">
        <f t="shared" si="536"/>
        <v>193192.78</v>
      </c>
      <c r="S138" s="97">
        <f t="shared" si="536"/>
        <v>0</v>
      </c>
      <c r="T138" s="97">
        <f t="shared" ref="T138:U138" si="537">J138-N138</f>
        <v>0</v>
      </c>
      <c r="U138" s="97">
        <f t="shared" si="537"/>
        <v>0</v>
      </c>
      <c r="V138" s="97">
        <f t="shared" ref="V138:V140" si="538">M138-P138</f>
        <v>0</v>
      </c>
      <c r="W138" s="98" t="e">
        <f t="shared" ref="W138:X138" si="539">N138/J138</f>
        <v>#DIV/0!</v>
      </c>
      <c r="X138" s="98">
        <f t="shared" si="539"/>
        <v>1</v>
      </c>
      <c r="Y138" s="98" t="e">
        <f t="shared" ref="Y138:Y140" si="540">P138/M138</f>
        <v>#DIV/0!</v>
      </c>
      <c r="Z138" s="96"/>
      <c r="AA138" s="96"/>
      <c r="AB138" s="96"/>
      <c r="AC138" s="96"/>
      <c r="AD138" s="96"/>
      <c r="AE138" s="96"/>
      <c r="AF138" s="96"/>
      <c r="AG138" s="96">
        <f>59424.31</f>
        <v>59424.31</v>
      </c>
      <c r="AH138" s="96"/>
      <c r="AI138" s="96"/>
      <c r="AJ138" s="96">
        <f>31947.84+39465.85</f>
        <v>71413.69</v>
      </c>
      <c r="AK138" s="96"/>
      <c r="AL138" s="96"/>
      <c r="AM138" s="103">
        <v>29352.25</v>
      </c>
      <c r="AN138" s="96"/>
      <c r="AO138" s="96"/>
      <c r="AP138" s="260">
        <v>33002.53</v>
      </c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9"/>
      <c r="BN138" s="100"/>
      <c r="BO138" s="100"/>
      <c r="BP138" s="100"/>
      <c r="BQ138" s="100"/>
    </row>
    <row r="139" spans="1:69" ht="15.75" customHeight="1">
      <c r="A139" s="89"/>
      <c r="B139" s="206"/>
      <c r="C139" s="101" t="s">
        <v>388</v>
      </c>
      <c r="D139" s="122" t="s">
        <v>139</v>
      </c>
      <c r="E139" s="92"/>
      <c r="F139" s="405"/>
      <c r="G139" s="195">
        <v>400000</v>
      </c>
      <c r="H139" s="94" t="e">
        <f t="shared" si="533"/>
        <v>#REF!</v>
      </c>
      <c r="I139" s="94" t="e">
        <f t="shared" si="534"/>
        <v>#REF!</v>
      </c>
      <c r="J139" s="119"/>
      <c r="K139" s="96"/>
      <c r="L139" s="96"/>
      <c r="M139" s="202"/>
      <c r="N139" s="97">
        <f t="shared" ref="N139:P139" si="541">Z139+AC139+AF139+AI139+AL139+AO139+AR139+AU139+AX139+BA139+BD139+BG139</f>
        <v>0</v>
      </c>
      <c r="O139" s="97">
        <f t="shared" si="541"/>
        <v>0</v>
      </c>
      <c r="P139" s="97">
        <f t="shared" si="541"/>
        <v>0</v>
      </c>
      <c r="Q139" s="97">
        <f t="shared" ref="Q139:S139" si="542">IF(BJ139=0,SUM(Z139+AC139+AF139+AI139+AL139+AO139+AR139+AU139+AX139+BA139+BD139+BG139),BJ139)</f>
        <v>0</v>
      </c>
      <c r="R139" s="97">
        <f t="shared" si="542"/>
        <v>0</v>
      </c>
      <c r="S139" s="97">
        <f t="shared" si="542"/>
        <v>0</v>
      </c>
      <c r="T139" s="97">
        <f t="shared" ref="T139:U139" si="543">J139-N139</f>
        <v>0</v>
      </c>
      <c r="U139" s="97">
        <f t="shared" si="543"/>
        <v>0</v>
      </c>
      <c r="V139" s="97">
        <f t="shared" si="538"/>
        <v>0</v>
      </c>
      <c r="W139" s="98" t="e">
        <f t="shared" ref="W139:X139" si="544">N139/J139</f>
        <v>#DIV/0!</v>
      </c>
      <c r="X139" s="98" t="e">
        <f t="shared" si="544"/>
        <v>#DIV/0!</v>
      </c>
      <c r="Y139" s="98" t="e">
        <f t="shared" si="540"/>
        <v>#DIV/0!</v>
      </c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129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9"/>
      <c r="BN139" s="100"/>
      <c r="BO139" s="100"/>
      <c r="BP139" s="100"/>
      <c r="BQ139" s="100"/>
    </row>
    <row r="140" spans="1:69" ht="15.75" customHeight="1">
      <c r="A140" s="354" t="s">
        <v>671</v>
      </c>
      <c r="B140" s="206" t="s">
        <v>389</v>
      </c>
      <c r="C140" s="90"/>
      <c r="D140" s="122" t="s">
        <v>139</v>
      </c>
      <c r="E140" s="166"/>
      <c r="F140" s="400"/>
      <c r="G140" s="166">
        <v>467964.47</v>
      </c>
      <c r="H140" s="94" t="e">
        <f t="shared" ref="H140:H144" si="545">J140/E140</f>
        <v>#DIV/0!</v>
      </c>
      <c r="I140" s="94" t="e">
        <f t="shared" ref="I140:I144" si="546">N140/E140</f>
        <v>#DIV/0!</v>
      </c>
      <c r="J140" s="103">
        <v>282858.71999999997</v>
      </c>
      <c r="K140" s="96">
        <v>10474.1</v>
      </c>
      <c r="L140" s="96"/>
      <c r="M140" s="244"/>
      <c r="N140" s="97">
        <f t="shared" ref="N140:P140" si="547">Z140+AC140+AF140+AI140+AL140+AO140+AR140+AU140+AX140+BA140+BD140+BG140</f>
        <v>135986.12</v>
      </c>
      <c r="O140" s="97">
        <f t="shared" si="547"/>
        <v>10474.099999999999</v>
      </c>
      <c r="P140" s="97">
        <f t="shared" si="547"/>
        <v>0</v>
      </c>
      <c r="Q140" s="97">
        <f t="shared" ref="Q140:S140" si="548">IF(BJ140=0,SUM(Z140+AC140+AF140+AI140+AL140+AO140+AR140+AU140+AX140+BA140+BD140+BG140),BJ140)</f>
        <v>135986.12</v>
      </c>
      <c r="R140" s="97">
        <f t="shared" si="548"/>
        <v>10474.099999999999</v>
      </c>
      <c r="S140" s="97">
        <f t="shared" si="548"/>
        <v>0</v>
      </c>
      <c r="T140" s="97">
        <f t="shared" ref="T140:U140" si="549">J140-N140</f>
        <v>146872.59999999998</v>
      </c>
      <c r="U140" s="97">
        <f t="shared" si="549"/>
        <v>0</v>
      </c>
      <c r="V140" s="97">
        <f t="shared" si="538"/>
        <v>0</v>
      </c>
      <c r="W140" s="98">
        <f t="shared" ref="W140:X140" si="550">N140/J140</f>
        <v>0.4807563295202637</v>
      </c>
      <c r="X140" s="98">
        <f t="shared" si="550"/>
        <v>0.99999999999999978</v>
      </c>
      <c r="Y140" s="98" t="e">
        <f t="shared" si="540"/>
        <v>#DIV/0!</v>
      </c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103">
        <v>31870.57</v>
      </c>
      <c r="AP140" s="260">
        <f>1807.54+8666.56</f>
        <v>10474.099999999999</v>
      </c>
      <c r="AQ140" s="96"/>
      <c r="AR140" s="96">
        <f>36000.8+34348.17+33766.58</f>
        <v>104115.55</v>
      </c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9"/>
      <c r="BN140" s="100"/>
      <c r="BO140" s="100"/>
      <c r="BP140" s="100"/>
      <c r="BQ140" s="100"/>
    </row>
    <row r="141" spans="1:69" ht="15.75" customHeight="1">
      <c r="A141" s="240"/>
      <c r="B141" s="240"/>
      <c r="C141" s="229"/>
      <c r="D141" s="241" t="s">
        <v>390</v>
      </c>
      <c r="E141" s="242">
        <f>SUM(E142:E144)</f>
        <v>0</v>
      </c>
      <c r="F141" s="409"/>
      <c r="G141" s="242">
        <f>SUM(G142:G144)</f>
        <v>90000</v>
      </c>
      <c r="H141" s="187" t="e">
        <f t="shared" si="545"/>
        <v>#DIV/0!</v>
      </c>
      <c r="I141" s="187" t="e">
        <f t="shared" si="546"/>
        <v>#DIV/0!</v>
      </c>
      <c r="J141" s="242">
        <f>SUM(J142:J144)</f>
        <v>0</v>
      </c>
      <c r="K141" s="242">
        <f t="shared" ref="K141:L141" si="551">SUM(K142:K145)</f>
        <v>4237.2</v>
      </c>
      <c r="L141" s="242">
        <f t="shared" si="551"/>
        <v>0</v>
      </c>
      <c r="M141" s="242">
        <f t="shared" ref="M141:N141" si="552">SUM(M142:M144)</f>
        <v>0</v>
      </c>
      <c r="N141" s="242">
        <f t="shared" si="552"/>
        <v>0</v>
      </c>
      <c r="O141" s="243">
        <f>SUM(O142:O145)</f>
        <v>4237.2</v>
      </c>
      <c r="P141" s="243">
        <f>SUM(P142:P144)</f>
        <v>0</v>
      </c>
      <c r="Q141" s="243">
        <f t="shared" ref="Q141:S141" si="553">IF(BJ141=0,SUM(Z141+AC141+AF141+AI141+AL141+AO141+AR141+AU141+AX141+BA141+BD141+BG141),BJ141)</f>
        <v>0</v>
      </c>
      <c r="R141" s="243">
        <f t="shared" si="553"/>
        <v>4237.2</v>
      </c>
      <c r="S141" s="243">
        <f t="shared" si="553"/>
        <v>0</v>
      </c>
      <c r="T141" s="242">
        <f t="shared" ref="T141:AF141" si="554">SUM(T142:T144)</f>
        <v>0</v>
      </c>
      <c r="U141" s="186">
        <f t="shared" si="554"/>
        <v>0</v>
      </c>
      <c r="V141" s="186">
        <f t="shared" si="554"/>
        <v>0</v>
      </c>
      <c r="W141" s="186" t="e">
        <f t="shared" si="554"/>
        <v>#DIV/0!</v>
      </c>
      <c r="X141" s="186" t="e">
        <f t="shared" si="554"/>
        <v>#DIV/0!</v>
      </c>
      <c r="Y141" s="186" t="e">
        <f t="shared" si="554"/>
        <v>#DIV/0!</v>
      </c>
      <c r="Z141" s="242">
        <f t="shared" si="554"/>
        <v>0</v>
      </c>
      <c r="AA141" s="242">
        <f t="shared" si="554"/>
        <v>0</v>
      </c>
      <c r="AB141" s="242">
        <f t="shared" si="554"/>
        <v>0</v>
      </c>
      <c r="AC141" s="242">
        <f t="shared" si="554"/>
        <v>0</v>
      </c>
      <c r="AD141" s="242">
        <f t="shared" si="554"/>
        <v>0</v>
      </c>
      <c r="AE141" s="242">
        <f t="shared" si="554"/>
        <v>0</v>
      </c>
      <c r="AF141" s="242">
        <f t="shared" si="554"/>
        <v>0</v>
      </c>
      <c r="AG141" s="242">
        <f>SUM(AG142:AG145)</f>
        <v>4237.2</v>
      </c>
      <c r="AH141" s="242">
        <f t="shared" ref="AH141:AQ141" si="555">SUM(AH142:AH144)</f>
        <v>0</v>
      </c>
      <c r="AI141" s="242">
        <f t="shared" si="555"/>
        <v>0</v>
      </c>
      <c r="AJ141" s="242">
        <f t="shared" si="555"/>
        <v>0</v>
      </c>
      <c r="AK141" s="242">
        <f t="shared" si="555"/>
        <v>0</v>
      </c>
      <c r="AL141" s="242">
        <f t="shared" si="555"/>
        <v>0</v>
      </c>
      <c r="AM141" s="242">
        <f t="shared" si="555"/>
        <v>0</v>
      </c>
      <c r="AN141" s="242">
        <f t="shared" si="555"/>
        <v>0</v>
      </c>
      <c r="AO141" s="242">
        <f t="shared" si="555"/>
        <v>0</v>
      </c>
      <c r="AP141" s="242">
        <f t="shared" si="555"/>
        <v>0</v>
      </c>
      <c r="AQ141" s="242">
        <f t="shared" si="555"/>
        <v>0</v>
      </c>
      <c r="AR141" s="242">
        <f t="shared" ref="AR141:AS141" si="556">SUM(AR142:AR145)</f>
        <v>0</v>
      </c>
      <c r="AS141" s="242">
        <f t="shared" si="556"/>
        <v>0</v>
      </c>
      <c r="AT141" s="242">
        <f t="shared" ref="AT141:BL141" si="557">SUM(AT142:AT144)</f>
        <v>0</v>
      </c>
      <c r="AU141" s="242">
        <f t="shared" si="557"/>
        <v>0</v>
      </c>
      <c r="AV141" s="242">
        <f t="shared" si="557"/>
        <v>0</v>
      </c>
      <c r="AW141" s="242">
        <f t="shared" si="557"/>
        <v>0</v>
      </c>
      <c r="AX141" s="242">
        <f t="shared" si="557"/>
        <v>0</v>
      </c>
      <c r="AY141" s="242">
        <f t="shared" si="557"/>
        <v>0</v>
      </c>
      <c r="AZ141" s="242">
        <f t="shared" si="557"/>
        <v>0</v>
      </c>
      <c r="BA141" s="242">
        <f t="shared" si="557"/>
        <v>0</v>
      </c>
      <c r="BB141" s="242">
        <f t="shared" si="557"/>
        <v>0</v>
      </c>
      <c r="BC141" s="242">
        <f t="shared" si="557"/>
        <v>0</v>
      </c>
      <c r="BD141" s="242">
        <f t="shared" si="557"/>
        <v>0</v>
      </c>
      <c r="BE141" s="242">
        <f t="shared" si="557"/>
        <v>0</v>
      </c>
      <c r="BF141" s="242">
        <f t="shared" si="557"/>
        <v>0</v>
      </c>
      <c r="BG141" s="242">
        <f t="shared" si="557"/>
        <v>0</v>
      </c>
      <c r="BH141" s="242">
        <f t="shared" si="557"/>
        <v>0</v>
      </c>
      <c r="BI141" s="242">
        <f t="shared" si="557"/>
        <v>0</v>
      </c>
      <c r="BJ141" s="242">
        <f t="shared" si="557"/>
        <v>0</v>
      </c>
      <c r="BK141" s="242">
        <f t="shared" si="557"/>
        <v>0</v>
      </c>
      <c r="BL141" s="242">
        <f t="shared" si="557"/>
        <v>0</v>
      </c>
      <c r="BM141" s="233"/>
      <c r="BN141" s="234"/>
      <c r="BO141" s="234"/>
      <c r="BP141" s="234"/>
      <c r="BQ141" s="234"/>
    </row>
    <row r="142" spans="1:69" ht="15.75" customHeight="1">
      <c r="A142" s="89"/>
      <c r="B142" s="89"/>
      <c r="C142" s="90" t="s">
        <v>388</v>
      </c>
      <c r="D142" s="122" t="s">
        <v>851</v>
      </c>
      <c r="E142" s="166"/>
      <c r="F142" s="404"/>
      <c r="G142" s="147">
        <v>90000</v>
      </c>
      <c r="H142" s="94" t="e">
        <f t="shared" si="545"/>
        <v>#DIV/0!</v>
      </c>
      <c r="I142" s="94" t="e">
        <f t="shared" si="546"/>
        <v>#DIV/0!</v>
      </c>
      <c r="J142" s="96"/>
      <c r="K142" s="96"/>
      <c r="L142" s="96"/>
      <c r="M142" s="202"/>
      <c r="N142" s="97">
        <f t="shared" ref="N142:P142" si="558">Z142+AC142+AF142+AI142+AL142+AO142+AR142+AU142+AX142+BA142+BD142+BG142</f>
        <v>0</v>
      </c>
      <c r="O142" s="97">
        <f t="shared" si="558"/>
        <v>0</v>
      </c>
      <c r="P142" s="97">
        <f t="shared" si="558"/>
        <v>0</v>
      </c>
      <c r="Q142" s="97">
        <f t="shared" ref="Q142:S142" si="559">IF(BJ142=0,SUM(Z142+AC142+AF142+AI142+AL142+AO142+AR142+AU142+AX142+BA142+BD142+BG142),BJ142)</f>
        <v>0</v>
      </c>
      <c r="R142" s="97">
        <f t="shared" si="559"/>
        <v>0</v>
      </c>
      <c r="S142" s="97">
        <f t="shared" si="559"/>
        <v>0</v>
      </c>
      <c r="T142" s="97">
        <f t="shared" ref="T142:U142" si="560">J142-N142</f>
        <v>0</v>
      </c>
      <c r="U142" s="97">
        <f t="shared" si="560"/>
        <v>0</v>
      </c>
      <c r="V142" s="97">
        <f t="shared" ref="V142:V144" si="561">M142-P142</f>
        <v>0</v>
      </c>
      <c r="W142" s="98" t="e">
        <f t="shared" ref="W142:X142" si="562">N142/J142</f>
        <v>#DIV/0!</v>
      </c>
      <c r="X142" s="98" t="e">
        <f t="shared" si="562"/>
        <v>#DIV/0!</v>
      </c>
      <c r="Y142" s="98" t="e">
        <f t="shared" ref="Y142:Y144" si="563">P142/M142</f>
        <v>#DIV/0!</v>
      </c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9"/>
      <c r="BN142" s="100"/>
      <c r="BO142" s="100"/>
      <c r="BP142" s="100"/>
      <c r="BQ142" s="100"/>
    </row>
    <row r="143" spans="1:69" ht="15.75" customHeight="1">
      <c r="A143" s="89"/>
      <c r="B143" s="89"/>
      <c r="C143" s="90" t="s">
        <v>385</v>
      </c>
      <c r="D143" s="91" t="s">
        <v>392</v>
      </c>
      <c r="E143" s="166"/>
      <c r="F143" s="400"/>
      <c r="G143" s="166"/>
      <c r="H143" s="94" t="e">
        <f t="shared" si="545"/>
        <v>#DIV/0!</v>
      </c>
      <c r="I143" s="94" t="e">
        <f t="shared" si="546"/>
        <v>#DIV/0!</v>
      </c>
      <c r="J143" s="202"/>
      <c r="K143" s="96"/>
      <c r="L143" s="96"/>
      <c r="M143" s="202"/>
      <c r="N143" s="97">
        <f t="shared" ref="N143:P143" si="564">Z143+AC143+AF143+AI143+AL143+AO143+AR143+AU143+AX143+BA143+BD143+BG143</f>
        <v>0</v>
      </c>
      <c r="O143" s="97">
        <f t="shared" si="564"/>
        <v>0</v>
      </c>
      <c r="P143" s="97">
        <f t="shared" si="564"/>
        <v>0</v>
      </c>
      <c r="Q143" s="97">
        <f t="shared" ref="Q143:S143" si="565">IF(BJ143=0,SUM(Z143+AC143+AF143+AI143+AL143+AO143+AR143+AU143+AX143+BA143+BD143+BG143),BJ143)</f>
        <v>0</v>
      </c>
      <c r="R143" s="97">
        <f t="shared" si="565"/>
        <v>0</v>
      </c>
      <c r="S143" s="97">
        <f t="shared" si="565"/>
        <v>0</v>
      </c>
      <c r="T143" s="97">
        <f t="shared" ref="T143:U143" si="566">J143-N143</f>
        <v>0</v>
      </c>
      <c r="U143" s="97">
        <f t="shared" si="566"/>
        <v>0</v>
      </c>
      <c r="V143" s="97">
        <f t="shared" si="561"/>
        <v>0</v>
      </c>
      <c r="W143" s="98" t="e">
        <f t="shared" ref="W143:X143" si="567">N143/J143</f>
        <v>#DIV/0!</v>
      </c>
      <c r="X143" s="98" t="e">
        <f t="shared" si="567"/>
        <v>#DIV/0!</v>
      </c>
      <c r="Y143" s="98" t="e">
        <f t="shared" si="563"/>
        <v>#DIV/0!</v>
      </c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103">
        <v>0</v>
      </c>
      <c r="BG143" s="96"/>
      <c r="BH143" s="96"/>
      <c r="BI143" s="96"/>
      <c r="BJ143" s="96"/>
      <c r="BK143" s="96"/>
      <c r="BL143" s="96"/>
      <c r="BM143" s="99"/>
      <c r="BN143" s="100"/>
      <c r="BO143" s="100"/>
      <c r="BP143" s="100"/>
      <c r="BQ143" s="100"/>
    </row>
    <row r="144" spans="1:69" ht="15.75" customHeight="1">
      <c r="A144" s="89"/>
      <c r="B144" s="89"/>
      <c r="C144" s="90" t="s">
        <v>385</v>
      </c>
      <c r="D144" s="91" t="s">
        <v>393</v>
      </c>
      <c r="E144" s="166"/>
      <c r="F144" s="400"/>
      <c r="G144" s="166"/>
      <c r="H144" s="94" t="e">
        <f t="shared" si="545"/>
        <v>#DIV/0!</v>
      </c>
      <c r="I144" s="94" t="e">
        <f t="shared" si="546"/>
        <v>#DIV/0!</v>
      </c>
      <c r="J144" s="96"/>
      <c r="K144" s="96"/>
      <c r="L144" s="96"/>
      <c r="M144" s="244"/>
      <c r="N144" s="97">
        <f t="shared" ref="N144:P144" si="568">Z144+AC144+AF144+AI144+AL144+AO144+AR144+AU144+AX144+BA144+BD144+BG144</f>
        <v>0</v>
      </c>
      <c r="O144" s="97">
        <f t="shared" si="568"/>
        <v>0</v>
      </c>
      <c r="P144" s="97">
        <f t="shared" si="568"/>
        <v>0</v>
      </c>
      <c r="Q144" s="97">
        <f t="shared" ref="Q144:S144" si="569">IF(BJ144=0,SUM(Z144+AC144+AF144+AI144+AL144+AO144+AR144+AU144+AX144+BA144+BD144+BG144),BJ144)</f>
        <v>0</v>
      </c>
      <c r="R144" s="97">
        <f t="shared" si="569"/>
        <v>0</v>
      </c>
      <c r="S144" s="97">
        <f t="shared" si="569"/>
        <v>0</v>
      </c>
      <c r="T144" s="97">
        <f t="shared" ref="T144:U144" si="570">J144-N144</f>
        <v>0</v>
      </c>
      <c r="U144" s="97">
        <f t="shared" si="570"/>
        <v>0</v>
      </c>
      <c r="V144" s="97">
        <f t="shared" si="561"/>
        <v>0</v>
      </c>
      <c r="W144" s="98" t="e">
        <f t="shared" ref="W144:X144" si="571">N144/J144</f>
        <v>#DIV/0!</v>
      </c>
      <c r="X144" s="98" t="e">
        <f t="shared" si="571"/>
        <v>#DIV/0!</v>
      </c>
      <c r="Y144" s="98" t="e">
        <f t="shared" si="563"/>
        <v>#DIV/0!</v>
      </c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9"/>
      <c r="BN144" s="100"/>
      <c r="BO144" s="100"/>
      <c r="BP144" s="100"/>
      <c r="BQ144" s="100"/>
    </row>
    <row r="145" spans="1:69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400"/>
      <c r="G145" s="166"/>
      <c r="H145" s="94"/>
      <c r="I145" s="94"/>
      <c r="J145" s="96"/>
      <c r="K145" s="96">
        <v>4237.2</v>
      </c>
      <c r="L145" s="96"/>
      <c r="M145" s="244"/>
      <c r="N145" s="97"/>
      <c r="O145" s="97">
        <f t="shared" ref="O145:P145" si="572">AA145+AD145+AG145+AJ145+AM145+AP145+AS145+AV145+AY145+BB145+BE145+BH145</f>
        <v>4237.2</v>
      </c>
      <c r="P145" s="97">
        <f t="shared" si="572"/>
        <v>0</v>
      </c>
      <c r="Q145" s="97">
        <f t="shared" ref="Q145:R145" si="573">IF(BJ145=0,SUM(Z145+AC145+AF145+AI145+AL145+AO145+AR145+AU145+AX145+BA145+BD145+BG145),BJ145)</f>
        <v>0</v>
      </c>
      <c r="R145" s="97">
        <f t="shared" si="573"/>
        <v>4237.2</v>
      </c>
      <c r="S145" s="97"/>
      <c r="T145" s="97"/>
      <c r="U145" s="97"/>
      <c r="V145" s="97"/>
      <c r="W145" s="98"/>
      <c r="X145" s="98"/>
      <c r="Y145" s="98"/>
      <c r="Z145" s="96"/>
      <c r="AA145" s="96"/>
      <c r="AB145" s="96"/>
      <c r="AC145" s="96"/>
      <c r="AD145" s="96"/>
      <c r="AE145" s="96"/>
      <c r="AF145" s="96"/>
      <c r="AG145" s="103">
        <f>3088+1149.2</f>
        <v>4237.2</v>
      </c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9"/>
      <c r="BN145" s="100"/>
      <c r="BO145" s="100"/>
      <c r="BP145" s="100"/>
      <c r="BQ145" s="100"/>
    </row>
    <row r="146" spans="1:69" ht="15.75" customHeight="1">
      <c r="A146" s="182"/>
      <c r="B146" s="182"/>
      <c r="C146" s="222"/>
      <c r="D146" s="224" t="s">
        <v>397</v>
      </c>
      <c r="E146" s="186">
        <f>SUM(E147:E150)</f>
        <v>0</v>
      </c>
      <c r="F146" s="402"/>
      <c r="G146" s="186">
        <f>SUM(G147:G150)</f>
        <v>0</v>
      </c>
      <c r="H146" s="223" t="e">
        <f t="shared" ref="H146:H148" si="574">J146/E146</f>
        <v>#DIV/0!</v>
      </c>
      <c r="I146" s="187" t="e">
        <f t="shared" ref="I146:I148" si="575">N146/E146</f>
        <v>#DIV/0!</v>
      </c>
      <c r="J146" s="186">
        <f t="shared" ref="J146:P146" si="576">SUM(J147:J150)</f>
        <v>0</v>
      </c>
      <c r="K146" s="186">
        <f t="shared" si="576"/>
        <v>500</v>
      </c>
      <c r="L146" s="186">
        <f t="shared" si="576"/>
        <v>0</v>
      </c>
      <c r="M146" s="186">
        <f t="shared" si="576"/>
        <v>0</v>
      </c>
      <c r="N146" s="186">
        <f t="shared" si="576"/>
        <v>0</v>
      </c>
      <c r="O146" s="186">
        <f t="shared" si="576"/>
        <v>500</v>
      </c>
      <c r="P146" s="186">
        <f t="shared" si="576"/>
        <v>0</v>
      </c>
      <c r="Q146" s="245">
        <f t="shared" ref="Q146:S146" si="577">IF(BJ146=0,SUM(Z146+AC146+AF146+AI146+AL146+AO146+AR146+AU146+AX146+BA146+BD146+BG146),BJ146)</f>
        <v>0</v>
      </c>
      <c r="R146" s="245">
        <f t="shared" si="577"/>
        <v>500</v>
      </c>
      <c r="S146" s="245">
        <f t="shared" si="577"/>
        <v>0</v>
      </c>
      <c r="T146" s="186">
        <f t="shared" ref="T146:V146" si="578">SUM(T147:T150)</f>
        <v>0</v>
      </c>
      <c r="U146" s="186">
        <f t="shared" si="578"/>
        <v>0</v>
      </c>
      <c r="V146" s="186">
        <f t="shared" si="578"/>
        <v>0</v>
      </c>
      <c r="W146" s="189" t="e">
        <f t="shared" ref="W146:X146" si="579">N146/J146</f>
        <v>#DIV/0!</v>
      </c>
      <c r="X146" s="189">
        <f t="shared" si="579"/>
        <v>1</v>
      </c>
      <c r="Y146" s="189" t="e">
        <f t="shared" ref="Y146:Y148" si="580">P146/M146</f>
        <v>#DIV/0!</v>
      </c>
      <c r="Z146" s="186">
        <f t="shared" ref="Z146:BL146" si="581">SUM(Z147:Z150)</f>
        <v>0</v>
      </c>
      <c r="AA146" s="186">
        <f t="shared" si="581"/>
        <v>500</v>
      </c>
      <c r="AB146" s="186">
        <f t="shared" si="581"/>
        <v>0</v>
      </c>
      <c r="AC146" s="186">
        <f t="shared" si="581"/>
        <v>0</v>
      </c>
      <c r="AD146" s="186">
        <f t="shared" si="581"/>
        <v>0</v>
      </c>
      <c r="AE146" s="186">
        <f t="shared" si="581"/>
        <v>0</v>
      </c>
      <c r="AF146" s="186">
        <f t="shared" si="581"/>
        <v>0</v>
      </c>
      <c r="AG146" s="186">
        <f t="shared" si="581"/>
        <v>0</v>
      </c>
      <c r="AH146" s="186">
        <f t="shared" si="581"/>
        <v>0</v>
      </c>
      <c r="AI146" s="186">
        <f t="shared" si="581"/>
        <v>0</v>
      </c>
      <c r="AJ146" s="186">
        <f t="shared" si="581"/>
        <v>0</v>
      </c>
      <c r="AK146" s="186">
        <f t="shared" si="581"/>
        <v>0</v>
      </c>
      <c r="AL146" s="186">
        <f t="shared" si="581"/>
        <v>0</v>
      </c>
      <c r="AM146" s="186">
        <f t="shared" si="581"/>
        <v>0</v>
      </c>
      <c r="AN146" s="186">
        <f t="shared" si="581"/>
        <v>0</v>
      </c>
      <c r="AO146" s="186">
        <f t="shared" si="581"/>
        <v>0</v>
      </c>
      <c r="AP146" s="186">
        <f t="shared" si="581"/>
        <v>0</v>
      </c>
      <c r="AQ146" s="186">
        <f t="shared" si="581"/>
        <v>0</v>
      </c>
      <c r="AR146" s="186">
        <f t="shared" si="581"/>
        <v>0</v>
      </c>
      <c r="AS146" s="186">
        <f t="shared" si="581"/>
        <v>0</v>
      </c>
      <c r="AT146" s="186">
        <f t="shared" si="581"/>
        <v>0</v>
      </c>
      <c r="AU146" s="186">
        <f t="shared" si="581"/>
        <v>0</v>
      </c>
      <c r="AV146" s="186">
        <f t="shared" si="581"/>
        <v>0</v>
      </c>
      <c r="AW146" s="186">
        <f t="shared" si="581"/>
        <v>0</v>
      </c>
      <c r="AX146" s="186">
        <f t="shared" si="581"/>
        <v>0</v>
      </c>
      <c r="AY146" s="186">
        <f t="shared" si="581"/>
        <v>0</v>
      </c>
      <c r="AZ146" s="186">
        <f t="shared" si="581"/>
        <v>0</v>
      </c>
      <c r="BA146" s="186">
        <f t="shared" si="581"/>
        <v>0</v>
      </c>
      <c r="BB146" s="186">
        <f t="shared" si="581"/>
        <v>0</v>
      </c>
      <c r="BC146" s="186">
        <f t="shared" si="581"/>
        <v>0</v>
      </c>
      <c r="BD146" s="186">
        <f t="shared" si="581"/>
        <v>0</v>
      </c>
      <c r="BE146" s="186">
        <f t="shared" si="581"/>
        <v>0</v>
      </c>
      <c r="BF146" s="186">
        <f t="shared" si="581"/>
        <v>0</v>
      </c>
      <c r="BG146" s="186">
        <f t="shared" si="581"/>
        <v>0</v>
      </c>
      <c r="BH146" s="186">
        <f t="shared" si="581"/>
        <v>0</v>
      </c>
      <c r="BI146" s="186">
        <f t="shared" si="581"/>
        <v>0</v>
      </c>
      <c r="BJ146" s="186">
        <f t="shared" si="581"/>
        <v>0</v>
      </c>
      <c r="BK146" s="186">
        <f t="shared" si="581"/>
        <v>0</v>
      </c>
      <c r="BL146" s="186">
        <f t="shared" si="581"/>
        <v>0</v>
      </c>
      <c r="BM146" s="157"/>
      <c r="BN146" s="158"/>
      <c r="BO146" s="158"/>
      <c r="BP146" s="158"/>
      <c r="BQ146" s="158"/>
    </row>
    <row r="147" spans="1:69" ht="15.75" customHeight="1">
      <c r="A147" s="89"/>
      <c r="B147" s="89"/>
      <c r="C147" s="90" t="s">
        <v>318</v>
      </c>
      <c r="D147" s="91" t="s">
        <v>366</v>
      </c>
      <c r="E147" s="166"/>
      <c r="F147" s="400"/>
      <c r="G147" s="166"/>
      <c r="H147" s="94" t="e">
        <f t="shared" si="574"/>
        <v>#DIV/0!</v>
      </c>
      <c r="I147" s="94" t="e">
        <f t="shared" si="575"/>
        <v>#DIV/0!</v>
      </c>
      <c r="J147" s="142"/>
      <c r="K147" s="96"/>
      <c r="L147" s="96"/>
      <c r="M147" s="202"/>
      <c r="N147" s="97">
        <f t="shared" ref="N147:P147" si="582">Z147+AC147+AF147+AI147+AL147+AO147+AR147+AU147+AX147+BA147+BD147+BG147</f>
        <v>0</v>
      </c>
      <c r="O147" s="97">
        <f t="shared" si="582"/>
        <v>0</v>
      </c>
      <c r="P147" s="97">
        <f t="shared" si="582"/>
        <v>0</v>
      </c>
      <c r="Q147" s="97">
        <f t="shared" ref="Q147:S147" si="583">IF(BJ147=0,SUM(Z147+AC147+AF147+AI147+AL147+AO147+AR147+AU147+AX147+BA147+BD147+BG147),BJ147)</f>
        <v>0</v>
      </c>
      <c r="R147" s="97">
        <f t="shared" si="583"/>
        <v>0</v>
      </c>
      <c r="S147" s="97">
        <f t="shared" si="583"/>
        <v>0</v>
      </c>
      <c r="T147" s="97">
        <f t="shared" ref="T147:U147" si="584">J147-N147</f>
        <v>0</v>
      </c>
      <c r="U147" s="97">
        <f t="shared" si="584"/>
        <v>0</v>
      </c>
      <c r="V147" s="97">
        <f t="shared" ref="V147:V148" si="585">M147-P147</f>
        <v>0</v>
      </c>
      <c r="W147" s="98" t="e">
        <f t="shared" ref="W147:X147" si="586">N147/J147</f>
        <v>#DIV/0!</v>
      </c>
      <c r="X147" s="98" t="e">
        <f t="shared" si="586"/>
        <v>#DIV/0!</v>
      </c>
      <c r="Y147" s="98" t="e">
        <f t="shared" si="580"/>
        <v>#DIV/0!</v>
      </c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9"/>
      <c r="BN147" s="100"/>
      <c r="BO147" s="100"/>
      <c r="BP147" s="100"/>
      <c r="BQ147" s="100"/>
    </row>
    <row r="148" spans="1:69" ht="15.75" customHeight="1">
      <c r="A148" s="89"/>
      <c r="B148" s="89"/>
      <c r="C148" s="90" t="s">
        <v>367</v>
      </c>
      <c r="D148" s="91" t="s">
        <v>398</v>
      </c>
      <c r="E148" s="166"/>
      <c r="F148" s="400"/>
      <c r="G148" s="166"/>
      <c r="H148" s="94" t="e">
        <f t="shared" si="574"/>
        <v>#DIV/0!</v>
      </c>
      <c r="I148" s="94" t="e">
        <f t="shared" si="575"/>
        <v>#DIV/0!</v>
      </c>
      <c r="J148" s="119"/>
      <c r="K148" s="96"/>
      <c r="L148" s="96"/>
      <c r="M148" s="202"/>
      <c r="N148" s="97">
        <f t="shared" ref="N148:P148" si="587">Z148+AC148+AF148+AI148+AL148+AO148+AR148+AU148+AX148+BA148+BD148+BG148</f>
        <v>0</v>
      </c>
      <c r="O148" s="97">
        <f t="shared" si="587"/>
        <v>0</v>
      </c>
      <c r="P148" s="97">
        <f t="shared" si="587"/>
        <v>0</v>
      </c>
      <c r="Q148" s="97">
        <f t="shared" ref="Q148:S148" si="588">IF(BJ148=0,SUM(Z148+AC148+AF148+AI148+AL148+AO148+AR148+AU148+AX148+BA148+BD148+BG148),BJ148)</f>
        <v>0</v>
      </c>
      <c r="R148" s="97">
        <f t="shared" si="588"/>
        <v>0</v>
      </c>
      <c r="S148" s="97">
        <f t="shared" si="588"/>
        <v>0</v>
      </c>
      <c r="T148" s="97">
        <f t="shared" ref="T148:U148" si="589">J148-N148</f>
        <v>0</v>
      </c>
      <c r="U148" s="97">
        <f t="shared" si="589"/>
        <v>0</v>
      </c>
      <c r="V148" s="97">
        <f t="shared" si="585"/>
        <v>0</v>
      </c>
      <c r="W148" s="98" t="e">
        <f t="shared" ref="W148:X148" si="590">N148/J148</f>
        <v>#DIV/0!</v>
      </c>
      <c r="X148" s="98" t="e">
        <f t="shared" si="590"/>
        <v>#DIV/0!</v>
      </c>
      <c r="Y148" s="98" t="e">
        <f t="shared" si="580"/>
        <v>#DIV/0!</v>
      </c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9"/>
      <c r="BN148" s="100"/>
      <c r="BO148" s="100"/>
      <c r="BP148" s="100"/>
      <c r="BQ148" s="100"/>
    </row>
    <row r="149" spans="1:69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400"/>
      <c r="G149" s="166"/>
      <c r="H149" s="94"/>
      <c r="I149" s="94"/>
      <c r="J149" s="119"/>
      <c r="K149" s="96">
        <v>500</v>
      </c>
      <c r="L149" s="96"/>
      <c r="M149" s="202"/>
      <c r="N149" s="97"/>
      <c r="O149" s="97">
        <f t="shared" ref="O149:P149" si="591">AA149+AD149+AG149+AJ149+AM149+AP149+AS149+AV149+AY149+BB149+BE149+BH149</f>
        <v>500</v>
      </c>
      <c r="P149" s="97">
        <f t="shared" si="591"/>
        <v>0</v>
      </c>
      <c r="Q149" s="97">
        <f t="shared" ref="Q149:S149" si="592">IF(BJ149=0,SUM(Z149+AC149+AF149+AI149+AL149+AO149+AR149+AU149+AX149+BA149+BD149+BG149),BJ149)</f>
        <v>0</v>
      </c>
      <c r="R149" s="97">
        <f t="shared" si="592"/>
        <v>500</v>
      </c>
      <c r="S149" s="97">
        <f t="shared" si="592"/>
        <v>0</v>
      </c>
      <c r="T149" s="97"/>
      <c r="U149" s="97"/>
      <c r="V149" s="97"/>
      <c r="W149" s="98"/>
      <c r="X149" s="98"/>
      <c r="Y149" s="98"/>
      <c r="Z149" s="96"/>
      <c r="AA149" s="103">
        <v>500</v>
      </c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9"/>
      <c r="BN149" s="100"/>
      <c r="BO149" s="100"/>
      <c r="BP149" s="100"/>
      <c r="BQ149" s="100"/>
    </row>
    <row r="150" spans="1:69" ht="15.75" customHeight="1">
      <c r="A150" s="89"/>
      <c r="B150" s="89"/>
      <c r="C150" s="90" t="s">
        <v>318</v>
      </c>
      <c r="D150" s="91" t="s">
        <v>400</v>
      </c>
      <c r="E150" s="166"/>
      <c r="F150" s="400"/>
      <c r="G150" s="166"/>
      <c r="H150" s="94" t="e">
        <f t="shared" ref="H150:H152" si="593">J150/E150</f>
        <v>#DIV/0!</v>
      </c>
      <c r="I150" s="94" t="e">
        <f t="shared" ref="I150:I152" si="594">N150/E150</f>
        <v>#DIV/0!</v>
      </c>
      <c r="J150" s="96"/>
      <c r="K150" s="96"/>
      <c r="L150" s="96"/>
      <c r="M150" s="96"/>
      <c r="N150" s="97">
        <f t="shared" ref="N150:P150" si="595">Z150+AC150+AF150+AI150+AL150+AO150+AR150+AU150+AX150+BA150+BD150+BG150</f>
        <v>0</v>
      </c>
      <c r="O150" s="97">
        <f t="shared" si="595"/>
        <v>0</v>
      </c>
      <c r="P150" s="97">
        <f t="shared" si="595"/>
        <v>0</v>
      </c>
      <c r="Q150" s="97">
        <f t="shared" ref="Q150:S150" si="596">IF(BJ150=0,SUM(Z150+AC150+AF150+AI150+AL150+AO150+AR150+AU150+AX150+BA150+BD150+BG150),BJ150)</f>
        <v>0</v>
      </c>
      <c r="R150" s="97">
        <f t="shared" si="596"/>
        <v>0</v>
      </c>
      <c r="S150" s="97">
        <f t="shared" si="596"/>
        <v>0</v>
      </c>
      <c r="T150" s="97">
        <f t="shared" ref="T150:U150" si="597">J150-N150</f>
        <v>0</v>
      </c>
      <c r="U150" s="97">
        <f t="shared" si="597"/>
        <v>0</v>
      </c>
      <c r="V150" s="97">
        <f>M150-P150</f>
        <v>0</v>
      </c>
      <c r="W150" s="98" t="e">
        <f t="shared" ref="W150:X150" si="598">N150/J150</f>
        <v>#DIV/0!</v>
      </c>
      <c r="X150" s="98" t="e">
        <f t="shared" si="598"/>
        <v>#DIV/0!</v>
      </c>
      <c r="Y150" s="98" t="e">
        <f t="shared" ref="Y150:Y157" si="599">P150/M150</f>
        <v>#DIV/0!</v>
      </c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9"/>
      <c r="BN150" s="100"/>
      <c r="BO150" s="100"/>
      <c r="BP150" s="100"/>
      <c r="BQ150" s="100"/>
    </row>
    <row r="151" spans="1:69" ht="15.75" customHeight="1">
      <c r="A151" s="246"/>
      <c r="B151" s="246"/>
      <c r="C151" s="247"/>
      <c r="D151" s="248" t="s">
        <v>401</v>
      </c>
      <c r="E151" s="249">
        <f>SUM(E152:E154)</f>
        <v>0</v>
      </c>
      <c r="F151" s="409"/>
      <c r="G151" s="249">
        <f>SUM(G152:G154)</f>
        <v>0</v>
      </c>
      <c r="H151" s="223" t="e">
        <f t="shared" si="593"/>
        <v>#DIV/0!</v>
      </c>
      <c r="I151" s="187" t="e">
        <f t="shared" si="594"/>
        <v>#DIV/0!</v>
      </c>
      <c r="J151" s="249">
        <f t="shared" ref="J151:P151" si="600">SUM(J152:J154)</f>
        <v>0</v>
      </c>
      <c r="K151" s="249">
        <f t="shared" si="600"/>
        <v>293.62</v>
      </c>
      <c r="L151" s="249">
        <f t="shared" si="600"/>
        <v>293.62</v>
      </c>
      <c r="M151" s="249">
        <f t="shared" si="600"/>
        <v>0</v>
      </c>
      <c r="N151" s="249">
        <f t="shared" si="600"/>
        <v>0</v>
      </c>
      <c r="O151" s="249">
        <f t="shared" si="600"/>
        <v>0</v>
      </c>
      <c r="P151" s="249">
        <f t="shared" si="600"/>
        <v>0</v>
      </c>
      <c r="Q151" s="238">
        <f t="shared" ref="Q151:S151" si="601">IF(BJ151=0,SUM(Z151+AC151+AF151+AI151+AL151+AO151+AR151+AU151+AX151+BA151+BD151+BG151),BJ151)</f>
        <v>0</v>
      </c>
      <c r="R151" s="238">
        <f t="shared" si="601"/>
        <v>0</v>
      </c>
      <c r="S151" s="238">
        <f t="shared" si="601"/>
        <v>0</v>
      </c>
      <c r="T151" s="249">
        <f t="shared" ref="T151:V151" si="602">SUM(T152:T154)</f>
        <v>0</v>
      </c>
      <c r="U151" s="249">
        <f t="shared" si="602"/>
        <v>0</v>
      </c>
      <c r="V151" s="249">
        <f t="shared" si="602"/>
        <v>0</v>
      </c>
      <c r="W151" s="250" t="e">
        <f t="shared" ref="W151:X151" si="603">N151/J151</f>
        <v>#DIV/0!</v>
      </c>
      <c r="X151" s="250">
        <f t="shared" si="603"/>
        <v>0</v>
      </c>
      <c r="Y151" s="250" t="e">
        <f t="shared" si="599"/>
        <v>#DIV/0!</v>
      </c>
      <c r="Z151" s="249">
        <f t="shared" ref="Z151:BL151" si="604">SUM(Z152:Z154)</f>
        <v>0</v>
      </c>
      <c r="AA151" s="249">
        <f t="shared" si="604"/>
        <v>0</v>
      </c>
      <c r="AB151" s="249">
        <f t="shared" si="604"/>
        <v>0</v>
      </c>
      <c r="AC151" s="249">
        <f t="shared" si="604"/>
        <v>0</v>
      </c>
      <c r="AD151" s="249">
        <f t="shared" si="604"/>
        <v>0</v>
      </c>
      <c r="AE151" s="249">
        <f t="shared" si="604"/>
        <v>0</v>
      </c>
      <c r="AF151" s="249">
        <f t="shared" si="604"/>
        <v>0</v>
      </c>
      <c r="AG151" s="249">
        <f t="shared" si="604"/>
        <v>0</v>
      </c>
      <c r="AH151" s="249">
        <f t="shared" si="604"/>
        <v>0</v>
      </c>
      <c r="AI151" s="249">
        <f t="shared" si="604"/>
        <v>0</v>
      </c>
      <c r="AJ151" s="249">
        <f t="shared" si="604"/>
        <v>0</v>
      </c>
      <c r="AK151" s="249">
        <f t="shared" si="604"/>
        <v>0</v>
      </c>
      <c r="AL151" s="249">
        <f t="shared" si="604"/>
        <v>0</v>
      </c>
      <c r="AM151" s="249">
        <f t="shared" si="604"/>
        <v>0</v>
      </c>
      <c r="AN151" s="249">
        <f t="shared" si="604"/>
        <v>0</v>
      </c>
      <c r="AO151" s="249">
        <f t="shared" si="604"/>
        <v>0</v>
      </c>
      <c r="AP151" s="249">
        <f t="shared" si="604"/>
        <v>0</v>
      </c>
      <c r="AQ151" s="249">
        <f t="shared" si="604"/>
        <v>0</v>
      </c>
      <c r="AR151" s="249">
        <f t="shared" si="604"/>
        <v>0</v>
      </c>
      <c r="AS151" s="249">
        <f t="shared" si="604"/>
        <v>0</v>
      </c>
      <c r="AT151" s="249">
        <f t="shared" si="604"/>
        <v>0</v>
      </c>
      <c r="AU151" s="249">
        <f t="shared" si="604"/>
        <v>0</v>
      </c>
      <c r="AV151" s="249">
        <f t="shared" si="604"/>
        <v>0</v>
      </c>
      <c r="AW151" s="249">
        <f t="shared" si="604"/>
        <v>0</v>
      </c>
      <c r="AX151" s="249">
        <f t="shared" si="604"/>
        <v>0</v>
      </c>
      <c r="AY151" s="249">
        <f t="shared" si="604"/>
        <v>0</v>
      </c>
      <c r="AZ151" s="249">
        <f t="shared" si="604"/>
        <v>0</v>
      </c>
      <c r="BA151" s="249">
        <f t="shared" si="604"/>
        <v>0</v>
      </c>
      <c r="BB151" s="249">
        <f t="shared" si="604"/>
        <v>0</v>
      </c>
      <c r="BC151" s="249">
        <f t="shared" si="604"/>
        <v>0</v>
      </c>
      <c r="BD151" s="249">
        <f t="shared" si="604"/>
        <v>0</v>
      </c>
      <c r="BE151" s="249">
        <f t="shared" si="604"/>
        <v>0</v>
      </c>
      <c r="BF151" s="249">
        <f t="shared" si="604"/>
        <v>0</v>
      </c>
      <c r="BG151" s="249">
        <f t="shared" si="604"/>
        <v>0</v>
      </c>
      <c r="BH151" s="249">
        <f t="shared" si="604"/>
        <v>0</v>
      </c>
      <c r="BI151" s="249">
        <f t="shared" si="604"/>
        <v>0</v>
      </c>
      <c r="BJ151" s="249">
        <f t="shared" si="604"/>
        <v>0</v>
      </c>
      <c r="BK151" s="249">
        <f t="shared" si="604"/>
        <v>0</v>
      </c>
      <c r="BL151" s="249">
        <f t="shared" si="604"/>
        <v>0</v>
      </c>
      <c r="BM151" s="233"/>
      <c r="BN151" s="234"/>
      <c r="BO151" s="234"/>
      <c r="BP151" s="234"/>
      <c r="BQ151" s="234"/>
    </row>
    <row r="152" spans="1:69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400"/>
      <c r="G152" s="166"/>
      <c r="H152" s="94" t="e">
        <f t="shared" si="593"/>
        <v>#DIV/0!</v>
      </c>
      <c r="I152" s="94" t="e">
        <f t="shared" si="594"/>
        <v>#DIV/0!</v>
      </c>
      <c r="J152" s="142"/>
      <c r="K152" s="131">
        <v>293.62</v>
      </c>
      <c r="L152" s="376">
        <v>293.62</v>
      </c>
      <c r="M152" s="202"/>
      <c r="N152" s="97">
        <f t="shared" ref="N152:P152" si="605">Z152+AC152+AF152+AI152+AL152+AO152+AR152+AU152+AX152+BA152+BD152+BG152</f>
        <v>0</v>
      </c>
      <c r="O152" s="97">
        <f t="shared" si="605"/>
        <v>0</v>
      </c>
      <c r="P152" s="97">
        <f t="shared" si="605"/>
        <v>0</v>
      </c>
      <c r="Q152" s="97">
        <f t="shared" ref="Q152:S152" si="606">IF(BJ152=0,SUM(Z152+AC152+AF152+AI152+AL152+AO152+AR152+AU152+AX152+BA152+BD152+BG152),BJ152)</f>
        <v>0</v>
      </c>
      <c r="R152" s="97">
        <f t="shared" si="606"/>
        <v>0</v>
      </c>
      <c r="S152" s="97">
        <f t="shared" si="606"/>
        <v>0</v>
      </c>
      <c r="T152" s="97">
        <f t="shared" ref="T152:T154" si="607">J152-N152</f>
        <v>0</v>
      </c>
      <c r="U152" s="97">
        <f>K152-L152-O152</f>
        <v>0</v>
      </c>
      <c r="V152" s="97">
        <f t="shared" ref="V152:V154" si="608">M152-P152</f>
        <v>0</v>
      </c>
      <c r="W152" s="98" t="e">
        <f t="shared" ref="W152:X152" si="609">N152/J152</f>
        <v>#DIV/0!</v>
      </c>
      <c r="X152" s="98">
        <f t="shared" si="609"/>
        <v>0</v>
      </c>
      <c r="Y152" s="98" t="e">
        <f t="shared" si="599"/>
        <v>#DIV/0!</v>
      </c>
      <c r="Z152" s="96"/>
      <c r="AA152" s="96"/>
      <c r="AB152" s="96"/>
      <c r="AC152" s="96"/>
      <c r="AD152" s="103">
        <v>0</v>
      </c>
      <c r="AE152" s="96"/>
      <c r="AF152" s="96"/>
      <c r="AG152" s="103">
        <v>0</v>
      </c>
      <c r="AH152" s="96"/>
      <c r="AI152" s="96"/>
      <c r="AJ152" s="96"/>
      <c r="AK152" s="96"/>
      <c r="AL152" s="96"/>
      <c r="AM152" s="103">
        <v>0</v>
      </c>
      <c r="AN152" s="96"/>
      <c r="AO152" s="96"/>
      <c r="AP152" s="96"/>
      <c r="AQ152" s="96"/>
      <c r="AR152" s="96"/>
      <c r="AS152" s="103">
        <v>0</v>
      </c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9"/>
      <c r="BN152" s="100"/>
      <c r="BO152" s="100"/>
      <c r="BP152" s="100"/>
      <c r="BQ152" s="100"/>
    </row>
    <row r="153" spans="1:69" ht="15.75" customHeight="1">
      <c r="A153" s="89"/>
      <c r="B153" s="136"/>
      <c r="C153" s="90" t="s">
        <v>161</v>
      </c>
      <c r="D153" s="91" t="s">
        <v>405</v>
      </c>
      <c r="E153" s="166"/>
      <c r="F153" s="400"/>
      <c r="G153" s="166"/>
      <c r="H153" s="94"/>
      <c r="I153" s="94"/>
      <c r="J153" s="142"/>
      <c r="K153" s="204"/>
      <c r="L153" s="204"/>
      <c r="M153" s="202"/>
      <c r="N153" s="97">
        <f t="shared" ref="N153:P153" si="610">Z153+AC153+AF153+AI153+AL153+AO153+AR153+AU153+AX153+BA153+BD153+BG153</f>
        <v>0</v>
      </c>
      <c r="O153" s="97">
        <f t="shared" si="610"/>
        <v>0</v>
      </c>
      <c r="P153" s="97">
        <f t="shared" si="610"/>
        <v>0</v>
      </c>
      <c r="Q153" s="97">
        <f t="shared" ref="Q153:S153" si="611">IF(BJ153=0,SUM(Z153+AC153+AF153+AI153+AL153+AO153+AR153+AU153+AX153+BA153+BD153+BG153),BJ153)</f>
        <v>0</v>
      </c>
      <c r="R153" s="97">
        <f t="shared" si="611"/>
        <v>0</v>
      </c>
      <c r="S153" s="97">
        <f t="shared" si="611"/>
        <v>0</v>
      </c>
      <c r="T153" s="97">
        <f t="shared" si="607"/>
        <v>0</v>
      </c>
      <c r="U153" s="97">
        <f t="shared" ref="U153:U154" si="612">K153-O153</f>
        <v>0</v>
      </c>
      <c r="V153" s="97">
        <f t="shared" si="608"/>
        <v>0</v>
      </c>
      <c r="W153" s="98" t="e">
        <f t="shared" ref="W153:X153" si="613">N153/J153</f>
        <v>#DIV/0!</v>
      </c>
      <c r="X153" s="98" t="e">
        <f t="shared" si="613"/>
        <v>#DIV/0!</v>
      </c>
      <c r="Y153" s="98" t="e">
        <f t="shared" si="599"/>
        <v>#DIV/0!</v>
      </c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103">
        <v>0</v>
      </c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9"/>
      <c r="BN153" s="100"/>
      <c r="BO153" s="100"/>
      <c r="BP153" s="100"/>
      <c r="BQ153" s="100"/>
    </row>
    <row r="154" spans="1:69" ht="15.75" customHeight="1">
      <c r="A154" s="89"/>
      <c r="B154" s="89"/>
      <c r="C154" s="90" t="s">
        <v>298</v>
      </c>
      <c r="D154" s="91" t="s">
        <v>406</v>
      </c>
      <c r="E154" s="166"/>
      <c r="F154" s="400"/>
      <c r="G154" s="166"/>
      <c r="H154" s="94" t="e">
        <f t="shared" ref="H154:H157" si="614">J154/E154</f>
        <v>#DIV/0!</v>
      </c>
      <c r="I154" s="94" t="e">
        <f t="shared" ref="I154:I157" si="615">N154/E154</f>
        <v>#DIV/0!</v>
      </c>
      <c r="J154" s="96"/>
      <c r="K154" s="96"/>
      <c r="L154" s="96"/>
      <c r="M154" s="96"/>
      <c r="N154" s="97">
        <f t="shared" ref="N154:P154" si="616">Z154+AC154+AF154+AI154+AL154+AO154+AR154+AU154+AX154+BA154+BD154+BG154</f>
        <v>0</v>
      </c>
      <c r="O154" s="97">
        <f t="shared" si="616"/>
        <v>0</v>
      </c>
      <c r="P154" s="97">
        <f t="shared" si="616"/>
        <v>0</v>
      </c>
      <c r="Q154" s="97">
        <f t="shared" ref="Q154:S154" si="617">IF(BJ154=0,SUM(Z154+AC154+AF154+AI154+AL154+AO154+AR154+AU154+AX154+BA154+BD154+BG154),BJ154)</f>
        <v>0</v>
      </c>
      <c r="R154" s="97">
        <f t="shared" si="617"/>
        <v>0</v>
      </c>
      <c r="S154" s="97">
        <f t="shared" si="617"/>
        <v>0</v>
      </c>
      <c r="T154" s="97">
        <f t="shared" si="607"/>
        <v>0</v>
      </c>
      <c r="U154" s="97">
        <f t="shared" si="612"/>
        <v>0</v>
      </c>
      <c r="V154" s="97">
        <f t="shared" si="608"/>
        <v>0</v>
      </c>
      <c r="W154" s="98" t="e">
        <f t="shared" ref="W154:X154" si="618">N154/J154</f>
        <v>#DIV/0!</v>
      </c>
      <c r="X154" s="98" t="e">
        <f t="shared" si="618"/>
        <v>#DIV/0!</v>
      </c>
      <c r="Y154" s="98" t="e">
        <f t="shared" si="599"/>
        <v>#DIV/0!</v>
      </c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9"/>
      <c r="BN154" s="100"/>
      <c r="BO154" s="100"/>
      <c r="BP154" s="100"/>
      <c r="BQ154" s="100"/>
    </row>
    <row r="155" spans="1:69" ht="15.75" customHeight="1">
      <c r="A155" s="246"/>
      <c r="B155" s="246"/>
      <c r="C155" s="247"/>
      <c r="D155" s="248" t="s">
        <v>407</v>
      </c>
      <c r="E155" s="249">
        <f>SUM(E156:E159)</f>
        <v>0</v>
      </c>
      <c r="F155" s="409"/>
      <c r="G155" s="249">
        <f>SUM(G156:G159)</f>
        <v>0</v>
      </c>
      <c r="H155" s="223" t="e">
        <f t="shared" si="614"/>
        <v>#DIV/0!</v>
      </c>
      <c r="I155" s="187" t="e">
        <f t="shared" si="615"/>
        <v>#DIV/0!</v>
      </c>
      <c r="J155" s="249">
        <f t="shared" ref="J155:P155" si="619">SUM(J156:J159)</f>
        <v>4906.54</v>
      </c>
      <c r="K155" s="249">
        <f t="shared" si="619"/>
        <v>8700</v>
      </c>
      <c r="L155" s="249">
        <f t="shared" si="619"/>
        <v>8700</v>
      </c>
      <c r="M155" s="249">
        <f t="shared" si="619"/>
        <v>0</v>
      </c>
      <c r="N155" s="249">
        <f t="shared" si="619"/>
        <v>0</v>
      </c>
      <c r="O155" s="249">
        <f t="shared" si="619"/>
        <v>0</v>
      </c>
      <c r="P155" s="249">
        <f t="shared" si="619"/>
        <v>0</v>
      </c>
      <c r="Q155" s="238">
        <f t="shared" ref="Q155:S155" si="620">IF(BJ155=0,SUM(Z155+AC155+AF155+AI155+AL155+AO155+AR155+AU155+AX155+BA155+BD155+BG155),BJ155)</f>
        <v>0</v>
      </c>
      <c r="R155" s="238">
        <f t="shared" si="620"/>
        <v>0</v>
      </c>
      <c r="S155" s="238">
        <f t="shared" si="620"/>
        <v>0</v>
      </c>
      <c r="T155" s="249">
        <f t="shared" ref="T155:V155" si="621">SUM(T156:T159)</f>
        <v>4906.54</v>
      </c>
      <c r="U155" s="249">
        <f t="shared" si="621"/>
        <v>0</v>
      </c>
      <c r="V155" s="249">
        <f t="shared" si="621"/>
        <v>0</v>
      </c>
      <c r="W155" s="250">
        <f t="shared" ref="W155:X155" si="622">N155/J155</f>
        <v>0</v>
      </c>
      <c r="X155" s="250">
        <f t="shared" si="622"/>
        <v>0</v>
      </c>
      <c r="Y155" s="250" t="e">
        <f t="shared" si="599"/>
        <v>#DIV/0!</v>
      </c>
      <c r="Z155" s="249">
        <f t="shared" ref="Z155:BL155" si="623">SUM(Z156:Z159)</f>
        <v>0</v>
      </c>
      <c r="AA155" s="249">
        <f t="shared" si="623"/>
        <v>0</v>
      </c>
      <c r="AB155" s="249">
        <f t="shared" si="623"/>
        <v>0</v>
      </c>
      <c r="AC155" s="249">
        <f t="shared" si="623"/>
        <v>0</v>
      </c>
      <c r="AD155" s="249">
        <f t="shared" si="623"/>
        <v>0</v>
      </c>
      <c r="AE155" s="249">
        <f t="shared" si="623"/>
        <v>0</v>
      </c>
      <c r="AF155" s="249">
        <f t="shared" si="623"/>
        <v>0</v>
      </c>
      <c r="AG155" s="249">
        <f t="shared" si="623"/>
        <v>0</v>
      </c>
      <c r="AH155" s="249">
        <f t="shared" si="623"/>
        <v>0</v>
      </c>
      <c r="AI155" s="249">
        <f t="shared" si="623"/>
        <v>0</v>
      </c>
      <c r="AJ155" s="249">
        <f t="shared" si="623"/>
        <v>0</v>
      </c>
      <c r="AK155" s="249">
        <f t="shared" si="623"/>
        <v>0</v>
      </c>
      <c r="AL155" s="249">
        <f t="shared" si="623"/>
        <v>0</v>
      </c>
      <c r="AM155" s="249">
        <f t="shared" si="623"/>
        <v>0</v>
      </c>
      <c r="AN155" s="249">
        <f t="shared" si="623"/>
        <v>0</v>
      </c>
      <c r="AO155" s="249">
        <f t="shared" si="623"/>
        <v>0</v>
      </c>
      <c r="AP155" s="249">
        <f t="shared" si="623"/>
        <v>0</v>
      </c>
      <c r="AQ155" s="249">
        <f t="shared" si="623"/>
        <v>0</v>
      </c>
      <c r="AR155" s="249">
        <f t="shared" si="623"/>
        <v>0</v>
      </c>
      <c r="AS155" s="249">
        <f t="shared" si="623"/>
        <v>0</v>
      </c>
      <c r="AT155" s="249">
        <f t="shared" si="623"/>
        <v>0</v>
      </c>
      <c r="AU155" s="249">
        <f t="shared" si="623"/>
        <v>0</v>
      </c>
      <c r="AV155" s="249">
        <f t="shared" si="623"/>
        <v>0</v>
      </c>
      <c r="AW155" s="249">
        <f t="shared" si="623"/>
        <v>0</v>
      </c>
      <c r="AX155" s="249">
        <f t="shared" si="623"/>
        <v>0</v>
      </c>
      <c r="AY155" s="249">
        <f t="shared" si="623"/>
        <v>0</v>
      </c>
      <c r="AZ155" s="249">
        <f t="shared" si="623"/>
        <v>0</v>
      </c>
      <c r="BA155" s="249">
        <f t="shared" si="623"/>
        <v>0</v>
      </c>
      <c r="BB155" s="249">
        <f t="shared" si="623"/>
        <v>0</v>
      </c>
      <c r="BC155" s="249">
        <f t="shared" si="623"/>
        <v>0</v>
      </c>
      <c r="BD155" s="249">
        <f t="shared" si="623"/>
        <v>0</v>
      </c>
      <c r="BE155" s="249">
        <f t="shared" si="623"/>
        <v>0</v>
      </c>
      <c r="BF155" s="249">
        <f t="shared" si="623"/>
        <v>0</v>
      </c>
      <c r="BG155" s="249">
        <f t="shared" si="623"/>
        <v>0</v>
      </c>
      <c r="BH155" s="249">
        <f t="shared" si="623"/>
        <v>0</v>
      </c>
      <c r="BI155" s="249">
        <f t="shared" si="623"/>
        <v>0</v>
      </c>
      <c r="BJ155" s="249">
        <f t="shared" si="623"/>
        <v>0</v>
      </c>
      <c r="BK155" s="249">
        <f t="shared" si="623"/>
        <v>0</v>
      </c>
      <c r="BL155" s="249">
        <f t="shared" si="623"/>
        <v>0</v>
      </c>
      <c r="BM155" s="233"/>
      <c r="BN155" s="234"/>
      <c r="BO155" s="234"/>
      <c r="BP155" s="234"/>
      <c r="BQ155" s="234"/>
    </row>
    <row r="156" spans="1:69" ht="15.75" customHeight="1">
      <c r="A156" s="89"/>
      <c r="B156" s="89"/>
      <c r="C156" s="90" t="s">
        <v>161</v>
      </c>
      <c r="D156" s="91" t="s">
        <v>408</v>
      </c>
      <c r="E156" s="166"/>
      <c r="F156" s="400"/>
      <c r="G156" s="251"/>
      <c r="H156" s="94" t="e">
        <f t="shared" si="614"/>
        <v>#DIV/0!</v>
      </c>
      <c r="I156" s="94" t="e">
        <f t="shared" si="615"/>
        <v>#DIV/0!</v>
      </c>
      <c r="J156" s="96"/>
      <c r="K156" s="96"/>
      <c r="L156" s="96"/>
      <c r="M156" s="95"/>
      <c r="N156" s="97">
        <f t="shared" ref="N156:P156" si="624">Z156+AC156+AF156+AI156+AL156+AO156+AR156+AU156+AX156+BA156+BD156+BG156</f>
        <v>0</v>
      </c>
      <c r="O156" s="97">
        <f t="shared" si="624"/>
        <v>0</v>
      </c>
      <c r="P156" s="97">
        <f t="shared" si="624"/>
        <v>0</v>
      </c>
      <c r="Q156" s="97">
        <f t="shared" ref="Q156:S156" si="625">IF(BJ156=0,SUM(Z156+AC156+AF156+AI156+AL156+AO156+AR156+AU156+AX156+BA156+BD156+BG156),BJ156)</f>
        <v>0</v>
      </c>
      <c r="R156" s="97">
        <f t="shared" si="625"/>
        <v>0</v>
      </c>
      <c r="S156" s="97">
        <f t="shared" si="625"/>
        <v>0</v>
      </c>
      <c r="T156" s="97">
        <f t="shared" ref="T156:U156" si="626">J156-N156</f>
        <v>0</v>
      </c>
      <c r="U156" s="97">
        <f t="shared" si="626"/>
        <v>0</v>
      </c>
      <c r="V156" s="97">
        <f t="shared" ref="V156:V159" si="627">M156-P156</f>
        <v>0</v>
      </c>
      <c r="W156" s="98" t="e">
        <f t="shared" ref="W156:X156" si="628">N156/J156</f>
        <v>#DIV/0!</v>
      </c>
      <c r="X156" s="98" t="e">
        <f t="shared" si="628"/>
        <v>#DIV/0!</v>
      </c>
      <c r="Y156" s="98" t="e">
        <f t="shared" si="599"/>
        <v>#DIV/0!</v>
      </c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5"/>
      <c r="BH156" s="96"/>
      <c r="BI156" s="96"/>
      <c r="BJ156" s="95"/>
      <c r="BK156" s="96"/>
      <c r="BL156" s="96"/>
      <c r="BM156" s="99"/>
      <c r="BN156" s="100"/>
      <c r="BO156" s="100"/>
      <c r="BP156" s="100"/>
      <c r="BQ156" s="100"/>
    </row>
    <row r="157" spans="1:69" ht="15.75" customHeight="1">
      <c r="A157" s="89"/>
      <c r="B157" s="143" t="s">
        <v>409</v>
      </c>
      <c r="C157" s="90"/>
      <c r="D157" s="91" t="s">
        <v>410</v>
      </c>
      <c r="E157" s="166"/>
      <c r="F157" s="400"/>
      <c r="G157" s="166"/>
      <c r="H157" s="94" t="e">
        <f t="shared" si="614"/>
        <v>#DIV/0!</v>
      </c>
      <c r="I157" s="94" t="e">
        <f t="shared" si="615"/>
        <v>#DIV/0!</v>
      </c>
      <c r="J157" s="96"/>
      <c r="K157" s="167">
        <v>8700</v>
      </c>
      <c r="L157" s="117">
        <f>8700</f>
        <v>8700</v>
      </c>
      <c r="M157" s="95"/>
      <c r="N157" s="97">
        <f t="shared" ref="N157:P157" si="629">Z157+AC157+AF157+AI157+AL157+AO157+AR157+AU157+AX157+BA157+BD157+BG157</f>
        <v>0</v>
      </c>
      <c r="O157" s="97">
        <f t="shared" si="629"/>
        <v>0</v>
      </c>
      <c r="P157" s="97">
        <f t="shared" si="629"/>
        <v>0</v>
      </c>
      <c r="Q157" s="97">
        <f t="shared" ref="Q157:S157" si="630">IF(BJ157=0,SUM(Z157+AC157+AF157+AI157+AL157+AO157+AR157+AU157+AX157+BA157+BD157+BG157),BJ157)</f>
        <v>0</v>
      </c>
      <c r="R157" s="97">
        <f t="shared" si="630"/>
        <v>0</v>
      </c>
      <c r="S157" s="97">
        <f t="shared" si="630"/>
        <v>0</v>
      </c>
      <c r="T157" s="97">
        <f t="shared" ref="T157:T159" si="631">J157-N157</f>
        <v>0</v>
      </c>
      <c r="U157" s="97">
        <f>K157-L157-O157</f>
        <v>0</v>
      </c>
      <c r="V157" s="97">
        <f t="shared" si="627"/>
        <v>0</v>
      </c>
      <c r="W157" s="98" t="e">
        <f t="shared" ref="W157:X157" si="632">N157/J157</f>
        <v>#DIV/0!</v>
      </c>
      <c r="X157" s="98">
        <f t="shared" si="632"/>
        <v>0</v>
      </c>
      <c r="Y157" s="98" t="e">
        <f t="shared" si="599"/>
        <v>#DIV/0!</v>
      </c>
      <c r="Z157" s="252"/>
      <c r="AA157" s="96"/>
      <c r="AB157" s="96"/>
      <c r="AC157" s="96"/>
      <c r="AD157" s="96"/>
      <c r="AE157" s="96"/>
      <c r="AF157" s="96"/>
      <c r="AG157" s="103">
        <v>0</v>
      </c>
      <c r="AH157" s="96"/>
      <c r="AI157" s="96"/>
      <c r="AJ157" s="103">
        <v>0</v>
      </c>
      <c r="AK157" s="96"/>
      <c r="AL157" s="96"/>
      <c r="AM157" s="96"/>
      <c r="AN157" s="96"/>
      <c r="AO157" s="96"/>
      <c r="AP157" s="96"/>
      <c r="AQ157" s="96"/>
      <c r="AR157" s="96"/>
      <c r="AS157" s="96"/>
      <c r="AT157" s="202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9"/>
      <c r="BN157" s="100"/>
      <c r="BO157" s="100"/>
      <c r="BP157" s="100"/>
      <c r="BQ157" s="100"/>
    </row>
    <row r="158" spans="1:69" ht="15.75" customHeight="1">
      <c r="A158" s="21"/>
      <c r="B158" s="136"/>
      <c r="C158" s="90"/>
      <c r="D158" s="91" t="s">
        <v>411</v>
      </c>
      <c r="E158" s="166"/>
      <c r="F158" s="410"/>
      <c r="G158" s="21"/>
      <c r="H158" s="94"/>
      <c r="I158" s="94"/>
      <c r="J158" s="96"/>
      <c r="K158" s="117"/>
      <c r="L158" s="117"/>
      <c r="M158" s="95"/>
      <c r="N158" s="97">
        <f t="shared" ref="N158:P158" si="633">Z158+AC158+AF158+AI158+AL158+AO158+AR158+AU158+AX158+BA158+BD158+BG158</f>
        <v>0</v>
      </c>
      <c r="O158" s="97">
        <f t="shared" si="633"/>
        <v>0</v>
      </c>
      <c r="P158" s="97">
        <f t="shared" si="633"/>
        <v>0</v>
      </c>
      <c r="Q158" s="97">
        <f t="shared" ref="Q158:S158" si="634">IF(BJ158=0,SUM(Z158+AC158+AF158+AI158+AL158+AO158+AR158+AU158+AX158+BA158+BD158+BG158),BJ158)</f>
        <v>0</v>
      </c>
      <c r="R158" s="97">
        <f t="shared" si="634"/>
        <v>0</v>
      </c>
      <c r="S158" s="97">
        <f t="shared" si="634"/>
        <v>0</v>
      </c>
      <c r="T158" s="97">
        <f t="shared" si="631"/>
        <v>0</v>
      </c>
      <c r="U158" s="97">
        <f t="shared" ref="U158:U159" si="635">K158-O158</f>
        <v>0</v>
      </c>
      <c r="V158" s="97">
        <f t="shared" si="627"/>
        <v>0</v>
      </c>
      <c r="W158" s="98"/>
      <c r="X158" s="98"/>
      <c r="Y158" s="98"/>
      <c r="Z158" s="252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202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9"/>
      <c r="BN158" s="100"/>
      <c r="BO158" s="100"/>
      <c r="BP158" s="100"/>
      <c r="BQ158" s="100"/>
    </row>
    <row r="159" spans="1:69" ht="15.75" customHeight="1">
      <c r="A159" s="360" t="s">
        <v>673</v>
      </c>
      <c r="B159" s="89"/>
      <c r="C159" s="90" t="s">
        <v>165</v>
      </c>
      <c r="D159" s="207" t="s">
        <v>412</v>
      </c>
      <c r="E159" s="208"/>
      <c r="F159" s="411">
        <v>5000</v>
      </c>
      <c r="G159" s="208"/>
      <c r="H159" s="94" t="e">
        <f t="shared" ref="H159:H179" si="636">J159/E159</f>
        <v>#DIV/0!</v>
      </c>
      <c r="I159" s="94" t="e">
        <f t="shared" ref="I159:I179" si="637">N159/E159</f>
        <v>#DIV/0!</v>
      </c>
      <c r="J159" s="368">
        <f>3906.54+1000</f>
        <v>4906.54</v>
      </c>
      <c r="K159" s="204"/>
      <c r="L159" s="204"/>
      <c r="M159" s="202"/>
      <c r="N159" s="97">
        <f t="shared" ref="N159:O159" si="638">Z159+AC159+AF159+AI159+AL159+AO159+AR159+AU159+AX159+BA159+BD159+BG159</f>
        <v>0</v>
      </c>
      <c r="O159" s="97">
        <f t="shared" si="638"/>
        <v>0</v>
      </c>
      <c r="P159" s="97"/>
      <c r="Q159" s="97">
        <f t="shared" ref="Q159:R159" si="639">IF(BJ159=0,SUM(Z159+AC159+AF159+AI159+AL159+AO159+AR159+AU159+AX159+BA159+BD159+BG159),BJ159)</f>
        <v>0</v>
      </c>
      <c r="R159" s="97">
        <f t="shared" si="639"/>
        <v>0</v>
      </c>
      <c r="S159" s="97"/>
      <c r="T159" s="97">
        <f t="shared" si="631"/>
        <v>4906.54</v>
      </c>
      <c r="U159" s="97">
        <f t="shared" si="635"/>
        <v>0</v>
      </c>
      <c r="V159" s="97">
        <f t="shared" si="627"/>
        <v>0</v>
      </c>
      <c r="W159" s="98">
        <f t="shared" ref="W159:X159" si="640">N159/J159</f>
        <v>0</v>
      </c>
      <c r="X159" s="98" t="e">
        <f t="shared" si="640"/>
        <v>#DIV/0!</v>
      </c>
      <c r="Y159" s="98" t="e">
        <f t="shared" ref="Y159:Y170" si="641">P159/M159</f>
        <v>#DIV/0!</v>
      </c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 t="s">
        <v>413</v>
      </c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99"/>
      <c r="BN159" s="100"/>
      <c r="BO159" s="100"/>
      <c r="BP159" s="100"/>
      <c r="BQ159" s="100"/>
    </row>
    <row r="160" spans="1:69" ht="15.75" customHeight="1">
      <c r="A160" s="86"/>
      <c r="B160" s="86"/>
      <c r="C160" s="86" t="s">
        <v>414</v>
      </c>
      <c r="D160" s="86"/>
      <c r="E160" s="87">
        <f t="shared" ref="E160:G160" si="642">E161+E169+E184</f>
        <v>121389.6</v>
      </c>
      <c r="F160" s="389">
        <f t="shared" si="642"/>
        <v>142054.46000000002</v>
      </c>
      <c r="G160" s="87">
        <f t="shared" si="642"/>
        <v>36000</v>
      </c>
      <c r="H160" s="107">
        <f t="shared" si="636"/>
        <v>0.16611686668380157</v>
      </c>
      <c r="I160" s="107">
        <f t="shared" si="637"/>
        <v>0</v>
      </c>
      <c r="J160" s="87">
        <f t="shared" ref="J160:P160" si="643">J161+J169+J184</f>
        <v>20164.86</v>
      </c>
      <c r="K160" s="87">
        <f t="shared" si="643"/>
        <v>984.93000000000006</v>
      </c>
      <c r="L160" s="87">
        <f t="shared" si="643"/>
        <v>358.04</v>
      </c>
      <c r="M160" s="87">
        <f t="shared" si="643"/>
        <v>0</v>
      </c>
      <c r="N160" s="87">
        <f t="shared" si="643"/>
        <v>0</v>
      </c>
      <c r="O160" s="87">
        <f t="shared" si="643"/>
        <v>626.89</v>
      </c>
      <c r="P160" s="87">
        <f t="shared" si="643"/>
        <v>0</v>
      </c>
      <c r="Q160" s="87">
        <f t="shared" ref="Q160:S160" si="644">IF(BJ160=0,SUM(Z160+AC160+AF160+AI160+AL160+AO160+AR160+AU160+AX160+BA160+BD160+BG160),BJ160)</f>
        <v>0</v>
      </c>
      <c r="R160" s="87">
        <f t="shared" si="644"/>
        <v>626.89</v>
      </c>
      <c r="S160" s="87">
        <f t="shared" si="644"/>
        <v>0</v>
      </c>
      <c r="T160" s="87">
        <f t="shared" ref="T160:V160" si="645">T161+T169+T184</f>
        <v>6364.86</v>
      </c>
      <c r="U160" s="87">
        <f t="shared" si="645"/>
        <v>0</v>
      </c>
      <c r="V160" s="87">
        <f t="shared" si="645"/>
        <v>0</v>
      </c>
      <c r="W160" s="88">
        <f t="shared" ref="W160:X160" si="646">N160/J160</f>
        <v>0</v>
      </c>
      <c r="X160" s="88">
        <f t="shared" si="646"/>
        <v>0.6364817804310966</v>
      </c>
      <c r="Y160" s="88" t="e">
        <f t="shared" si="641"/>
        <v>#DIV/0!</v>
      </c>
      <c r="Z160" s="87">
        <f t="shared" ref="Z160:BL160" si="647">Z161+Z169+Z184</f>
        <v>0</v>
      </c>
      <c r="AA160" s="87">
        <f t="shared" si="647"/>
        <v>250</v>
      </c>
      <c r="AB160" s="87">
        <f t="shared" si="647"/>
        <v>0</v>
      </c>
      <c r="AC160" s="87">
        <f t="shared" si="647"/>
        <v>0</v>
      </c>
      <c r="AD160" s="87">
        <f t="shared" si="647"/>
        <v>0</v>
      </c>
      <c r="AE160" s="87">
        <f t="shared" si="647"/>
        <v>0</v>
      </c>
      <c r="AF160" s="87">
        <f t="shared" si="647"/>
        <v>0</v>
      </c>
      <c r="AG160" s="87">
        <f t="shared" si="647"/>
        <v>0</v>
      </c>
      <c r="AH160" s="87">
        <f t="shared" si="647"/>
        <v>0</v>
      </c>
      <c r="AI160" s="87">
        <f t="shared" si="647"/>
        <v>0</v>
      </c>
      <c r="AJ160" s="87">
        <f t="shared" si="647"/>
        <v>376.89</v>
      </c>
      <c r="AK160" s="87">
        <f t="shared" si="647"/>
        <v>0</v>
      </c>
      <c r="AL160" s="87">
        <f t="shared" si="647"/>
        <v>0</v>
      </c>
      <c r="AM160" s="87">
        <f t="shared" si="647"/>
        <v>0</v>
      </c>
      <c r="AN160" s="87">
        <f t="shared" si="647"/>
        <v>0</v>
      </c>
      <c r="AO160" s="87">
        <f t="shared" si="647"/>
        <v>0</v>
      </c>
      <c r="AP160" s="87">
        <f t="shared" si="647"/>
        <v>0</v>
      </c>
      <c r="AQ160" s="87">
        <f t="shared" si="647"/>
        <v>0</v>
      </c>
      <c r="AR160" s="87">
        <f t="shared" si="647"/>
        <v>0</v>
      </c>
      <c r="AS160" s="87">
        <f t="shared" si="647"/>
        <v>0</v>
      </c>
      <c r="AT160" s="87">
        <f t="shared" si="647"/>
        <v>0</v>
      </c>
      <c r="AU160" s="87">
        <f t="shared" si="647"/>
        <v>0</v>
      </c>
      <c r="AV160" s="87">
        <f t="shared" si="647"/>
        <v>0</v>
      </c>
      <c r="AW160" s="87">
        <f t="shared" si="647"/>
        <v>0</v>
      </c>
      <c r="AX160" s="87">
        <f t="shared" si="647"/>
        <v>0</v>
      </c>
      <c r="AY160" s="87">
        <f t="shared" si="647"/>
        <v>0</v>
      </c>
      <c r="AZ160" s="87">
        <f t="shared" si="647"/>
        <v>0</v>
      </c>
      <c r="BA160" s="87">
        <f t="shared" si="647"/>
        <v>0</v>
      </c>
      <c r="BB160" s="87">
        <f t="shared" si="647"/>
        <v>0</v>
      </c>
      <c r="BC160" s="87">
        <f t="shared" si="647"/>
        <v>0</v>
      </c>
      <c r="BD160" s="87">
        <f t="shared" si="647"/>
        <v>0</v>
      </c>
      <c r="BE160" s="87">
        <f t="shared" si="647"/>
        <v>0</v>
      </c>
      <c r="BF160" s="87">
        <f t="shared" si="647"/>
        <v>0</v>
      </c>
      <c r="BG160" s="87">
        <f t="shared" si="647"/>
        <v>0</v>
      </c>
      <c r="BH160" s="87">
        <f t="shared" si="647"/>
        <v>0</v>
      </c>
      <c r="BI160" s="87">
        <f t="shared" si="647"/>
        <v>0</v>
      </c>
      <c r="BJ160" s="87">
        <f t="shared" si="647"/>
        <v>0</v>
      </c>
      <c r="BK160" s="87">
        <f t="shared" si="647"/>
        <v>0</v>
      </c>
      <c r="BL160" s="87">
        <f t="shared" si="647"/>
        <v>0</v>
      </c>
      <c r="BM160" s="149"/>
      <c r="BN160" s="150"/>
      <c r="BO160" s="150"/>
      <c r="BP160" s="150"/>
      <c r="BQ160" s="150"/>
    </row>
    <row r="161" spans="1:69" ht="15.75" customHeight="1">
      <c r="A161" s="253"/>
      <c r="B161" s="253"/>
      <c r="C161" s="183"/>
      <c r="D161" s="254" t="s">
        <v>415</v>
      </c>
      <c r="E161" s="255">
        <f>E162+E166</f>
        <v>36444.800000000003</v>
      </c>
      <c r="F161" s="402">
        <f t="shared" ref="F161:F164" si="648">E161</f>
        <v>36444.800000000003</v>
      </c>
      <c r="G161" s="255">
        <f>G162+G166</f>
        <v>0</v>
      </c>
      <c r="H161" s="223">
        <f t="shared" si="636"/>
        <v>4.1158135042584948E-2</v>
      </c>
      <c r="I161" s="223">
        <f t="shared" si="637"/>
        <v>0</v>
      </c>
      <c r="J161" s="255">
        <f t="shared" ref="J161:P161" si="649">J162+J166</f>
        <v>1500</v>
      </c>
      <c r="K161" s="255">
        <f t="shared" si="649"/>
        <v>0</v>
      </c>
      <c r="L161" s="255">
        <f t="shared" si="649"/>
        <v>0</v>
      </c>
      <c r="M161" s="255">
        <f t="shared" si="649"/>
        <v>0</v>
      </c>
      <c r="N161" s="255">
        <f t="shared" si="649"/>
        <v>0</v>
      </c>
      <c r="O161" s="255">
        <f t="shared" si="649"/>
        <v>0</v>
      </c>
      <c r="P161" s="255">
        <f t="shared" si="649"/>
        <v>0</v>
      </c>
      <c r="Q161" s="245">
        <f t="shared" ref="Q161:S161" si="650">IF(BJ161=0,SUM(Z161+AC161+AF161+AI161+AL161+AO161+AR161+AU161+AX161+BA161+BD161+BG161),BJ161)</f>
        <v>0</v>
      </c>
      <c r="R161" s="245">
        <f t="shared" si="650"/>
        <v>0</v>
      </c>
      <c r="S161" s="245">
        <f t="shared" si="650"/>
        <v>0</v>
      </c>
      <c r="T161" s="255">
        <f t="shared" ref="T161:V161" si="651">T162+T166</f>
        <v>1500</v>
      </c>
      <c r="U161" s="255">
        <f t="shared" si="651"/>
        <v>0</v>
      </c>
      <c r="V161" s="255">
        <f t="shared" si="651"/>
        <v>0</v>
      </c>
      <c r="W161" s="256">
        <f t="shared" ref="W161:X161" si="652">N161/J161</f>
        <v>0</v>
      </c>
      <c r="X161" s="256" t="e">
        <f t="shared" si="652"/>
        <v>#DIV/0!</v>
      </c>
      <c r="Y161" s="256" t="e">
        <f t="shared" si="641"/>
        <v>#DIV/0!</v>
      </c>
      <c r="Z161" s="255">
        <f t="shared" ref="Z161:BL161" si="653">Z162+Z166</f>
        <v>0</v>
      </c>
      <c r="AA161" s="255">
        <f t="shared" si="653"/>
        <v>0</v>
      </c>
      <c r="AB161" s="255">
        <f t="shared" si="653"/>
        <v>0</v>
      </c>
      <c r="AC161" s="255">
        <f t="shared" si="653"/>
        <v>0</v>
      </c>
      <c r="AD161" s="255">
        <f t="shared" si="653"/>
        <v>0</v>
      </c>
      <c r="AE161" s="255">
        <f t="shared" si="653"/>
        <v>0</v>
      </c>
      <c r="AF161" s="255">
        <f t="shared" si="653"/>
        <v>0</v>
      </c>
      <c r="AG161" s="255">
        <f t="shared" si="653"/>
        <v>0</v>
      </c>
      <c r="AH161" s="255">
        <f t="shared" si="653"/>
        <v>0</v>
      </c>
      <c r="AI161" s="255">
        <f t="shared" si="653"/>
        <v>0</v>
      </c>
      <c r="AJ161" s="255">
        <f t="shared" si="653"/>
        <v>0</v>
      </c>
      <c r="AK161" s="255">
        <f t="shared" si="653"/>
        <v>0</v>
      </c>
      <c r="AL161" s="255">
        <f t="shared" si="653"/>
        <v>0</v>
      </c>
      <c r="AM161" s="255">
        <f t="shared" si="653"/>
        <v>0</v>
      </c>
      <c r="AN161" s="255">
        <f t="shared" si="653"/>
        <v>0</v>
      </c>
      <c r="AO161" s="255">
        <f t="shared" si="653"/>
        <v>0</v>
      </c>
      <c r="AP161" s="255">
        <f t="shared" si="653"/>
        <v>0</v>
      </c>
      <c r="AQ161" s="255">
        <f t="shared" si="653"/>
        <v>0</v>
      </c>
      <c r="AR161" s="255">
        <f t="shared" si="653"/>
        <v>0</v>
      </c>
      <c r="AS161" s="255">
        <f t="shared" si="653"/>
        <v>0</v>
      </c>
      <c r="AT161" s="255">
        <f t="shared" si="653"/>
        <v>0</v>
      </c>
      <c r="AU161" s="255">
        <f t="shared" si="653"/>
        <v>0</v>
      </c>
      <c r="AV161" s="255">
        <f t="shared" si="653"/>
        <v>0</v>
      </c>
      <c r="AW161" s="255">
        <f t="shared" si="653"/>
        <v>0</v>
      </c>
      <c r="AX161" s="255">
        <f t="shared" si="653"/>
        <v>0</v>
      </c>
      <c r="AY161" s="255">
        <f t="shared" si="653"/>
        <v>0</v>
      </c>
      <c r="AZ161" s="255">
        <f t="shared" si="653"/>
        <v>0</v>
      </c>
      <c r="BA161" s="255">
        <f t="shared" si="653"/>
        <v>0</v>
      </c>
      <c r="BB161" s="255">
        <f t="shared" si="653"/>
        <v>0</v>
      </c>
      <c r="BC161" s="255">
        <f t="shared" si="653"/>
        <v>0</v>
      </c>
      <c r="BD161" s="255">
        <f t="shared" si="653"/>
        <v>0</v>
      </c>
      <c r="BE161" s="255">
        <f t="shared" si="653"/>
        <v>0</v>
      </c>
      <c r="BF161" s="255">
        <f t="shared" si="653"/>
        <v>0</v>
      </c>
      <c r="BG161" s="255">
        <f t="shared" si="653"/>
        <v>0</v>
      </c>
      <c r="BH161" s="255">
        <f t="shared" si="653"/>
        <v>0</v>
      </c>
      <c r="BI161" s="255">
        <f t="shared" si="653"/>
        <v>0</v>
      </c>
      <c r="BJ161" s="255">
        <f t="shared" si="653"/>
        <v>0</v>
      </c>
      <c r="BK161" s="255">
        <f t="shared" si="653"/>
        <v>0</v>
      </c>
      <c r="BL161" s="255">
        <f t="shared" si="653"/>
        <v>0</v>
      </c>
      <c r="BM161" s="157"/>
      <c r="BN161" s="158"/>
      <c r="BO161" s="158"/>
      <c r="BP161" s="158"/>
      <c r="BQ161" s="158"/>
    </row>
    <row r="162" spans="1:69" ht="15.75" customHeight="1">
      <c r="A162" s="240"/>
      <c r="B162" s="240"/>
      <c r="C162" s="229"/>
      <c r="D162" s="257" t="s">
        <v>416</v>
      </c>
      <c r="E162" s="231">
        <f>SUM(E163:E165)</f>
        <v>36444.800000000003</v>
      </c>
      <c r="F162" s="409">
        <f t="shared" si="648"/>
        <v>36444.800000000003</v>
      </c>
      <c r="G162" s="231">
        <f>SUM(G163:G165)</f>
        <v>0</v>
      </c>
      <c r="H162" s="187">
        <f t="shared" si="636"/>
        <v>4.1158135042584948E-2</v>
      </c>
      <c r="I162" s="187">
        <f t="shared" si="637"/>
        <v>0</v>
      </c>
      <c r="J162" s="231">
        <f t="shared" ref="J162:P162" si="654">SUM(J163:J165)</f>
        <v>1500</v>
      </c>
      <c r="K162" s="231">
        <f t="shared" si="654"/>
        <v>0</v>
      </c>
      <c r="L162" s="231">
        <f t="shared" si="654"/>
        <v>0</v>
      </c>
      <c r="M162" s="231">
        <f t="shared" si="654"/>
        <v>0</v>
      </c>
      <c r="N162" s="231">
        <f t="shared" si="654"/>
        <v>0</v>
      </c>
      <c r="O162" s="231">
        <f t="shared" si="654"/>
        <v>0</v>
      </c>
      <c r="P162" s="231">
        <f t="shared" si="654"/>
        <v>0</v>
      </c>
      <c r="Q162" s="258">
        <f t="shared" ref="Q162:S162" si="655">IF(BJ162=0,SUM(Z162+AC162+AF162+AI162+AL162+AO162+AR162+AU162+AX162+BA162+BD162+BG162),BJ162)</f>
        <v>0</v>
      </c>
      <c r="R162" s="258">
        <f t="shared" si="655"/>
        <v>0</v>
      </c>
      <c r="S162" s="258">
        <f t="shared" si="655"/>
        <v>0</v>
      </c>
      <c r="T162" s="231">
        <f t="shared" ref="T162:V162" si="656">SUM(T163:T165)</f>
        <v>1500</v>
      </c>
      <c r="U162" s="231">
        <f t="shared" si="656"/>
        <v>0</v>
      </c>
      <c r="V162" s="231">
        <f t="shared" si="656"/>
        <v>0</v>
      </c>
      <c r="W162" s="259">
        <f t="shared" ref="W162:X162" si="657">N162/J162</f>
        <v>0</v>
      </c>
      <c r="X162" s="259" t="e">
        <f t="shared" si="657"/>
        <v>#DIV/0!</v>
      </c>
      <c r="Y162" s="259" t="e">
        <f t="shared" si="641"/>
        <v>#DIV/0!</v>
      </c>
      <c r="Z162" s="231">
        <f t="shared" ref="Z162:BL162" si="658">SUM(Z163:Z165)</f>
        <v>0</v>
      </c>
      <c r="AA162" s="231">
        <f t="shared" si="658"/>
        <v>0</v>
      </c>
      <c r="AB162" s="231">
        <f t="shared" si="658"/>
        <v>0</v>
      </c>
      <c r="AC162" s="231">
        <f t="shared" si="658"/>
        <v>0</v>
      </c>
      <c r="AD162" s="231">
        <f t="shared" si="658"/>
        <v>0</v>
      </c>
      <c r="AE162" s="231">
        <f t="shared" si="658"/>
        <v>0</v>
      </c>
      <c r="AF162" s="231">
        <f t="shared" si="658"/>
        <v>0</v>
      </c>
      <c r="AG162" s="231">
        <f t="shared" si="658"/>
        <v>0</v>
      </c>
      <c r="AH162" s="231">
        <f t="shared" si="658"/>
        <v>0</v>
      </c>
      <c r="AI162" s="231">
        <f t="shared" si="658"/>
        <v>0</v>
      </c>
      <c r="AJ162" s="231">
        <f t="shared" si="658"/>
        <v>0</v>
      </c>
      <c r="AK162" s="231">
        <f t="shared" si="658"/>
        <v>0</v>
      </c>
      <c r="AL162" s="231">
        <f t="shared" si="658"/>
        <v>0</v>
      </c>
      <c r="AM162" s="231">
        <f t="shared" si="658"/>
        <v>0</v>
      </c>
      <c r="AN162" s="231">
        <f t="shared" si="658"/>
        <v>0</v>
      </c>
      <c r="AO162" s="231">
        <f t="shared" si="658"/>
        <v>0</v>
      </c>
      <c r="AP162" s="231">
        <f t="shared" si="658"/>
        <v>0</v>
      </c>
      <c r="AQ162" s="231">
        <f t="shared" si="658"/>
        <v>0</v>
      </c>
      <c r="AR162" s="231">
        <f t="shared" si="658"/>
        <v>0</v>
      </c>
      <c r="AS162" s="231">
        <f t="shared" si="658"/>
        <v>0</v>
      </c>
      <c r="AT162" s="231">
        <f t="shared" si="658"/>
        <v>0</v>
      </c>
      <c r="AU162" s="231">
        <f t="shared" si="658"/>
        <v>0</v>
      </c>
      <c r="AV162" s="231">
        <f t="shared" si="658"/>
        <v>0</v>
      </c>
      <c r="AW162" s="231">
        <f t="shared" si="658"/>
        <v>0</v>
      </c>
      <c r="AX162" s="231">
        <f t="shared" si="658"/>
        <v>0</v>
      </c>
      <c r="AY162" s="231">
        <f t="shared" si="658"/>
        <v>0</v>
      </c>
      <c r="AZ162" s="231">
        <f t="shared" si="658"/>
        <v>0</v>
      </c>
      <c r="BA162" s="231">
        <f t="shared" si="658"/>
        <v>0</v>
      </c>
      <c r="BB162" s="231">
        <f t="shared" si="658"/>
        <v>0</v>
      </c>
      <c r="BC162" s="231">
        <f t="shared" si="658"/>
        <v>0</v>
      </c>
      <c r="BD162" s="231">
        <f t="shared" si="658"/>
        <v>0</v>
      </c>
      <c r="BE162" s="231">
        <f t="shared" si="658"/>
        <v>0</v>
      </c>
      <c r="BF162" s="231">
        <f t="shared" si="658"/>
        <v>0</v>
      </c>
      <c r="BG162" s="231">
        <f t="shared" si="658"/>
        <v>0</v>
      </c>
      <c r="BH162" s="231">
        <f t="shared" si="658"/>
        <v>0</v>
      </c>
      <c r="BI162" s="231">
        <f t="shared" si="658"/>
        <v>0</v>
      </c>
      <c r="BJ162" s="231">
        <f t="shared" si="658"/>
        <v>0</v>
      </c>
      <c r="BK162" s="231">
        <f t="shared" si="658"/>
        <v>0</v>
      </c>
      <c r="BL162" s="231">
        <f t="shared" si="658"/>
        <v>0</v>
      </c>
      <c r="BM162" s="233"/>
      <c r="BN162" s="234"/>
      <c r="BO162" s="234"/>
      <c r="BP162" s="234"/>
      <c r="BQ162" s="234"/>
    </row>
    <row r="163" spans="1:69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400">
        <f t="shared" si="648"/>
        <v>34944.800000000003</v>
      </c>
      <c r="G163" s="166"/>
      <c r="H163" s="94">
        <f t="shared" si="636"/>
        <v>0</v>
      </c>
      <c r="I163" s="94">
        <f t="shared" si="637"/>
        <v>0</v>
      </c>
      <c r="J163" s="142">
        <v>0</v>
      </c>
      <c r="K163" s="96"/>
      <c r="L163" s="96"/>
      <c r="M163" s="96"/>
      <c r="N163" s="97">
        <f t="shared" ref="N163:P163" si="659">Z163+AC163+AF163+AI163+AL163+AO163+AR163+AU163+AX163+BA163+BD163+BG163</f>
        <v>0</v>
      </c>
      <c r="O163" s="97">
        <f t="shared" si="659"/>
        <v>0</v>
      </c>
      <c r="P163" s="97">
        <f t="shared" si="659"/>
        <v>0</v>
      </c>
      <c r="Q163" s="97">
        <f t="shared" ref="Q163:S163" si="660">IF(BJ163=0,SUM(Z163+AC163+AF163+AI163+AL163+AO163+AR163+AU163+AX163+BA163+BD163+BG163),BJ163)</f>
        <v>0</v>
      </c>
      <c r="R163" s="97">
        <f t="shared" si="660"/>
        <v>0</v>
      </c>
      <c r="S163" s="97">
        <f t="shared" si="660"/>
        <v>0</v>
      </c>
      <c r="T163" s="138">
        <f t="shared" ref="T163:U163" si="661">J163-N163</f>
        <v>0</v>
      </c>
      <c r="U163" s="97">
        <f t="shared" si="661"/>
        <v>0</v>
      </c>
      <c r="V163" s="97">
        <f t="shared" ref="V163:V165" si="662">M163-P163</f>
        <v>0</v>
      </c>
      <c r="W163" s="98" t="e">
        <f t="shared" ref="W163:X163" si="663">N163/J163</f>
        <v>#DIV/0!</v>
      </c>
      <c r="X163" s="98" t="e">
        <f t="shared" si="663"/>
        <v>#DIV/0!</v>
      </c>
      <c r="Y163" s="98" t="e">
        <f t="shared" si="641"/>
        <v>#DIV/0!</v>
      </c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260">
        <v>0</v>
      </c>
      <c r="BH163" s="96"/>
      <c r="BI163" s="96"/>
      <c r="BJ163" s="96"/>
      <c r="BK163" s="96"/>
      <c r="BL163" s="96"/>
      <c r="BM163" s="99"/>
      <c r="BN163" s="100"/>
      <c r="BO163" s="100"/>
      <c r="BP163" s="100"/>
      <c r="BQ163" s="100"/>
    </row>
    <row r="164" spans="1:69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400">
        <f t="shared" si="648"/>
        <v>1500</v>
      </c>
      <c r="G164" s="166"/>
      <c r="H164" s="94">
        <f t="shared" si="636"/>
        <v>1</v>
      </c>
      <c r="I164" s="94">
        <f t="shared" si="637"/>
        <v>0</v>
      </c>
      <c r="J164" s="95">
        <v>1500</v>
      </c>
      <c r="K164" s="96"/>
      <c r="L164" s="96"/>
      <c r="M164" s="261"/>
      <c r="N164" s="97">
        <f t="shared" ref="N164:P164" si="664">Z164+AC164+AF164+AI164+AL164+AO164+AR164+AU164+AX164+BA164+BD164+BG164</f>
        <v>0</v>
      </c>
      <c r="O164" s="97">
        <f t="shared" si="664"/>
        <v>0</v>
      </c>
      <c r="P164" s="97">
        <f t="shared" si="664"/>
        <v>0</v>
      </c>
      <c r="Q164" s="97">
        <f t="shared" ref="Q164:S164" si="665">IF(BJ164=0,SUM(Z164+AC164+AF164+AI164+AL164+AO164+AR164+AU164+AX164+BA164+BD164+BG164),BJ164)</f>
        <v>0</v>
      </c>
      <c r="R164" s="97">
        <f t="shared" si="665"/>
        <v>0</v>
      </c>
      <c r="S164" s="97">
        <f t="shared" si="665"/>
        <v>0</v>
      </c>
      <c r="T164" s="97">
        <f t="shared" ref="T164:U164" si="666">J164-N164</f>
        <v>1500</v>
      </c>
      <c r="U164" s="97">
        <f t="shared" si="666"/>
        <v>0</v>
      </c>
      <c r="V164" s="97">
        <f t="shared" si="662"/>
        <v>0</v>
      </c>
      <c r="W164" s="98">
        <f t="shared" ref="W164:X164" si="667">N164/J164</f>
        <v>0</v>
      </c>
      <c r="X164" s="98" t="e">
        <f t="shared" si="667"/>
        <v>#DIV/0!</v>
      </c>
      <c r="Y164" s="98" t="e">
        <f t="shared" si="641"/>
        <v>#DIV/0!</v>
      </c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9"/>
      <c r="BN164" s="100"/>
      <c r="BO164" s="100"/>
      <c r="BP164" s="100"/>
      <c r="BQ164" s="100"/>
    </row>
    <row r="165" spans="1:69" ht="15.75" customHeight="1">
      <c r="A165" s="89"/>
      <c r="B165" s="89"/>
      <c r="C165" s="90" t="s">
        <v>213</v>
      </c>
      <c r="D165" s="91" t="s">
        <v>74</v>
      </c>
      <c r="E165" s="166"/>
      <c r="F165" s="400"/>
      <c r="G165" s="166"/>
      <c r="H165" s="94" t="e">
        <f t="shared" si="636"/>
        <v>#DIV/0!</v>
      </c>
      <c r="I165" s="94" t="e">
        <f t="shared" si="637"/>
        <v>#DIV/0!</v>
      </c>
      <c r="J165" s="95"/>
      <c r="K165" s="96"/>
      <c r="L165" s="96"/>
      <c r="M165" s="95"/>
      <c r="N165" s="97">
        <f t="shared" ref="N165:P165" si="668">Z165+AC165+AF165+AI165+AL165+AO165+AR165+AU165+AX165+BA165+BD165+BG165</f>
        <v>0</v>
      </c>
      <c r="O165" s="97">
        <f t="shared" si="668"/>
        <v>0</v>
      </c>
      <c r="P165" s="97">
        <f t="shared" si="668"/>
        <v>0</v>
      </c>
      <c r="Q165" s="97">
        <f t="shared" ref="Q165:S165" si="669">IF(BJ165=0,SUM(Z165+AC165+AF165+AI165+AL165+AO165+AR165+AU165+AX165+BA165+BD165+BG165),BJ165)</f>
        <v>0</v>
      </c>
      <c r="R165" s="97">
        <f t="shared" si="669"/>
        <v>0</v>
      </c>
      <c r="S165" s="97">
        <f t="shared" si="669"/>
        <v>0</v>
      </c>
      <c r="T165" s="97">
        <f t="shared" ref="T165:U165" si="670">J165-N165</f>
        <v>0</v>
      </c>
      <c r="U165" s="97">
        <f t="shared" si="670"/>
        <v>0</v>
      </c>
      <c r="V165" s="97">
        <f t="shared" si="662"/>
        <v>0</v>
      </c>
      <c r="W165" s="98" t="e">
        <f t="shared" ref="W165:X165" si="671">N165/J165</f>
        <v>#DIV/0!</v>
      </c>
      <c r="X165" s="98" t="e">
        <f t="shared" si="671"/>
        <v>#DIV/0!</v>
      </c>
      <c r="Y165" s="98" t="e">
        <f t="shared" si="641"/>
        <v>#DIV/0!</v>
      </c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9"/>
      <c r="BN165" s="100"/>
      <c r="BO165" s="100"/>
      <c r="BP165" s="100"/>
      <c r="BQ165" s="100"/>
    </row>
    <row r="166" spans="1:69" ht="15.75" customHeight="1">
      <c r="A166" s="240"/>
      <c r="B166" s="240"/>
      <c r="C166" s="229"/>
      <c r="D166" s="230" t="s">
        <v>418</v>
      </c>
      <c r="E166" s="231">
        <f>SUM(E167:E168)</f>
        <v>0</v>
      </c>
      <c r="F166" s="409"/>
      <c r="G166" s="231">
        <f>SUM(G167:G168)</f>
        <v>0</v>
      </c>
      <c r="H166" s="188" t="e">
        <f t="shared" si="636"/>
        <v>#DIV/0!</v>
      </c>
      <c r="I166" s="188" t="e">
        <f t="shared" si="637"/>
        <v>#DIV/0!</v>
      </c>
      <c r="J166" s="231">
        <f t="shared" ref="J166:P166" si="672">SUM(J167:J168)</f>
        <v>0</v>
      </c>
      <c r="K166" s="231">
        <f t="shared" si="672"/>
        <v>0</v>
      </c>
      <c r="L166" s="231">
        <f t="shared" si="672"/>
        <v>0</v>
      </c>
      <c r="M166" s="231">
        <f t="shared" si="672"/>
        <v>0</v>
      </c>
      <c r="N166" s="231">
        <f t="shared" si="672"/>
        <v>0</v>
      </c>
      <c r="O166" s="231">
        <f t="shared" si="672"/>
        <v>0</v>
      </c>
      <c r="P166" s="231">
        <f t="shared" si="672"/>
        <v>0</v>
      </c>
      <c r="Q166" s="258">
        <f t="shared" ref="Q166:S166" si="673">IF(BJ166=0,SUM(Z166+AC166+AF166+AI166+AL166+AO166+AR166+AU166+AX166+BA166+BD166+BG166),BJ166)</f>
        <v>0</v>
      </c>
      <c r="R166" s="258">
        <f t="shared" si="673"/>
        <v>0</v>
      </c>
      <c r="S166" s="258">
        <f t="shared" si="673"/>
        <v>0</v>
      </c>
      <c r="T166" s="231">
        <f t="shared" ref="T166:V166" si="674">SUM(T167:T168)</f>
        <v>0</v>
      </c>
      <c r="U166" s="231">
        <f t="shared" si="674"/>
        <v>0</v>
      </c>
      <c r="V166" s="231">
        <f t="shared" si="674"/>
        <v>0</v>
      </c>
      <c r="W166" s="259" t="e">
        <f t="shared" ref="W166:X166" si="675">N166/J166</f>
        <v>#DIV/0!</v>
      </c>
      <c r="X166" s="259" t="e">
        <f t="shared" si="675"/>
        <v>#DIV/0!</v>
      </c>
      <c r="Y166" s="259" t="e">
        <f t="shared" si="641"/>
        <v>#DIV/0!</v>
      </c>
      <c r="Z166" s="231">
        <f t="shared" ref="Z166:BL166" si="676">SUM(Z167:Z168)</f>
        <v>0</v>
      </c>
      <c r="AA166" s="231">
        <f t="shared" si="676"/>
        <v>0</v>
      </c>
      <c r="AB166" s="231">
        <f t="shared" si="676"/>
        <v>0</v>
      </c>
      <c r="AC166" s="231">
        <f t="shared" si="676"/>
        <v>0</v>
      </c>
      <c r="AD166" s="231">
        <f t="shared" si="676"/>
        <v>0</v>
      </c>
      <c r="AE166" s="231">
        <f t="shared" si="676"/>
        <v>0</v>
      </c>
      <c r="AF166" s="231">
        <f t="shared" si="676"/>
        <v>0</v>
      </c>
      <c r="AG166" s="231">
        <f t="shared" si="676"/>
        <v>0</v>
      </c>
      <c r="AH166" s="231">
        <f t="shared" si="676"/>
        <v>0</v>
      </c>
      <c r="AI166" s="231">
        <f t="shared" si="676"/>
        <v>0</v>
      </c>
      <c r="AJ166" s="231">
        <f t="shared" si="676"/>
        <v>0</v>
      </c>
      <c r="AK166" s="231">
        <f t="shared" si="676"/>
        <v>0</v>
      </c>
      <c r="AL166" s="231">
        <f t="shared" si="676"/>
        <v>0</v>
      </c>
      <c r="AM166" s="231">
        <f t="shared" si="676"/>
        <v>0</v>
      </c>
      <c r="AN166" s="231">
        <f t="shared" si="676"/>
        <v>0</v>
      </c>
      <c r="AO166" s="231">
        <f t="shared" si="676"/>
        <v>0</v>
      </c>
      <c r="AP166" s="231">
        <f t="shared" si="676"/>
        <v>0</v>
      </c>
      <c r="AQ166" s="231">
        <f t="shared" si="676"/>
        <v>0</v>
      </c>
      <c r="AR166" s="231">
        <f t="shared" si="676"/>
        <v>0</v>
      </c>
      <c r="AS166" s="231">
        <f t="shared" si="676"/>
        <v>0</v>
      </c>
      <c r="AT166" s="231">
        <f t="shared" si="676"/>
        <v>0</v>
      </c>
      <c r="AU166" s="231">
        <f t="shared" si="676"/>
        <v>0</v>
      </c>
      <c r="AV166" s="231">
        <f t="shared" si="676"/>
        <v>0</v>
      </c>
      <c r="AW166" s="231">
        <f t="shared" si="676"/>
        <v>0</v>
      </c>
      <c r="AX166" s="231">
        <f t="shared" si="676"/>
        <v>0</v>
      </c>
      <c r="AY166" s="231">
        <f t="shared" si="676"/>
        <v>0</v>
      </c>
      <c r="AZ166" s="231">
        <f t="shared" si="676"/>
        <v>0</v>
      </c>
      <c r="BA166" s="231">
        <f t="shared" si="676"/>
        <v>0</v>
      </c>
      <c r="BB166" s="231">
        <f t="shared" si="676"/>
        <v>0</v>
      </c>
      <c r="BC166" s="231">
        <f t="shared" si="676"/>
        <v>0</v>
      </c>
      <c r="BD166" s="231">
        <f t="shared" si="676"/>
        <v>0</v>
      </c>
      <c r="BE166" s="231">
        <f t="shared" si="676"/>
        <v>0</v>
      </c>
      <c r="BF166" s="231">
        <f t="shared" si="676"/>
        <v>0</v>
      </c>
      <c r="BG166" s="231">
        <f t="shared" si="676"/>
        <v>0</v>
      </c>
      <c r="BH166" s="231">
        <f t="shared" si="676"/>
        <v>0</v>
      </c>
      <c r="BI166" s="231">
        <f t="shared" si="676"/>
        <v>0</v>
      </c>
      <c r="BJ166" s="231">
        <f t="shared" si="676"/>
        <v>0</v>
      </c>
      <c r="BK166" s="231">
        <f t="shared" si="676"/>
        <v>0</v>
      </c>
      <c r="BL166" s="231">
        <f t="shared" si="676"/>
        <v>0</v>
      </c>
      <c r="BM166" s="233"/>
      <c r="BN166" s="234"/>
      <c r="BO166" s="234"/>
      <c r="BP166" s="234"/>
      <c r="BQ166" s="234"/>
    </row>
    <row r="167" spans="1:69" ht="15.75" customHeight="1">
      <c r="A167" s="89"/>
      <c r="B167" s="89"/>
      <c r="C167" s="90" t="s">
        <v>357</v>
      </c>
      <c r="D167" s="91" t="s">
        <v>419</v>
      </c>
      <c r="E167" s="166"/>
      <c r="F167" s="400"/>
      <c r="G167" s="166"/>
      <c r="H167" s="94" t="e">
        <f t="shared" si="636"/>
        <v>#DIV/0!</v>
      </c>
      <c r="I167" s="94" t="e">
        <f t="shared" si="637"/>
        <v>#DIV/0!</v>
      </c>
      <c r="J167" s="95"/>
      <c r="K167" s="96"/>
      <c r="L167" s="96"/>
      <c r="M167" s="95"/>
      <c r="N167" s="97">
        <f t="shared" ref="N167:P167" si="677">Z167+AC167+AF167+AI167+AL167+AO167+AR167+AU167+AX167+BA167+BD167+BG167</f>
        <v>0</v>
      </c>
      <c r="O167" s="97">
        <f t="shared" si="677"/>
        <v>0</v>
      </c>
      <c r="P167" s="97">
        <f t="shared" si="677"/>
        <v>0</v>
      </c>
      <c r="Q167" s="97">
        <f t="shared" ref="Q167:S167" si="678">IF(BJ167=0,SUM(Z167+AC167+AF167+AI167+AL167+AO167+AR167+AU167+AX167+BA167+BD167+BG167),BJ167)</f>
        <v>0</v>
      </c>
      <c r="R167" s="97">
        <f t="shared" si="678"/>
        <v>0</v>
      </c>
      <c r="S167" s="97">
        <f t="shared" si="678"/>
        <v>0</v>
      </c>
      <c r="T167" s="97">
        <f t="shared" ref="T167:U167" si="679">J167-N167</f>
        <v>0</v>
      </c>
      <c r="U167" s="97">
        <f t="shared" si="679"/>
        <v>0</v>
      </c>
      <c r="V167" s="97">
        <f t="shared" ref="V167:V168" si="680">M167-P167</f>
        <v>0</v>
      </c>
      <c r="W167" s="98" t="e">
        <f t="shared" ref="W167:X167" si="681">N167/J167</f>
        <v>#DIV/0!</v>
      </c>
      <c r="X167" s="98" t="e">
        <f t="shared" si="681"/>
        <v>#DIV/0!</v>
      </c>
      <c r="Y167" s="98" t="e">
        <f t="shared" si="641"/>
        <v>#DIV/0!</v>
      </c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9"/>
      <c r="BN167" s="100"/>
      <c r="BO167" s="100"/>
      <c r="BP167" s="100"/>
      <c r="BQ167" s="100"/>
    </row>
    <row r="168" spans="1:69" ht="15.75" customHeight="1">
      <c r="A168" s="89"/>
      <c r="B168" s="89"/>
      <c r="C168" s="101"/>
      <c r="D168" s="91"/>
      <c r="E168" s="166"/>
      <c r="F168" s="412"/>
      <c r="G168" s="262"/>
      <c r="H168" s="94" t="e">
        <f t="shared" si="636"/>
        <v>#DIV/0!</v>
      </c>
      <c r="I168" s="94" t="e">
        <f t="shared" si="637"/>
        <v>#DIV/0!</v>
      </c>
      <c r="J168" s="95"/>
      <c r="K168" s="96"/>
      <c r="L168" s="96"/>
      <c r="M168" s="95"/>
      <c r="N168" s="97"/>
      <c r="O168" s="97">
        <f t="shared" ref="O168:P168" si="682">AA168+AD168+AG168+AJ168+AM168+AP168+AS168+AV168+AY168+BB168+BE168+BH168</f>
        <v>0</v>
      </c>
      <c r="P168" s="97">
        <f t="shared" si="682"/>
        <v>0</v>
      </c>
      <c r="Q168" s="97">
        <f t="shared" ref="Q168:S168" si="683">IF(BJ168=0,SUM(Z168+AC168+AF168+AI168+AL168+AO168+AR168+AU168+AX168+BA168+BD168+BG168),BJ168)</f>
        <v>0</v>
      </c>
      <c r="R168" s="97">
        <f t="shared" si="683"/>
        <v>0</v>
      </c>
      <c r="S168" s="97">
        <f t="shared" si="683"/>
        <v>0</v>
      </c>
      <c r="T168" s="97">
        <f t="shared" ref="T168:U168" si="684">J168-N168</f>
        <v>0</v>
      </c>
      <c r="U168" s="97">
        <f t="shared" si="684"/>
        <v>0</v>
      </c>
      <c r="V168" s="97">
        <f t="shared" si="680"/>
        <v>0</v>
      </c>
      <c r="W168" s="98" t="e">
        <f t="shared" ref="W168:X168" si="685">N168/J168</f>
        <v>#DIV/0!</v>
      </c>
      <c r="X168" s="98" t="e">
        <f t="shared" si="685"/>
        <v>#DIV/0!</v>
      </c>
      <c r="Y168" s="98" t="e">
        <f t="shared" si="641"/>
        <v>#DIV/0!</v>
      </c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9"/>
      <c r="BN168" s="100"/>
      <c r="BO168" s="100"/>
      <c r="BP168" s="100"/>
      <c r="BQ168" s="100"/>
    </row>
    <row r="169" spans="1:69" ht="15.75" customHeight="1">
      <c r="A169" s="253"/>
      <c r="B169" s="253"/>
      <c r="C169" s="183"/>
      <c r="D169" s="254" t="s">
        <v>420</v>
      </c>
      <c r="E169" s="255">
        <f>E170+E177</f>
        <v>84944.8</v>
      </c>
      <c r="F169" s="402">
        <f>F170</f>
        <v>105609.66</v>
      </c>
      <c r="G169" s="255">
        <f>G170+G177</f>
        <v>36000</v>
      </c>
      <c r="H169" s="223">
        <f t="shared" si="636"/>
        <v>0.21972928301673558</v>
      </c>
      <c r="I169" s="223">
        <f t="shared" si="637"/>
        <v>0</v>
      </c>
      <c r="J169" s="255">
        <f t="shared" ref="J169:P169" si="686">J170+J177</f>
        <v>18664.86</v>
      </c>
      <c r="K169" s="255">
        <f t="shared" si="686"/>
        <v>250</v>
      </c>
      <c r="L169" s="255">
        <f t="shared" si="686"/>
        <v>0</v>
      </c>
      <c r="M169" s="255">
        <f t="shared" si="686"/>
        <v>0</v>
      </c>
      <c r="N169" s="255">
        <f t="shared" si="686"/>
        <v>0</v>
      </c>
      <c r="O169" s="255">
        <f t="shared" si="686"/>
        <v>250</v>
      </c>
      <c r="P169" s="255">
        <f t="shared" si="686"/>
        <v>0</v>
      </c>
      <c r="Q169" s="255">
        <f t="shared" ref="Q169:S169" si="687">IF(BJ169=0,SUM(Z169+AC169+AF169+AI169+AL169+AO169+AR169+AU169+AX169+BA169+BD169+BG169),BJ169)</f>
        <v>0</v>
      </c>
      <c r="R169" s="255">
        <f t="shared" si="687"/>
        <v>250</v>
      </c>
      <c r="S169" s="255">
        <f t="shared" si="687"/>
        <v>0</v>
      </c>
      <c r="T169" s="255">
        <f t="shared" ref="T169:V169" si="688">T170+T177</f>
        <v>4864.8599999999997</v>
      </c>
      <c r="U169" s="255">
        <f t="shared" si="688"/>
        <v>0</v>
      </c>
      <c r="V169" s="255">
        <f t="shared" si="688"/>
        <v>0</v>
      </c>
      <c r="W169" s="256">
        <f t="shared" ref="W169:X169" si="689">N169/J169</f>
        <v>0</v>
      </c>
      <c r="X169" s="256">
        <f t="shared" si="689"/>
        <v>1</v>
      </c>
      <c r="Y169" s="256" t="e">
        <f t="shared" si="641"/>
        <v>#DIV/0!</v>
      </c>
      <c r="Z169" s="255">
        <f t="shared" ref="Z169:BL169" si="690">Z170+Z177</f>
        <v>0</v>
      </c>
      <c r="AA169" s="255">
        <f t="shared" si="690"/>
        <v>250</v>
      </c>
      <c r="AB169" s="255">
        <f t="shared" si="690"/>
        <v>0</v>
      </c>
      <c r="AC169" s="255">
        <f t="shared" si="690"/>
        <v>0</v>
      </c>
      <c r="AD169" s="255">
        <f t="shared" si="690"/>
        <v>0</v>
      </c>
      <c r="AE169" s="255">
        <f t="shared" si="690"/>
        <v>0</v>
      </c>
      <c r="AF169" s="255">
        <f t="shared" si="690"/>
        <v>0</v>
      </c>
      <c r="AG169" s="255">
        <f t="shared" si="690"/>
        <v>0</v>
      </c>
      <c r="AH169" s="255">
        <f t="shared" si="690"/>
        <v>0</v>
      </c>
      <c r="AI169" s="255">
        <f t="shared" si="690"/>
        <v>0</v>
      </c>
      <c r="AJ169" s="255">
        <f t="shared" si="690"/>
        <v>0</v>
      </c>
      <c r="AK169" s="255">
        <f t="shared" si="690"/>
        <v>0</v>
      </c>
      <c r="AL169" s="255">
        <f t="shared" si="690"/>
        <v>0</v>
      </c>
      <c r="AM169" s="255">
        <f t="shared" si="690"/>
        <v>0</v>
      </c>
      <c r="AN169" s="255">
        <f t="shared" si="690"/>
        <v>0</v>
      </c>
      <c r="AO169" s="255">
        <f t="shared" si="690"/>
        <v>0</v>
      </c>
      <c r="AP169" s="255">
        <f t="shared" si="690"/>
        <v>0</v>
      </c>
      <c r="AQ169" s="255">
        <f t="shared" si="690"/>
        <v>0</v>
      </c>
      <c r="AR169" s="255">
        <f t="shared" si="690"/>
        <v>0</v>
      </c>
      <c r="AS169" s="255">
        <f t="shared" si="690"/>
        <v>0</v>
      </c>
      <c r="AT169" s="255">
        <f t="shared" si="690"/>
        <v>0</v>
      </c>
      <c r="AU169" s="255">
        <f t="shared" si="690"/>
        <v>0</v>
      </c>
      <c r="AV169" s="255">
        <f t="shared" si="690"/>
        <v>0</v>
      </c>
      <c r="AW169" s="255">
        <f t="shared" si="690"/>
        <v>0</v>
      </c>
      <c r="AX169" s="255">
        <f t="shared" si="690"/>
        <v>0</v>
      </c>
      <c r="AY169" s="255">
        <f t="shared" si="690"/>
        <v>0</v>
      </c>
      <c r="AZ169" s="255">
        <f t="shared" si="690"/>
        <v>0</v>
      </c>
      <c r="BA169" s="255">
        <f t="shared" si="690"/>
        <v>0</v>
      </c>
      <c r="BB169" s="255">
        <f t="shared" si="690"/>
        <v>0</v>
      </c>
      <c r="BC169" s="255">
        <f t="shared" si="690"/>
        <v>0</v>
      </c>
      <c r="BD169" s="255">
        <f t="shared" si="690"/>
        <v>0</v>
      </c>
      <c r="BE169" s="255">
        <f t="shared" si="690"/>
        <v>0</v>
      </c>
      <c r="BF169" s="255">
        <f t="shared" si="690"/>
        <v>0</v>
      </c>
      <c r="BG169" s="255">
        <f t="shared" si="690"/>
        <v>0</v>
      </c>
      <c r="BH169" s="255">
        <f t="shared" si="690"/>
        <v>0</v>
      </c>
      <c r="BI169" s="255">
        <f t="shared" si="690"/>
        <v>0</v>
      </c>
      <c r="BJ169" s="255">
        <f t="shared" si="690"/>
        <v>0</v>
      </c>
      <c r="BK169" s="255">
        <f t="shared" si="690"/>
        <v>0</v>
      </c>
      <c r="BL169" s="255">
        <f t="shared" si="690"/>
        <v>0</v>
      </c>
      <c r="BM169" s="157"/>
      <c r="BN169" s="158"/>
      <c r="BO169" s="158"/>
      <c r="BP169" s="158"/>
      <c r="BQ169" s="158"/>
    </row>
    <row r="170" spans="1:69" ht="15.75" customHeight="1">
      <c r="A170" s="240"/>
      <c r="B170" s="240"/>
      <c r="C170" s="229"/>
      <c r="D170" s="230" t="s">
        <v>421</v>
      </c>
      <c r="E170" s="231">
        <f>SUM(E171:E176)</f>
        <v>84944.8</v>
      </c>
      <c r="F170" s="409">
        <f t="shared" ref="F170:G170" si="691">SUM(F171:F175)</f>
        <v>105609.66</v>
      </c>
      <c r="G170" s="231">
        <f t="shared" si="691"/>
        <v>0</v>
      </c>
      <c r="H170" s="188">
        <f t="shared" si="636"/>
        <v>0.21972928301673558</v>
      </c>
      <c r="I170" s="188">
        <f t="shared" si="637"/>
        <v>0</v>
      </c>
      <c r="J170" s="231">
        <f t="shared" ref="J170:L170" si="692">SUM(J171:J176)</f>
        <v>18664.86</v>
      </c>
      <c r="K170" s="231">
        <f t="shared" si="692"/>
        <v>250</v>
      </c>
      <c r="L170" s="231">
        <f t="shared" si="692"/>
        <v>0</v>
      </c>
      <c r="M170" s="231">
        <f t="shared" ref="M170:N170" si="693">SUM(M171:M175)</f>
        <v>0</v>
      </c>
      <c r="N170" s="231">
        <f t="shared" si="693"/>
        <v>0</v>
      </c>
      <c r="O170" s="231">
        <f>SUM(O171:O176)</f>
        <v>250</v>
      </c>
      <c r="P170" s="231">
        <f>SUM(P171:P175)</f>
        <v>0</v>
      </c>
      <c r="Q170" s="232">
        <f t="shared" ref="Q170:S170" si="694">IF(BJ170=0,SUM(Z170+AC170+AF170+AI170+AL170+AO170+AR170+AU170+AX170+BA170+BD170+BG170),BJ170)</f>
        <v>0</v>
      </c>
      <c r="R170" s="232">
        <f t="shared" si="694"/>
        <v>250</v>
      </c>
      <c r="S170" s="232">
        <f t="shared" si="694"/>
        <v>0</v>
      </c>
      <c r="T170" s="231">
        <f t="shared" ref="T170:U170" si="695">SUM(T171:T176)</f>
        <v>4864.8599999999997</v>
      </c>
      <c r="U170" s="231">
        <f t="shared" si="695"/>
        <v>0</v>
      </c>
      <c r="V170" s="231">
        <f>SUM(V171:V175)</f>
        <v>0</v>
      </c>
      <c r="W170" s="259">
        <f t="shared" ref="W170:X170" si="696">N170/J170</f>
        <v>0</v>
      </c>
      <c r="X170" s="259">
        <f t="shared" si="696"/>
        <v>1</v>
      </c>
      <c r="Y170" s="259" t="e">
        <f t="shared" si="641"/>
        <v>#DIV/0!</v>
      </c>
      <c r="Z170" s="231">
        <f>SUM(Z171:Z175)</f>
        <v>0</v>
      </c>
      <c r="AA170" s="231">
        <f>SUM(AA171:AA176)</f>
        <v>250</v>
      </c>
      <c r="AB170" s="231">
        <f t="shared" ref="AB170:AF170" si="697">SUM(AB171:AB175)</f>
        <v>0</v>
      </c>
      <c r="AC170" s="231">
        <f t="shared" si="697"/>
        <v>0</v>
      </c>
      <c r="AD170" s="231">
        <f t="shared" si="697"/>
        <v>0</v>
      </c>
      <c r="AE170" s="231">
        <f t="shared" si="697"/>
        <v>0</v>
      </c>
      <c r="AF170" s="231">
        <f t="shared" si="697"/>
        <v>0</v>
      </c>
      <c r="AG170" s="231">
        <f>SUM(AG171:AG176)</f>
        <v>0</v>
      </c>
      <c r="AH170" s="231">
        <f t="shared" ref="AH170:BL170" si="698">SUM(AH171:AH175)</f>
        <v>0</v>
      </c>
      <c r="AI170" s="231">
        <f t="shared" si="698"/>
        <v>0</v>
      </c>
      <c r="AJ170" s="231">
        <f t="shared" si="698"/>
        <v>0</v>
      </c>
      <c r="AK170" s="231">
        <f t="shared" si="698"/>
        <v>0</v>
      </c>
      <c r="AL170" s="231">
        <f t="shared" si="698"/>
        <v>0</v>
      </c>
      <c r="AM170" s="231">
        <f t="shared" si="698"/>
        <v>0</v>
      </c>
      <c r="AN170" s="231">
        <f t="shared" si="698"/>
        <v>0</v>
      </c>
      <c r="AO170" s="231">
        <f t="shared" si="698"/>
        <v>0</v>
      </c>
      <c r="AP170" s="231">
        <f t="shared" si="698"/>
        <v>0</v>
      </c>
      <c r="AQ170" s="231">
        <f t="shared" si="698"/>
        <v>0</v>
      </c>
      <c r="AR170" s="231">
        <f t="shared" si="698"/>
        <v>0</v>
      </c>
      <c r="AS170" s="231">
        <f t="shared" si="698"/>
        <v>0</v>
      </c>
      <c r="AT170" s="231">
        <f t="shared" si="698"/>
        <v>0</v>
      </c>
      <c r="AU170" s="231">
        <f t="shared" si="698"/>
        <v>0</v>
      </c>
      <c r="AV170" s="231">
        <f t="shared" si="698"/>
        <v>0</v>
      </c>
      <c r="AW170" s="231">
        <f t="shared" si="698"/>
        <v>0</v>
      </c>
      <c r="AX170" s="231">
        <f t="shared" si="698"/>
        <v>0</v>
      </c>
      <c r="AY170" s="231">
        <f t="shared" si="698"/>
        <v>0</v>
      </c>
      <c r="AZ170" s="231">
        <f t="shared" si="698"/>
        <v>0</v>
      </c>
      <c r="BA170" s="231">
        <f t="shared" si="698"/>
        <v>0</v>
      </c>
      <c r="BB170" s="231">
        <f t="shared" si="698"/>
        <v>0</v>
      </c>
      <c r="BC170" s="231">
        <f t="shared" si="698"/>
        <v>0</v>
      </c>
      <c r="BD170" s="231">
        <f t="shared" si="698"/>
        <v>0</v>
      </c>
      <c r="BE170" s="231">
        <f t="shared" si="698"/>
        <v>0</v>
      </c>
      <c r="BF170" s="231">
        <f t="shared" si="698"/>
        <v>0</v>
      </c>
      <c r="BG170" s="231">
        <f t="shared" si="698"/>
        <v>0</v>
      </c>
      <c r="BH170" s="231">
        <f t="shared" si="698"/>
        <v>0</v>
      </c>
      <c r="BI170" s="231">
        <f t="shared" si="698"/>
        <v>0</v>
      </c>
      <c r="BJ170" s="231">
        <f t="shared" si="698"/>
        <v>0</v>
      </c>
      <c r="BK170" s="231">
        <f t="shared" si="698"/>
        <v>0</v>
      </c>
      <c r="BL170" s="231">
        <f t="shared" si="698"/>
        <v>0</v>
      </c>
      <c r="BM170" s="233"/>
      <c r="BN170" s="234"/>
      <c r="BO170" s="234"/>
      <c r="BP170" s="234"/>
      <c r="BQ170" s="234"/>
    </row>
    <row r="171" spans="1:69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400">
        <f t="shared" ref="F171:F172" si="699">E171</f>
        <v>14944.8</v>
      </c>
      <c r="G171" s="166"/>
      <c r="H171" s="94">
        <f t="shared" si="636"/>
        <v>0</v>
      </c>
      <c r="I171" s="94">
        <f t="shared" si="637"/>
        <v>0</v>
      </c>
      <c r="J171" s="95"/>
      <c r="K171" s="95"/>
      <c r="L171" s="95"/>
      <c r="M171" s="263"/>
      <c r="N171" s="97"/>
      <c r="O171" s="97">
        <f t="shared" ref="O171:O172" si="700">AA171+AD171+AG171+AJ171+AM171+AP171+AS171+AV171+AY171+BB171+BE171+BH171</f>
        <v>0</v>
      </c>
      <c r="P171" s="97"/>
      <c r="Q171" s="82"/>
      <c r="R171" s="82"/>
      <c r="S171" s="82"/>
      <c r="T171" s="97"/>
      <c r="U171" s="97"/>
      <c r="V171" s="97"/>
      <c r="W171" s="98"/>
      <c r="X171" s="98"/>
      <c r="Y171" s="98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9"/>
      <c r="BN171" s="100"/>
      <c r="BO171" s="100"/>
      <c r="BP171" s="100"/>
      <c r="BQ171" s="100"/>
    </row>
    <row r="172" spans="1:69" ht="15.75" customHeight="1">
      <c r="A172" s="354" t="s">
        <v>727</v>
      </c>
      <c r="B172" s="89"/>
      <c r="C172" s="90" t="s">
        <v>357</v>
      </c>
      <c r="D172" s="91" t="s">
        <v>423</v>
      </c>
      <c r="E172" s="166">
        <v>20000</v>
      </c>
      <c r="F172" s="400">
        <f t="shared" si="699"/>
        <v>20000</v>
      </c>
      <c r="G172" s="166"/>
      <c r="H172" s="94">
        <f t="shared" si="636"/>
        <v>0.69</v>
      </c>
      <c r="I172" s="94">
        <f t="shared" si="637"/>
        <v>0</v>
      </c>
      <c r="J172" s="355">
        <v>13800</v>
      </c>
      <c r="K172" s="95"/>
      <c r="L172" s="355"/>
      <c r="M172" s="263"/>
      <c r="N172" s="97"/>
      <c r="O172" s="97">
        <f t="shared" si="700"/>
        <v>0</v>
      </c>
      <c r="P172" s="97"/>
      <c r="Q172" s="82"/>
      <c r="R172" s="82"/>
      <c r="S172" s="82"/>
      <c r="T172" s="97"/>
      <c r="U172" s="97"/>
      <c r="V172" s="97"/>
      <c r="W172" s="98"/>
      <c r="X172" s="98"/>
      <c r="Y172" s="98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9"/>
      <c r="BN172" s="100"/>
      <c r="BO172" s="100"/>
      <c r="BP172" s="100"/>
      <c r="BQ172" s="100"/>
    </row>
    <row r="173" spans="1:69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400"/>
      <c r="G173" s="166"/>
      <c r="H173" s="94" t="e">
        <f t="shared" si="636"/>
        <v>#DIV/0!</v>
      </c>
      <c r="I173" s="94" t="e">
        <f t="shared" si="637"/>
        <v>#DIV/0!</v>
      </c>
      <c r="J173" s="95"/>
      <c r="K173" s="95"/>
      <c r="L173" s="95"/>
      <c r="M173" s="202"/>
      <c r="N173" s="97">
        <f t="shared" ref="N173:P173" si="701">Z173+AC173+AF173+AI173+AL173+AO173+AR173+AU173+AX173+BA173+BD173+BG173</f>
        <v>0</v>
      </c>
      <c r="O173" s="97">
        <f t="shared" si="701"/>
        <v>0</v>
      </c>
      <c r="P173" s="97">
        <f t="shared" si="701"/>
        <v>0</v>
      </c>
      <c r="Q173" s="97">
        <f t="shared" ref="Q173:S173" si="702">IF(BJ173=0,SUM(Z173+AC173+AF173+AI173+AL173+AO173+AR173+AU173+AX173+BA173+BD173+BG173),BJ173)</f>
        <v>0</v>
      </c>
      <c r="R173" s="97">
        <f t="shared" si="702"/>
        <v>0</v>
      </c>
      <c r="S173" s="97">
        <f t="shared" si="702"/>
        <v>0</v>
      </c>
      <c r="T173" s="97">
        <f t="shared" ref="T173:U173" si="703">J173-N173</f>
        <v>0</v>
      </c>
      <c r="U173" s="97">
        <f t="shared" si="703"/>
        <v>0</v>
      </c>
      <c r="V173" s="97">
        <f t="shared" ref="V173:V176" si="704">M173-P173</f>
        <v>0</v>
      </c>
      <c r="W173" s="98" t="e">
        <f t="shared" ref="W173:X173" si="705">N173/J173</f>
        <v>#DIV/0!</v>
      </c>
      <c r="X173" s="98" t="e">
        <f t="shared" si="705"/>
        <v>#DIV/0!</v>
      </c>
      <c r="Y173" s="98" t="e">
        <f t="shared" ref="Y173:Y188" si="706">P173/M173</f>
        <v>#DIV/0!</v>
      </c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103">
        <v>0</v>
      </c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9"/>
      <c r="BN173" s="100"/>
      <c r="BO173" s="100"/>
      <c r="BP173" s="100"/>
      <c r="BQ173" s="100"/>
    </row>
    <row r="174" spans="1:69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408">
        <v>65800</v>
      </c>
      <c r="G174" s="166"/>
      <c r="H174" s="94">
        <f t="shared" si="636"/>
        <v>0</v>
      </c>
      <c r="I174" s="94">
        <f t="shared" si="637"/>
        <v>0</v>
      </c>
      <c r="J174" s="139">
        <v>0</v>
      </c>
      <c r="K174" s="95"/>
      <c r="L174" s="95"/>
      <c r="M174" s="202"/>
      <c r="N174" s="97">
        <f t="shared" ref="N174:P174" si="707">Z174+AC174+AF174+AI174+AL174+AO174+AR174+AU174+AX174+BA174+BD174+BG174</f>
        <v>0</v>
      </c>
      <c r="O174" s="97">
        <f t="shared" si="707"/>
        <v>0</v>
      </c>
      <c r="P174" s="97">
        <f t="shared" si="707"/>
        <v>0</v>
      </c>
      <c r="Q174" s="97">
        <f t="shared" ref="Q174:S174" si="708">IF(BJ174=0,SUM(Z174+AC174+AF174+AI174+AL174+AO174+AR174+AU174+AX174+BA174+BD174+BG174),BJ174)</f>
        <v>0</v>
      </c>
      <c r="R174" s="97">
        <f t="shared" si="708"/>
        <v>0</v>
      </c>
      <c r="S174" s="97">
        <f t="shared" si="708"/>
        <v>0</v>
      </c>
      <c r="T174" s="138">
        <f t="shared" ref="T174:U174" si="709">J174-N174</f>
        <v>0</v>
      </c>
      <c r="U174" s="97">
        <f t="shared" si="709"/>
        <v>0</v>
      </c>
      <c r="V174" s="97">
        <f t="shared" si="704"/>
        <v>0</v>
      </c>
      <c r="W174" s="98" t="e">
        <f t="shared" ref="W174:X174" si="710">N174/J174</f>
        <v>#DIV/0!</v>
      </c>
      <c r="X174" s="98" t="e">
        <f t="shared" si="710"/>
        <v>#DIV/0!</v>
      </c>
      <c r="Y174" s="98" t="e">
        <f t="shared" si="706"/>
        <v>#DIV/0!</v>
      </c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264">
        <v>0</v>
      </c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129"/>
      <c r="BH174" s="96"/>
      <c r="BI174" s="96"/>
      <c r="BJ174" s="96"/>
      <c r="BK174" s="96"/>
      <c r="BL174" s="96"/>
      <c r="BM174" s="99"/>
      <c r="BN174" s="100"/>
      <c r="BO174" s="100"/>
      <c r="BP174" s="100"/>
      <c r="BQ174" s="100"/>
    </row>
    <row r="175" spans="1:69" ht="15.75" customHeight="1">
      <c r="A175" s="354" t="s">
        <v>777</v>
      </c>
      <c r="B175" s="89"/>
      <c r="C175" s="101" t="s">
        <v>359</v>
      </c>
      <c r="D175" s="91" t="s">
        <v>160</v>
      </c>
      <c r="E175" s="92">
        <v>6000</v>
      </c>
      <c r="F175" s="401">
        <v>4864.8599999999997</v>
      </c>
      <c r="G175" s="166"/>
      <c r="H175" s="94">
        <f t="shared" si="636"/>
        <v>0.81080999999999992</v>
      </c>
      <c r="I175" s="94">
        <f t="shared" si="637"/>
        <v>0</v>
      </c>
      <c r="J175" s="355">
        <v>4864.8599999999997</v>
      </c>
      <c r="K175" s="95"/>
      <c r="L175" s="95"/>
      <c r="M175" s="202"/>
      <c r="N175" s="97">
        <f t="shared" ref="N175:P175" si="711">Z175+AC175+AF175+AI175+AL175+AO175+AR175+AU175+AX175+BA175+BD175+BG175</f>
        <v>0</v>
      </c>
      <c r="O175" s="97">
        <f t="shared" si="711"/>
        <v>0</v>
      </c>
      <c r="P175" s="97">
        <f t="shared" si="711"/>
        <v>0</v>
      </c>
      <c r="Q175" s="97">
        <f t="shared" ref="Q175:S175" si="712">IF(BJ175=0,SUM(Z175+AC175+AF175+AI175+AL175+AO175+AR175+AU175+AX175+BA175+BD175+BG175),BJ175)</f>
        <v>0</v>
      </c>
      <c r="R175" s="97">
        <f t="shared" si="712"/>
        <v>0</v>
      </c>
      <c r="S175" s="97">
        <f t="shared" si="712"/>
        <v>0</v>
      </c>
      <c r="T175" s="97">
        <f t="shared" ref="T175:U175" si="713">J175-N175</f>
        <v>4864.8599999999997</v>
      </c>
      <c r="U175" s="97">
        <f t="shared" si="713"/>
        <v>0</v>
      </c>
      <c r="V175" s="97">
        <f t="shared" si="704"/>
        <v>0</v>
      </c>
      <c r="W175" s="98">
        <f t="shared" ref="W175:X175" si="714">N175/J175</f>
        <v>0</v>
      </c>
      <c r="X175" s="98" t="e">
        <f t="shared" si="714"/>
        <v>#DIV/0!</v>
      </c>
      <c r="Y175" s="98" t="e">
        <f t="shared" si="706"/>
        <v>#DIV/0!</v>
      </c>
      <c r="Z175" s="96"/>
      <c r="AA175" s="96"/>
      <c r="AB175" s="96"/>
      <c r="AC175" s="103">
        <v>0</v>
      </c>
      <c r="AD175" s="96"/>
      <c r="AE175" s="96"/>
      <c r="AF175" s="96"/>
      <c r="AG175" s="96"/>
      <c r="AH175" s="96"/>
      <c r="AI175" s="103">
        <v>0</v>
      </c>
      <c r="AJ175" s="96"/>
      <c r="AK175" s="96"/>
      <c r="AL175" s="103">
        <v>0</v>
      </c>
      <c r="AM175" s="96"/>
      <c r="AN175" s="96"/>
      <c r="AO175" s="103">
        <v>0</v>
      </c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9"/>
      <c r="BN175" s="100"/>
      <c r="BO175" s="100"/>
      <c r="BP175" s="100"/>
      <c r="BQ175" s="100"/>
    </row>
    <row r="176" spans="1:69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400"/>
      <c r="G176" s="166"/>
      <c r="H176" s="94" t="e">
        <f t="shared" si="636"/>
        <v>#DIV/0!</v>
      </c>
      <c r="I176" s="94" t="e">
        <f t="shared" si="637"/>
        <v>#DIV/0!</v>
      </c>
      <c r="J176" s="95"/>
      <c r="K176" s="146">
        <v>250</v>
      </c>
      <c r="L176" s="146"/>
      <c r="M176" s="202"/>
      <c r="N176" s="97">
        <f t="shared" ref="N176:P176" si="715">Z176+AC176+AF176+AI176+AL176+AO176+AR176+AU176+AX176+BA176+BD176+BG176</f>
        <v>0</v>
      </c>
      <c r="O176" s="97">
        <f t="shared" si="715"/>
        <v>250</v>
      </c>
      <c r="P176" s="97">
        <f t="shared" si="715"/>
        <v>0</v>
      </c>
      <c r="Q176" s="97">
        <f t="shared" ref="Q176:S176" si="716">IF(BJ176=0,SUM(Z176+AC176+AF176+AI176+AL176+AO176+AR176+AU176+AX176+BA176+BD176+BG176),BJ176)</f>
        <v>0</v>
      </c>
      <c r="R176" s="97">
        <f t="shared" si="716"/>
        <v>250</v>
      </c>
      <c r="S176" s="97">
        <f t="shared" si="716"/>
        <v>0</v>
      </c>
      <c r="T176" s="97">
        <f>J176-N176</f>
        <v>0</v>
      </c>
      <c r="U176" s="97">
        <f>K176-O176-L176</f>
        <v>0</v>
      </c>
      <c r="V176" s="97">
        <f t="shared" si="704"/>
        <v>0</v>
      </c>
      <c r="W176" s="98" t="e">
        <f t="shared" ref="W176:X176" si="717">N176/J176</f>
        <v>#DIV/0!</v>
      </c>
      <c r="X176" s="98">
        <f t="shared" si="717"/>
        <v>1</v>
      </c>
      <c r="Y176" s="98" t="e">
        <f t="shared" si="706"/>
        <v>#DIV/0!</v>
      </c>
      <c r="Z176" s="96"/>
      <c r="AA176" s="103">
        <v>250</v>
      </c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9"/>
      <c r="BN176" s="100"/>
      <c r="BO176" s="100"/>
      <c r="BP176" s="100"/>
      <c r="BQ176" s="100"/>
    </row>
    <row r="177" spans="1:69" ht="15.75" customHeight="1">
      <c r="A177" s="240"/>
      <c r="B177" s="240"/>
      <c r="C177" s="229"/>
      <c r="D177" s="230" t="s">
        <v>427</v>
      </c>
      <c r="E177" s="231">
        <f>SUM(E178:E183)</f>
        <v>0</v>
      </c>
      <c r="F177" s="409"/>
      <c r="G177" s="231">
        <f>SUM(G178:G183)</f>
        <v>36000</v>
      </c>
      <c r="H177" s="188" t="e">
        <f t="shared" si="636"/>
        <v>#DIV/0!</v>
      </c>
      <c r="I177" s="188" t="e">
        <f t="shared" si="637"/>
        <v>#DIV/0!</v>
      </c>
      <c r="J177" s="231">
        <f t="shared" ref="J177:P177" si="718">SUM(J178:J183)</f>
        <v>0</v>
      </c>
      <c r="K177" s="231">
        <f t="shared" si="718"/>
        <v>0</v>
      </c>
      <c r="L177" s="231">
        <f t="shared" si="718"/>
        <v>0</v>
      </c>
      <c r="M177" s="231">
        <f t="shared" si="718"/>
        <v>0</v>
      </c>
      <c r="N177" s="231">
        <f t="shared" si="718"/>
        <v>0</v>
      </c>
      <c r="O177" s="231">
        <f t="shared" si="718"/>
        <v>0</v>
      </c>
      <c r="P177" s="231">
        <f t="shared" si="718"/>
        <v>0</v>
      </c>
      <c r="Q177" s="258">
        <f t="shared" ref="Q177:S177" si="719">IF(BJ177=0,SUM(Z177+AC177+AF177+AI177+AL177+AO177+AR177+AU177+AX177+BA177+BD177+BG177),BJ177)</f>
        <v>0</v>
      </c>
      <c r="R177" s="258">
        <f t="shared" si="719"/>
        <v>0</v>
      </c>
      <c r="S177" s="258">
        <f t="shared" si="719"/>
        <v>0</v>
      </c>
      <c r="T177" s="231">
        <f t="shared" ref="T177:V177" si="720">SUM(T178:T183)</f>
        <v>0</v>
      </c>
      <c r="U177" s="231">
        <f t="shared" si="720"/>
        <v>0</v>
      </c>
      <c r="V177" s="231">
        <f t="shared" si="720"/>
        <v>0</v>
      </c>
      <c r="W177" s="259" t="e">
        <f t="shared" ref="W177:X177" si="721">N177/J177</f>
        <v>#DIV/0!</v>
      </c>
      <c r="X177" s="259" t="e">
        <f t="shared" si="721"/>
        <v>#DIV/0!</v>
      </c>
      <c r="Y177" s="259" t="e">
        <f t="shared" si="706"/>
        <v>#DIV/0!</v>
      </c>
      <c r="Z177" s="231">
        <f t="shared" ref="Z177:BL177" si="722">SUM(Z178:Z183)</f>
        <v>0</v>
      </c>
      <c r="AA177" s="231">
        <f t="shared" si="722"/>
        <v>0</v>
      </c>
      <c r="AB177" s="231">
        <f t="shared" si="722"/>
        <v>0</v>
      </c>
      <c r="AC177" s="231">
        <f t="shared" si="722"/>
        <v>0</v>
      </c>
      <c r="AD177" s="231">
        <f t="shared" si="722"/>
        <v>0</v>
      </c>
      <c r="AE177" s="231">
        <f t="shared" si="722"/>
        <v>0</v>
      </c>
      <c r="AF177" s="231">
        <f t="shared" si="722"/>
        <v>0</v>
      </c>
      <c r="AG177" s="231">
        <f t="shared" si="722"/>
        <v>0</v>
      </c>
      <c r="AH177" s="231">
        <f t="shared" si="722"/>
        <v>0</v>
      </c>
      <c r="AI177" s="231">
        <f t="shared" si="722"/>
        <v>0</v>
      </c>
      <c r="AJ177" s="231">
        <f t="shared" si="722"/>
        <v>0</v>
      </c>
      <c r="AK177" s="231">
        <f t="shared" si="722"/>
        <v>0</v>
      </c>
      <c r="AL177" s="231">
        <f t="shared" si="722"/>
        <v>0</v>
      </c>
      <c r="AM177" s="231">
        <f t="shared" si="722"/>
        <v>0</v>
      </c>
      <c r="AN177" s="231">
        <f t="shared" si="722"/>
        <v>0</v>
      </c>
      <c r="AO177" s="231">
        <f t="shared" si="722"/>
        <v>0</v>
      </c>
      <c r="AP177" s="231">
        <f t="shared" si="722"/>
        <v>0</v>
      </c>
      <c r="AQ177" s="231">
        <f t="shared" si="722"/>
        <v>0</v>
      </c>
      <c r="AR177" s="231">
        <f t="shared" si="722"/>
        <v>0</v>
      </c>
      <c r="AS177" s="231">
        <f t="shared" si="722"/>
        <v>0</v>
      </c>
      <c r="AT177" s="231">
        <f t="shared" si="722"/>
        <v>0</v>
      </c>
      <c r="AU177" s="231">
        <f t="shared" si="722"/>
        <v>0</v>
      </c>
      <c r="AV177" s="231">
        <f t="shared" si="722"/>
        <v>0</v>
      </c>
      <c r="AW177" s="231">
        <f t="shared" si="722"/>
        <v>0</v>
      </c>
      <c r="AX177" s="231">
        <f t="shared" si="722"/>
        <v>0</v>
      </c>
      <c r="AY177" s="231">
        <f t="shared" si="722"/>
        <v>0</v>
      </c>
      <c r="AZ177" s="231">
        <f t="shared" si="722"/>
        <v>0</v>
      </c>
      <c r="BA177" s="231">
        <f t="shared" si="722"/>
        <v>0</v>
      </c>
      <c r="BB177" s="231">
        <f t="shared" si="722"/>
        <v>0</v>
      </c>
      <c r="BC177" s="231">
        <f t="shared" si="722"/>
        <v>0</v>
      </c>
      <c r="BD177" s="231">
        <f t="shared" si="722"/>
        <v>0</v>
      </c>
      <c r="BE177" s="231">
        <f t="shared" si="722"/>
        <v>0</v>
      </c>
      <c r="BF177" s="231">
        <f t="shared" si="722"/>
        <v>0</v>
      </c>
      <c r="BG177" s="231">
        <f t="shared" si="722"/>
        <v>0</v>
      </c>
      <c r="BH177" s="231">
        <f t="shared" si="722"/>
        <v>0</v>
      </c>
      <c r="BI177" s="231">
        <f t="shared" si="722"/>
        <v>0</v>
      </c>
      <c r="BJ177" s="231">
        <f t="shared" si="722"/>
        <v>0</v>
      </c>
      <c r="BK177" s="231">
        <f t="shared" si="722"/>
        <v>0</v>
      </c>
      <c r="BL177" s="231">
        <f t="shared" si="722"/>
        <v>0</v>
      </c>
      <c r="BM177" s="233"/>
      <c r="BN177" s="234"/>
      <c r="BO177" s="234"/>
      <c r="BP177" s="234"/>
      <c r="BQ177" s="234"/>
    </row>
    <row r="178" spans="1:69" ht="15.75" customHeight="1">
      <c r="A178" s="89"/>
      <c r="B178" s="136"/>
      <c r="C178" s="90" t="s">
        <v>165</v>
      </c>
      <c r="D178" s="144" t="s">
        <v>428</v>
      </c>
      <c r="E178" s="166"/>
      <c r="F178" s="400"/>
      <c r="G178" s="166"/>
      <c r="H178" s="94" t="e">
        <f t="shared" si="636"/>
        <v>#DIV/0!</v>
      </c>
      <c r="I178" s="94" t="e">
        <f t="shared" si="637"/>
        <v>#DIV/0!</v>
      </c>
      <c r="J178" s="95"/>
      <c r="K178" s="146">
        <v>0</v>
      </c>
      <c r="L178" s="146"/>
      <c r="M178" s="202"/>
      <c r="N178" s="97">
        <f t="shared" ref="N178:P178" si="723">Z178+AC178+AF178+AI178+AL178+AO178+AR178+AU178+AX178+BA178+BD178+BG178</f>
        <v>0</v>
      </c>
      <c r="O178" s="97">
        <f t="shared" si="723"/>
        <v>0</v>
      </c>
      <c r="P178" s="97">
        <f t="shared" si="723"/>
        <v>0</v>
      </c>
      <c r="Q178" s="97">
        <f t="shared" ref="Q178:S178" si="724">IF(BJ178=0,SUM(Z178+AC178+AF178+AI178+AL178+AO178+AR178+AU178+AX178+BA178+BD178+BG178),BJ178)</f>
        <v>0</v>
      </c>
      <c r="R178" s="97">
        <f t="shared" si="724"/>
        <v>0</v>
      </c>
      <c r="S178" s="97">
        <f t="shared" si="724"/>
        <v>0</v>
      </c>
      <c r="T178" s="97">
        <f t="shared" ref="T178:U178" si="725">J178-N178</f>
        <v>0</v>
      </c>
      <c r="U178" s="97">
        <f t="shared" si="725"/>
        <v>0</v>
      </c>
      <c r="V178" s="97">
        <f t="shared" ref="V178:V183" si="726">M178-P178</f>
        <v>0</v>
      </c>
      <c r="W178" s="98" t="e">
        <f t="shared" ref="W178:X178" si="727">N178/J178</f>
        <v>#DIV/0!</v>
      </c>
      <c r="X178" s="98" t="e">
        <f t="shared" si="727"/>
        <v>#DIV/0!</v>
      </c>
      <c r="Y178" s="98" t="e">
        <f t="shared" si="706"/>
        <v>#DIV/0!</v>
      </c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103">
        <v>0</v>
      </c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9"/>
      <c r="BN178" s="100"/>
      <c r="BO178" s="100"/>
      <c r="BP178" s="100"/>
      <c r="BQ178" s="100"/>
    </row>
    <row r="179" spans="1:69" ht="15.75" customHeight="1">
      <c r="A179" s="89"/>
      <c r="B179" s="89"/>
      <c r="C179" s="90" t="s">
        <v>165</v>
      </c>
      <c r="D179" s="144" t="s">
        <v>429</v>
      </c>
      <c r="E179" s="166"/>
      <c r="F179" s="400"/>
      <c r="G179" s="166"/>
      <c r="H179" s="94" t="e">
        <f t="shared" si="636"/>
        <v>#DIV/0!</v>
      </c>
      <c r="I179" s="94" t="e">
        <f t="shared" si="637"/>
        <v>#DIV/0!</v>
      </c>
      <c r="J179" s="95"/>
      <c r="K179" s="95"/>
      <c r="L179" s="95"/>
      <c r="M179" s="202"/>
      <c r="N179" s="97">
        <f t="shared" ref="N179:P179" si="728">Z179+AC179+AF179+AI179+AL179+AO179+AR179+AU179+AX179+BA179+BD179+BG179</f>
        <v>0</v>
      </c>
      <c r="O179" s="97">
        <f t="shared" si="728"/>
        <v>0</v>
      </c>
      <c r="P179" s="97">
        <f t="shared" si="728"/>
        <v>0</v>
      </c>
      <c r="Q179" s="97">
        <f t="shared" ref="Q179:R179" si="729">IF(BJ179=0,SUM(Z179+AC179+AF179+AI179+AL179+AO179+AR179+AU179+AX179+BA179+BD179+BG179),BJ179)</f>
        <v>0</v>
      </c>
      <c r="R179" s="97">
        <f t="shared" si="729"/>
        <v>0</v>
      </c>
      <c r="S179" s="378">
        <v>0</v>
      </c>
      <c r="T179" s="97">
        <f t="shared" ref="T179:U179" si="730">J179-N179</f>
        <v>0</v>
      </c>
      <c r="U179" s="97">
        <f t="shared" si="730"/>
        <v>0</v>
      </c>
      <c r="V179" s="97">
        <f t="shared" si="726"/>
        <v>0</v>
      </c>
      <c r="W179" s="98" t="e">
        <f t="shared" ref="W179:X179" si="731">N179/J179</f>
        <v>#DIV/0!</v>
      </c>
      <c r="X179" s="98" t="e">
        <f t="shared" si="731"/>
        <v>#DIV/0!</v>
      </c>
      <c r="Y179" s="98" t="e">
        <f t="shared" si="706"/>
        <v>#DIV/0!</v>
      </c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9"/>
      <c r="BN179" s="100"/>
      <c r="BO179" s="100"/>
      <c r="BP179" s="100"/>
      <c r="BQ179" s="100"/>
    </row>
    <row r="180" spans="1:69" ht="15.75" customHeight="1">
      <c r="A180" s="89"/>
      <c r="B180" s="89"/>
      <c r="C180" s="101" t="s">
        <v>275</v>
      </c>
      <c r="D180" s="265" t="s">
        <v>430</v>
      </c>
      <c r="E180" s="166"/>
      <c r="F180" s="405"/>
      <c r="G180" s="195">
        <v>1000</v>
      </c>
      <c r="H180" s="94"/>
      <c r="I180" s="94"/>
      <c r="J180" s="95"/>
      <c r="K180" s="95"/>
      <c r="L180" s="95"/>
      <c r="M180" s="202"/>
      <c r="N180" s="97">
        <f t="shared" ref="N180:P180" si="732">Z180+AC180+AF180+AI180+AL180+AO180+AR180+AU180+AX180+BA180+BD180+BG180</f>
        <v>0</v>
      </c>
      <c r="O180" s="97">
        <f t="shared" si="732"/>
        <v>0</v>
      </c>
      <c r="P180" s="97">
        <f t="shared" si="732"/>
        <v>0</v>
      </c>
      <c r="Q180" s="97">
        <f t="shared" ref="Q180:S180" si="733">IF(BJ180=0,SUM(Z180+AC180+AF180+AI180+AL180+AO180+AR180+AU180+AX180+BA180+BD180+BG180),BJ180)</f>
        <v>0</v>
      </c>
      <c r="R180" s="97">
        <f t="shared" si="733"/>
        <v>0</v>
      </c>
      <c r="S180" s="97">
        <f t="shared" si="733"/>
        <v>0</v>
      </c>
      <c r="T180" s="97">
        <f t="shared" ref="T180:U180" si="734">J180-N180</f>
        <v>0</v>
      </c>
      <c r="U180" s="97">
        <f t="shared" si="734"/>
        <v>0</v>
      </c>
      <c r="V180" s="97">
        <f t="shared" si="726"/>
        <v>0</v>
      </c>
      <c r="W180" s="98" t="e">
        <f t="shared" ref="W180:X180" si="735">N180/J180</f>
        <v>#DIV/0!</v>
      </c>
      <c r="X180" s="98" t="e">
        <f t="shared" si="735"/>
        <v>#DIV/0!</v>
      </c>
      <c r="Y180" s="98" t="e">
        <f t="shared" si="706"/>
        <v>#DIV/0!</v>
      </c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9"/>
      <c r="BN180" s="100"/>
      <c r="BO180" s="100"/>
      <c r="BP180" s="100"/>
      <c r="BQ180" s="100"/>
    </row>
    <row r="181" spans="1:69" ht="15.75" customHeight="1">
      <c r="A181" s="89"/>
      <c r="B181" s="89"/>
      <c r="C181" s="101" t="s">
        <v>431</v>
      </c>
      <c r="D181" s="265" t="s">
        <v>430</v>
      </c>
      <c r="E181" s="166"/>
      <c r="F181" s="405"/>
      <c r="G181" s="195">
        <v>18000</v>
      </c>
      <c r="H181" s="94"/>
      <c r="I181" s="94"/>
      <c r="J181" s="95"/>
      <c r="K181" s="95"/>
      <c r="L181" s="95"/>
      <c r="M181" s="202"/>
      <c r="N181" s="97">
        <f t="shared" ref="N181:P181" si="736">Z181+AC181+AF181+AI181+AL181+AO181+AR181+AU181+AX181+BA181+BD181+BG181</f>
        <v>0</v>
      </c>
      <c r="O181" s="97">
        <f t="shared" si="736"/>
        <v>0</v>
      </c>
      <c r="P181" s="97">
        <f t="shared" si="736"/>
        <v>0</v>
      </c>
      <c r="Q181" s="97">
        <f t="shared" ref="Q181:S181" si="737">IF(BJ181=0,SUM(Z181+AC181+AF181+AI181+AL181+AO181+AR181+AU181+AX181+BA181+BD181+BG181),BJ181)</f>
        <v>0</v>
      </c>
      <c r="R181" s="97">
        <f t="shared" si="737"/>
        <v>0</v>
      </c>
      <c r="S181" s="97">
        <f t="shared" si="737"/>
        <v>0</v>
      </c>
      <c r="T181" s="97">
        <f t="shared" ref="T181:U181" si="738">J181-N181</f>
        <v>0</v>
      </c>
      <c r="U181" s="97">
        <f t="shared" si="738"/>
        <v>0</v>
      </c>
      <c r="V181" s="97">
        <f t="shared" si="726"/>
        <v>0</v>
      </c>
      <c r="W181" s="98" t="e">
        <f t="shared" ref="W181:X181" si="739">N181/J181</f>
        <v>#DIV/0!</v>
      </c>
      <c r="X181" s="98" t="e">
        <f t="shared" si="739"/>
        <v>#DIV/0!</v>
      </c>
      <c r="Y181" s="98" t="e">
        <f t="shared" si="706"/>
        <v>#DIV/0!</v>
      </c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9"/>
      <c r="BN181" s="100"/>
      <c r="BO181" s="100"/>
      <c r="BP181" s="100"/>
      <c r="BQ181" s="100"/>
    </row>
    <row r="182" spans="1:69" ht="15.75" customHeight="1">
      <c r="A182" s="89"/>
      <c r="B182" s="89"/>
      <c r="C182" s="101" t="s">
        <v>255</v>
      </c>
      <c r="D182" s="265" t="s">
        <v>430</v>
      </c>
      <c r="E182" s="166"/>
      <c r="F182" s="405"/>
      <c r="G182" s="195">
        <v>17000</v>
      </c>
      <c r="H182" s="94"/>
      <c r="I182" s="94"/>
      <c r="J182" s="95"/>
      <c r="K182" s="95"/>
      <c r="L182" s="95"/>
      <c r="M182" s="202"/>
      <c r="N182" s="97">
        <f t="shared" ref="N182:P182" si="740">Z182+AC182+AF182+AI182+AL182+AO182+AR182+AU182+AX182+BA182+BD182+BG182</f>
        <v>0</v>
      </c>
      <c r="O182" s="97">
        <f t="shared" si="740"/>
        <v>0</v>
      </c>
      <c r="P182" s="97">
        <f t="shared" si="740"/>
        <v>0</v>
      </c>
      <c r="Q182" s="97">
        <f t="shared" ref="Q182:S182" si="741">IF(BJ182=0,SUM(Z182+AC182+AF182+AI182+AL182+AO182+AR182+AU182+AX182+BA182+BD182+BG182),BJ182)</f>
        <v>0</v>
      </c>
      <c r="R182" s="97">
        <f t="shared" si="741"/>
        <v>0</v>
      </c>
      <c r="S182" s="97">
        <f t="shared" si="741"/>
        <v>0</v>
      </c>
      <c r="T182" s="97">
        <f t="shared" ref="T182:U182" si="742">J182-N182</f>
        <v>0</v>
      </c>
      <c r="U182" s="97">
        <f t="shared" si="742"/>
        <v>0</v>
      </c>
      <c r="V182" s="97">
        <f t="shared" si="726"/>
        <v>0</v>
      </c>
      <c r="W182" s="98" t="e">
        <f t="shared" ref="W182:X182" si="743">N182/J182</f>
        <v>#DIV/0!</v>
      </c>
      <c r="X182" s="98" t="e">
        <f t="shared" si="743"/>
        <v>#DIV/0!</v>
      </c>
      <c r="Y182" s="98" t="e">
        <f t="shared" si="706"/>
        <v>#DIV/0!</v>
      </c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9"/>
      <c r="BN182" s="100"/>
      <c r="BO182" s="100"/>
      <c r="BP182" s="100"/>
      <c r="BQ182" s="100"/>
    </row>
    <row r="183" spans="1:69" ht="15.75" customHeight="1">
      <c r="A183" s="89"/>
      <c r="B183" s="89"/>
      <c r="C183" s="90" t="s">
        <v>298</v>
      </c>
      <c r="D183" s="91" t="s">
        <v>432</v>
      </c>
      <c r="E183" s="166"/>
      <c r="F183" s="400"/>
      <c r="G183" s="166"/>
      <c r="H183" s="94" t="e">
        <f t="shared" ref="H183:H185" si="744">J183/E183</f>
        <v>#DIV/0!</v>
      </c>
      <c r="I183" s="94" t="e">
        <f t="shared" ref="I183:I185" si="745">N183/E183</f>
        <v>#DIV/0!</v>
      </c>
      <c r="J183" s="95"/>
      <c r="K183" s="95"/>
      <c r="L183" s="95"/>
      <c r="M183" s="266"/>
      <c r="N183" s="97">
        <f t="shared" ref="N183:P183" si="746">Z183+AC183+AF183+AI183+AL183+AO183+AR183+AU183+AX183+BA183+BD183+BG183</f>
        <v>0</v>
      </c>
      <c r="O183" s="97">
        <f t="shared" si="746"/>
        <v>0</v>
      </c>
      <c r="P183" s="97">
        <f t="shared" si="746"/>
        <v>0</v>
      </c>
      <c r="Q183" s="97">
        <f t="shared" ref="Q183:S183" si="747">IF(BJ183=0,SUM(Z183+AC183+AF183+AI183+AL183+AO183+AR183+AU183+AX183+BA183+BD183+BG183),BJ183)</f>
        <v>0</v>
      </c>
      <c r="R183" s="97">
        <f t="shared" si="747"/>
        <v>0</v>
      </c>
      <c r="S183" s="97">
        <f t="shared" si="747"/>
        <v>0</v>
      </c>
      <c r="T183" s="97">
        <f t="shared" ref="T183:U183" si="748">J183-N183</f>
        <v>0</v>
      </c>
      <c r="U183" s="97">
        <f t="shared" si="748"/>
        <v>0</v>
      </c>
      <c r="V183" s="97">
        <f t="shared" si="726"/>
        <v>0</v>
      </c>
      <c r="W183" s="98" t="e">
        <f t="shared" ref="W183:X183" si="749">N183/J183</f>
        <v>#DIV/0!</v>
      </c>
      <c r="X183" s="98" t="e">
        <f t="shared" si="749"/>
        <v>#DIV/0!</v>
      </c>
      <c r="Y183" s="98" t="e">
        <f t="shared" si="706"/>
        <v>#DIV/0!</v>
      </c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103">
        <v>0</v>
      </c>
      <c r="BD183" s="96"/>
      <c r="BE183" s="96"/>
      <c r="BF183" s="96"/>
      <c r="BG183" s="96"/>
      <c r="BH183" s="96"/>
      <c r="BI183" s="96"/>
      <c r="BJ183" s="96"/>
      <c r="BK183" s="96"/>
      <c r="BL183" s="96"/>
      <c r="BM183" s="99"/>
      <c r="BN183" s="100"/>
      <c r="BO183" s="100"/>
      <c r="BP183" s="100"/>
      <c r="BQ183" s="100"/>
    </row>
    <row r="184" spans="1:69" ht="15.75" customHeight="1">
      <c r="A184" s="267"/>
      <c r="B184" s="267"/>
      <c r="C184" s="268"/>
      <c r="D184" s="269" t="s">
        <v>433</v>
      </c>
      <c r="E184" s="270">
        <f>SUM(E185:E188)</f>
        <v>0</v>
      </c>
      <c r="F184" s="409"/>
      <c r="G184" s="270">
        <f>SUM(G185:G188)</f>
        <v>0</v>
      </c>
      <c r="H184" s="223" t="e">
        <f t="shared" si="744"/>
        <v>#DIV/0!</v>
      </c>
      <c r="I184" s="223" t="e">
        <f t="shared" si="745"/>
        <v>#DIV/0!</v>
      </c>
      <c r="J184" s="270">
        <f t="shared" ref="J184:P184" si="750">SUM(J185:J188)</f>
        <v>0</v>
      </c>
      <c r="K184" s="270">
        <f t="shared" si="750"/>
        <v>734.93000000000006</v>
      </c>
      <c r="L184" s="270">
        <f t="shared" si="750"/>
        <v>358.04</v>
      </c>
      <c r="M184" s="270">
        <f t="shared" si="750"/>
        <v>0</v>
      </c>
      <c r="N184" s="270">
        <f t="shared" si="750"/>
        <v>0</v>
      </c>
      <c r="O184" s="270">
        <f t="shared" si="750"/>
        <v>376.89</v>
      </c>
      <c r="P184" s="270">
        <f t="shared" si="750"/>
        <v>0</v>
      </c>
      <c r="Q184" s="238">
        <f t="shared" ref="Q184:S184" si="751">IF(BJ184=0,SUM(Z184+AC184+AF184+AI184+AL184+AO184+AR184+AU184+AX184+BA184+BD184+BG184),BJ184)</f>
        <v>0</v>
      </c>
      <c r="R184" s="238">
        <f t="shared" si="751"/>
        <v>376.89</v>
      </c>
      <c r="S184" s="238">
        <f t="shared" si="751"/>
        <v>0</v>
      </c>
      <c r="T184" s="270">
        <f t="shared" ref="T184:V184" si="752">SUM(T185:T188)</f>
        <v>0</v>
      </c>
      <c r="U184" s="270">
        <f t="shared" si="752"/>
        <v>0</v>
      </c>
      <c r="V184" s="270">
        <f t="shared" si="752"/>
        <v>0</v>
      </c>
      <c r="W184" s="271" t="e">
        <f t="shared" ref="W184:X184" si="753">N184/J184</f>
        <v>#DIV/0!</v>
      </c>
      <c r="X184" s="271">
        <f t="shared" si="753"/>
        <v>0.51282435061842613</v>
      </c>
      <c r="Y184" s="271" t="e">
        <f t="shared" si="706"/>
        <v>#DIV/0!</v>
      </c>
      <c r="Z184" s="270">
        <f t="shared" ref="Z184:BL184" si="754">SUM(Z185:Z188)</f>
        <v>0</v>
      </c>
      <c r="AA184" s="270">
        <f t="shared" si="754"/>
        <v>0</v>
      </c>
      <c r="AB184" s="270">
        <f t="shared" si="754"/>
        <v>0</v>
      </c>
      <c r="AC184" s="270">
        <f t="shared" si="754"/>
        <v>0</v>
      </c>
      <c r="AD184" s="270">
        <f t="shared" si="754"/>
        <v>0</v>
      </c>
      <c r="AE184" s="270">
        <f t="shared" si="754"/>
        <v>0</v>
      </c>
      <c r="AF184" s="270">
        <f t="shared" si="754"/>
        <v>0</v>
      </c>
      <c r="AG184" s="270">
        <f t="shared" si="754"/>
        <v>0</v>
      </c>
      <c r="AH184" s="270">
        <f t="shared" si="754"/>
        <v>0</v>
      </c>
      <c r="AI184" s="270">
        <f t="shared" si="754"/>
        <v>0</v>
      </c>
      <c r="AJ184" s="270">
        <f t="shared" si="754"/>
        <v>376.89</v>
      </c>
      <c r="AK184" s="270">
        <f t="shared" si="754"/>
        <v>0</v>
      </c>
      <c r="AL184" s="270">
        <f t="shared" si="754"/>
        <v>0</v>
      </c>
      <c r="AM184" s="270">
        <f t="shared" si="754"/>
        <v>0</v>
      </c>
      <c r="AN184" s="270">
        <f t="shared" si="754"/>
        <v>0</v>
      </c>
      <c r="AO184" s="270">
        <f t="shared" si="754"/>
        <v>0</v>
      </c>
      <c r="AP184" s="270">
        <f t="shared" si="754"/>
        <v>0</v>
      </c>
      <c r="AQ184" s="270">
        <f t="shared" si="754"/>
        <v>0</v>
      </c>
      <c r="AR184" s="270">
        <f t="shared" si="754"/>
        <v>0</v>
      </c>
      <c r="AS184" s="270">
        <f t="shared" si="754"/>
        <v>0</v>
      </c>
      <c r="AT184" s="270">
        <f t="shared" si="754"/>
        <v>0</v>
      </c>
      <c r="AU184" s="270">
        <f t="shared" si="754"/>
        <v>0</v>
      </c>
      <c r="AV184" s="270">
        <f t="shared" si="754"/>
        <v>0</v>
      </c>
      <c r="AW184" s="270">
        <f t="shared" si="754"/>
        <v>0</v>
      </c>
      <c r="AX184" s="270">
        <f t="shared" si="754"/>
        <v>0</v>
      </c>
      <c r="AY184" s="270">
        <f t="shared" si="754"/>
        <v>0</v>
      </c>
      <c r="AZ184" s="270">
        <f t="shared" si="754"/>
        <v>0</v>
      </c>
      <c r="BA184" s="270">
        <f t="shared" si="754"/>
        <v>0</v>
      </c>
      <c r="BB184" s="270">
        <f t="shared" si="754"/>
        <v>0</v>
      </c>
      <c r="BC184" s="270">
        <f t="shared" si="754"/>
        <v>0</v>
      </c>
      <c r="BD184" s="270">
        <f t="shared" si="754"/>
        <v>0</v>
      </c>
      <c r="BE184" s="270">
        <f t="shared" si="754"/>
        <v>0</v>
      </c>
      <c r="BF184" s="270">
        <f t="shared" si="754"/>
        <v>0</v>
      </c>
      <c r="BG184" s="270">
        <f t="shared" si="754"/>
        <v>0</v>
      </c>
      <c r="BH184" s="270">
        <f t="shared" si="754"/>
        <v>0</v>
      </c>
      <c r="BI184" s="270">
        <f t="shared" si="754"/>
        <v>0</v>
      </c>
      <c r="BJ184" s="270">
        <f t="shared" si="754"/>
        <v>0</v>
      </c>
      <c r="BK184" s="270">
        <f t="shared" si="754"/>
        <v>0</v>
      </c>
      <c r="BL184" s="270">
        <f t="shared" si="754"/>
        <v>0</v>
      </c>
      <c r="BM184" s="233"/>
      <c r="BN184" s="234"/>
      <c r="BO184" s="234"/>
      <c r="BP184" s="234"/>
      <c r="BQ184" s="234"/>
    </row>
    <row r="185" spans="1:69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400"/>
      <c r="G185" s="166"/>
      <c r="H185" s="94" t="e">
        <f t="shared" si="744"/>
        <v>#DIV/0!</v>
      </c>
      <c r="I185" s="94" t="e">
        <f t="shared" si="745"/>
        <v>#DIV/0!</v>
      </c>
      <c r="J185" s="95"/>
      <c r="K185" s="146">
        <v>376.89</v>
      </c>
      <c r="L185" s="146"/>
      <c r="M185" s="272"/>
      <c r="N185" s="97">
        <f t="shared" ref="N185:P185" si="755">Z185+AC185+AF185+AI185+AL185+AO185+AR185+AU185+AX185+BA185+BD185+BG185</f>
        <v>0</v>
      </c>
      <c r="O185" s="97">
        <f t="shared" si="755"/>
        <v>376.89</v>
      </c>
      <c r="P185" s="97">
        <f t="shared" si="755"/>
        <v>0</v>
      </c>
      <c r="Q185" s="97">
        <f t="shared" ref="Q185:S185" si="756">IF(BJ185=0,SUM(Z185+AC185+AF185+AI185+AL185+AO185+AR185+AU185+AX185+BA185+BD185+BG185),BJ185)</f>
        <v>0</v>
      </c>
      <c r="R185" s="97">
        <f t="shared" si="756"/>
        <v>376.89</v>
      </c>
      <c r="S185" s="97">
        <f t="shared" si="756"/>
        <v>0</v>
      </c>
      <c r="T185" s="97">
        <f t="shared" ref="T185:U185" si="757">J185-N185</f>
        <v>0</v>
      </c>
      <c r="U185" s="97">
        <f t="shared" si="757"/>
        <v>0</v>
      </c>
      <c r="V185" s="97">
        <f t="shared" ref="V185:V188" si="758">M185-P185</f>
        <v>0</v>
      </c>
      <c r="W185" s="98" t="e">
        <f t="shared" ref="W185:X185" si="759">N185/J185</f>
        <v>#DIV/0!</v>
      </c>
      <c r="X185" s="98">
        <f t="shared" si="759"/>
        <v>1</v>
      </c>
      <c r="Y185" s="98" t="e">
        <f t="shared" si="706"/>
        <v>#DIV/0!</v>
      </c>
      <c r="Z185" s="96"/>
      <c r="AA185" s="96"/>
      <c r="AB185" s="96"/>
      <c r="AC185" s="96"/>
      <c r="AD185" s="103">
        <v>0</v>
      </c>
      <c r="AE185" s="96"/>
      <c r="AF185" s="96"/>
      <c r="AG185" s="96"/>
      <c r="AH185" s="96"/>
      <c r="AI185" s="96"/>
      <c r="AJ185" s="103">
        <v>376.89</v>
      </c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9"/>
      <c r="BN185" s="100"/>
      <c r="BO185" s="100"/>
      <c r="BP185" s="100"/>
      <c r="BQ185" s="100"/>
    </row>
    <row r="186" spans="1:69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400"/>
      <c r="G186" s="166"/>
      <c r="H186" s="94"/>
      <c r="I186" s="94"/>
      <c r="J186" s="95"/>
      <c r="K186" s="275">
        <v>358.04</v>
      </c>
      <c r="L186" s="355">
        <v>358.04</v>
      </c>
      <c r="M186" s="272"/>
      <c r="N186" s="97">
        <f t="shared" ref="N186:P186" si="760">Z186+AC186+AF186+AI186+AL186+AO186+AR186+AU186+AX186+BA186+BD186+BG186</f>
        <v>0</v>
      </c>
      <c r="O186" s="97">
        <f t="shared" si="760"/>
        <v>0</v>
      </c>
      <c r="P186" s="97">
        <f t="shared" si="760"/>
        <v>0</v>
      </c>
      <c r="Q186" s="97">
        <f t="shared" ref="Q186:S186" si="761">IF(BJ186=0,SUM(Z186+AC186+AF186+AI186+AL186+AO186+AR186+AU186+AX186+BA186+BD186+BG186),BJ186)</f>
        <v>0</v>
      </c>
      <c r="R186" s="97">
        <f t="shared" si="761"/>
        <v>0</v>
      </c>
      <c r="S186" s="97">
        <f t="shared" si="761"/>
        <v>0</v>
      </c>
      <c r="T186" s="97">
        <f t="shared" ref="T186:T188" si="762">J186-N186</f>
        <v>0</v>
      </c>
      <c r="U186" s="97">
        <f>K186-L186-O186</f>
        <v>0</v>
      </c>
      <c r="V186" s="97">
        <f t="shared" si="758"/>
        <v>0</v>
      </c>
      <c r="W186" s="98" t="e">
        <f t="shared" ref="W186:X186" si="763">N186/J186</f>
        <v>#DIV/0!</v>
      </c>
      <c r="X186" s="98">
        <f t="shared" si="763"/>
        <v>0</v>
      </c>
      <c r="Y186" s="98" t="e">
        <f t="shared" si="706"/>
        <v>#DIV/0!</v>
      </c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9"/>
      <c r="BN186" s="100"/>
      <c r="BO186" s="100"/>
      <c r="BP186" s="100"/>
      <c r="BQ186" s="100"/>
    </row>
    <row r="187" spans="1:69" ht="15.75" customHeight="1">
      <c r="A187" s="89"/>
      <c r="B187" s="89"/>
      <c r="C187" s="90" t="s">
        <v>318</v>
      </c>
      <c r="D187" s="91" t="s">
        <v>440</v>
      </c>
      <c r="E187" s="166"/>
      <c r="F187" s="400"/>
      <c r="G187" s="166"/>
      <c r="H187" s="94" t="e">
        <f t="shared" ref="H187:H188" si="764">J187/E187</f>
        <v>#DIV/0!</v>
      </c>
      <c r="I187" s="94" t="e">
        <f t="shared" ref="I187:I188" si="765">N187/E187</f>
        <v>#DIV/0!</v>
      </c>
      <c r="J187" s="95"/>
      <c r="K187" s="95"/>
      <c r="L187" s="95"/>
      <c r="M187" s="272"/>
      <c r="N187" s="97">
        <f t="shared" ref="N187:P187" si="766">Z187+AC187+AF187+AI187+AL187+AO187+AR187+AU187+AX187+BA187+BD187+BG187</f>
        <v>0</v>
      </c>
      <c r="O187" s="97">
        <f t="shared" si="766"/>
        <v>0</v>
      </c>
      <c r="P187" s="97">
        <f t="shared" si="766"/>
        <v>0</v>
      </c>
      <c r="Q187" s="97">
        <f t="shared" ref="Q187:S187" si="767">IF(BJ187=0,SUM(Z187+AC187+AF187+AI187+AL187+AO187+AR187+AU187+AX187+BA187+BD187+BG187),BJ187)</f>
        <v>0</v>
      </c>
      <c r="R187" s="97">
        <f t="shared" si="767"/>
        <v>0</v>
      </c>
      <c r="S187" s="97">
        <f t="shared" si="767"/>
        <v>0</v>
      </c>
      <c r="T187" s="97">
        <f t="shared" si="762"/>
        <v>0</v>
      </c>
      <c r="U187" s="97">
        <f t="shared" ref="U187:U188" si="768">K187-O187</f>
        <v>0</v>
      </c>
      <c r="V187" s="97">
        <f t="shared" si="758"/>
        <v>0</v>
      </c>
      <c r="W187" s="98" t="e">
        <f t="shared" ref="W187:X187" si="769">N187/J187</f>
        <v>#DIV/0!</v>
      </c>
      <c r="X187" s="98" t="e">
        <f t="shared" si="769"/>
        <v>#DIV/0!</v>
      </c>
      <c r="Y187" s="98" t="e">
        <f t="shared" si="706"/>
        <v>#DIV/0!</v>
      </c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9"/>
      <c r="BN187" s="100"/>
      <c r="BO187" s="100"/>
      <c r="BP187" s="100"/>
      <c r="BQ187" s="100"/>
    </row>
    <row r="188" spans="1:69" ht="15.75" customHeight="1">
      <c r="A188" s="89"/>
      <c r="B188" s="89"/>
      <c r="C188" s="90" t="s">
        <v>357</v>
      </c>
      <c r="D188" s="91" t="s">
        <v>441</v>
      </c>
      <c r="E188" s="166"/>
      <c r="F188" s="400"/>
      <c r="G188" s="166"/>
      <c r="H188" s="94" t="e">
        <f t="shared" si="764"/>
        <v>#DIV/0!</v>
      </c>
      <c r="I188" s="94" t="e">
        <f t="shared" si="765"/>
        <v>#DIV/0!</v>
      </c>
      <c r="J188" s="95"/>
      <c r="K188" s="95"/>
      <c r="L188" s="95"/>
      <c r="M188" s="276"/>
      <c r="N188" s="97">
        <f t="shared" ref="N188:P188" si="770">Z188+AC188+AF188+AI188+AL188+AO188+AR188+AU188+AX188+BA188+BD188+BG188</f>
        <v>0</v>
      </c>
      <c r="O188" s="97">
        <f t="shared" si="770"/>
        <v>0</v>
      </c>
      <c r="P188" s="97">
        <f t="shared" si="770"/>
        <v>0</v>
      </c>
      <c r="Q188" s="97">
        <f t="shared" ref="Q188:S188" si="771">IF(BJ188=0,SUM(Z188+AC188+AF188+AI188+AL188+AO188+AR188+AU188+AX188+BA188+BD188+BG188),BJ188)</f>
        <v>0</v>
      </c>
      <c r="R188" s="97">
        <f t="shared" si="771"/>
        <v>0</v>
      </c>
      <c r="S188" s="97">
        <f t="shared" si="771"/>
        <v>0</v>
      </c>
      <c r="T188" s="97">
        <f t="shared" si="762"/>
        <v>0</v>
      </c>
      <c r="U188" s="97">
        <f t="shared" si="768"/>
        <v>0</v>
      </c>
      <c r="V188" s="97">
        <f t="shared" si="758"/>
        <v>0</v>
      </c>
      <c r="W188" s="98" t="e">
        <f t="shared" ref="W188:X188" si="772">N188/J188</f>
        <v>#DIV/0!</v>
      </c>
      <c r="X188" s="98" t="e">
        <f t="shared" si="772"/>
        <v>#DIV/0!</v>
      </c>
      <c r="Y188" s="98" t="e">
        <f t="shared" si="706"/>
        <v>#DIV/0!</v>
      </c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9"/>
      <c r="BN188" s="100"/>
      <c r="BO188" s="100"/>
      <c r="BP188" s="100"/>
      <c r="BQ188" s="100"/>
    </row>
    <row r="189" spans="1:69" ht="15.75" customHeight="1">
      <c r="A189" s="277"/>
      <c r="B189" s="277"/>
      <c r="C189" s="278"/>
      <c r="D189" s="279"/>
      <c r="E189" s="279"/>
      <c r="F189" s="413"/>
      <c r="G189" s="279"/>
      <c r="H189" s="280"/>
      <c r="I189" s="280"/>
      <c r="J189" s="280"/>
      <c r="K189" s="280"/>
      <c r="L189" s="280"/>
      <c r="M189" s="280"/>
      <c r="N189" s="280"/>
      <c r="O189" s="280"/>
      <c r="P189" s="280"/>
      <c r="Q189" s="281"/>
      <c r="R189" s="281"/>
      <c r="S189" s="281"/>
      <c r="T189" s="280"/>
      <c r="U189" s="280"/>
      <c r="V189" s="280"/>
      <c r="W189" s="280"/>
      <c r="X189" s="282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80"/>
      <c r="BM189" s="21"/>
      <c r="BN189" s="21"/>
      <c r="BO189" s="21"/>
      <c r="BP189" s="21"/>
      <c r="BQ189" s="21"/>
    </row>
    <row r="190" spans="1:69" ht="15.75" customHeight="1">
      <c r="A190" s="277"/>
      <c r="B190" s="277"/>
      <c r="C190" s="278"/>
      <c r="D190" s="283" t="s">
        <v>442</v>
      </c>
      <c r="E190" s="284" t="s">
        <v>62</v>
      </c>
      <c r="F190" s="414"/>
      <c r="G190" s="284" t="s">
        <v>63</v>
      </c>
      <c r="H190" s="571" t="s">
        <v>443</v>
      </c>
      <c r="I190" s="561"/>
      <c r="J190" s="285" t="s">
        <v>62</v>
      </c>
      <c r="K190" s="285" t="s">
        <v>147</v>
      </c>
      <c r="L190" s="285"/>
      <c r="M190" s="285" t="s">
        <v>63</v>
      </c>
      <c r="N190" s="285" t="s">
        <v>62</v>
      </c>
      <c r="O190" s="285" t="s">
        <v>147</v>
      </c>
      <c r="P190" s="285" t="s">
        <v>63</v>
      </c>
      <c r="Q190" s="285" t="s">
        <v>62</v>
      </c>
      <c r="R190" s="285" t="s">
        <v>147</v>
      </c>
      <c r="S190" s="285" t="s">
        <v>63</v>
      </c>
      <c r="T190" s="286"/>
      <c r="U190" s="286"/>
      <c r="V190" s="286"/>
      <c r="W190" s="286"/>
      <c r="X190" s="287"/>
      <c r="Y190" s="286"/>
      <c r="Z190" s="571" t="s">
        <v>444</v>
      </c>
      <c r="AA190" s="560"/>
      <c r="AB190" s="560"/>
      <c r="AC190" s="560"/>
      <c r="AD190" s="560"/>
      <c r="AE190" s="561"/>
      <c r="AF190" s="559" t="s">
        <v>445</v>
      </c>
      <c r="AG190" s="560"/>
      <c r="AH190" s="560"/>
      <c r="AI190" s="560"/>
      <c r="AJ190" s="560"/>
      <c r="AK190" s="561"/>
      <c r="AL190" s="559" t="s">
        <v>446</v>
      </c>
      <c r="AM190" s="560"/>
      <c r="AN190" s="560"/>
      <c r="AO190" s="560"/>
      <c r="AP190" s="560"/>
      <c r="AQ190" s="561"/>
      <c r="AR190" s="559" t="s">
        <v>447</v>
      </c>
      <c r="AS190" s="560"/>
      <c r="AT190" s="560"/>
      <c r="AU190" s="560"/>
      <c r="AV190" s="560"/>
      <c r="AW190" s="561"/>
      <c r="AX190" s="559" t="s">
        <v>448</v>
      </c>
      <c r="AY190" s="560"/>
      <c r="AZ190" s="560"/>
      <c r="BA190" s="560"/>
      <c r="BB190" s="560"/>
      <c r="BC190" s="561"/>
      <c r="BD190" s="280"/>
      <c r="BE190" s="280"/>
      <c r="BF190" s="280"/>
      <c r="BG190" s="280"/>
      <c r="BH190" s="280"/>
      <c r="BI190" s="280"/>
      <c r="BJ190" s="280"/>
      <c r="BK190" s="280"/>
      <c r="BL190" s="280"/>
    </row>
    <row r="191" spans="1:69" ht="15.75" customHeight="1">
      <c r="A191" s="288"/>
      <c r="B191" s="288"/>
      <c r="C191" s="289"/>
      <c r="D191" s="290" t="s">
        <v>449</v>
      </c>
      <c r="E191" s="291">
        <f>E4+E12+E68+E97+E160</f>
        <v>2379653.64</v>
      </c>
      <c r="F191" s="415"/>
      <c r="G191" s="291">
        <f>G4+G12+G68+G97+G160</f>
        <v>4704632.4400000004</v>
      </c>
      <c r="H191" s="292" t="s">
        <v>62</v>
      </c>
      <c r="I191" s="292" t="s">
        <v>63</v>
      </c>
      <c r="J191" s="293"/>
      <c r="K191" s="290"/>
      <c r="L191" s="290"/>
      <c r="M191" s="293"/>
      <c r="N191" s="293"/>
      <c r="O191" s="293"/>
      <c r="P191" s="293"/>
      <c r="Q191" s="293"/>
      <c r="R191" s="293"/>
      <c r="S191" s="293"/>
      <c r="T191" s="286"/>
      <c r="U191" s="286"/>
      <c r="V191" s="286"/>
      <c r="W191" s="286"/>
      <c r="X191" s="287"/>
      <c r="Y191" s="286"/>
      <c r="Z191" s="294" t="s">
        <v>174</v>
      </c>
      <c r="AA191" s="295" t="s">
        <v>175</v>
      </c>
      <c r="AB191" s="295" t="s">
        <v>176</v>
      </c>
      <c r="AC191" s="296" t="s">
        <v>177</v>
      </c>
      <c r="AD191" s="294" t="s">
        <v>178</v>
      </c>
      <c r="AE191" s="294" t="s">
        <v>179</v>
      </c>
      <c r="AF191" s="294" t="s">
        <v>174</v>
      </c>
      <c r="AG191" s="295" t="s">
        <v>175</v>
      </c>
      <c r="AH191" s="295" t="s">
        <v>176</v>
      </c>
      <c r="AI191" s="296" t="s">
        <v>177</v>
      </c>
      <c r="AJ191" s="294" t="s">
        <v>178</v>
      </c>
      <c r="AK191" s="294" t="s">
        <v>179</v>
      </c>
      <c r="AL191" s="294" t="s">
        <v>174</v>
      </c>
      <c r="AM191" s="295" t="s">
        <v>175</v>
      </c>
      <c r="AN191" s="295" t="s">
        <v>176</v>
      </c>
      <c r="AO191" s="296" t="s">
        <v>177</v>
      </c>
      <c r="AP191" s="294" t="s">
        <v>178</v>
      </c>
      <c r="AQ191" s="294" t="s">
        <v>179</v>
      </c>
      <c r="AR191" s="294" t="s">
        <v>174</v>
      </c>
      <c r="AS191" s="295" t="s">
        <v>175</v>
      </c>
      <c r="AT191" s="295" t="s">
        <v>176</v>
      </c>
      <c r="AU191" s="296" t="s">
        <v>177</v>
      </c>
      <c r="AV191" s="294" t="s">
        <v>178</v>
      </c>
      <c r="AW191" s="294" t="s">
        <v>179</v>
      </c>
      <c r="AX191" s="294" t="s">
        <v>174</v>
      </c>
      <c r="AY191" s="295" t="s">
        <v>175</v>
      </c>
      <c r="AZ191" s="295" t="s">
        <v>176</v>
      </c>
      <c r="BA191" s="296" t="s">
        <v>177</v>
      </c>
      <c r="BB191" s="294" t="s">
        <v>178</v>
      </c>
      <c r="BC191" s="294" t="s">
        <v>179</v>
      </c>
      <c r="BD191" s="280"/>
      <c r="BE191" s="280"/>
      <c r="BF191" s="280"/>
      <c r="BG191" s="280"/>
      <c r="BH191" s="280"/>
      <c r="BI191" s="280"/>
      <c r="BJ191" s="280"/>
      <c r="BK191" s="280"/>
      <c r="BL191" s="280"/>
    </row>
    <row r="192" spans="1:69" ht="15.75" customHeight="1">
      <c r="A192" s="297"/>
      <c r="B192" s="297"/>
      <c r="C192" s="298"/>
      <c r="D192" s="290" t="s">
        <v>450</v>
      </c>
      <c r="E192" s="299">
        <f>SUM(Z192:AE192)+SUM(Z194:AE194)</f>
        <v>396609</v>
      </c>
      <c r="F192" s="416"/>
      <c r="G192" s="299">
        <f>SUM(AF192:BC192)+SUM(AF194:BC194)</f>
        <v>299272</v>
      </c>
      <c r="H192" s="300">
        <f t="shared" ref="H192:H193" si="773">E192/E191</f>
        <v>0.16666669188042002</v>
      </c>
      <c r="I192" s="300">
        <f t="shared" ref="I192:I193" si="774">G192/G191</f>
        <v>6.3612195812687122E-2</v>
      </c>
      <c r="J192" s="293"/>
      <c r="K192" s="293"/>
      <c r="L192" s="293"/>
      <c r="M192" s="293"/>
      <c r="N192" s="293"/>
      <c r="O192" s="293"/>
      <c r="P192" s="293"/>
      <c r="Q192" s="293"/>
      <c r="R192" s="293"/>
      <c r="S192" s="293"/>
      <c r="T192" s="286"/>
      <c r="U192" s="286"/>
      <c r="V192" s="286"/>
      <c r="W192" s="286"/>
      <c r="X192" s="287"/>
      <c r="Y192" s="286"/>
      <c r="Z192" s="301"/>
      <c r="AA192" s="351">
        <f>594913-198304</f>
        <v>396609</v>
      </c>
      <c r="AB192" s="302"/>
      <c r="AC192" s="303"/>
      <c r="AD192" s="303"/>
      <c r="AE192" s="303"/>
      <c r="AF192" s="301"/>
      <c r="AG192" s="351">
        <f>72000+53000</f>
        <v>125000</v>
      </c>
      <c r="AH192" s="302"/>
      <c r="AI192" s="303"/>
      <c r="AJ192" s="303"/>
      <c r="AK192" s="303"/>
      <c r="AL192" s="301"/>
      <c r="AM192" s="302">
        <f>1856+82176</f>
        <v>84032</v>
      </c>
      <c r="AN192" s="302"/>
      <c r="AO192" s="303"/>
      <c r="AP192" s="352"/>
      <c r="AQ192" s="303"/>
      <c r="AR192" s="301"/>
      <c r="AS192" s="302"/>
      <c r="AT192" s="302"/>
      <c r="AU192" s="303"/>
      <c r="AV192" s="303"/>
      <c r="AW192" s="303"/>
      <c r="AX192" s="301"/>
      <c r="AY192" s="302"/>
      <c r="AZ192" s="302"/>
      <c r="BA192" s="303"/>
      <c r="BB192" s="303"/>
      <c r="BC192" s="303"/>
      <c r="BD192" s="60"/>
      <c r="BE192" s="60"/>
      <c r="BF192" s="60"/>
      <c r="BG192" s="60"/>
      <c r="BH192" s="60"/>
      <c r="BI192" s="60"/>
      <c r="BJ192" s="60"/>
      <c r="BK192" s="60"/>
      <c r="BL192" s="60"/>
    </row>
    <row r="193" spans="1:69" ht="15.75" customHeight="1">
      <c r="A193" s="297"/>
      <c r="B193" s="297"/>
      <c r="C193" s="298"/>
      <c r="D193" s="290" t="s">
        <v>451</v>
      </c>
      <c r="E193" s="291">
        <f>J193</f>
        <v>2523638.8400000003</v>
      </c>
      <c r="F193" s="415"/>
      <c r="G193" s="291">
        <f>M193</f>
        <v>90240</v>
      </c>
      <c r="H193" s="300">
        <f t="shared" si="773"/>
        <v>6.3630397696471848</v>
      </c>
      <c r="I193" s="300">
        <f t="shared" si="774"/>
        <v>0.30153171696650538</v>
      </c>
      <c r="J193" s="304">
        <f t="shared" ref="J193:K193" si="775">J4+J12+J68+J97+J160</f>
        <v>2523638.8400000003</v>
      </c>
      <c r="K193" s="304">
        <f t="shared" si="775"/>
        <v>2466010.4700000002</v>
      </c>
      <c r="L193" s="304"/>
      <c r="M193" s="304">
        <f>M4+M12+M68+M97+M160</f>
        <v>90240</v>
      </c>
      <c r="N193" s="304"/>
      <c r="O193" s="304"/>
      <c r="P193" s="304"/>
      <c r="Q193" s="293"/>
      <c r="R193" s="293"/>
      <c r="S193" s="293"/>
      <c r="T193" s="286"/>
      <c r="U193" s="286"/>
      <c r="V193" s="286"/>
      <c r="W193" s="286"/>
      <c r="X193" s="287"/>
      <c r="Y193" s="286"/>
      <c r="Z193" s="294" t="s">
        <v>180</v>
      </c>
      <c r="AA193" s="305" t="s">
        <v>181</v>
      </c>
      <c r="AB193" s="305" t="s">
        <v>182</v>
      </c>
      <c r="AC193" s="306" t="s">
        <v>183</v>
      </c>
      <c r="AD193" s="307" t="s">
        <v>184</v>
      </c>
      <c r="AE193" s="307" t="s">
        <v>185</v>
      </c>
      <c r="AF193" s="294" t="s">
        <v>180</v>
      </c>
      <c r="AG193" s="305" t="s">
        <v>181</v>
      </c>
      <c r="AH193" s="305" t="s">
        <v>182</v>
      </c>
      <c r="AI193" s="306" t="s">
        <v>183</v>
      </c>
      <c r="AJ193" s="307" t="s">
        <v>184</v>
      </c>
      <c r="AK193" s="307" t="s">
        <v>185</v>
      </c>
      <c r="AL193" s="294" t="s">
        <v>180</v>
      </c>
      <c r="AM193" s="305" t="s">
        <v>181</v>
      </c>
      <c r="AN193" s="305" t="s">
        <v>182</v>
      </c>
      <c r="AO193" s="306" t="s">
        <v>183</v>
      </c>
      <c r="AP193" s="307" t="s">
        <v>184</v>
      </c>
      <c r="AQ193" s="307" t="s">
        <v>185</v>
      </c>
      <c r="AR193" s="294" t="s">
        <v>180</v>
      </c>
      <c r="AS193" s="305" t="s">
        <v>181</v>
      </c>
      <c r="AT193" s="305" t="s">
        <v>182</v>
      </c>
      <c r="AU193" s="306" t="s">
        <v>183</v>
      </c>
      <c r="AV193" s="307" t="s">
        <v>184</v>
      </c>
      <c r="AW193" s="307" t="s">
        <v>185</v>
      </c>
      <c r="AX193" s="294" t="s">
        <v>180</v>
      </c>
      <c r="AY193" s="305" t="s">
        <v>181</v>
      </c>
      <c r="AZ193" s="305" t="s">
        <v>182</v>
      </c>
      <c r="BA193" s="306" t="s">
        <v>183</v>
      </c>
      <c r="BB193" s="307" t="s">
        <v>184</v>
      </c>
      <c r="BC193" s="307" t="s">
        <v>185</v>
      </c>
      <c r="BD193" s="60"/>
      <c r="BE193" s="60"/>
      <c r="BF193" s="60"/>
      <c r="BG193" s="60"/>
      <c r="BH193" s="60"/>
      <c r="BI193" s="60"/>
      <c r="BJ193" s="60"/>
      <c r="BK193" s="60"/>
      <c r="BL193" s="60"/>
    </row>
    <row r="194" spans="1:69" ht="15.75" customHeight="1">
      <c r="A194" s="297"/>
      <c r="B194" s="297"/>
      <c r="C194" s="298"/>
      <c r="D194" s="290" t="s">
        <v>452</v>
      </c>
      <c r="E194" s="291">
        <f>N194</f>
        <v>444369.77000000008</v>
      </c>
      <c r="F194" s="415"/>
      <c r="G194" s="291">
        <f>P194</f>
        <v>0</v>
      </c>
      <c r="H194" s="300">
        <f>E194/E192</f>
        <v>1.1204228093664039</v>
      </c>
      <c r="I194" s="300">
        <f>G194/G192</f>
        <v>0</v>
      </c>
      <c r="J194" s="308"/>
      <c r="K194" s="308"/>
      <c r="L194" s="308"/>
      <c r="M194" s="308"/>
      <c r="N194" s="299">
        <f t="shared" ref="N194:P194" si="776">N4+N12+N68+N97+N160</f>
        <v>444369.77000000008</v>
      </c>
      <c r="O194" s="299">
        <f t="shared" si="776"/>
        <v>1785795.72</v>
      </c>
      <c r="P194" s="299">
        <f t="shared" si="776"/>
        <v>0</v>
      </c>
      <c r="Q194" s="293"/>
      <c r="R194" s="293"/>
      <c r="S194" s="293"/>
      <c r="T194" s="286"/>
      <c r="U194" s="286"/>
      <c r="V194" s="286"/>
      <c r="W194" s="286"/>
      <c r="X194" s="287"/>
      <c r="Y194" s="286"/>
      <c r="Z194" s="301"/>
      <c r="AA194" s="302"/>
      <c r="AB194" s="302"/>
      <c r="AC194" s="303"/>
      <c r="AD194" s="303"/>
      <c r="AE194" s="303"/>
      <c r="AF194" s="301"/>
      <c r="AG194" s="302"/>
      <c r="AH194" s="302"/>
      <c r="AI194" s="303"/>
      <c r="AJ194" s="303"/>
      <c r="AK194" s="303"/>
      <c r="AL194" s="301"/>
      <c r="AM194" s="302"/>
      <c r="AN194" s="302"/>
      <c r="AO194" s="303"/>
      <c r="AP194" s="303"/>
      <c r="AQ194" s="303"/>
      <c r="AR194" s="301"/>
      <c r="AS194" s="302"/>
      <c r="AT194" s="302"/>
      <c r="AU194" s="303"/>
      <c r="AV194" s="303"/>
      <c r="AW194" s="303"/>
      <c r="AX194" s="370">
        <v>90240</v>
      </c>
      <c r="AY194" s="302"/>
      <c r="AZ194" s="302"/>
      <c r="BA194" s="303"/>
      <c r="BB194" s="303"/>
      <c r="BC194" s="303"/>
      <c r="BD194" s="60"/>
      <c r="BE194" s="60"/>
      <c r="BF194" s="60"/>
      <c r="BG194" s="60"/>
      <c r="BH194" s="60"/>
      <c r="BI194" s="60"/>
      <c r="BJ194" s="60"/>
      <c r="BK194" s="60"/>
      <c r="BL194" s="60"/>
    </row>
    <row r="195" spans="1:69" ht="15.75" customHeight="1">
      <c r="A195" s="297"/>
      <c r="B195" s="297"/>
      <c r="C195" s="309"/>
      <c r="D195" s="290" t="s">
        <v>453</v>
      </c>
      <c r="E195" s="291">
        <f>Q195</f>
        <v>449119.37000000005</v>
      </c>
      <c r="F195" s="415"/>
      <c r="G195" s="291">
        <f>S195</f>
        <v>0</v>
      </c>
      <c r="H195" s="300">
        <f>E195/E192</f>
        <v>1.1323983318583291</v>
      </c>
      <c r="I195" s="300">
        <f>G195/G192</f>
        <v>0</v>
      </c>
      <c r="J195" s="308"/>
      <c r="K195" s="308"/>
      <c r="L195" s="308"/>
      <c r="M195" s="308"/>
      <c r="N195" s="308"/>
      <c r="O195" s="308"/>
      <c r="P195" s="308"/>
      <c r="Q195" s="304">
        <f t="shared" ref="Q195:S195" si="777">Q4+Q12+Q68+Q97+Q160</f>
        <v>449119.37000000005</v>
      </c>
      <c r="R195" s="304">
        <f t="shared" si="777"/>
        <v>1872900.46</v>
      </c>
      <c r="S195" s="304">
        <f t="shared" si="777"/>
        <v>0</v>
      </c>
      <c r="T195" s="286"/>
      <c r="U195" s="286"/>
      <c r="V195" s="286"/>
      <c r="W195" s="286"/>
      <c r="X195" s="287"/>
      <c r="Y195" s="286"/>
      <c r="Z195" s="286"/>
      <c r="AA195" s="310"/>
      <c r="AB195" s="310"/>
      <c r="AC195" s="311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</row>
    <row r="196" spans="1:69" ht="15.75" customHeight="1">
      <c r="A196" s="297"/>
      <c r="B196" s="297"/>
      <c r="C196" s="309"/>
      <c r="D196" s="312" t="s">
        <v>454</v>
      </c>
      <c r="E196" s="313">
        <f>E191-E192</f>
        <v>1983044.6400000001</v>
      </c>
      <c r="F196" s="415"/>
      <c r="G196" s="313">
        <f>G191-G192</f>
        <v>4405360.4400000004</v>
      </c>
      <c r="H196" s="314">
        <f t="shared" ref="H196:H197" si="778">E196/E191</f>
        <v>0.83333330811957995</v>
      </c>
      <c r="I196" s="314">
        <f t="shared" ref="I196:I197" si="779">G196/G191</f>
        <v>0.93638780418731293</v>
      </c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6"/>
      <c r="X196" s="287"/>
      <c r="Y196" s="286"/>
      <c r="Z196" s="286"/>
      <c r="AA196" s="562"/>
      <c r="AB196" s="546"/>
      <c r="AC196" s="311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</row>
    <row r="197" spans="1:69" ht="15.75" customHeight="1">
      <c r="A197" s="297"/>
      <c r="B197" s="297"/>
      <c r="C197" s="309"/>
      <c r="D197" s="312" t="s">
        <v>455</v>
      </c>
      <c r="E197" s="315">
        <f>E192-J193</f>
        <v>-2127029.8400000003</v>
      </c>
      <c r="F197" s="416"/>
      <c r="G197" s="315">
        <f>G192-M193</f>
        <v>209032</v>
      </c>
      <c r="H197" s="314">
        <f t="shared" si="778"/>
        <v>-5.3630397696471848</v>
      </c>
      <c r="I197" s="314">
        <f t="shared" si="779"/>
        <v>0.69846828303349462</v>
      </c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6"/>
      <c r="X197" s="287"/>
      <c r="Y197" s="286"/>
      <c r="Z197" s="286"/>
      <c r="AA197" s="316"/>
      <c r="AB197" s="310"/>
      <c r="AC197" s="311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</row>
    <row r="198" spans="1:69" ht="15.75" customHeight="1">
      <c r="A198" s="297"/>
      <c r="B198" s="297"/>
      <c r="C198" s="309"/>
      <c r="D198" s="312" t="s">
        <v>456</v>
      </c>
      <c r="E198" s="315">
        <f>J193-N194</f>
        <v>2079269.0700000003</v>
      </c>
      <c r="F198" s="416"/>
      <c r="G198" s="315">
        <f>M193-P194</f>
        <v>90240</v>
      </c>
      <c r="H198" s="314">
        <f>E198/J193</f>
        <v>0.82391705066640997</v>
      </c>
      <c r="I198" s="314">
        <f>G198/M193</f>
        <v>1</v>
      </c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6"/>
      <c r="X198" s="287"/>
      <c r="Y198" s="286"/>
      <c r="Z198" s="286"/>
      <c r="AA198" s="310"/>
      <c r="AB198" s="310"/>
      <c r="AC198" s="311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</row>
    <row r="199" spans="1:69" ht="15.75" customHeight="1">
      <c r="A199" s="297"/>
      <c r="B199" s="297"/>
      <c r="C199" s="309"/>
      <c r="D199" s="312" t="s">
        <v>457</v>
      </c>
      <c r="E199" s="315">
        <f>N194-Q195</f>
        <v>-4749.5999999999767</v>
      </c>
      <c r="F199" s="416"/>
      <c r="G199" s="315">
        <f>P194-S195</f>
        <v>0</v>
      </c>
      <c r="H199" s="314">
        <f>E199/N194</f>
        <v>-1.0688395837547581E-2</v>
      </c>
      <c r="I199" s="314" t="e">
        <f>G199/P194</f>
        <v>#DIV/0!</v>
      </c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6"/>
      <c r="X199" s="287"/>
      <c r="Y199" s="286"/>
      <c r="Z199" s="286"/>
      <c r="AA199" s="310"/>
      <c r="AB199" s="310"/>
      <c r="AC199" s="311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</row>
    <row r="200" spans="1:69" ht="15.75" customHeight="1">
      <c r="A200" s="317"/>
      <c r="B200" s="317"/>
      <c r="C200" s="318"/>
      <c r="D200" s="319" t="s">
        <v>459</v>
      </c>
      <c r="E200" s="320">
        <f>K193-O194</f>
        <v>680214.75000000023</v>
      </c>
      <c r="F200" s="417"/>
      <c r="G200" s="321"/>
      <c r="H200" s="322">
        <f>E200/K193</f>
        <v>0.27583611597561475</v>
      </c>
      <c r="I200" s="323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324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</row>
    <row r="201" spans="1:69" ht="15.75" customHeight="1">
      <c r="A201" s="317"/>
      <c r="B201" s="317"/>
      <c r="C201" s="318"/>
      <c r="D201" s="59"/>
      <c r="E201" s="60"/>
      <c r="F201" s="418"/>
      <c r="G201" s="60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324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</row>
    <row r="202" spans="1:69" ht="15.75" customHeight="1">
      <c r="A202" s="317"/>
      <c r="B202" s="317"/>
      <c r="C202" s="318"/>
      <c r="D202" s="59"/>
      <c r="E202" s="325"/>
      <c r="F202" s="418"/>
      <c r="G202" s="326"/>
      <c r="H202" s="327"/>
      <c r="I202" s="327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324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</row>
    <row r="203" spans="1:69" ht="15.75" customHeight="1">
      <c r="A203" s="310"/>
      <c r="B203" s="310"/>
      <c r="C203" s="328"/>
      <c r="D203" s="57"/>
      <c r="E203" s="325"/>
      <c r="F203" s="418"/>
      <c r="G203" s="326"/>
      <c r="H203" s="327"/>
      <c r="I203" s="327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324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</row>
    <row r="204" spans="1:69" ht="15.75" customHeight="1">
      <c r="A204" s="329"/>
      <c r="B204" s="329"/>
      <c r="C204" s="330"/>
      <c r="D204" s="57"/>
      <c r="E204" s="331"/>
      <c r="F204" s="418"/>
      <c r="G204" s="326"/>
      <c r="H204" s="327"/>
      <c r="I204" s="327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324"/>
      <c r="Y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</row>
    <row r="205" spans="1:69" ht="15.75" customHeight="1">
      <c r="A205" s="329"/>
      <c r="B205" s="329"/>
      <c r="C205" s="330"/>
      <c r="D205" s="9"/>
      <c r="E205" s="331"/>
      <c r="F205" s="419"/>
      <c r="G205" s="332"/>
      <c r="H205" s="333"/>
      <c r="I205" s="334"/>
      <c r="J205" s="335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324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</row>
    <row r="206" spans="1:69" ht="15.75" customHeight="1">
      <c r="A206" s="329"/>
      <c r="B206" s="329"/>
      <c r="C206" s="330"/>
      <c r="D206" s="9"/>
      <c r="E206" s="326"/>
      <c r="F206" s="418"/>
      <c r="G206" s="326"/>
      <c r="H206" s="334"/>
      <c r="I206" s="334"/>
      <c r="J206" s="335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324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21"/>
      <c r="BN206" s="21"/>
      <c r="BO206" s="21"/>
      <c r="BP206" s="21"/>
      <c r="BQ206" s="21"/>
    </row>
    <row r="207" spans="1:69" ht="15.75" customHeight="1">
      <c r="A207" s="57"/>
      <c r="B207" s="57"/>
      <c r="C207" s="336"/>
      <c r="D207" s="9"/>
      <c r="E207" s="325"/>
      <c r="F207" s="418"/>
      <c r="G207" s="326"/>
      <c r="H207" s="327"/>
      <c r="I207" s="327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324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</row>
    <row r="208" spans="1:69" ht="15.75" customHeight="1">
      <c r="A208" s="57"/>
      <c r="B208" s="57"/>
      <c r="C208" s="337"/>
      <c r="D208" s="9"/>
      <c r="E208" s="326"/>
      <c r="F208" s="418"/>
      <c r="G208" s="326"/>
      <c r="H208" s="327"/>
      <c r="I208" s="327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324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</row>
    <row r="209" spans="1:64" ht="15.75" customHeight="1">
      <c r="A209" s="59"/>
      <c r="B209" s="59"/>
      <c r="C209" s="318"/>
      <c r="D209" s="59"/>
      <c r="E209" s="338"/>
      <c r="F209" s="419"/>
      <c r="G209" s="332"/>
      <c r="H209" s="339"/>
      <c r="I209" s="33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324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</row>
    <row r="210" spans="1:64" ht="15.75" customHeight="1">
      <c r="A210" s="59"/>
      <c r="B210" s="59"/>
      <c r="C210" s="318"/>
      <c r="D210" s="59"/>
      <c r="E210" s="325"/>
      <c r="F210" s="418"/>
      <c r="G210" s="326"/>
      <c r="H210" s="327"/>
      <c r="I210" s="327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324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</row>
    <row r="211" spans="1:64" ht="15.75" customHeight="1">
      <c r="A211" s="340"/>
      <c r="B211" s="340"/>
      <c r="C211" s="341"/>
      <c r="D211" s="340"/>
      <c r="E211" s="326"/>
      <c r="F211" s="418"/>
      <c r="G211" s="326"/>
      <c r="H211" s="327"/>
      <c r="I211" s="327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324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</row>
    <row r="212" spans="1:64" ht="15.75" customHeight="1">
      <c r="A212" s="340"/>
      <c r="B212" s="340"/>
      <c r="C212" s="341"/>
      <c r="D212" s="340"/>
      <c r="E212" s="326"/>
      <c r="F212" s="418"/>
      <c r="G212" s="326"/>
      <c r="H212" s="327"/>
      <c r="I212" s="327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324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</row>
    <row r="213" spans="1:64" ht="15.75" customHeight="1">
      <c r="A213" s="340"/>
      <c r="B213" s="340"/>
      <c r="C213" s="341"/>
      <c r="D213" s="340"/>
      <c r="E213" s="60"/>
      <c r="F213" s="418"/>
      <c r="G213" s="60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324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</row>
    <row r="214" spans="1:64" ht="15.75" customHeight="1">
      <c r="A214" s="340"/>
      <c r="B214" s="340"/>
      <c r="C214" s="341"/>
      <c r="D214" s="340"/>
      <c r="E214" s="60"/>
      <c r="F214" s="418"/>
      <c r="G214" s="60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324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</row>
    <row r="215" spans="1:64" ht="15.75" customHeight="1">
      <c r="A215" s="340"/>
      <c r="B215" s="340"/>
      <c r="C215" s="341"/>
      <c r="D215" s="340"/>
      <c r="E215" s="60"/>
      <c r="F215" s="418"/>
      <c r="G215" s="60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324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</row>
    <row r="216" spans="1:64" ht="15.75" customHeight="1">
      <c r="A216" s="340"/>
      <c r="B216" s="340"/>
      <c r="C216" s="341"/>
      <c r="D216" s="340"/>
      <c r="E216" s="60"/>
      <c r="F216" s="418"/>
      <c r="G216" s="60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324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</row>
    <row r="217" spans="1:64" ht="15.75" customHeight="1">
      <c r="A217" s="342"/>
      <c r="B217" s="342"/>
      <c r="C217" s="343"/>
      <c r="D217" s="342"/>
      <c r="E217" s="21"/>
      <c r="F217" s="410"/>
      <c r="G217" s="21"/>
      <c r="L217" s="21"/>
      <c r="X217" s="344"/>
    </row>
    <row r="218" spans="1:64" ht="15.75" customHeight="1">
      <c r="A218" s="340"/>
      <c r="C218" s="345"/>
      <c r="E218" s="21"/>
      <c r="F218" s="410"/>
      <c r="G218" s="21"/>
      <c r="L218" s="21"/>
      <c r="X218" s="344"/>
    </row>
    <row r="219" spans="1:64" ht="15.75" customHeight="1">
      <c r="A219" s="340"/>
      <c r="C219" s="345"/>
      <c r="E219" s="21"/>
      <c r="F219" s="410"/>
      <c r="G219" s="21"/>
      <c r="L219" s="21"/>
      <c r="X219" s="344"/>
    </row>
    <row r="220" spans="1:64" ht="15.75" customHeight="1">
      <c r="C220" s="345"/>
      <c r="E220" s="21"/>
      <c r="F220" s="410"/>
      <c r="G220" s="21"/>
      <c r="L220" s="21"/>
      <c r="X220" s="344"/>
    </row>
    <row r="221" spans="1:64" ht="15.75" customHeight="1">
      <c r="A221" s="340"/>
      <c r="C221" s="345"/>
      <c r="E221" s="21"/>
      <c r="F221" s="410"/>
      <c r="G221" s="21"/>
      <c r="L221" s="21"/>
      <c r="X221" s="344"/>
    </row>
    <row r="222" spans="1:64" ht="15.75" customHeight="1">
      <c r="C222" s="345"/>
      <c r="E222" s="21"/>
      <c r="F222" s="410"/>
      <c r="G222" s="21"/>
      <c r="L222" s="21"/>
      <c r="X222" s="344"/>
    </row>
    <row r="223" spans="1:64" ht="15.75" customHeight="1">
      <c r="C223" s="345"/>
      <c r="E223" s="21"/>
      <c r="F223" s="410"/>
      <c r="G223" s="21"/>
      <c r="L223" s="21"/>
      <c r="X223" s="344"/>
    </row>
    <row r="224" spans="1:64" ht="15.75" customHeight="1">
      <c r="C224" s="345"/>
      <c r="E224" s="21"/>
      <c r="F224" s="410"/>
      <c r="G224" s="21"/>
      <c r="L224" s="21"/>
      <c r="X224" s="344"/>
    </row>
    <row r="225" spans="3:24" ht="15.75" customHeight="1">
      <c r="C225" s="345"/>
      <c r="E225" s="21"/>
      <c r="F225" s="410"/>
      <c r="G225" s="21"/>
      <c r="L225" s="21"/>
      <c r="X225" s="344"/>
    </row>
    <row r="226" spans="3:24" ht="15.75" customHeight="1">
      <c r="C226" s="345"/>
      <c r="E226" s="21"/>
      <c r="F226" s="410"/>
      <c r="G226" s="21"/>
      <c r="L226" s="21"/>
      <c r="X226" s="344"/>
    </row>
    <row r="227" spans="3:24" ht="15.75" customHeight="1">
      <c r="C227" s="345"/>
      <c r="E227" s="21"/>
      <c r="F227" s="410"/>
      <c r="G227" s="21"/>
      <c r="L227" s="21"/>
      <c r="X227" s="344"/>
    </row>
    <row r="228" spans="3:24" ht="15.75" customHeight="1">
      <c r="C228" s="345"/>
      <c r="E228" s="21"/>
      <c r="F228" s="410"/>
      <c r="G228" s="21"/>
      <c r="L228" s="21"/>
      <c r="X228" s="344"/>
    </row>
    <row r="229" spans="3:24" ht="15.75" customHeight="1">
      <c r="C229" s="345"/>
      <c r="E229" s="21"/>
      <c r="F229" s="410"/>
      <c r="G229" s="21"/>
      <c r="L229" s="21"/>
      <c r="X229" s="344"/>
    </row>
    <row r="230" spans="3:24" ht="15.75" customHeight="1">
      <c r="C230" s="345"/>
      <c r="E230" s="21"/>
      <c r="F230" s="410"/>
      <c r="G230" s="21"/>
      <c r="L230" s="21"/>
      <c r="X230" s="344"/>
    </row>
    <row r="231" spans="3:24" ht="15.75" customHeight="1">
      <c r="C231" s="345"/>
      <c r="E231" s="21"/>
      <c r="F231" s="410"/>
      <c r="G231" s="21"/>
      <c r="L231" s="21"/>
      <c r="X231" s="344"/>
    </row>
    <row r="232" spans="3:24" ht="15.75" customHeight="1">
      <c r="C232" s="345"/>
      <c r="E232" s="21"/>
      <c r="F232" s="410"/>
      <c r="G232" s="21"/>
      <c r="L232" s="21"/>
      <c r="X232" s="344"/>
    </row>
    <row r="233" spans="3:24" ht="15.75" customHeight="1">
      <c r="C233" s="345"/>
      <c r="E233" s="21"/>
      <c r="F233" s="410"/>
      <c r="G233" s="21"/>
      <c r="L233" s="21"/>
      <c r="X233" s="344"/>
    </row>
    <row r="234" spans="3:24" ht="15.75" customHeight="1">
      <c r="C234" s="345"/>
      <c r="E234" s="21"/>
      <c r="F234" s="410"/>
      <c r="G234" s="21"/>
      <c r="L234" s="21"/>
      <c r="X234" s="344"/>
    </row>
    <row r="235" spans="3:24" ht="15.75" customHeight="1">
      <c r="C235" s="345"/>
      <c r="E235" s="21"/>
      <c r="F235" s="410"/>
      <c r="G235" s="21"/>
      <c r="L235" s="21"/>
      <c r="X235" s="344"/>
    </row>
    <row r="236" spans="3:24" ht="15.75" customHeight="1">
      <c r="C236" s="345"/>
      <c r="E236" s="21"/>
      <c r="F236" s="410"/>
      <c r="G236" s="21"/>
      <c r="L236" s="21"/>
      <c r="X236" s="344"/>
    </row>
    <row r="237" spans="3:24" ht="15.75" customHeight="1">
      <c r="C237" s="345"/>
      <c r="E237" s="21"/>
      <c r="F237" s="410"/>
      <c r="G237" s="21"/>
      <c r="L237" s="21"/>
      <c r="X237" s="344"/>
    </row>
    <row r="238" spans="3:24" ht="15.75" customHeight="1">
      <c r="C238" s="345"/>
      <c r="E238" s="21"/>
      <c r="F238" s="410"/>
      <c r="G238" s="21"/>
      <c r="L238" s="21"/>
      <c r="X238" s="344"/>
    </row>
    <row r="239" spans="3:24" ht="15.75" customHeight="1">
      <c r="C239" s="345"/>
      <c r="E239" s="21"/>
      <c r="F239" s="410"/>
      <c r="G239" s="21"/>
      <c r="L239" s="21"/>
      <c r="X239" s="344"/>
    </row>
    <row r="240" spans="3:24" ht="15.75" customHeight="1">
      <c r="C240" s="345"/>
      <c r="E240" s="21"/>
      <c r="F240" s="410"/>
      <c r="G240" s="21"/>
      <c r="L240" s="21"/>
      <c r="X240" s="344"/>
    </row>
    <row r="241" spans="3:24" ht="15.75" customHeight="1">
      <c r="C241" s="345"/>
      <c r="E241" s="21"/>
      <c r="F241" s="410"/>
      <c r="G241" s="21"/>
      <c r="L241" s="21"/>
      <c r="X241" s="344"/>
    </row>
    <row r="242" spans="3:24" ht="15.75" customHeight="1">
      <c r="C242" s="345"/>
      <c r="E242" s="21"/>
      <c r="F242" s="410"/>
      <c r="G242" s="21"/>
      <c r="L242" s="21"/>
      <c r="X242" s="344"/>
    </row>
    <row r="243" spans="3:24" ht="15.75" customHeight="1">
      <c r="C243" s="345"/>
      <c r="E243" s="21"/>
      <c r="F243" s="410"/>
      <c r="G243" s="21"/>
      <c r="L243" s="21"/>
      <c r="X243" s="344"/>
    </row>
    <row r="244" spans="3:24" ht="15.75" customHeight="1">
      <c r="C244" s="345"/>
      <c r="E244" s="21"/>
      <c r="F244" s="410"/>
      <c r="G244" s="21"/>
      <c r="L244" s="21"/>
      <c r="X244" s="344"/>
    </row>
    <row r="245" spans="3:24" ht="15.75" customHeight="1">
      <c r="C245" s="345"/>
      <c r="E245" s="21"/>
      <c r="F245" s="410"/>
      <c r="G245" s="21"/>
      <c r="L245" s="21"/>
      <c r="X245" s="344"/>
    </row>
    <row r="246" spans="3:24" ht="15.75" customHeight="1">
      <c r="C246" s="345"/>
      <c r="E246" s="21"/>
      <c r="F246" s="410"/>
      <c r="G246" s="21"/>
      <c r="L246" s="21"/>
      <c r="X246" s="344"/>
    </row>
    <row r="247" spans="3:24" ht="15.75" customHeight="1">
      <c r="C247" s="345"/>
      <c r="E247" s="21"/>
      <c r="F247" s="410"/>
      <c r="G247" s="21"/>
      <c r="L247" s="21"/>
      <c r="X247" s="344"/>
    </row>
    <row r="248" spans="3:24" ht="15.75" customHeight="1">
      <c r="C248" s="345"/>
      <c r="E248" s="21"/>
      <c r="F248" s="410"/>
      <c r="G248" s="21"/>
      <c r="L248" s="21"/>
      <c r="X248" s="344"/>
    </row>
    <row r="249" spans="3:24" ht="15.75" customHeight="1">
      <c r="C249" s="345"/>
      <c r="E249" s="21"/>
      <c r="F249" s="410"/>
      <c r="G249" s="21"/>
      <c r="L249" s="21"/>
      <c r="X249" s="344"/>
    </row>
    <row r="250" spans="3:24" ht="15.75" customHeight="1">
      <c r="C250" s="345"/>
      <c r="E250" s="21"/>
      <c r="F250" s="410"/>
      <c r="G250" s="21"/>
      <c r="L250" s="21"/>
      <c r="X250" s="344"/>
    </row>
    <row r="251" spans="3:24" ht="15.75" customHeight="1">
      <c r="C251" s="345"/>
      <c r="E251" s="21"/>
      <c r="F251" s="410"/>
      <c r="G251" s="21"/>
      <c r="L251" s="21"/>
      <c r="X251" s="344"/>
    </row>
    <row r="252" spans="3:24" ht="15.75" customHeight="1">
      <c r="C252" s="345"/>
      <c r="E252" s="21"/>
      <c r="F252" s="410"/>
      <c r="G252" s="21"/>
      <c r="L252" s="21"/>
      <c r="X252" s="344"/>
    </row>
    <row r="253" spans="3:24" ht="15.75" customHeight="1">
      <c r="C253" s="345"/>
      <c r="E253" s="21"/>
      <c r="F253" s="410"/>
      <c r="G253" s="21"/>
      <c r="L253" s="21"/>
      <c r="X253" s="344"/>
    </row>
    <row r="254" spans="3:24" ht="15.75" customHeight="1">
      <c r="C254" s="345"/>
      <c r="E254" s="21"/>
      <c r="F254" s="410"/>
      <c r="G254" s="21"/>
      <c r="L254" s="21"/>
      <c r="X254" s="344"/>
    </row>
    <row r="255" spans="3:24" ht="15.75" customHeight="1">
      <c r="C255" s="345"/>
      <c r="E255" s="21"/>
      <c r="F255" s="410"/>
      <c r="G255" s="21"/>
      <c r="L255" s="21"/>
      <c r="X255" s="344"/>
    </row>
    <row r="256" spans="3:24" ht="15.75" customHeight="1">
      <c r="C256" s="345"/>
      <c r="E256" s="21"/>
      <c r="F256" s="410"/>
      <c r="G256" s="21"/>
      <c r="L256" s="21"/>
      <c r="X256" s="344"/>
    </row>
    <row r="257" spans="3:24" ht="15.75" customHeight="1">
      <c r="C257" s="345"/>
      <c r="E257" s="21"/>
      <c r="F257" s="410"/>
      <c r="G257" s="21"/>
      <c r="L257" s="21"/>
      <c r="X257" s="344"/>
    </row>
    <row r="258" spans="3:24" ht="15.75" customHeight="1">
      <c r="C258" s="345"/>
      <c r="E258" s="21"/>
      <c r="F258" s="410"/>
      <c r="G258" s="21"/>
      <c r="L258" s="21"/>
      <c r="X258" s="344"/>
    </row>
    <row r="259" spans="3:24" ht="15.75" customHeight="1">
      <c r="C259" s="345"/>
      <c r="E259" s="21"/>
      <c r="F259" s="410"/>
      <c r="G259" s="21"/>
      <c r="L259" s="21"/>
      <c r="X259" s="344"/>
    </row>
    <row r="260" spans="3:24" ht="15.75" customHeight="1">
      <c r="C260" s="345"/>
      <c r="E260" s="21"/>
      <c r="F260" s="410"/>
      <c r="G260" s="21"/>
      <c r="L260" s="21"/>
      <c r="X260" s="344"/>
    </row>
    <row r="261" spans="3:24" ht="15.75" customHeight="1">
      <c r="C261" s="345"/>
      <c r="E261" s="21"/>
      <c r="F261" s="410"/>
      <c r="G261" s="21"/>
      <c r="L261" s="21"/>
      <c r="X261" s="344"/>
    </row>
    <row r="262" spans="3:24" ht="15.75" customHeight="1">
      <c r="C262" s="345"/>
      <c r="E262" s="21"/>
      <c r="F262" s="410"/>
      <c r="G262" s="21"/>
      <c r="L262" s="21"/>
      <c r="X262" s="344"/>
    </row>
    <row r="263" spans="3:24" ht="15.75" customHeight="1">
      <c r="C263" s="345"/>
      <c r="E263" s="21"/>
      <c r="F263" s="410"/>
      <c r="G263" s="21"/>
      <c r="L263" s="21"/>
      <c r="X263" s="344"/>
    </row>
    <row r="264" spans="3:24" ht="15.75" customHeight="1">
      <c r="C264" s="345"/>
      <c r="E264" s="21"/>
      <c r="F264" s="410"/>
      <c r="G264" s="21"/>
      <c r="L264" s="21"/>
      <c r="X264" s="344"/>
    </row>
    <row r="265" spans="3:24" ht="15.75" customHeight="1">
      <c r="C265" s="345"/>
      <c r="E265" s="21"/>
      <c r="F265" s="410"/>
      <c r="G265" s="21"/>
      <c r="L265" s="21"/>
      <c r="X265" s="344"/>
    </row>
    <row r="266" spans="3:24" ht="15.75" customHeight="1">
      <c r="C266" s="345"/>
      <c r="E266" s="21"/>
      <c r="F266" s="410"/>
      <c r="G266" s="21"/>
      <c r="L266" s="21"/>
      <c r="X266" s="344"/>
    </row>
    <row r="267" spans="3:24" ht="15.75" customHeight="1">
      <c r="C267" s="345"/>
      <c r="E267" s="21"/>
      <c r="F267" s="410"/>
      <c r="G267" s="21"/>
      <c r="L267" s="21"/>
      <c r="X267" s="344"/>
    </row>
    <row r="268" spans="3:24" ht="15.75" customHeight="1">
      <c r="C268" s="345"/>
      <c r="E268" s="21"/>
      <c r="F268" s="410"/>
      <c r="G268" s="21"/>
      <c r="L268" s="21"/>
      <c r="X268" s="344"/>
    </row>
    <row r="269" spans="3:24" ht="15.75" customHeight="1">
      <c r="C269" s="345"/>
      <c r="E269" s="21"/>
      <c r="F269" s="410"/>
      <c r="G269" s="21"/>
      <c r="L269" s="21"/>
      <c r="X269" s="344"/>
    </row>
    <row r="270" spans="3:24" ht="15.75" customHeight="1">
      <c r="C270" s="345"/>
      <c r="E270" s="21"/>
      <c r="F270" s="410"/>
      <c r="G270" s="21"/>
      <c r="L270" s="21"/>
      <c r="X270" s="344"/>
    </row>
    <row r="271" spans="3:24" ht="15.75" customHeight="1">
      <c r="C271" s="345"/>
      <c r="E271" s="21"/>
      <c r="F271" s="410"/>
      <c r="G271" s="21"/>
      <c r="L271" s="21"/>
      <c r="X271" s="344"/>
    </row>
    <row r="272" spans="3:24" ht="15.75" customHeight="1">
      <c r="C272" s="345"/>
      <c r="E272" s="21"/>
      <c r="F272" s="410"/>
      <c r="G272" s="21"/>
      <c r="L272" s="21"/>
      <c r="X272" s="344"/>
    </row>
    <row r="273" spans="3:24" ht="15.75" customHeight="1">
      <c r="C273" s="345"/>
      <c r="E273" s="21"/>
      <c r="F273" s="410"/>
      <c r="G273" s="21"/>
      <c r="L273" s="21"/>
      <c r="X273" s="344"/>
    </row>
    <row r="274" spans="3:24" ht="15.75" customHeight="1">
      <c r="C274" s="345"/>
      <c r="E274" s="21"/>
      <c r="F274" s="410"/>
      <c r="G274" s="21"/>
      <c r="L274" s="21"/>
      <c r="X274" s="344"/>
    </row>
    <row r="275" spans="3:24" ht="15.75" customHeight="1">
      <c r="C275" s="345"/>
      <c r="E275" s="21"/>
      <c r="F275" s="410"/>
      <c r="G275" s="21"/>
      <c r="L275" s="21"/>
      <c r="X275" s="344"/>
    </row>
    <row r="276" spans="3:24" ht="15.75" customHeight="1">
      <c r="C276" s="345"/>
      <c r="E276" s="21"/>
      <c r="F276" s="410"/>
      <c r="G276" s="21"/>
      <c r="L276" s="21"/>
      <c r="X276" s="344"/>
    </row>
    <row r="277" spans="3:24" ht="15.75" customHeight="1">
      <c r="C277" s="345"/>
      <c r="E277" s="21"/>
      <c r="F277" s="410"/>
      <c r="G277" s="21"/>
      <c r="L277" s="21"/>
      <c r="X277" s="344"/>
    </row>
    <row r="278" spans="3:24" ht="15.75" customHeight="1">
      <c r="C278" s="345"/>
      <c r="E278" s="21"/>
      <c r="F278" s="410"/>
      <c r="G278" s="21"/>
      <c r="L278" s="21"/>
      <c r="X278" s="344"/>
    </row>
    <row r="279" spans="3:24" ht="15.75" customHeight="1">
      <c r="C279" s="345"/>
      <c r="E279" s="21"/>
      <c r="F279" s="410"/>
      <c r="G279" s="21"/>
      <c r="L279" s="21"/>
      <c r="X279" s="344"/>
    </row>
    <row r="280" spans="3:24" ht="15.75" customHeight="1">
      <c r="C280" s="345"/>
      <c r="E280" s="21"/>
      <c r="F280" s="410"/>
      <c r="G280" s="21"/>
      <c r="L280" s="21"/>
      <c r="X280" s="344"/>
    </row>
    <row r="281" spans="3:24" ht="15.75" customHeight="1">
      <c r="C281" s="345"/>
      <c r="E281" s="21"/>
      <c r="F281" s="410"/>
      <c r="G281" s="21"/>
      <c r="L281" s="21"/>
      <c r="X281" s="344"/>
    </row>
    <row r="282" spans="3:24" ht="15.75" customHeight="1">
      <c r="C282" s="345"/>
      <c r="E282" s="21"/>
      <c r="F282" s="410"/>
      <c r="G282" s="21"/>
      <c r="L282" s="21"/>
      <c r="X282" s="344"/>
    </row>
    <row r="283" spans="3:24" ht="15.75" customHeight="1">
      <c r="C283" s="345"/>
      <c r="E283" s="21"/>
      <c r="F283" s="410"/>
      <c r="G283" s="21"/>
      <c r="L283" s="21"/>
      <c r="X283" s="344"/>
    </row>
    <row r="284" spans="3:24" ht="15.75" customHeight="1">
      <c r="C284" s="345"/>
      <c r="E284" s="21"/>
      <c r="F284" s="410"/>
      <c r="G284" s="21"/>
      <c r="L284" s="21"/>
      <c r="X284" s="344"/>
    </row>
    <row r="285" spans="3:24" ht="15.75" customHeight="1">
      <c r="C285" s="345"/>
      <c r="E285" s="21"/>
      <c r="F285" s="410"/>
      <c r="G285" s="21"/>
      <c r="L285" s="21"/>
      <c r="X285" s="344"/>
    </row>
    <row r="286" spans="3:24" ht="15.75" customHeight="1">
      <c r="C286" s="345"/>
      <c r="E286" s="21"/>
      <c r="F286" s="410"/>
      <c r="G286" s="21"/>
      <c r="L286" s="21"/>
      <c r="X286" s="344"/>
    </row>
    <row r="287" spans="3:24" ht="15.75" customHeight="1">
      <c r="C287" s="345"/>
      <c r="E287" s="21"/>
      <c r="F287" s="410"/>
      <c r="G287" s="21"/>
      <c r="L287" s="21"/>
      <c r="X287" s="344"/>
    </row>
    <row r="288" spans="3:24" ht="15.75" customHeight="1">
      <c r="C288" s="345"/>
      <c r="E288" s="21"/>
      <c r="F288" s="410"/>
      <c r="G288" s="21"/>
      <c r="L288" s="21"/>
      <c r="X288" s="344"/>
    </row>
    <row r="289" spans="3:24" ht="15.75" customHeight="1">
      <c r="C289" s="345"/>
      <c r="E289" s="21"/>
      <c r="F289" s="410"/>
      <c r="G289" s="21"/>
      <c r="L289" s="21"/>
      <c r="X289" s="344"/>
    </row>
    <row r="290" spans="3:24" ht="15.75" customHeight="1">
      <c r="C290" s="345"/>
      <c r="E290" s="21"/>
      <c r="F290" s="410"/>
      <c r="G290" s="21"/>
      <c r="L290" s="21"/>
      <c r="X290" s="344"/>
    </row>
    <row r="291" spans="3:24" ht="15.75" customHeight="1">
      <c r="C291" s="345"/>
      <c r="E291" s="21"/>
      <c r="F291" s="410"/>
      <c r="G291" s="21"/>
      <c r="L291" s="21"/>
      <c r="X291" s="344"/>
    </row>
    <row r="292" spans="3:24" ht="15.75" customHeight="1">
      <c r="C292" s="345"/>
      <c r="E292" s="21"/>
      <c r="F292" s="410"/>
      <c r="G292" s="21"/>
      <c r="L292" s="21"/>
      <c r="X292" s="344"/>
    </row>
    <row r="293" spans="3:24" ht="15.75" customHeight="1">
      <c r="C293" s="345"/>
      <c r="E293" s="21"/>
      <c r="F293" s="410"/>
      <c r="G293" s="21"/>
      <c r="L293" s="21"/>
      <c r="X293" s="344"/>
    </row>
    <row r="294" spans="3:24" ht="15.75" customHeight="1">
      <c r="C294" s="345"/>
      <c r="E294" s="21"/>
      <c r="F294" s="410"/>
      <c r="G294" s="21"/>
      <c r="L294" s="21"/>
      <c r="X294" s="344"/>
    </row>
    <row r="295" spans="3:24" ht="15.75" customHeight="1">
      <c r="C295" s="345"/>
      <c r="E295" s="21"/>
      <c r="F295" s="410"/>
      <c r="G295" s="21"/>
      <c r="L295" s="21"/>
      <c r="X295" s="344"/>
    </row>
    <row r="296" spans="3:24" ht="15.75" customHeight="1">
      <c r="C296" s="345"/>
      <c r="E296" s="21"/>
      <c r="F296" s="410"/>
      <c r="G296" s="21"/>
      <c r="L296" s="21"/>
      <c r="X296" s="344"/>
    </row>
    <row r="297" spans="3:24" ht="15.75" customHeight="1">
      <c r="C297" s="345"/>
      <c r="E297" s="21"/>
      <c r="F297" s="410"/>
      <c r="G297" s="21"/>
      <c r="L297" s="21"/>
      <c r="X297" s="344"/>
    </row>
    <row r="298" spans="3:24" ht="15.75" customHeight="1">
      <c r="C298" s="345"/>
      <c r="E298" s="21"/>
      <c r="F298" s="410"/>
      <c r="G298" s="21"/>
      <c r="L298" s="21"/>
      <c r="X298" s="344"/>
    </row>
    <row r="299" spans="3:24" ht="15.75" customHeight="1">
      <c r="C299" s="345"/>
      <c r="E299" s="21"/>
      <c r="F299" s="410"/>
      <c r="G299" s="21"/>
      <c r="L299" s="21"/>
      <c r="X299" s="344"/>
    </row>
    <row r="300" spans="3:24" ht="15.75" customHeight="1">
      <c r="C300" s="345"/>
      <c r="E300" s="21"/>
      <c r="F300" s="410"/>
      <c r="G300" s="21"/>
      <c r="L300" s="21"/>
      <c r="X300" s="344"/>
    </row>
    <row r="301" spans="3:24" ht="15.75" customHeight="1">
      <c r="C301" s="345"/>
      <c r="E301" s="21"/>
      <c r="F301" s="410"/>
      <c r="G301" s="21"/>
      <c r="L301" s="21"/>
      <c r="X301" s="344"/>
    </row>
    <row r="302" spans="3:24" ht="15.75" customHeight="1">
      <c r="C302" s="345"/>
      <c r="E302" s="21"/>
      <c r="F302" s="410"/>
      <c r="G302" s="21"/>
      <c r="L302" s="21"/>
      <c r="X302" s="344"/>
    </row>
    <row r="303" spans="3:24" ht="15.75" customHeight="1">
      <c r="C303" s="345"/>
      <c r="E303" s="21"/>
      <c r="F303" s="410"/>
      <c r="G303" s="21"/>
      <c r="L303" s="21"/>
      <c r="X303" s="344"/>
    </row>
    <row r="304" spans="3:24" ht="15.75" customHeight="1">
      <c r="C304" s="345"/>
      <c r="E304" s="21"/>
      <c r="F304" s="410"/>
      <c r="G304" s="21"/>
      <c r="L304" s="21"/>
      <c r="X304" s="344"/>
    </row>
    <row r="305" spans="3:24" ht="15.75" customHeight="1">
      <c r="C305" s="345"/>
      <c r="E305" s="21"/>
      <c r="F305" s="410"/>
      <c r="G305" s="21"/>
      <c r="L305" s="21"/>
      <c r="X305" s="344"/>
    </row>
    <row r="306" spans="3:24" ht="15.75" customHeight="1">
      <c r="C306" s="345"/>
      <c r="E306" s="21"/>
      <c r="F306" s="410"/>
      <c r="G306" s="21"/>
      <c r="L306" s="21"/>
      <c r="X306" s="344"/>
    </row>
    <row r="307" spans="3:24" ht="15.75" customHeight="1">
      <c r="C307" s="345"/>
      <c r="E307" s="21"/>
      <c r="F307" s="410"/>
      <c r="G307" s="21"/>
      <c r="L307" s="21"/>
      <c r="X307" s="344"/>
    </row>
    <row r="308" spans="3:24" ht="15.75" customHeight="1">
      <c r="C308" s="345"/>
      <c r="E308" s="21"/>
      <c r="F308" s="410"/>
      <c r="G308" s="21"/>
      <c r="L308" s="21"/>
      <c r="X308" s="344"/>
    </row>
    <row r="309" spans="3:24" ht="15.75" customHeight="1">
      <c r="C309" s="345"/>
      <c r="E309" s="21"/>
      <c r="F309" s="410"/>
      <c r="G309" s="21"/>
      <c r="L309" s="21"/>
      <c r="X309" s="344"/>
    </row>
    <row r="310" spans="3:24" ht="15.75" customHeight="1">
      <c r="C310" s="345"/>
      <c r="E310" s="21"/>
      <c r="F310" s="410"/>
      <c r="G310" s="21"/>
      <c r="L310" s="21"/>
      <c r="X310" s="344"/>
    </row>
    <row r="311" spans="3:24" ht="15.75" customHeight="1">
      <c r="C311" s="345"/>
      <c r="E311" s="21"/>
      <c r="F311" s="410"/>
      <c r="G311" s="21"/>
      <c r="L311" s="21"/>
      <c r="X311" s="344"/>
    </row>
    <row r="312" spans="3:24" ht="15.75" customHeight="1">
      <c r="C312" s="345"/>
      <c r="E312" s="21"/>
      <c r="F312" s="410"/>
      <c r="G312" s="21"/>
      <c r="L312" s="21"/>
      <c r="X312" s="344"/>
    </row>
    <row r="313" spans="3:24" ht="15.75" customHeight="1">
      <c r="C313" s="345"/>
      <c r="E313" s="21"/>
      <c r="F313" s="410"/>
      <c r="G313" s="21"/>
      <c r="L313" s="21"/>
      <c r="X313" s="344"/>
    </row>
    <row r="314" spans="3:24" ht="15.75" customHeight="1">
      <c r="C314" s="345"/>
      <c r="E314" s="21"/>
      <c r="F314" s="410"/>
      <c r="G314" s="21"/>
      <c r="L314" s="21"/>
      <c r="X314" s="344"/>
    </row>
    <row r="315" spans="3:24" ht="15.75" customHeight="1">
      <c r="C315" s="345"/>
      <c r="E315" s="21"/>
      <c r="F315" s="410"/>
      <c r="G315" s="21"/>
      <c r="L315" s="21"/>
      <c r="X315" s="344"/>
    </row>
    <row r="316" spans="3:24" ht="15.75" customHeight="1">
      <c r="C316" s="345"/>
      <c r="E316" s="21"/>
      <c r="F316" s="410"/>
      <c r="G316" s="21"/>
      <c r="L316" s="21"/>
      <c r="X316" s="344"/>
    </row>
    <row r="317" spans="3:24" ht="15.75" customHeight="1">
      <c r="C317" s="345"/>
      <c r="E317" s="21"/>
      <c r="F317" s="410"/>
      <c r="G317" s="21"/>
      <c r="L317" s="21"/>
      <c r="X317" s="344"/>
    </row>
    <row r="318" spans="3:24" ht="15.75" customHeight="1">
      <c r="C318" s="345"/>
      <c r="E318" s="21"/>
      <c r="F318" s="410"/>
      <c r="G318" s="21"/>
      <c r="L318" s="21"/>
      <c r="X318" s="344"/>
    </row>
    <row r="319" spans="3:24" ht="15.75" customHeight="1">
      <c r="C319" s="345"/>
      <c r="E319" s="21"/>
      <c r="F319" s="410"/>
      <c r="G319" s="21"/>
      <c r="L319" s="21"/>
      <c r="X319" s="344"/>
    </row>
    <row r="320" spans="3:24" ht="15.75" customHeight="1">
      <c r="C320" s="345"/>
      <c r="E320" s="21"/>
      <c r="F320" s="410"/>
      <c r="G320" s="21"/>
      <c r="L320" s="21"/>
      <c r="X320" s="344"/>
    </row>
    <row r="321" spans="3:24" ht="15.75" customHeight="1">
      <c r="C321" s="345"/>
      <c r="E321" s="21"/>
      <c r="F321" s="410"/>
      <c r="G321" s="21"/>
      <c r="L321" s="21"/>
      <c r="X321" s="344"/>
    </row>
    <row r="322" spans="3:24" ht="15.75" customHeight="1">
      <c r="C322" s="345"/>
      <c r="E322" s="21"/>
      <c r="F322" s="410"/>
      <c r="G322" s="21"/>
      <c r="L322" s="21"/>
      <c r="X322" s="344"/>
    </row>
    <row r="323" spans="3:24" ht="15.75" customHeight="1">
      <c r="C323" s="345"/>
      <c r="E323" s="21"/>
      <c r="F323" s="410"/>
      <c r="G323" s="21"/>
      <c r="L323" s="21"/>
      <c r="X323" s="344"/>
    </row>
    <row r="324" spans="3:24" ht="15.75" customHeight="1">
      <c r="C324" s="345"/>
      <c r="E324" s="21"/>
      <c r="F324" s="410"/>
      <c r="G324" s="21"/>
      <c r="L324" s="21"/>
      <c r="X324" s="344"/>
    </row>
    <row r="325" spans="3:24" ht="15.75" customHeight="1">
      <c r="C325" s="345"/>
      <c r="E325" s="21"/>
      <c r="F325" s="410"/>
      <c r="G325" s="21"/>
      <c r="L325" s="21"/>
      <c r="X325" s="344"/>
    </row>
    <row r="326" spans="3:24" ht="15.75" customHeight="1">
      <c r="C326" s="345"/>
      <c r="E326" s="21"/>
      <c r="F326" s="410"/>
      <c r="G326" s="21"/>
      <c r="L326" s="21"/>
      <c r="X326" s="344"/>
    </row>
    <row r="327" spans="3:24" ht="15.75" customHeight="1">
      <c r="C327" s="345"/>
      <c r="E327" s="21"/>
      <c r="F327" s="410"/>
      <c r="G327" s="21"/>
      <c r="L327" s="21"/>
      <c r="X327" s="344"/>
    </row>
    <row r="328" spans="3:24" ht="15.75" customHeight="1">
      <c r="C328" s="345"/>
      <c r="E328" s="21"/>
      <c r="F328" s="410"/>
      <c r="G328" s="21"/>
      <c r="L328" s="21"/>
      <c r="X328" s="344"/>
    </row>
    <row r="329" spans="3:24" ht="15.75" customHeight="1">
      <c r="C329" s="345"/>
      <c r="E329" s="21"/>
      <c r="F329" s="410"/>
      <c r="G329" s="21"/>
      <c r="L329" s="21"/>
      <c r="X329" s="344"/>
    </row>
    <row r="330" spans="3:24" ht="15.75" customHeight="1">
      <c r="C330" s="345"/>
      <c r="E330" s="21"/>
      <c r="F330" s="410"/>
      <c r="G330" s="21"/>
      <c r="L330" s="21"/>
      <c r="X330" s="344"/>
    </row>
    <row r="331" spans="3:24" ht="15.75" customHeight="1">
      <c r="C331" s="345"/>
      <c r="E331" s="21"/>
      <c r="F331" s="410"/>
      <c r="G331" s="21"/>
      <c r="L331" s="21"/>
      <c r="X331" s="344"/>
    </row>
    <row r="332" spans="3:24" ht="15.75" customHeight="1">
      <c r="C332" s="345"/>
      <c r="E332" s="21"/>
      <c r="F332" s="410"/>
      <c r="G332" s="21"/>
      <c r="L332" s="21"/>
      <c r="X332" s="344"/>
    </row>
    <row r="333" spans="3:24" ht="15.75" customHeight="1">
      <c r="C333" s="345"/>
      <c r="E333" s="21"/>
      <c r="F333" s="410"/>
      <c r="G333" s="21"/>
      <c r="L333" s="21"/>
      <c r="X333" s="344"/>
    </row>
    <row r="334" spans="3:24" ht="15.75" customHeight="1">
      <c r="C334" s="345"/>
      <c r="E334" s="21"/>
      <c r="F334" s="410"/>
      <c r="G334" s="21"/>
      <c r="L334" s="21"/>
      <c r="X334" s="344"/>
    </row>
    <row r="335" spans="3:24" ht="15.75" customHeight="1">
      <c r="C335" s="345"/>
      <c r="E335" s="21"/>
      <c r="F335" s="410"/>
      <c r="G335" s="21"/>
      <c r="L335" s="21"/>
      <c r="X335" s="344"/>
    </row>
    <row r="336" spans="3:24" ht="15.75" customHeight="1">
      <c r="C336" s="345"/>
      <c r="E336" s="21"/>
      <c r="F336" s="410"/>
      <c r="G336" s="21"/>
      <c r="L336" s="21"/>
      <c r="X336" s="344"/>
    </row>
    <row r="337" spans="3:24" ht="15.75" customHeight="1">
      <c r="C337" s="345"/>
      <c r="E337" s="21"/>
      <c r="F337" s="410"/>
      <c r="G337" s="21"/>
      <c r="L337" s="21"/>
      <c r="X337" s="344"/>
    </row>
    <row r="338" spans="3:24" ht="15.75" customHeight="1">
      <c r="C338" s="345"/>
      <c r="E338" s="21"/>
      <c r="F338" s="410"/>
      <c r="G338" s="21"/>
      <c r="L338" s="21"/>
      <c r="X338" s="344"/>
    </row>
    <row r="339" spans="3:24" ht="15.75" customHeight="1">
      <c r="C339" s="345"/>
      <c r="E339" s="21"/>
      <c r="F339" s="410"/>
      <c r="G339" s="21"/>
      <c r="L339" s="21"/>
      <c r="X339" s="344"/>
    </row>
    <row r="340" spans="3:24" ht="15.75" customHeight="1">
      <c r="C340" s="345"/>
      <c r="E340" s="21"/>
      <c r="F340" s="410"/>
      <c r="G340" s="21"/>
      <c r="L340" s="21"/>
      <c r="X340" s="344"/>
    </row>
    <row r="341" spans="3:24" ht="15.75" customHeight="1">
      <c r="C341" s="345"/>
      <c r="E341" s="21"/>
      <c r="F341" s="410"/>
      <c r="G341" s="21"/>
      <c r="L341" s="21"/>
      <c r="X341" s="344"/>
    </row>
    <row r="342" spans="3:24" ht="15.75" customHeight="1">
      <c r="C342" s="345"/>
      <c r="E342" s="21"/>
      <c r="F342" s="410"/>
      <c r="G342" s="21"/>
      <c r="L342" s="21"/>
      <c r="X342" s="344"/>
    </row>
    <row r="343" spans="3:24" ht="15.75" customHeight="1">
      <c r="C343" s="345"/>
      <c r="E343" s="21"/>
      <c r="F343" s="410"/>
      <c r="G343" s="21"/>
      <c r="L343" s="21"/>
      <c r="X343" s="344"/>
    </row>
    <row r="344" spans="3:24" ht="15.75" customHeight="1">
      <c r="C344" s="345"/>
      <c r="E344" s="21"/>
      <c r="F344" s="410"/>
      <c r="G344" s="21"/>
      <c r="L344" s="21"/>
      <c r="X344" s="344"/>
    </row>
    <row r="345" spans="3:24" ht="15.75" customHeight="1">
      <c r="C345" s="345"/>
      <c r="E345" s="21"/>
      <c r="F345" s="410"/>
      <c r="G345" s="21"/>
      <c r="L345" s="21"/>
      <c r="X345" s="344"/>
    </row>
    <row r="346" spans="3:24" ht="15.75" customHeight="1">
      <c r="C346" s="345"/>
      <c r="E346" s="21"/>
      <c r="F346" s="410"/>
      <c r="G346" s="21"/>
      <c r="L346" s="21"/>
      <c r="X346" s="344"/>
    </row>
    <row r="347" spans="3:24" ht="15.75" customHeight="1">
      <c r="C347" s="345"/>
      <c r="E347" s="21"/>
      <c r="F347" s="410"/>
      <c r="G347" s="21"/>
      <c r="L347" s="21"/>
      <c r="X347" s="344"/>
    </row>
    <row r="348" spans="3:24" ht="15.75" customHeight="1">
      <c r="C348" s="345"/>
      <c r="E348" s="21"/>
      <c r="F348" s="410"/>
      <c r="G348" s="21"/>
      <c r="L348" s="21"/>
      <c r="X348" s="344"/>
    </row>
    <row r="349" spans="3:24" ht="15.75" customHeight="1">
      <c r="C349" s="345"/>
      <c r="E349" s="21"/>
      <c r="F349" s="410"/>
      <c r="G349" s="21"/>
      <c r="L349" s="21"/>
      <c r="X349" s="344"/>
    </row>
    <row r="350" spans="3:24" ht="15.75" customHeight="1">
      <c r="C350" s="345"/>
      <c r="E350" s="21"/>
      <c r="F350" s="410"/>
      <c r="G350" s="21"/>
      <c r="L350" s="21"/>
      <c r="X350" s="344"/>
    </row>
    <row r="351" spans="3:24" ht="15.75" customHeight="1">
      <c r="C351" s="345"/>
      <c r="E351" s="21"/>
      <c r="F351" s="410"/>
      <c r="G351" s="21"/>
      <c r="L351" s="21"/>
      <c r="X351" s="344"/>
    </row>
    <row r="352" spans="3:24" ht="15.75" customHeight="1">
      <c r="C352" s="345"/>
      <c r="E352" s="21"/>
      <c r="F352" s="410"/>
      <c r="G352" s="21"/>
      <c r="L352" s="21"/>
      <c r="X352" s="344"/>
    </row>
    <row r="353" spans="3:24" ht="15.75" customHeight="1">
      <c r="C353" s="345"/>
      <c r="E353" s="21"/>
      <c r="F353" s="410"/>
      <c r="G353" s="21"/>
      <c r="L353" s="21"/>
      <c r="X353" s="344"/>
    </row>
    <row r="354" spans="3:24" ht="15.75" customHeight="1">
      <c r="C354" s="345"/>
      <c r="E354" s="21"/>
      <c r="F354" s="410"/>
      <c r="G354" s="21"/>
      <c r="L354" s="21"/>
      <c r="X354" s="344"/>
    </row>
    <row r="355" spans="3:24" ht="15.75" customHeight="1">
      <c r="C355" s="345"/>
      <c r="E355" s="21"/>
      <c r="F355" s="410"/>
      <c r="G355" s="21"/>
      <c r="L355" s="21"/>
      <c r="X355" s="344"/>
    </row>
    <row r="356" spans="3:24" ht="15.75" customHeight="1">
      <c r="C356" s="345"/>
      <c r="E356" s="21"/>
      <c r="F356" s="410"/>
      <c r="G356" s="21"/>
      <c r="L356" s="21"/>
      <c r="X356" s="344"/>
    </row>
    <row r="357" spans="3:24" ht="15.75" customHeight="1">
      <c r="C357" s="345"/>
      <c r="E357" s="21"/>
      <c r="F357" s="410"/>
      <c r="G357" s="21"/>
      <c r="L357" s="21"/>
      <c r="X357" s="344"/>
    </row>
    <row r="358" spans="3:24" ht="15.75" customHeight="1">
      <c r="C358" s="345"/>
      <c r="E358" s="21"/>
      <c r="F358" s="410"/>
      <c r="G358" s="21"/>
      <c r="L358" s="21"/>
      <c r="X358" s="344"/>
    </row>
    <row r="359" spans="3:24" ht="15.75" customHeight="1">
      <c r="C359" s="345"/>
      <c r="E359" s="21"/>
      <c r="F359" s="410"/>
      <c r="G359" s="21"/>
      <c r="L359" s="21"/>
      <c r="X359" s="344"/>
    </row>
    <row r="360" spans="3:24" ht="15.75" customHeight="1">
      <c r="C360" s="345"/>
      <c r="E360" s="21"/>
      <c r="F360" s="410"/>
      <c r="G360" s="21"/>
      <c r="L360" s="21"/>
      <c r="X360" s="344"/>
    </row>
    <row r="361" spans="3:24" ht="15.75" customHeight="1">
      <c r="C361" s="345"/>
      <c r="E361" s="21"/>
      <c r="F361" s="410"/>
      <c r="G361" s="21"/>
      <c r="L361" s="21"/>
      <c r="X361" s="344"/>
    </row>
    <row r="362" spans="3:24" ht="15.75" customHeight="1">
      <c r="C362" s="345"/>
      <c r="E362" s="21"/>
      <c r="F362" s="410"/>
      <c r="G362" s="21"/>
      <c r="L362" s="21"/>
      <c r="X362" s="344"/>
    </row>
    <row r="363" spans="3:24" ht="15.75" customHeight="1">
      <c r="C363" s="345"/>
      <c r="E363" s="21"/>
      <c r="F363" s="410"/>
      <c r="G363" s="21"/>
      <c r="L363" s="21"/>
      <c r="X363" s="344"/>
    </row>
    <row r="364" spans="3:24" ht="15.75" customHeight="1">
      <c r="C364" s="345"/>
      <c r="E364" s="21"/>
      <c r="F364" s="410"/>
      <c r="G364" s="21"/>
      <c r="L364" s="21"/>
      <c r="X364" s="344"/>
    </row>
    <row r="365" spans="3:24" ht="15.75" customHeight="1">
      <c r="C365" s="345"/>
      <c r="E365" s="21"/>
      <c r="F365" s="410"/>
      <c r="G365" s="21"/>
      <c r="L365" s="21"/>
      <c r="X365" s="344"/>
    </row>
    <row r="366" spans="3:24" ht="15.75" customHeight="1">
      <c r="C366" s="345"/>
      <c r="E366" s="21"/>
      <c r="F366" s="410"/>
      <c r="G366" s="21"/>
      <c r="L366" s="21"/>
      <c r="X366" s="344"/>
    </row>
    <row r="367" spans="3:24" ht="15.75" customHeight="1">
      <c r="C367" s="345"/>
      <c r="E367" s="21"/>
      <c r="F367" s="410"/>
      <c r="G367" s="21"/>
      <c r="L367" s="21"/>
      <c r="X367" s="344"/>
    </row>
    <row r="368" spans="3:24" ht="15.75" customHeight="1">
      <c r="C368" s="345"/>
      <c r="E368" s="21"/>
      <c r="F368" s="410"/>
      <c r="G368" s="21"/>
      <c r="L368" s="21"/>
      <c r="X368" s="344"/>
    </row>
    <row r="369" spans="3:24" ht="15.75" customHeight="1">
      <c r="C369" s="345"/>
      <c r="E369" s="21"/>
      <c r="F369" s="410"/>
      <c r="G369" s="21"/>
      <c r="L369" s="21"/>
      <c r="X369" s="344"/>
    </row>
    <row r="370" spans="3:24" ht="15.75" customHeight="1">
      <c r="C370" s="345"/>
      <c r="E370" s="21"/>
      <c r="F370" s="410"/>
      <c r="G370" s="21"/>
      <c r="L370" s="21"/>
      <c r="X370" s="344"/>
    </row>
    <row r="371" spans="3:24" ht="15.75" customHeight="1">
      <c r="C371" s="345"/>
      <c r="E371" s="21"/>
      <c r="F371" s="410"/>
      <c r="G371" s="21"/>
      <c r="L371" s="21"/>
      <c r="X371" s="344"/>
    </row>
    <row r="372" spans="3:24" ht="15.75" customHeight="1">
      <c r="C372" s="345"/>
      <c r="E372" s="21"/>
      <c r="F372" s="410"/>
      <c r="G372" s="21"/>
      <c r="L372" s="21"/>
      <c r="X372" s="344"/>
    </row>
    <row r="373" spans="3:24" ht="15.75" customHeight="1">
      <c r="C373" s="345"/>
      <c r="E373" s="21"/>
      <c r="F373" s="410"/>
      <c r="G373" s="21"/>
      <c r="L373" s="21"/>
      <c r="X373" s="344"/>
    </row>
    <row r="374" spans="3:24" ht="15.75" customHeight="1">
      <c r="C374" s="345"/>
      <c r="E374" s="21"/>
      <c r="F374" s="410"/>
      <c r="G374" s="21"/>
      <c r="L374" s="21"/>
      <c r="X374" s="344"/>
    </row>
    <row r="375" spans="3:24" ht="15.75" customHeight="1">
      <c r="C375" s="345"/>
      <c r="E375" s="21"/>
      <c r="F375" s="410"/>
      <c r="G375" s="21"/>
      <c r="L375" s="21"/>
      <c r="X375" s="344"/>
    </row>
    <row r="376" spans="3:24" ht="15.75" customHeight="1">
      <c r="C376" s="345"/>
      <c r="E376" s="21"/>
      <c r="F376" s="410"/>
      <c r="G376" s="21"/>
      <c r="L376" s="21"/>
      <c r="X376" s="344"/>
    </row>
    <row r="377" spans="3:24">
      <c r="F377" s="420"/>
    </row>
    <row r="378" spans="3:24">
      <c r="F378" s="420"/>
    </row>
    <row r="379" spans="3:24">
      <c r="F379" s="420"/>
    </row>
    <row r="380" spans="3:24">
      <c r="F380" s="420"/>
    </row>
    <row r="381" spans="3:24">
      <c r="F381" s="420"/>
    </row>
    <row r="382" spans="3:24">
      <c r="F382" s="420"/>
    </row>
    <row r="383" spans="3:24">
      <c r="F383" s="420"/>
    </row>
    <row r="384" spans="3:24">
      <c r="F384" s="420"/>
    </row>
    <row r="385" spans="6:6">
      <c r="F385" s="420"/>
    </row>
    <row r="386" spans="6:6">
      <c r="F386" s="420"/>
    </row>
    <row r="387" spans="6:6">
      <c r="F387" s="420"/>
    </row>
    <row r="388" spans="6:6">
      <c r="F388" s="420"/>
    </row>
    <row r="389" spans="6:6">
      <c r="F389" s="420"/>
    </row>
    <row r="390" spans="6:6">
      <c r="F390" s="420"/>
    </row>
    <row r="391" spans="6:6">
      <c r="F391" s="420"/>
    </row>
    <row r="392" spans="6:6">
      <c r="F392" s="420"/>
    </row>
    <row r="393" spans="6:6">
      <c r="F393" s="420"/>
    </row>
    <row r="394" spans="6:6">
      <c r="F394" s="420"/>
    </row>
    <row r="395" spans="6:6">
      <c r="F395" s="420"/>
    </row>
    <row r="396" spans="6:6">
      <c r="F396" s="420"/>
    </row>
    <row r="397" spans="6:6">
      <c r="F397" s="420"/>
    </row>
    <row r="398" spans="6:6">
      <c r="F398" s="420"/>
    </row>
    <row r="399" spans="6:6">
      <c r="F399" s="420"/>
    </row>
    <row r="400" spans="6:6">
      <c r="F400" s="420"/>
    </row>
    <row r="401" spans="6:6">
      <c r="F401" s="420"/>
    </row>
    <row r="402" spans="6:6">
      <c r="F402" s="420"/>
    </row>
    <row r="403" spans="6:6">
      <c r="F403" s="420"/>
    </row>
    <row r="404" spans="6:6">
      <c r="F404" s="420"/>
    </row>
    <row r="405" spans="6:6">
      <c r="F405" s="420"/>
    </row>
    <row r="406" spans="6:6">
      <c r="F406" s="420"/>
    </row>
    <row r="407" spans="6:6">
      <c r="F407" s="420"/>
    </row>
    <row r="408" spans="6:6">
      <c r="F408" s="420"/>
    </row>
    <row r="409" spans="6:6">
      <c r="F409" s="420"/>
    </row>
    <row r="410" spans="6:6">
      <c r="F410" s="420"/>
    </row>
    <row r="411" spans="6:6">
      <c r="F411" s="420"/>
    </row>
    <row r="412" spans="6:6">
      <c r="F412" s="420"/>
    </row>
    <row r="413" spans="6:6">
      <c r="F413" s="420"/>
    </row>
    <row r="414" spans="6:6">
      <c r="F414" s="420"/>
    </row>
    <row r="415" spans="6:6">
      <c r="F415" s="420"/>
    </row>
    <row r="416" spans="6:6">
      <c r="F416" s="420"/>
    </row>
    <row r="417" spans="6:6">
      <c r="F417" s="420"/>
    </row>
    <row r="418" spans="6:6">
      <c r="F418" s="420"/>
    </row>
    <row r="419" spans="6:6">
      <c r="F419" s="420"/>
    </row>
    <row r="420" spans="6:6">
      <c r="F420" s="420"/>
    </row>
    <row r="421" spans="6:6">
      <c r="F421" s="420"/>
    </row>
    <row r="422" spans="6:6">
      <c r="F422" s="420"/>
    </row>
    <row r="423" spans="6:6">
      <c r="F423" s="420"/>
    </row>
    <row r="424" spans="6:6">
      <c r="F424" s="420"/>
    </row>
    <row r="425" spans="6:6">
      <c r="F425" s="420"/>
    </row>
    <row r="426" spans="6:6">
      <c r="F426" s="420"/>
    </row>
    <row r="427" spans="6:6">
      <c r="F427" s="420"/>
    </row>
    <row r="428" spans="6:6">
      <c r="F428" s="420"/>
    </row>
    <row r="429" spans="6:6">
      <c r="F429" s="420"/>
    </row>
    <row r="430" spans="6:6">
      <c r="F430" s="420"/>
    </row>
    <row r="431" spans="6:6">
      <c r="F431" s="420"/>
    </row>
    <row r="432" spans="6:6">
      <c r="F432" s="420"/>
    </row>
    <row r="433" spans="6:6">
      <c r="F433" s="420"/>
    </row>
    <row r="434" spans="6:6">
      <c r="F434" s="420"/>
    </row>
    <row r="435" spans="6:6">
      <c r="F435" s="420"/>
    </row>
    <row r="436" spans="6:6">
      <c r="F436" s="420"/>
    </row>
    <row r="437" spans="6:6">
      <c r="F437" s="420"/>
    </row>
    <row r="438" spans="6:6">
      <c r="F438" s="420"/>
    </row>
    <row r="439" spans="6:6">
      <c r="F439" s="420"/>
    </row>
    <row r="440" spans="6:6">
      <c r="F440" s="420"/>
    </row>
    <row r="441" spans="6:6">
      <c r="F441" s="420"/>
    </row>
    <row r="442" spans="6:6">
      <c r="F442" s="420"/>
    </row>
    <row r="443" spans="6:6">
      <c r="F443" s="420"/>
    </row>
    <row r="444" spans="6:6">
      <c r="F444" s="420"/>
    </row>
    <row r="445" spans="6:6">
      <c r="F445" s="420"/>
    </row>
    <row r="446" spans="6:6">
      <c r="F446" s="420"/>
    </row>
    <row r="447" spans="6:6">
      <c r="F447" s="420"/>
    </row>
    <row r="448" spans="6:6">
      <c r="F448" s="420"/>
    </row>
    <row r="449" spans="6:6">
      <c r="F449" s="420"/>
    </row>
    <row r="450" spans="6:6">
      <c r="F450" s="420"/>
    </row>
    <row r="451" spans="6:6">
      <c r="F451" s="420"/>
    </row>
    <row r="452" spans="6:6">
      <c r="F452" s="420"/>
    </row>
    <row r="453" spans="6:6">
      <c r="F453" s="420"/>
    </row>
    <row r="454" spans="6:6">
      <c r="F454" s="420"/>
    </row>
    <row r="455" spans="6:6">
      <c r="F455" s="420"/>
    </row>
    <row r="456" spans="6:6">
      <c r="F456" s="420"/>
    </row>
    <row r="457" spans="6:6">
      <c r="F457" s="420"/>
    </row>
    <row r="458" spans="6:6">
      <c r="F458" s="420"/>
    </row>
    <row r="459" spans="6:6">
      <c r="F459" s="420"/>
    </row>
    <row r="460" spans="6:6">
      <c r="F460" s="420"/>
    </row>
    <row r="461" spans="6:6">
      <c r="F461" s="420"/>
    </row>
    <row r="462" spans="6:6">
      <c r="F462" s="420"/>
    </row>
    <row r="463" spans="6:6">
      <c r="F463" s="420"/>
    </row>
    <row r="464" spans="6:6">
      <c r="F464" s="420"/>
    </row>
    <row r="465" spans="6:6">
      <c r="F465" s="420"/>
    </row>
    <row r="466" spans="6:6">
      <c r="F466" s="420"/>
    </row>
    <row r="467" spans="6:6">
      <c r="F467" s="420"/>
    </row>
    <row r="468" spans="6:6">
      <c r="F468" s="420"/>
    </row>
    <row r="469" spans="6:6">
      <c r="F469" s="420"/>
    </row>
    <row r="470" spans="6:6">
      <c r="F470" s="420"/>
    </row>
    <row r="471" spans="6:6">
      <c r="F471" s="420"/>
    </row>
    <row r="472" spans="6:6">
      <c r="F472" s="420"/>
    </row>
    <row r="473" spans="6:6">
      <c r="F473" s="420"/>
    </row>
    <row r="474" spans="6:6">
      <c r="F474" s="420"/>
    </row>
    <row r="475" spans="6:6">
      <c r="F475" s="420"/>
    </row>
    <row r="476" spans="6:6">
      <c r="F476" s="420"/>
    </row>
    <row r="477" spans="6:6">
      <c r="F477" s="420"/>
    </row>
    <row r="478" spans="6:6">
      <c r="F478" s="420"/>
    </row>
    <row r="479" spans="6:6">
      <c r="F479" s="420"/>
    </row>
    <row r="480" spans="6:6">
      <c r="F480" s="420"/>
    </row>
    <row r="481" spans="6:6">
      <c r="F481" s="420"/>
    </row>
    <row r="482" spans="6:6">
      <c r="F482" s="420"/>
    </row>
    <row r="483" spans="6:6">
      <c r="F483" s="420"/>
    </row>
    <row r="484" spans="6:6">
      <c r="F484" s="420"/>
    </row>
    <row r="485" spans="6:6">
      <c r="F485" s="420"/>
    </row>
    <row r="486" spans="6:6">
      <c r="F486" s="420"/>
    </row>
    <row r="487" spans="6:6">
      <c r="F487" s="420"/>
    </row>
    <row r="488" spans="6:6">
      <c r="F488" s="420"/>
    </row>
    <row r="489" spans="6:6">
      <c r="F489" s="420"/>
    </row>
    <row r="490" spans="6:6">
      <c r="F490" s="420"/>
    </row>
  </sheetData>
  <mergeCells count="27">
    <mergeCell ref="BJ1:BL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AX190:BC190"/>
    <mergeCell ref="AA196:AB196"/>
    <mergeCell ref="C1:D1"/>
    <mergeCell ref="E1:I1"/>
    <mergeCell ref="J1:M1"/>
    <mergeCell ref="N1:P1"/>
    <mergeCell ref="Q1:S1"/>
    <mergeCell ref="T1:V1"/>
    <mergeCell ref="W1:Y1"/>
    <mergeCell ref="H190:I190"/>
    <mergeCell ref="Z190:AE190"/>
    <mergeCell ref="AF190:AK190"/>
    <mergeCell ref="AL190:AQ190"/>
    <mergeCell ref="AR190:AW190"/>
  </mergeCells>
  <conditionalFormatting sqref="H3:I4 W3:Y4 H6:I90 W6:Y90 H93:H119 I93:I188 W93:Y130 H121:H188 W132:Y136 W142:Y188">
    <cfRule type="cellIs" dxfId="24" priority="1" operator="between">
      <formula>"0%"</formula>
      <formula>"25%"</formula>
    </cfRule>
  </conditionalFormatting>
  <conditionalFormatting sqref="H3:I4 W3:Y4 H6:I90 W6:Y90 H93:H119 I93:I188 W93:Y130 H121:H188 W132:Y136 W142:Y188">
    <cfRule type="cellIs" dxfId="23" priority="2" operator="between">
      <formula>"25.01%"</formula>
      <formula>"50%"</formula>
    </cfRule>
  </conditionalFormatting>
  <conditionalFormatting sqref="H3:I4 W3:Y4 H6:I90 W6:Y90 H93:H119 I93:I188 W93:Y130 H121:H188 W132:Y136 W142:Y188">
    <cfRule type="cellIs" dxfId="22" priority="3" operator="between">
      <formula>"50.01%"</formula>
      <formula>"75%"</formula>
    </cfRule>
  </conditionalFormatting>
  <conditionalFormatting sqref="H3:I4 W3:Y4 H6:I90 W6:Y90 H93:H119 I93:I188 W93:Y130 H121:H188 W132:Y136 W142:Y188">
    <cfRule type="cellIs" dxfId="21" priority="4" operator="between">
      <formula>"75.01%"</formula>
      <formula>"99.99%"</formula>
    </cfRule>
  </conditionalFormatting>
  <conditionalFormatting sqref="H3:I4 W3:Y4 H6:I90 W6:Y90 H93:H119 I93:I188 W93:Y130 H121:H188 W132:Y136 W142:Y188">
    <cfRule type="cellIs" dxfId="20" priority="5" operator="greaterThanOrEqual">
      <formula>"100%"</formula>
    </cfRule>
  </conditionalFormatting>
  <conditionalFormatting sqref="W138:Y140">
    <cfRule type="cellIs" dxfId="19" priority="6" operator="between">
      <formula>"0%"</formula>
      <formula>"25%"</formula>
    </cfRule>
  </conditionalFormatting>
  <conditionalFormatting sqref="W138:Y140">
    <cfRule type="cellIs" dxfId="18" priority="7" operator="between">
      <formula>"25.01%"</formula>
      <formula>"50%"</formula>
    </cfRule>
  </conditionalFormatting>
  <conditionalFormatting sqref="W138:Y140">
    <cfRule type="cellIs" dxfId="17" priority="8" operator="between">
      <formula>"50.01%"</formula>
      <formula>"75%"</formula>
    </cfRule>
  </conditionalFormatting>
  <conditionalFormatting sqref="W138:Y140">
    <cfRule type="cellIs" dxfId="16" priority="9" operator="between">
      <formula>"75.01%"</formula>
      <formula>"99.99%"</formula>
    </cfRule>
  </conditionalFormatting>
  <conditionalFormatting sqref="W138:Y140">
    <cfRule type="cellIs" dxfId="15" priority="10" operator="greaterThanOrEqual">
      <formula>"100%"</formula>
    </cfRule>
  </conditionalFormatting>
  <conditionalFormatting sqref="H91:I92 W91:Y92">
    <cfRule type="cellIs" dxfId="14" priority="11" operator="between">
      <formula>"0%"</formula>
      <formula>"25%"</formula>
    </cfRule>
  </conditionalFormatting>
  <conditionalFormatting sqref="H91:I92 W91:Y92">
    <cfRule type="cellIs" dxfId="13" priority="12" operator="between">
      <formula>"25.01%"</formula>
      <formula>"50%"</formula>
    </cfRule>
  </conditionalFormatting>
  <conditionalFormatting sqref="H91:I92 W91:Y92">
    <cfRule type="cellIs" dxfId="12" priority="13" operator="between">
      <formula>"50.01%"</formula>
      <formula>"75%"</formula>
    </cfRule>
  </conditionalFormatting>
  <conditionalFormatting sqref="H91:I92 W91:Y92">
    <cfRule type="cellIs" dxfId="11" priority="14" operator="between">
      <formula>"75.01%"</formula>
      <formula>"99.99%"</formula>
    </cfRule>
  </conditionalFormatting>
  <conditionalFormatting sqref="H91:I92 W91:Y92">
    <cfRule type="cellIs" dxfId="10" priority="15" operator="greaterThanOrEqual">
      <formula>"100%"</formula>
    </cfRule>
  </conditionalFormatting>
  <conditionalFormatting sqref="H5:I5 W5:Y5">
    <cfRule type="cellIs" dxfId="9" priority="16" operator="between">
      <formula>"0%"</formula>
      <formula>"25%"</formula>
    </cfRule>
  </conditionalFormatting>
  <conditionalFormatting sqref="H5:I5 W5:Y5">
    <cfRule type="cellIs" dxfId="8" priority="17" operator="between">
      <formula>"25.01%"</formula>
      <formula>"50%"</formula>
    </cfRule>
  </conditionalFormatting>
  <conditionalFormatting sqref="H5:I5 W5:Y5">
    <cfRule type="cellIs" dxfId="7" priority="18" operator="between">
      <formula>"50.01%"</formula>
      <formula>"75%"</formula>
    </cfRule>
  </conditionalFormatting>
  <conditionalFormatting sqref="H5:I5 W5:Y5">
    <cfRule type="cellIs" dxfId="6" priority="19" operator="between">
      <formula>"75.01%"</formula>
      <formula>"99.99%"</formula>
    </cfRule>
  </conditionalFormatting>
  <conditionalFormatting sqref="H5:I5 W5:Y5">
    <cfRule type="cellIs" dxfId="5" priority="20" operator="greaterThanOrEqual">
      <formula>"100%"</formula>
    </cfRule>
  </conditionalFormatting>
  <conditionalFormatting sqref="H70:I70 W70:Y70">
    <cfRule type="cellIs" dxfId="4" priority="21" operator="between">
      <formula>"0%"</formula>
      <formula>"25%"</formula>
    </cfRule>
  </conditionalFormatting>
  <conditionalFormatting sqref="H70:I70 W70:Y70">
    <cfRule type="cellIs" dxfId="3" priority="22" operator="between">
      <formula>"25.01%"</formula>
      <formula>"50%"</formula>
    </cfRule>
  </conditionalFormatting>
  <conditionalFormatting sqref="H70:I70 W70:Y70">
    <cfRule type="cellIs" dxfId="2" priority="23" operator="between">
      <formula>"50.01%"</formula>
      <formula>"75%"</formula>
    </cfRule>
  </conditionalFormatting>
  <conditionalFormatting sqref="H70:I70 W70:Y70">
    <cfRule type="cellIs" dxfId="1" priority="24" operator="between">
      <formula>"75.01%"</formula>
      <formula>"99.99%"</formula>
    </cfRule>
  </conditionalFormatting>
  <conditionalFormatting sqref="H70:I70 W70:Y70">
    <cfRule type="cellIs" dxfId="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Q490"/>
  <sheetViews>
    <sheetView workbookViewId="0">
      <pane ySplit="3" topLeftCell="A4" activePane="bottomLeft" state="frozen"/>
      <selection pane="bottomLeft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6" width="23.5703125" customWidth="1"/>
    <col min="7" max="7" width="13.140625" customWidth="1"/>
    <col min="8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6" customWidth="1"/>
    <col min="23" max="23" width="20" customWidth="1"/>
    <col min="24" max="24" width="20.42578125" customWidth="1"/>
    <col min="25" max="25" width="23.140625" customWidth="1"/>
    <col min="26" max="26" width="16" customWidth="1"/>
    <col min="27" max="30" width="15.7109375" customWidth="1"/>
    <col min="31" max="31" width="16.85546875" customWidth="1"/>
    <col min="32" max="33" width="15.7109375" customWidth="1"/>
    <col min="34" max="34" width="16.42578125" customWidth="1"/>
    <col min="35" max="36" width="15.7109375" customWidth="1"/>
    <col min="37" max="37" width="17.7109375" customWidth="1"/>
    <col min="38" max="39" width="15.7109375" customWidth="1"/>
    <col min="40" max="40" width="14.7109375" customWidth="1"/>
    <col min="41" max="64" width="15.7109375" customWidth="1"/>
  </cols>
  <sheetData>
    <row r="1" spans="1:69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421"/>
      <c r="W1" s="422"/>
      <c r="X1" s="422"/>
      <c r="Y1" s="422"/>
      <c r="Z1" s="569" t="s">
        <v>174</v>
      </c>
      <c r="AA1" s="566"/>
      <c r="AB1" s="564"/>
      <c r="AC1" s="569" t="s">
        <v>175</v>
      </c>
      <c r="AD1" s="566"/>
      <c r="AE1" s="564"/>
      <c r="AF1" s="569" t="s">
        <v>176</v>
      </c>
      <c r="AG1" s="566"/>
      <c r="AH1" s="564"/>
      <c r="AI1" s="569" t="s">
        <v>177</v>
      </c>
      <c r="AJ1" s="566"/>
      <c r="AK1" s="564"/>
      <c r="AL1" s="569" t="s">
        <v>178</v>
      </c>
      <c r="AM1" s="566"/>
      <c r="AN1" s="564"/>
      <c r="AO1" s="569" t="s">
        <v>179</v>
      </c>
      <c r="AP1" s="566"/>
      <c r="AQ1" s="564"/>
      <c r="AR1" s="569" t="s">
        <v>180</v>
      </c>
      <c r="AS1" s="566"/>
      <c r="AT1" s="564"/>
      <c r="AU1" s="569" t="s">
        <v>181</v>
      </c>
      <c r="AV1" s="566"/>
      <c r="AW1" s="564"/>
      <c r="AX1" s="569" t="s">
        <v>182</v>
      </c>
      <c r="AY1" s="566"/>
      <c r="AZ1" s="564"/>
      <c r="BA1" s="569" t="s">
        <v>183</v>
      </c>
      <c r="BB1" s="566"/>
      <c r="BC1" s="564"/>
      <c r="BD1" s="569" t="s">
        <v>184</v>
      </c>
      <c r="BE1" s="566"/>
      <c r="BF1" s="564"/>
      <c r="BG1" s="569" t="s">
        <v>185</v>
      </c>
      <c r="BH1" s="566"/>
      <c r="BI1" s="564"/>
      <c r="BJ1" s="569" t="s">
        <v>186</v>
      </c>
      <c r="BK1" s="566"/>
      <c r="BL1" s="564"/>
      <c r="BM1" s="64"/>
      <c r="BN1" s="64"/>
      <c r="BO1" s="64"/>
      <c r="BP1" s="64"/>
      <c r="BQ1" s="64"/>
    </row>
    <row r="2" spans="1:69" ht="45.75" customHeight="1">
      <c r="A2" s="65"/>
      <c r="B2" s="66"/>
      <c r="C2" s="65" t="s">
        <v>52</v>
      </c>
      <c r="D2" s="67" t="s">
        <v>187</v>
      </c>
      <c r="E2" s="68" t="s">
        <v>188</v>
      </c>
      <c r="F2" s="423" t="s">
        <v>852</v>
      </c>
      <c r="G2" s="423"/>
      <c r="H2" s="69" t="s">
        <v>63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424" t="s">
        <v>853</v>
      </c>
      <c r="W2" s="424" t="s">
        <v>854</v>
      </c>
      <c r="X2" s="424" t="s">
        <v>855</v>
      </c>
      <c r="Y2" s="424" t="s">
        <v>856</v>
      </c>
      <c r="Z2" s="74" t="s">
        <v>62</v>
      </c>
      <c r="AA2" s="74" t="s">
        <v>147</v>
      </c>
      <c r="AB2" s="74" t="s">
        <v>63</v>
      </c>
      <c r="AC2" s="74" t="s">
        <v>62</v>
      </c>
      <c r="AD2" s="74" t="s">
        <v>147</v>
      </c>
      <c r="AE2" s="74" t="s">
        <v>63</v>
      </c>
      <c r="AF2" s="74" t="s">
        <v>62</v>
      </c>
      <c r="AG2" s="74" t="s">
        <v>147</v>
      </c>
      <c r="AH2" s="74" t="s">
        <v>63</v>
      </c>
      <c r="AI2" s="74" t="s">
        <v>62</v>
      </c>
      <c r="AJ2" s="74" t="s">
        <v>147</v>
      </c>
      <c r="AK2" s="74" t="s">
        <v>63</v>
      </c>
      <c r="AL2" s="74" t="s">
        <v>62</v>
      </c>
      <c r="AM2" s="74" t="s">
        <v>147</v>
      </c>
      <c r="AN2" s="74" t="s">
        <v>63</v>
      </c>
      <c r="AO2" s="74" t="s">
        <v>62</v>
      </c>
      <c r="AP2" s="74" t="s">
        <v>147</v>
      </c>
      <c r="AQ2" s="74" t="s">
        <v>63</v>
      </c>
      <c r="AR2" s="74" t="s">
        <v>62</v>
      </c>
      <c r="AS2" s="74" t="s">
        <v>147</v>
      </c>
      <c r="AT2" s="74" t="s">
        <v>63</v>
      </c>
      <c r="AU2" s="74" t="s">
        <v>62</v>
      </c>
      <c r="AV2" s="74" t="s">
        <v>147</v>
      </c>
      <c r="AW2" s="74" t="s">
        <v>63</v>
      </c>
      <c r="AX2" s="74" t="s">
        <v>62</v>
      </c>
      <c r="AY2" s="74" t="s">
        <v>147</v>
      </c>
      <c r="AZ2" s="74" t="s">
        <v>63</v>
      </c>
      <c r="BA2" s="74" t="s">
        <v>62</v>
      </c>
      <c r="BB2" s="74" t="s">
        <v>147</v>
      </c>
      <c r="BC2" s="74" t="s">
        <v>63</v>
      </c>
      <c r="BD2" s="74" t="s">
        <v>62</v>
      </c>
      <c r="BE2" s="74" t="s">
        <v>147</v>
      </c>
      <c r="BF2" s="74" t="s">
        <v>63</v>
      </c>
      <c r="BG2" s="74" t="s">
        <v>62</v>
      </c>
      <c r="BH2" s="74" t="s">
        <v>147</v>
      </c>
      <c r="BI2" s="74" t="s">
        <v>63</v>
      </c>
      <c r="BJ2" s="74" t="s">
        <v>62</v>
      </c>
      <c r="BK2" s="74" t="s">
        <v>147</v>
      </c>
      <c r="BL2" s="74" t="s">
        <v>63</v>
      </c>
      <c r="BM2" s="64"/>
      <c r="BN2" s="64"/>
      <c r="BO2" s="64"/>
      <c r="BP2" s="64"/>
      <c r="BQ2" s="64"/>
    </row>
    <row r="3" spans="1:69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E5+E13+E68+E97+E160</f>
        <v>2379653.64</v>
      </c>
      <c r="F3" s="78">
        <f t="shared" si="0"/>
        <v>1996293.1196700002</v>
      </c>
      <c r="G3" s="78"/>
      <c r="H3" s="78">
        <f t="shared" ref="H3:O3" si="1">H5+H13+H68+H97+H160</f>
        <v>4614392.4400000004</v>
      </c>
      <c r="I3" s="80">
        <f t="shared" si="1"/>
        <v>230317.37</v>
      </c>
      <c r="J3" s="80">
        <f t="shared" si="1"/>
        <v>2466010.4700000002</v>
      </c>
      <c r="K3" s="80">
        <f t="shared" si="1"/>
        <v>16426.96</v>
      </c>
      <c r="L3" s="80">
        <f t="shared" si="1"/>
        <v>0</v>
      </c>
      <c r="M3" s="81">
        <f t="shared" si="1"/>
        <v>20912.669999999998</v>
      </c>
      <c r="N3" s="81">
        <f t="shared" si="1"/>
        <v>1030242.4400000001</v>
      </c>
      <c r="O3" s="81">
        <f t="shared" si="1"/>
        <v>0</v>
      </c>
      <c r="P3" s="82">
        <f t="shared" ref="P3:R3" si="2">IF(BJ3=0,SUM(Z3+AC3+AF3+AI3+AL3+AO3+AR3+AU3+AX3+BA3+BD3+BG3),BJ3)</f>
        <v>20912.669999999998</v>
      </c>
      <c r="Q3" s="82">
        <f t="shared" si="2"/>
        <v>1030242.44</v>
      </c>
      <c r="R3" s="69">
        <f t="shared" si="2"/>
        <v>0</v>
      </c>
      <c r="S3" s="71">
        <f t="shared" ref="S3:U3" si="3">S5+S13+S68+S97+S160</f>
        <v>208841.69999999998</v>
      </c>
      <c r="T3" s="71">
        <f t="shared" si="3"/>
        <v>1419341.0700000003</v>
      </c>
      <c r="U3" s="71">
        <f t="shared" si="3"/>
        <v>0</v>
      </c>
      <c r="V3" s="425"/>
      <c r="W3" s="83">
        <f t="shared" ref="W3:Y3" si="4">SUM(W6:W188)</f>
        <v>1407477.47</v>
      </c>
      <c r="X3" s="83">
        <f t="shared" si="4"/>
        <v>305678.04000000004</v>
      </c>
      <c r="Y3" s="426">
        <f t="shared" si="4"/>
        <v>2410833.2699999996</v>
      </c>
      <c r="Z3" s="83">
        <f t="shared" ref="Z3:BL3" si="5">Z5+Z13+Z68+Z97+Z160</f>
        <v>0</v>
      </c>
      <c r="AA3" s="83">
        <f t="shared" si="5"/>
        <v>219966.24</v>
      </c>
      <c r="AB3" s="83">
        <f t="shared" si="5"/>
        <v>0</v>
      </c>
      <c r="AC3" s="83">
        <f t="shared" si="5"/>
        <v>0</v>
      </c>
      <c r="AD3" s="83">
        <f t="shared" si="5"/>
        <v>232440.47</v>
      </c>
      <c r="AE3" s="83">
        <f t="shared" si="5"/>
        <v>0</v>
      </c>
      <c r="AF3" s="83">
        <f t="shared" si="5"/>
        <v>2029.32</v>
      </c>
      <c r="AG3" s="83">
        <f t="shared" si="5"/>
        <v>268852.19999999995</v>
      </c>
      <c r="AH3" s="83">
        <f t="shared" si="5"/>
        <v>0</v>
      </c>
      <c r="AI3" s="83">
        <f t="shared" si="5"/>
        <v>18883.349999999999</v>
      </c>
      <c r="AJ3" s="83">
        <f t="shared" si="5"/>
        <v>308983.53000000003</v>
      </c>
      <c r="AK3" s="83">
        <f t="shared" si="5"/>
        <v>0</v>
      </c>
      <c r="AL3" s="83">
        <f t="shared" si="5"/>
        <v>0</v>
      </c>
      <c r="AM3" s="83">
        <f t="shared" si="5"/>
        <v>0</v>
      </c>
      <c r="AN3" s="83">
        <f t="shared" si="5"/>
        <v>0</v>
      </c>
      <c r="AO3" s="83">
        <f t="shared" si="5"/>
        <v>0</v>
      </c>
      <c r="AP3" s="83">
        <f t="shared" si="5"/>
        <v>0</v>
      </c>
      <c r="AQ3" s="83">
        <f t="shared" si="5"/>
        <v>0</v>
      </c>
      <c r="AR3" s="83">
        <f t="shared" si="5"/>
        <v>0</v>
      </c>
      <c r="AS3" s="83">
        <f t="shared" si="5"/>
        <v>0</v>
      </c>
      <c r="AT3" s="83">
        <f t="shared" si="5"/>
        <v>0</v>
      </c>
      <c r="AU3" s="83">
        <f t="shared" si="5"/>
        <v>0</v>
      </c>
      <c r="AV3" s="83">
        <f t="shared" si="5"/>
        <v>0</v>
      </c>
      <c r="AW3" s="83">
        <f t="shared" si="5"/>
        <v>0</v>
      </c>
      <c r="AX3" s="83">
        <f t="shared" si="5"/>
        <v>0</v>
      </c>
      <c r="AY3" s="83">
        <f t="shared" si="5"/>
        <v>0</v>
      </c>
      <c r="AZ3" s="83">
        <f t="shared" si="5"/>
        <v>0</v>
      </c>
      <c r="BA3" s="83">
        <f t="shared" si="5"/>
        <v>0</v>
      </c>
      <c r="BB3" s="83">
        <f t="shared" si="5"/>
        <v>0</v>
      </c>
      <c r="BC3" s="83">
        <f t="shared" si="5"/>
        <v>0</v>
      </c>
      <c r="BD3" s="83">
        <f t="shared" si="5"/>
        <v>0</v>
      </c>
      <c r="BE3" s="83">
        <f t="shared" si="5"/>
        <v>0</v>
      </c>
      <c r="BF3" s="83">
        <f t="shared" si="5"/>
        <v>0</v>
      </c>
      <c r="BG3" s="83">
        <f t="shared" si="5"/>
        <v>0</v>
      </c>
      <c r="BH3" s="83">
        <f t="shared" si="5"/>
        <v>0</v>
      </c>
      <c r="BI3" s="83">
        <f t="shared" si="5"/>
        <v>0</v>
      </c>
      <c r="BJ3" s="83">
        <f t="shared" si="5"/>
        <v>0</v>
      </c>
      <c r="BK3" s="83">
        <f t="shared" si="5"/>
        <v>0</v>
      </c>
      <c r="BL3" s="83">
        <f t="shared" si="5"/>
        <v>0</v>
      </c>
      <c r="BM3" s="84"/>
      <c r="BN3" s="85"/>
      <c r="BO3" s="85"/>
      <c r="BP3" s="85"/>
      <c r="BQ3" s="85"/>
    </row>
    <row r="4" spans="1:69" ht="21">
      <c r="A4" s="75"/>
      <c r="B4" s="76"/>
      <c r="C4" s="77"/>
      <c r="D4" s="75"/>
      <c r="E4" s="78">
        <f>E3*14.5%</f>
        <v>345049.77779999998</v>
      </c>
      <c r="F4" s="78">
        <f>E3-F3</f>
        <v>383360.52032999997</v>
      </c>
      <c r="G4" s="78"/>
      <c r="H4" s="78">
        <f>F4-E4</f>
        <v>38310.742529999989</v>
      </c>
      <c r="I4" s="80"/>
      <c r="J4" s="80"/>
      <c r="K4" s="80"/>
      <c r="L4" s="80"/>
      <c r="M4" s="81"/>
      <c r="N4" s="81"/>
      <c r="O4" s="81"/>
      <c r="P4" s="82"/>
      <c r="Q4" s="82"/>
      <c r="R4" s="69"/>
      <c r="S4" s="71"/>
      <c r="T4" s="71"/>
      <c r="U4" s="71"/>
      <c r="V4" s="425"/>
      <c r="W4" s="83"/>
      <c r="X4" s="83"/>
      <c r="Y4" s="426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4"/>
      <c r="BN4" s="85"/>
      <c r="BO4" s="85"/>
      <c r="BP4" s="85"/>
      <c r="BQ4" s="85"/>
    </row>
    <row r="5" spans="1:69" ht="21">
      <c r="A5" s="86"/>
      <c r="B5" s="86"/>
      <c r="C5" s="86" t="s">
        <v>199</v>
      </c>
      <c r="D5" s="86"/>
      <c r="E5" s="87">
        <f t="shared" ref="E5:F5" si="6">SUM(E6:E12)</f>
        <v>48607.67</v>
      </c>
      <c r="F5" s="87">
        <f t="shared" si="6"/>
        <v>31323.87717</v>
      </c>
      <c r="G5" s="87"/>
      <c r="H5" s="87">
        <f>SUM(H7:H12)</f>
        <v>123386.01999999999</v>
      </c>
      <c r="I5" s="87">
        <f>SUM(I6:I12)</f>
        <v>2348</v>
      </c>
      <c r="J5" s="87">
        <f>SUM(J7:J12)</f>
        <v>17783.25</v>
      </c>
      <c r="K5" s="87"/>
      <c r="L5" s="87">
        <f>SUM(L15)</f>
        <v>0</v>
      </c>
      <c r="M5" s="87">
        <f t="shared" ref="M5:N5" si="7">SUM(M6:M12)</f>
        <v>304</v>
      </c>
      <c r="N5" s="87">
        <f t="shared" si="7"/>
        <v>1950</v>
      </c>
      <c r="O5" s="87">
        <f>SUM(O15)</f>
        <v>0</v>
      </c>
      <c r="P5" s="87">
        <f t="shared" ref="P5:R5" si="8">IF(BJ5=0,SUM(Z5+AC5+AF5+AI5+AL5+AO5+AR5+AU5+AX5+BA5+BD5+BG5),BJ5)</f>
        <v>304</v>
      </c>
      <c r="Q5" s="87">
        <f t="shared" si="8"/>
        <v>1950</v>
      </c>
      <c r="R5" s="87">
        <f t="shared" si="8"/>
        <v>0</v>
      </c>
      <c r="S5" s="87">
        <f t="shared" ref="S5:U5" si="9">SUM(S6:S12)</f>
        <v>2044</v>
      </c>
      <c r="T5" s="87">
        <f t="shared" si="9"/>
        <v>15833.25</v>
      </c>
      <c r="U5" s="87">
        <f t="shared" si="9"/>
        <v>0</v>
      </c>
      <c r="V5" s="425"/>
      <c r="W5" s="87"/>
      <c r="X5" s="87"/>
      <c r="Y5" s="87"/>
      <c r="Z5" s="87">
        <f t="shared" ref="Z5:AE5" si="10">SUM(Z15)</f>
        <v>0</v>
      </c>
      <c r="AA5" s="87">
        <f t="shared" si="10"/>
        <v>0</v>
      </c>
      <c r="AB5" s="87">
        <f t="shared" si="10"/>
        <v>0</v>
      </c>
      <c r="AC5" s="87">
        <f t="shared" si="10"/>
        <v>0</v>
      </c>
      <c r="AD5" s="87">
        <f t="shared" si="10"/>
        <v>0</v>
      </c>
      <c r="AE5" s="87">
        <f t="shared" si="10"/>
        <v>0</v>
      </c>
      <c r="AF5" s="87">
        <f>SUM(AF6:AF12)</f>
        <v>304</v>
      </c>
      <c r="AG5" s="87">
        <f t="shared" ref="AG5:AI5" si="11">SUM(AG15)</f>
        <v>0</v>
      </c>
      <c r="AH5" s="87">
        <f t="shared" si="11"/>
        <v>0</v>
      </c>
      <c r="AI5" s="87">
        <f t="shared" si="11"/>
        <v>0</v>
      </c>
      <c r="AJ5" s="87">
        <f>SUM(AJ6:AJ12)</f>
        <v>1950</v>
      </c>
      <c r="AK5" s="87">
        <f t="shared" ref="AK5:BL5" si="12">SUM(AK15)</f>
        <v>0</v>
      </c>
      <c r="AL5" s="87">
        <f t="shared" si="12"/>
        <v>0</v>
      </c>
      <c r="AM5" s="87">
        <f t="shared" si="12"/>
        <v>0</v>
      </c>
      <c r="AN5" s="87">
        <f t="shared" si="12"/>
        <v>0</v>
      </c>
      <c r="AO5" s="87">
        <f t="shared" si="12"/>
        <v>0</v>
      </c>
      <c r="AP5" s="87">
        <f t="shared" si="12"/>
        <v>0</v>
      </c>
      <c r="AQ5" s="87">
        <f t="shared" si="12"/>
        <v>0</v>
      </c>
      <c r="AR5" s="87">
        <f t="shared" si="12"/>
        <v>0</v>
      </c>
      <c r="AS5" s="87">
        <f t="shared" si="12"/>
        <v>0</v>
      </c>
      <c r="AT5" s="87">
        <f t="shared" si="12"/>
        <v>0</v>
      </c>
      <c r="AU5" s="87">
        <f t="shared" si="12"/>
        <v>0</v>
      </c>
      <c r="AV5" s="87">
        <f t="shared" si="12"/>
        <v>0</v>
      </c>
      <c r="AW5" s="87">
        <f t="shared" si="12"/>
        <v>0</v>
      </c>
      <c r="AX5" s="87">
        <f t="shared" si="12"/>
        <v>0</v>
      </c>
      <c r="AY5" s="87">
        <f t="shared" si="12"/>
        <v>0</v>
      </c>
      <c r="AZ5" s="87">
        <f t="shared" si="12"/>
        <v>0</v>
      </c>
      <c r="BA5" s="87">
        <f t="shared" si="12"/>
        <v>0</v>
      </c>
      <c r="BB5" s="87">
        <f t="shared" si="12"/>
        <v>0</v>
      </c>
      <c r="BC5" s="87">
        <f t="shared" si="12"/>
        <v>0</v>
      </c>
      <c r="BD5" s="87">
        <f t="shared" si="12"/>
        <v>0</v>
      </c>
      <c r="BE5" s="87">
        <f t="shared" si="12"/>
        <v>0</v>
      </c>
      <c r="BF5" s="87">
        <f t="shared" si="12"/>
        <v>0</v>
      </c>
      <c r="BG5" s="87">
        <f t="shared" si="12"/>
        <v>0</v>
      </c>
      <c r="BH5" s="87">
        <f t="shared" si="12"/>
        <v>0</v>
      </c>
      <c r="BI5" s="87">
        <f t="shared" si="12"/>
        <v>0</v>
      </c>
      <c r="BJ5" s="87">
        <f t="shared" si="12"/>
        <v>0</v>
      </c>
      <c r="BK5" s="87">
        <f t="shared" si="12"/>
        <v>0</v>
      </c>
      <c r="BL5" s="87">
        <f t="shared" si="12"/>
        <v>0</v>
      </c>
      <c r="BM5" s="84"/>
      <c r="BN5" s="85"/>
      <c r="BO5" s="85"/>
      <c r="BP5" s="85"/>
      <c r="BQ5" s="85"/>
    </row>
    <row r="6" spans="1:69" ht="15.75" customHeight="1">
      <c r="A6" s="89" t="s">
        <v>472</v>
      </c>
      <c r="B6" s="89"/>
      <c r="C6" s="90" t="s">
        <v>200</v>
      </c>
      <c r="D6" s="91" t="s">
        <v>201</v>
      </c>
      <c r="E6" s="92">
        <v>1500</v>
      </c>
      <c r="F6" s="92">
        <f>-(E6*10.9%)+E6</f>
        <v>1336.5</v>
      </c>
      <c r="G6" s="92"/>
      <c r="H6" s="93"/>
      <c r="I6" s="95">
        <v>1500</v>
      </c>
      <c r="J6" s="96"/>
      <c r="K6" s="96"/>
      <c r="L6" s="95"/>
      <c r="M6" s="97">
        <f t="shared" ref="M6:O6" si="13">Z6+AC6+AF6+AI6+AL6+AO6+AR6+AU6+AX6+BA6+BD6+BG6</f>
        <v>0</v>
      </c>
      <c r="N6" s="97">
        <f t="shared" si="13"/>
        <v>0</v>
      </c>
      <c r="O6" s="97">
        <f t="shared" si="13"/>
        <v>0</v>
      </c>
      <c r="P6" s="82">
        <f t="shared" ref="P6:R6" si="14">IF(BJ6=0,SUM(Z6+AC6+AF6+AI6+AL6+AO6+AR6+AU6+AX6+BA6+BD6+BG6),BJ6)</f>
        <v>0</v>
      </c>
      <c r="Q6" s="82">
        <f t="shared" si="14"/>
        <v>0</v>
      </c>
      <c r="R6" s="82">
        <f t="shared" si="14"/>
        <v>0</v>
      </c>
      <c r="S6" s="97">
        <f t="shared" ref="S6:S12" si="15">I6-M6</f>
        <v>1500</v>
      </c>
      <c r="T6" s="97"/>
      <c r="U6" s="97"/>
      <c r="V6" s="427"/>
      <c r="W6" s="96">
        <f t="shared" ref="W6:W9" si="16">AJ6*11</f>
        <v>0</v>
      </c>
      <c r="X6" s="96">
        <f t="shared" ref="X6:X8" si="17">W6-T6</f>
        <v>0</v>
      </c>
      <c r="Y6" s="428">
        <f>E6-X6</f>
        <v>1500</v>
      </c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9"/>
      <c r="BN6" s="100"/>
      <c r="BO6" s="100"/>
      <c r="BP6" s="100"/>
      <c r="BQ6" s="100"/>
    </row>
    <row r="7" spans="1:69" ht="15.75" customHeight="1">
      <c r="A7" s="89"/>
      <c r="B7" s="89"/>
      <c r="C7" s="101" t="s">
        <v>202</v>
      </c>
      <c r="D7" s="91" t="s">
        <v>203</v>
      </c>
      <c r="E7" s="92">
        <v>4202</v>
      </c>
      <c r="F7" s="429">
        <v>0</v>
      </c>
      <c r="G7" s="429">
        <v>0</v>
      </c>
      <c r="H7" s="93">
        <v>10345.6</v>
      </c>
      <c r="I7" s="95"/>
      <c r="J7" s="96"/>
      <c r="K7" s="96"/>
      <c r="L7" s="95"/>
      <c r="M7" s="97">
        <f t="shared" ref="M7:O7" si="18">Z7+AC7+AF7+AI7+AL7+AO7+AR7+AU7+AX7+BA7+BD7+BG7</f>
        <v>0</v>
      </c>
      <c r="N7" s="97">
        <f t="shared" si="18"/>
        <v>0</v>
      </c>
      <c r="O7" s="97">
        <f t="shared" si="18"/>
        <v>0</v>
      </c>
      <c r="P7" s="82">
        <f t="shared" ref="P7:R7" si="19">IF(BJ7=0,SUM(Z7+AC7+AF7+AI7+AL7+AO7+AR7+AU7+AX7+BA7+BD7+BG7),BJ7)</f>
        <v>0</v>
      </c>
      <c r="Q7" s="82">
        <f t="shared" si="19"/>
        <v>0</v>
      </c>
      <c r="R7" s="82">
        <f t="shared" si="19"/>
        <v>0</v>
      </c>
      <c r="S7" s="97">
        <f t="shared" si="15"/>
        <v>0</v>
      </c>
      <c r="T7" s="97">
        <f t="shared" ref="T7:T12" si="20">J7-N7</f>
        <v>0</v>
      </c>
      <c r="U7" s="97">
        <f t="shared" ref="U7:U12" si="21">L7-O7</f>
        <v>0</v>
      </c>
      <c r="V7" s="427"/>
      <c r="W7" s="96">
        <f t="shared" si="16"/>
        <v>0</v>
      </c>
      <c r="X7" s="96">
        <f t="shared" si="17"/>
        <v>0</v>
      </c>
      <c r="Y7" s="428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9"/>
      <c r="BN7" s="100"/>
      <c r="BO7" s="100"/>
      <c r="BP7" s="100"/>
      <c r="BQ7" s="100"/>
    </row>
    <row r="8" spans="1:69" ht="15.75" customHeight="1">
      <c r="A8" s="89"/>
      <c r="B8" s="89"/>
      <c r="C8" s="101" t="s">
        <v>204</v>
      </c>
      <c r="D8" s="91" t="s">
        <v>205</v>
      </c>
      <c r="E8" s="92">
        <v>1680.8</v>
      </c>
      <c r="F8" s="429">
        <v>0</v>
      </c>
      <c r="G8" s="429">
        <v>0</v>
      </c>
      <c r="H8" s="93">
        <v>2955.35</v>
      </c>
      <c r="I8" s="95"/>
      <c r="J8" s="96"/>
      <c r="K8" s="96"/>
      <c r="L8" s="95"/>
      <c r="M8" s="97">
        <f t="shared" ref="M8:O8" si="22">Z8+AC8+AF8+AI8+AL8+AO8+AR8+AU8+AX8+BA8+BD8+BG8</f>
        <v>0</v>
      </c>
      <c r="N8" s="97">
        <f t="shared" si="22"/>
        <v>0</v>
      </c>
      <c r="O8" s="97">
        <f t="shared" si="22"/>
        <v>0</v>
      </c>
      <c r="P8" s="82">
        <f t="shared" ref="P8:R8" si="23">IF(BJ8=0,SUM(Z8+AC8+AF8+AI8+AL8+AO8+AR8+AU8+AX8+BA8+BD8+BG8),BJ8)</f>
        <v>0</v>
      </c>
      <c r="Q8" s="82">
        <f t="shared" si="23"/>
        <v>0</v>
      </c>
      <c r="R8" s="82">
        <f t="shared" si="23"/>
        <v>0</v>
      </c>
      <c r="S8" s="97">
        <f t="shared" si="15"/>
        <v>0</v>
      </c>
      <c r="T8" s="97">
        <f t="shared" si="20"/>
        <v>0</v>
      </c>
      <c r="U8" s="97">
        <f t="shared" si="21"/>
        <v>0</v>
      </c>
      <c r="V8" s="427"/>
      <c r="W8" s="96">
        <f t="shared" si="16"/>
        <v>0</v>
      </c>
      <c r="X8" s="96">
        <f t="shared" si="17"/>
        <v>0</v>
      </c>
      <c r="Y8" s="428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9"/>
      <c r="BN8" s="100"/>
      <c r="BO8" s="100"/>
      <c r="BP8" s="100"/>
      <c r="BQ8" s="100"/>
    </row>
    <row r="9" spans="1:69" ht="15.75" customHeight="1">
      <c r="A9" s="89"/>
      <c r="B9" s="371" t="s">
        <v>728</v>
      </c>
      <c r="C9" s="101" t="s">
        <v>207</v>
      </c>
      <c r="D9" s="91" t="s">
        <v>857</v>
      </c>
      <c r="E9" s="92">
        <v>15127.2</v>
      </c>
      <c r="F9" s="430">
        <f>-(E9*10.9%)+E9</f>
        <v>13478.335200000001</v>
      </c>
      <c r="G9" s="431" t="s">
        <v>858</v>
      </c>
      <c r="H9" s="93">
        <v>58483.53</v>
      </c>
      <c r="I9" s="95"/>
      <c r="J9" s="96">
        <v>15833.25</v>
      </c>
      <c r="K9" s="96"/>
      <c r="L9" s="95"/>
      <c r="M9" s="97">
        <f t="shared" ref="M9:O9" si="24">Z9+AC9+AF9+AI9+AL9+AO9+AR9+AU9+AX9+BA9+BD9+BG9</f>
        <v>0</v>
      </c>
      <c r="N9" s="97">
        <f t="shared" si="24"/>
        <v>0</v>
      </c>
      <c r="O9" s="97">
        <f t="shared" si="24"/>
        <v>0</v>
      </c>
      <c r="P9" s="82">
        <f t="shared" ref="P9:R9" si="25">IF(BJ9=0,SUM(Z9+AC9+AF9+AI9+AL9+AO9+AR9+AU9+AX9+BA9+BD9+BG9),BJ9)</f>
        <v>0</v>
      </c>
      <c r="Q9" s="82">
        <f t="shared" si="25"/>
        <v>0</v>
      </c>
      <c r="R9" s="82">
        <f t="shared" si="25"/>
        <v>0</v>
      </c>
      <c r="S9" s="97">
        <f t="shared" si="15"/>
        <v>0</v>
      </c>
      <c r="T9" s="97">
        <f t="shared" si="20"/>
        <v>15833.25</v>
      </c>
      <c r="U9" s="97">
        <f t="shared" si="21"/>
        <v>0</v>
      </c>
      <c r="V9" s="427"/>
      <c r="W9" s="96">
        <f t="shared" si="16"/>
        <v>0</v>
      </c>
      <c r="X9" s="96"/>
      <c r="Y9" s="428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9"/>
      <c r="BN9" s="100"/>
      <c r="BO9" s="100"/>
      <c r="BP9" s="100"/>
      <c r="BQ9" s="100"/>
    </row>
    <row r="10" spans="1:69" ht="15.75" customHeight="1">
      <c r="A10" s="89"/>
      <c r="B10" s="89"/>
      <c r="C10" s="101" t="s">
        <v>209</v>
      </c>
      <c r="D10" s="91" t="s">
        <v>69</v>
      </c>
      <c r="E10" s="92">
        <v>8029.07</v>
      </c>
      <c r="F10" s="432">
        <f>-(E10*10.9%)+E10-3000</f>
        <v>4153.9013699999996</v>
      </c>
      <c r="G10" s="429">
        <v>3000</v>
      </c>
      <c r="H10" s="93"/>
      <c r="I10" s="95"/>
      <c r="J10" s="353">
        <v>1950</v>
      </c>
      <c r="K10" s="96"/>
      <c r="L10" s="95"/>
      <c r="M10" s="97">
        <f t="shared" ref="M10:O10" si="26">Z10+AC10+AF10+AI10+AL10+AO10+AR10+AU10+AX10+BA10+BD10+BG10</f>
        <v>0</v>
      </c>
      <c r="N10" s="97">
        <f t="shared" si="26"/>
        <v>1950</v>
      </c>
      <c r="O10" s="97">
        <f t="shared" si="26"/>
        <v>0</v>
      </c>
      <c r="P10" s="82">
        <f t="shared" ref="P10:R10" si="27">IF(BJ10=0,SUM(Z10+AC10+AF10+AI10+AL10+AO10+AR10+AU10+AX10+BA10+BD10+BG10),BJ10)</f>
        <v>0</v>
      </c>
      <c r="Q10" s="82">
        <f t="shared" si="27"/>
        <v>1950</v>
      </c>
      <c r="R10" s="82">
        <f t="shared" si="27"/>
        <v>0</v>
      </c>
      <c r="S10" s="97">
        <f t="shared" si="15"/>
        <v>0</v>
      </c>
      <c r="T10" s="97">
        <f t="shared" si="20"/>
        <v>0</v>
      </c>
      <c r="U10" s="97">
        <f t="shared" si="21"/>
        <v>0</v>
      </c>
      <c r="V10" s="427"/>
      <c r="W10" s="96"/>
      <c r="X10" s="96"/>
      <c r="Y10" s="428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362">
        <v>1950</v>
      </c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9"/>
      <c r="BN10" s="100"/>
      <c r="BO10" s="100"/>
      <c r="BP10" s="100"/>
      <c r="BQ10" s="100"/>
    </row>
    <row r="11" spans="1:69" ht="15.75" customHeight="1">
      <c r="A11" s="359" t="s">
        <v>575</v>
      </c>
      <c r="B11" s="89"/>
      <c r="C11" s="104" t="s">
        <v>210</v>
      </c>
      <c r="D11" s="91" t="s">
        <v>70</v>
      </c>
      <c r="E11" s="433">
        <v>13866.6</v>
      </c>
      <c r="F11" s="92">
        <f>-(E11*10.9%)+E11</f>
        <v>12355.140600000001</v>
      </c>
      <c r="G11" s="92"/>
      <c r="H11" s="93">
        <v>51601.54</v>
      </c>
      <c r="I11" s="95">
        <f>304+183+361</f>
        <v>848</v>
      </c>
      <c r="J11" s="96"/>
      <c r="K11" s="96"/>
      <c r="L11" s="95"/>
      <c r="M11" s="97">
        <f t="shared" ref="M11:O11" si="28">Z11+AC11+AF11+AI11+AL11+AO11+AR11+AU11+AX11+BA11+BD11+BG11</f>
        <v>304</v>
      </c>
      <c r="N11" s="97">
        <f t="shared" si="28"/>
        <v>0</v>
      </c>
      <c r="O11" s="97">
        <f t="shared" si="28"/>
        <v>0</v>
      </c>
      <c r="P11" s="82">
        <f t="shared" ref="P11:R11" si="29">IF(BJ11=0,SUM(Z11+AC11+AF11+AI11+AL11+AO11+AR11+AU11+AX11+BA11+BD11+BG11),BJ11)</f>
        <v>304</v>
      </c>
      <c r="Q11" s="82">
        <f t="shared" si="29"/>
        <v>0</v>
      </c>
      <c r="R11" s="82">
        <f t="shared" si="29"/>
        <v>0</v>
      </c>
      <c r="S11" s="97">
        <f t="shared" si="15"/>
        <v>544</v>
      </c>
      <c r="T11" s="97">
        <f t="shared" si="20"/>
        <v>0</v>
      </c>
      <c r="U11" s="97">
        <f t="shared" si="21"/>
        <v>0</v>
      </c>
      <c r="V11" s="427"/>
      <c r="W11" s="96">
        <f t="shared" ref="W11:W12" si="30">AJ11*11</f>
        <v>0</v>
      </c>
      <c r="X11" s="96">
        <f t="shared" ref="X11:X12" si="31">W11-T11</f>
        <v>0</v>
      </c>
      <c r="Y11" s="428"/>
      <c r="Z11" s="96"/>
      <c r="AA11" s="96"/>
      <c r="AB11" s="96"/>
      <c r="AC11" s="96"/>
      <c r="AD11" s="96"/>
      <c r="AE11" s="96"/>
      <c r="AF11" s="103">
        <v>304</v>
      </c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9"/>
      <c r="BN11" s="100"/>
      <c r="BO11" s="100"/>
      <c r="BP11" s="100"/>
      <c r="BQ11" s="100"/>
    </row>
    <row r="12" spans="1:69" ht="15.75" customHeight="1">
      <c r="A12" s="89"/>
      <c r="B12" s="89"/>
      <c r="C12" s="101" t="s">
        <v>211</v>
      </c>
      <c r="D12" s="91" t="s">
        <v>71</v>
      </c>
      <c r="E12" s="92">
        <v>4202</v>
      </c>
      <c r="F12" s="429">
        <v>0</v>
      </c>
      <c r="G12" s="429">
        <v>0</v>
      </c>
      <c r="H12" s="92"/>
      <c r="I12" s="95"/>
      <c r="J12" s="96"/>
      <c r="K12" s="96"/>
      <c r="L12" s="95"/>
      <c r="M12" s="97">
        <f t="shared" ref="M12:O12" si="32">Z12+AC12+AF12+AI12+AL12+AO12+AR12+AU12+AX12+BA12+BD12+BG12</f>
        <v>0</v>
      </c>
      <c r="N12" s="97">
        <f t="shared" si="32"/>
        <v>0</v>
      </c>
      <c r="O12" s="97">
        <f t="shared" si="32"/>
        <v>0</v>
      </c>
      <c r="P12" s="82">
        <f t="shared" ref="P12:R12" si="33">IF(BJ12=0,SUM(Z12+AC12+AF12+AI12+AL12+AO12+AR12+AU12+AX12+BA12+BD12+BG12),BJ12)</f>
        <v>0</v>
      </c>
      <c r="Q12" s="82">
        <f t="shared" si="33"/>
        <v>0</v>
      </c>
      <c r="R12" s="82">
        <f t="shared" si="33"/>
        <v>0</v>
      </c>
      <c r="S12" s="97">
        <f t="shared" si="15"/>
        <v>0</v>
      </c>
      <c r="T12" s="97">
        <f t="shared" si="20"/>
        <v>0</v>
      </c>
      <c r="U12" s="97">
        <f t="shared" si="21"/>
        <v>0</v>
      </c>
      <c r="V12" s="427"/>
      <c r="W12" s="96">
        <f t="shared" si="30"/>
        <v>0</v>
      </c>
      <c r="X12" s="96">
        <f t="shared" si="31"/>
        <v>0</v>
      </c>
      <c r="Y12" s="428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9"/>
      <c r="BN12" s="100"/>
      <c r="BO12" s="100"/>
      <c r="BP12" s="100"/>
      <c r="BQ12" s="100"/>
    </row>
    <row r="13" spans="1:69" ht="21">
      <c r="A13" s="105"/>
      <c r="B13" s="105"/>
      <c r="C13" s="105" t="s">
        <v>212</v>
      </c>
      <c r="D13" s="106"/>
      <c r="E13" s="87">
        <f t="shared" ref="E13:F13" si="34">SUM(E14:E67)</f>
        <v>1669164.1900000002</v>
      </c>
      <c r="F13" s="87">
        <f t="shared" si="34"/>
        <v>1317290.6225000001</v>
      </c>
      <c r="G13" s="87"/>
      <c r="H13" s="87">
        <f t="shared" ref="H13:I13" si="35">SUM(H14:H67)</f>
        <v>3250000</v>
      </c>
      <c r="I13" s="87">
        <f t="shared" si="35"/>
        <v>201327.71</v>
      </c>
      <c r="J13" s="87">
        <f t="shared" ref="J13:L13" si="36">SUM(J16:J67)</f>
        <v>1611770.46</v>
      </c>
      <c r="K13" s="87">
        <f t="shared" si="36"/>
        <v>16426.96</v>
      </c>
      <c r="L13" s="87">
        <f t="shared" si="36"/>
        <v>0</v>
      </c>
      <c r="M13" s="87">
        <f t="shared" ref="M13:N13" si="37">SUM(M14:M67)</f>
        <v>20608.669999999998</v>
      </c>
      <c r="N13" s="87">
        <f t="shared" si="37"/>
        <v>662354.75000000012</v>
      </c>
      <c r="O13" s="108">
        <f>SUM(O14:O64)</f>
        <v>0</v>
      </c>
      <c r="P13" s="87">
        <f t="shared" ref="P13:R13" si="38">IF(BJ13=0,SUM(Z13+AC13+AF13+AI13+AL13+AO13+AR13+AU13+AX13+BA13+BD13+BG13),BJ13)</f>
        <v>20608.669999999998</v>
      </c>
      <c r="Q13" s="87">
        <f t="shared" si="38"/>
        <v>662354.74999999988</v>
      </c>
      <c r="R13" s="108">
        <f t="shared" si="38"/>
        <v>0</v>
      </c>
      <c r="S13" s="87">
        <f>SUM(S14:S67)</f>
        <v>180719.03999999998</v>
      </c>
      <c r="T13" s="87">
        <f t="shared" ref="T13:U13" si="39">SUM(T16:T67)</f>
        <v>932988.75000000012</v>
      </c>
      <c r="U13" s="108">
        <f t="shared" si="39"/>
        <v>0</v>
      </c>
      <c r="V13" s="425"/>
      <c r="W13" s="87"/>
      <c r="X13" s="87"/>
      <c r="Y13" s="87"/>
      <c r="Z13" s="87">
        <f t="shared" ref="Z13:AD13" si="40">SUM(Z16:Z67)</f>
        <v>0</v>
      </c>
      <c r="AA13" s="87">
        <f t="shared" si="40"/>
        <v>162060.35</v>
      </c>
      <c r="AB13" s="87">
        <f t="shared" si="40"/>
        <v>0</v>
      </c>
      <c r="AC13" s="87">
        <f t="shared" si="40"/>
        <v>0</v>
      </c>
      <c r="AD13" s="87">
        <f t="shared" si="40"/>
        <v>163302.63</v>
      </c>
      <c r="AE13" s="87">
        <f>SUM(AE16:AE64)</f>
        <v>0</v>
      </c>
      <c r="AF13" s="87">
        <f>SUM(AF16:AF67)</f>
        <v>1725.32</v>
      </c>
      <c r="AG13" s="87">
        <f>SUM(AG16:AG66)</f>
        <v>200009.41999999995</v>
      </c>
      <c r="AH13" s="87">
        <f>SUM(AH16:AH64)</f>
        <v>0</v>
      </c>
      <c r="AI13" s="87">
        <f t="shared" ref="AI13:AJ13" si="41">SUM(AI14:AI67)</f>
        <v>18883.349999999999</v>
      </c>
      <c r="AJ13" s="87">
        <f t="shared" si="41"/>
        <v>136982.35</v>
      </c>
      <c r="AK13" s="87">
        <f>SUM(AK16:AK64)</f>
        <v>0</v>
      </c>
      <c r="AL13" s="87">
        <f t="shared" ref="AL13:AM13" si="42">SUM(AL16:AL67)</f>
        <v>0</v>
      </c>
      <c r="AM13" s="87">
        <f t="shared" si="42"/>
        <v>0</v>
      </c>
      <c r="AN13" s="87">
        <f>SUM(AN16:AN64)</f>
        <v>0</v>
      </c>
      <c r="AO13" s="87">
        <f t="shared" ref="AO13:AP13" si="43">SUM(AO16:AO67)</f>
        <v>0</v>
      </c>
      <c r="AP13" s="87">
        <f t="shared" si="43"/>
        <v>0</v>
      </c>
      <c r="AQ13" s="87">
        <f>SUM(AQ16:AQ64)</f>
        <v>0</v>
      </c>
      <c r="AR13" s="87">
        <f t="shared" ref="AR13:AS13" si="44">SUM(AR16:AR67)</f>
        <v>0</v>
      </c>
      <c r="AS13" s="87">
        <f t="shared" si="44"/>
        <v>0</v>
      </c>
      <c r="AT13" s="87">
        <f>SUM(AT16:AT64)</f>
        <v>0</v>
      </c>
      <c r="AU13" s="87">
        <f>SUM(AU16:AU67)</f>
        <v>0</v>
      </c>
      <c r="AV13" s="87">
        <f t="shared" ref="AV13:AW13" si="45">SUM(AV16:AV64)</f>
        <v>0</v>
      </c>
      <c r="AW13" s="87">
        <f t="shared" si="45"/>
        <v>0</v>
      </c>
      <c r="AX13" s="87">
        <f t="shared" ref="AX13:AY13" si="46">SUM(AX16:AX67)</f>
        <v>0</v>
      </c>
      <c r="AY13" s="87">
        <f t="shared" si="46"/>
        <v>0</v>
      </c>
      <c r="AZ13" s="87">
        <f t="shared" ref="AZ13:BL13" si="47">SUM(AZ16:AZ64)</f>
        <v>0</v>
      </c>
      <c r="BA13" s="87">
        <f t="shared" si="47"/>
        <v>0</v>
      </c>
      <c r="BB13" s="87">
        <f t="shared" si="47"/>
        <v>0</v>
      </c>
      <c r="BC13" s="87">
        <f t="shared" si="47"/>
        <v>0</v>
      </c>
      <c r="BD13" s="87">
        <f t="shared" si="47"/>
        <v>0</v>
      </c>
      <c r="BE13" s="87">
        <f t="shared" si="47"/>
        <v>0</v>
      </c>
      <c r="BF13" s="87">
        <f t="shared" si="47"/>
        <v>0</v>
      </c>
      <c r="BG13" s="87">
        <f t="shared" si="47"/>
        <v>0</v>
      </c>
      <c r="BH13" s="87">
        <f t="shared" si="47"/>
        <v>0</v>
      </c>
      <c r="BI13" s="87">
        <f t="shared" si="47"/>
        <v>0</v>
      </c>
      <c r="BJ13" s="87">
        <f t="shared" si="47"/>
        <v>0</v>
      </c>
      <c r="BK13" s="87">
        <f t="shared" si="47"/>
        <v>0</v>
      </c>
      <c r="BL13" s="87">
        <f t="shared" si="47"/>
        <v>0</v>
      </c>
      <c r="BM13" s="109"/>
      <c r="BN13" s="110"/>
      <c r="BO13" s="110"/>
      <c r="BP13" s="110"/>
      <c r="BQ13" s="110"/>
    </row>
    <row r="14" spans="1:69" ht="15.75">
      <c r="A14" s="89" t="s">
        <v>475</v>
      </c>
      <c r="B14" s="111"/>
      <c r="C14" s="90" t="s">
        <v>200</v>
      </c>
      <c r="D14" s="91" t="s">
        <v>201</v>
      </c>
      <c r="E14" s="92">
        <v>1500</v>
      </c>
      <c r="F14" s="92">
        <f t="shared" ref="F14:F15" si="48">-(E14*14.5%)+E14</f>
        <v>1282.5</v>
      </c>
      <c r="G14" s="123"/>
      <c r="H14" s="92"/>
      <c r="I14" s="96">
        <v>1500</v>
      </c>
      <c r="J14" s="96"/>
      <c r="K14" s="96"/>
      <c r="L14" s="95"/>
      <c r="M14" s="97">
        <f t="shared" ref="M14:O14" si="49">Z14+AC14+AF14+AI14+AL14+AO14+AR14+AU14+AX14+BA14+BD14+BG14</f>
        <v>0</v>
      </c>
      <c r="N14" s="97">
        <f t="shared" si="49"/>
        <v>0</v>
      </c>
      <c r="O14" s="97">
        <f t="shared" si="49"/>
        <v>0</v>
      </c>
      <c r="P14" s="82">
        <f t="shared" ref="P14:R14" si="50">IF(BJ14=0,SUM(Z14+AC14+AF14+AI14+AL14+AO14+AR14+AU14+AX14+BA14+BD14+BG14),BJ14)</f>
        <v>0</v>
      </c>
      <c r="Q14" s="82">
        <f t="shared" si="50"/>
        <v>0</v>
      </c>
      <c r="R14" s="82">
        <f t="shared" si="50"/>
        <v>0</v>
      </c>
      <c r="S14" s="97">
        <f t="shared" ref="S14:T14" si="51">I14-M14</f>
        <v>1500</v>
      </c>
      <c r="T14" s="97">
        <f t="shared" si="51"/>
        <v>0</v>
      </c>
      <c r="U14" s="97">
        <f t="shared" ref="U14:U67" si="52">L14-O14</f>
        <v>0</v>
      </c>
      <c r="V14" s="427"/>
      <c r="W14" s="96">
        <f t="shared" ref="W14:W19" si="53">AJ14*11</f>
        <v>0</v>
      </c>
      <c r="X14" s="96">
        <f t="shared" ref="X14:X67" si="54">W14-T14</f>
        <v>0</v>
      </c>
      <c r="Y14" s="428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103">
        <v>0</v>
      </c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103">
        <v>0</v>
      </c>
      <c r="BH14" s="96"/>
      <c r="BI14" s="96"/>
      <c r="BJ14" s="96"/>
      <c r="BK14" s="96"/>
      <c r="BL14" s="96"/>
      <c r="BM14" s="99"/>
      <c r="BN14" s="100"/>
      <c r="BO14" s="100"/>
      <c r="BP14" s="100"/>
      <c r="BQ14" s="100"/>
    </row>
    <row r="15" spans="1:69" ht="15.75" customHeight="1">
      <c r="A15" s="354" t="s">
        <v>530</v>
      </c>
      <c r="B15" s="89"/>
      <c r="C15" s="90" t="s">
        <v>213</v>
      </c>
      <c r="D15" s="91" t="s">
        <v>74</v>
      </c>
      <c r="E15" s="92">
        <v>2000</v>
      </c>
      <c r="F15" s="92">
        <f t="shared" si="48"/>
        <v>1710</v>
      </c>
      <c r="G15" s="92"/>
      <c r="H15" s="92"/>
      <c r="I15" s="355">
        <v>207.34</v>
      </c>
      <c r="J15" s="96"/>
      <c r="K15" s="96"/>
      <c r="L15" s="95"/>
      <c r="M15" s="97">
        <f t="shared" ref="M15:O15" si="55">Z15+AC15+AF15+AI15+AL15+AO15+AR15+AU15+AX15+BA15+BD15+BG15</f>
        <v>0</v>
      </c>
      <c r="N15" s="97">
        <f t="shared" si="55"/>
        <v>0</v>
      </c>
      <c r="O15" s="97">
        <f t="shared" si="55"/>
        <v>0</v>
      </c>
      <c r="P15" s="82">
        <f t="shared" ref="P15:R15" si="56">IF(BJ15=0,SUM(Z15+AC15+AF15+AI15+AL15+AO15+AR15+AU15+AX15+BA15+BD15+BG15),BJ15)</f>
        <v>0</v>
      </c>
      <c r="Q15" s="82">
        <f t="shared" si="56"/>
        <v>0</v>
      </c>
      <c r="R15" s="82">
        <f t="shared" si="56"/>
        <v>0</v>
      </c>
      <c r="S15" s="97">
        <f t="shared" ref="S15:T15" si="57">I15-M15</f>
        <v>207.34</v>
      </c>
      <c r="T15" s="97">
        <f t="shared" si="57"/>
        <v>0</v>
      </c>
      <c r="U15" s="97">
        <f t="shared" si="52"/>
        <v>0</v>
      </c>
      <c r="V15" s="427"/>
      <c r="W15" s="96">
        <f t="shared" si="53"/>
        <v>0</v>
      </c>
      <c r="X15" s="96">
        <f t="shared" si="54"/>
        <v>0</v>
      </c>
      <c r="Y15" s="428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103">
        <v>0</v>
      </c>
      <c r="BH15" s="96"/>
      <c r="BI15" s="96"/>
      <c r="BJ15" s="96"/>
      <c r="BK15" s="96"/>
      <c r="BL15" s="96"/>
      <c r="BM15" s="99"/>
      <c r="BN15" s="100"/>
      <c r="BO15" s="100"/>
      <c r="BP15" s="100"/>
      <c r="BQ15" s="100"/>
    </row>
    <row r="16" spans="1:69" ht="15.75" customHeight="1">
      <c r="A16" s="356" t="s">
        <v>531</v>
      </c>
      <c r="B16" s="114" t="s">
        <v>214</v>
      </c>
      <c r="C16" s="101" t="s">
        <v>215</v>
      </c>
      <c r="D16" s="115" t="s">
        <v>859</v>
      </c>
      <c r="E16" s="434">
        <v>280175</v>
      </c>
      <c r="F16" s="432">
        <f>-(E16*14.5%)+E16-70000</f>
        <v>169549.625</v>
      </c>
      <c r="G16" s="429">
        <v>70000</v>
      </c>
      <c r="H16" s="116"/>
      <c r="I16" s="96">
        <f>5000</f>
        <v>5000</v>
      </c>
      <c r="J16" s="117">
        <v>194909.32</v>
      </c>
      <c r="K16" s="117"/>
      <c r="L16" s="118"/>
      <c r="M16" s="97">
        <f t="shared" ref="M16:O16" si="58">Z16+AC16+AF16+AI16+AL16+AO16+AR16+AU16+AX16+BA16+BD16+BG16</f>
        <v>0</v>
      </c>
      <c r="N16" s="97">
        <f t="shared" si="58"/>
        <v>66522.75</v>
      </c>
      <c r="O16" s="97">
        <f t="shared" si="58"/>
        <v>0</v>
      </c>
      <c r="P16" s="82">
        <f t="shared" ref="P16:R16" si="59">IF(BJ16=0,SUM(Z16+AC16+AF16+AI16+AL16+AO16+AR16+AU16+AX16+BA16+BD16+BG16),BJ16)</f>
        <v>0</v>
      </c>
      <c r="Q16" s="82">
        <f t="shared" si="59"/>
        <v>66522.75</v>
      </c>
      <c r="R16" s="82">
        <f t="shared" si="59"/>
        <v>0</v>
      </c>
      <c r="S16" s="97">
        <f t="shared" ref="S16:T16" si="60">I16-M16</f>
        <v>5000</v>
      </c>
      <c r="T16" s="97">
        <f t="shared" si="60"/>
        <v>128386.57</v>
      </c>
      <c r="U16" s="97">
        <f t="shared" si="52"/>
        <v>0</v>
      </c>
      <c r="V16" s="427">
        <f t="shared" ref="V16:V17" si="61">T16/AJ16</f>
        <v>3.9382709611398625</v>
      </c>
      <c r="W16" s="96">
        <f t="shared" si="53"/>
        <v>358597.02999999997</v>
      </c>
      <c r="X16" s="96">
        <f t="shared" si="54"/>
        <v>230210.45999999996</v>
      </c>
      <c r="Y16" s="428">
        <f t="shared" ref="Y16:Y67" si="62">E16-X16</f>
        <v>49964.540000000037</v>
      </c>
      <c r="Z16" s="96"/>
      <c r="AA16" s="103">
        <v>7679.93</v>
      </c>
      <c r="AB16" s="96"/>
      <c r="AC16" s="119"/>
      <c r="AD16" s="131">
        <v>6222.79</v>
      </c>
      <c r="AE16" s="96"/>
      <c r="AF16" s="96"/>
      <c r="AG16" s="103">
        <v>20020.3</v>
      </c>
      <c r="AH16" s="96"/>
      <c r="AI16" s="96"/>
      <c r="AJ16" s="103">
        <v>32599.73</v>
      </c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9"/>
      <c r="BN16" s="100"/>
      <c r="BO16" s="100"/>
      <c r="BP16" s="100"/>
      <c r="BQ16" s="100"/>
    </row>
    <row r="17" spans="1:69" ht="15.75" customHeight="1">
      <c r="A17" s="120"/>
      <c r="B17" s="121" t="s">
        <v>217</v>
      </c>
      <c r="C17" s="101" t="s">
        <v>218</v>
      </c>
      <c r="D17" s="122" t="s">
        <v>860</v>
      </c>
      <c r="E17" s="433">
        <v>2000</v>
      </c>
      <c r="F17" s="92">
        <f t="shared" ref="F17:F18" si="63">-(E17*14.5%)+E17</f>
        <v>1710</v>
      </c>
      <c r="G17" s="92"/>
      <c r="H17" s="116"/>
      <c r="I17" s="96"/>
      <c r="J17" s="117">
        <f>2600+2712.58</f>
        <v>5312.58</v>
      </c>
      <c r="K17" s="117"/>
      <c r="L17" s="118"/>
      <c r="M17" s="97">
        <f t="shared" ref="M17:O17" si="64">Z17+AC17+AF17+AI17+AL17+AO17+AR17+AU17+AX17+BA17+BD17+BG17</f>
        <v>0</v>
      </c>
      <c r="N17" s="97">
        <f t="shared" si="64"/>
        <v>49.62</v>
      </c>
      <c r="O17" s="97">
        <f t="shared" si="64"/>
        <v>0</v>
      </c>
      <c r="P17" s="82">
        <f t="shared" ref="P17:R17" si="65">IF(BJ17=0,SUM(Z17+AC17+AF17+AI17+AL17+AO17+AR17+AU17+AX17+BA17+BD17+BG17),BJ17)</f>
        <v>0</v>
      </c>
      <c r="Q17" s="82">
        <f t="shared" si="65"/>
        <v>49.62</v>
      </c>
      <c r="R17" s="82">
        <f t="shared" si="65"/>
        <v>0</v>
      </c>
      <c r="S17" s="97">
        <f t="shared" ref="S17:T17" si="66">I17-M17</f>
        <v>0</v>
      </c>
      <c r="T17" s="97">
        <f t="shared" si="66"/>
        <v>5262.96</v>
      </c>
      <c r="U17" s="97">
        <f t="shared" si="52"/>
        <v>0</v>
      </c>
      <c r="V17" s="427">
        <f t="shared" si="61"/>
        <v>106.0652962515115</v>
      </c>
      <c r="W17" s="96">
        <f t="shared" si="53"/>
        <v>545.81999999999994</v>
      </c>
      <c r="X17" s="96">
        <f t="shared" si="54"/>
        <v>-4717.1400000000003</v>
      </c>
      <c r="Y17" s="428">
        <f t="shared" si="62"/>
        <v>6717.14</v>
      </c>
      <c r="Z17" s="96"/>
      <c r="AA17" s="96"/>
      <c r="AB17" s="96"/>
      <c r="AC17" s="119"/>
      <c r="AD17" s="119"/>
      <c r="AE17" s="96"/>
      <c r="AF17" s="96"/>
      <c r="AG17" s="96"/>
      <c r="AH17" s="96"/>
      <c r="AI17" s="96"/>
      <c r="AJ17" s="103">
        <v>49.62</v>
      </c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9"/>
      <c r="BN17" s="100"/>
      <c r="BO17" s="100"/>
      <c r="BP17" s="100"/>
      <c r="BQ17" s="100"/>
    </row>
    <row r="18" spans="1:69" ht="15.75" customHeight="1">
      <c r="A18" s="120"/>
      <c r="B18" s="114" t="s">
        <v>220</v>
      </c>
      <c r="C18" s="101" t="s">
        <v>221</v>
      </c>
      <c r="D18" s="122" t="s">
        <v>861</v>
      </c>
      <c r="E18" s="123">
        <v>0</v>
      </c>
      <c r="F18" s="92">
        <f t="shared" si="63"/>
        <v>0</v>
      </c>
      <c r="G18" s="92"/>
      <c r="H18" s="124">
        <v>0</v>
      </c>
      <c r="I18" s="103">
        <v>0</v>
      </c>
      <c r="J18" s="117">
        <f>12487.09</f>
        <v>12487.09</v>
      </c>
      <c r="K18" s="117"/>
      <c r="L18" s="118"/>
      <c r="M18" s="97">
        <f t="shared" ref="M18:O18" si="67">Z18+AC18+AF18+AI18+AL18+AO18+AR18+AU18+AX18+BA18+BD18+BG18</f>
        <v>0</v>
      </c>
      <c r="N18" s="97">
        <f t="shared" si="67"/>
        <v>12487.09</v>
      </c>
      <c r="O18" s="97">
        <f t="shared" si="67"/>
        <v>0</v>
      </c>
      <c r="P18" s="82">
        <f t="shared" ref="P18:R18" si="68">IF(BJ18=0,SUM(Z18+AC18+AF18+AI18+AL18+AO18+AR18+AU18+AX18+BA18+BD18+BG18),BJ18)</f>
        <v>0</v>
      </c>
      <c r="Q18" s="82">
        <f t="shared" si="68"/>
        <v>12487.09</v>
      </c>
      <c r="R18" s="82">
        <f t="shared" si="68"/>
        <v>0</v>
      </c>
      <c r="S18" s="97">
        <f t="shared" ref="S18:T18" si="69">I18-M18</f>
        <v>0</v>
      </c>
      <c r="T18" s="97">
        <f t="shared" si="69"/>
        <v>0</v>
      </c>
      <c r="U18" s="97">
        <f t="shared" si="52"/>
        <v>0</v>
      </c>
      <c r="V18" s="427"/>
      <c r="W18" s="96">
        <f t="shared" si="53"/>
        <v>0</v>
      </c>
      <c r="X18" s="96">
        <f t="shared" si="54"/>
        <v>0</v>
      </c>
      <c r="Y18" s="428">
        <f t="shared" si="62"/>
        <v>0</v>
      </c>
      <c r="Z18" s="96"/>
      <c r="AA18" s="103">
        <v>12487.09</v>
      </c>
      <c r="AB18" s="96"/>
      <c r="AC18" s="119"/>
      <c r="AD18" s="119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9"/>
      <c r="BN18" s="100"/>
      <c r="BO18" s="100"/>
      <c r="BP18" s="100"/>
      <c r="BQ18" s="100"/>
    </row>
    <row r="19" spans="1:69" ht="15.75" customHeight="1">
      <c r="A19" s="120"/>
      <c r="B19" s="114" t="s">
        <v>223</v>
      </c>
      <c r="C19" s="101" t="s">
        <v>221</v>
      </c>
      <c r="D19" s="122" t="s">
        <v>862</v>
      </c>
      <c r="E19" s="433">
        <v>309000</v>
      </c>
      <c r="F19" s="432">
        <f>-(E19*14.5%)+E19-64000</f>
        <v>200195</v>
      </c>
      <c r="G19" s="429">
        <v>64000</v>
      </c>
      <c r="H19" s="116"/>
      <c r="I19" s="96"/>
      <c r="J19" s="117">
        <v>93746.62</v>
      </c>
      <c r="K19" s="117"/>
      <c r="L19" s="118"/>
      <c r="M19" s="97">
        <f t="shared" ref="M19:O19" si="70">Z19+AC19+AF19+AI19+AL19+AO19+AR19+AU19+AX19+BA19+BD19+BG19</f>
        <v>0</v>
      </c>
      <c r="N19" s="97">
        <f t="shared" si="70"/>
        <v>71199.960000000006</v>
      </c>
      <c r="O19" s="97">
        <f t="shared" si="70"/>
        <v>0</v>
      </c>
      <c r="P19" s="82">
        <f t="shared" ref="P19:R19" si="71">IF(BJ19=0,SUM(Z19+AC19+AF19+AI19+AL19+AO19+AR19+AU19+AX19+BA19+BD19+BG19),BJ19)</f>
        <v>0</v>
      </c>
      <c r="Q19" s="82">
        <f t="shared" si="71"/>
        <v>71199.960000000006</v>
      </c>
      <c r="R19" s="82">
        <f t="shared" si="71"/>
        <v>0</v>
      </c>
      <c r="S19" s="97">
        <f t="shared" ref="S19:T19" si="72">I19-M19</f>
        <v>0</v>
      </c>
      <c r="T19" s="97">
        <f t="shared" si="72"/>
        <v>22546.659999999989</v>
      </c>
      <c r="U19" s="97">
        <f t="shared" si="52"/>
        <v>0</v>
      </c>
      <c r="V19" s="427">
        <f t="shared" ref="V19:V67" si="73">T19/AJ19</f>
        <v>1.266667003745507</v>
      </c>
      <c r="W19" s="96">
        <f t="shared" si="53"/>
        <v>195799.89</v>
      </c>
      <c r="X19" s="96">
        <f t="shared" si="54"/>
        <v>173253.23000000004</v>
      </c>
      <c r="Y19" s="428">
        <f t="shared" si="62"/>
        <v>135746.76999999996</v>
      </c>
      <c r="Z19" s="96"/>
      <c r="AA19" s="103">
        <v>17799.990000000002</v>
      </c>
      <c r="AB19" s="96"/>
      <c r="AC19" s="119"/>
      <c r="AD19" s="119">
        <f>17799.99</f>
        <v>17799.990000000002</v>
      </c>
      <c r="AE19" s="96"/>
      <c r="AF19" s="96"/>
      <c r="AG19" s="103">
        <v>17799.990000000002</v>
      </c>
      <c r="AH19" s="96"/>
      <c r="AI19" s="96"/>
      <c r="AJ19" s="103">
        <v>17799.990000000002</v>
      </c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9"/>
      <c r="BN19" s="100"/>
      <c r="BO19" s="100"/>
      <c r="BP19" s="100"/>
      <c r="BQ19" s="100"/>
    </row>
    <row r="20" spans="1:69" ht="15.75" customHeight="1">
      <c r="A20" s="120"/>
      <c r="B20" s="114" t="s">
        <v>225</v>
      </c>
      <c r="C20" s="101" t="s">
        <v>226</v>
      </c>
      <c r="D20" s="122" t="s">
        <v>863</v>
      </c>
      <c r="E20" s="92">
        <v>610000</v>
      </c>
      <c r="F20" s="92">
        <f>-(E20*14.5%)+E20+20000</f>
        <v>541550</v>
      </c>
      <c r="G20" s="92"/>
      <c r="H20" s="116"/>
      <c r="I20" s="96"/>
      <c r="J20" s="117">
        <v>180180.54</v>
      </c>
      <c r="K20" s="117"/>
      <c r="L20" s="118"/>
      <c r="M20" s="97">
        <f t="shared" ref="M20:M67" si="74">Z20+AC20+AF20+AI20+AL20+AO20+AR20+AU20+AX20+BA20+BD20+BG20</f>
        <v>0</v>
      </c>
      <c r="N20" s="97">
        <f>AA20+AD20+AG20+AJ20+AP20+AS20+AV20+AY20+BB20+BE20+BH20</f>
        <v>150900.97999999998</v>
      </c>
      <c r="O20" s="97">
        <f>AB20+AE20+AH20+AK20+AN20+AQ20+AT20+AW20+AZ20+BC20+BF20+BI20</f>
        <v>0</v>
      </c>
      <c r="P20" s="82">
        <f t="shared" ref="P20:R20" si="75">IF(BJ20=0,SUM(Z20+AC20+AF20+AI20+AL20+AO20+AR20+AU20+AX20+BA20+BD20+BG20),BJ20)</f>
        <v>0</v>
      </c>
      <c r="Q20" s="82">
        <f t="shared" si="75"/>
        <v>150900.97999999998</v>
      </c>
      <c r="R20" s="82">
        <f t="shared" si="75"/>
        <v>0</v>
      </c>
      <c r="S20" s="97">
        <f t="shared" ref="S20:T20" si="76">I20-M20</f>
        <v>0</v>
      </c>
      <c r="T20" s="97">
        <f t="shared" si="76"/>
        <v>29279.560000000027</v>
      </c>
      <c r="U20" s="97">
        <f t="shared" si="52"/>
        <v>0</v>
      </c>
      <c r="V20" s="427">
        <f t="shared" si="73"/>
        <v>0.66591446918791619</v>
      </c>
      <c r="W20" s="96">
        <f>(AJ20*11)+(20000*9)+10000</f>
        <v>673658.45</v>
      </c>
      <c r="X20" s="96">
        <f t="shared" si="54"/>
        <v>644378.8899999999</v>
      </c>
      <c r="Y20" s="428">
        <f t="shared" si="62"/>
        <v>-34378.889999999898</v>
      </c>
      <c r="Z20" s="96"/>
      <c r="AA20" s="103">
        <v>20020.060000000001</v>
      </c>
      <c r="AB20" s="125"/>
      <c r="AC20" s="119"/>
      <c r="AD20" s="131">
        <v>39105.86</v>
      </c>
      <c r="AE20" s="96"/>
      <c r="AF20" s="96"/>
      <c r="AG20" s="103">
        <f>3837.16+43968.95</f>
        <v>47806.11</v>
      </c>
      <c r="AH20" s="96"/>
      <c r="AI20" s="96"/>
      <c r="AJ20" s="103">
        <f>43968.95</f>
        <v>43968.95</v>
      </c>
      <c r="AK20" s="96"/>
      <c r="AL20" s="96"/>
      <c r="AM20" s="12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9"/>
      <c r="BN20" s="100"/>
      <c r="BO20" s="100"/>
      <c r="BP20" s="100"/>
      <c r="BQ20" s="100"/>
    </row>
    <row r="21" spans="1:69" ht="15.75">
      <c r="A21" s="120"/>
      <c r="B21" s="114" t="s">
        <v>228</v>
      </c>
      <c r="C21" s="101" t="s">
        <v>229</v>
      </c>
      <c r="D21" s="91" t="s">
        <v>864</v>
      </c>
      <c r="E21" s="92">
        <v>43000</v>
      </c>
      <c r="F21" s="92">
        <f t="shared" ref="F21:F24" si="77">-(E21*14.5%)+E21</f>
        <v>36765</v>
      </c>
      <c r="G21" s="92"/>
      <c r="H21" s="92"/>
      <c r="I21" s="96"/>
      <c r="J21" s="117">
        <v>20565.900000000001</v>
      </c>
      <c r="K21" s="117"/>
      <c r="L21" s="118"/>
      <c r="M21" s="97">
        <f t="shared" si="74"/>
        <v>0</v>
      </c>
      <c r="N21" s="97">
        <f t="shared" ref="N21:O21" si="78">AA21+AD21+AG21+AJ21+AM21+AP21+AS21+AV21+AY21+BB21+BE21+BH21</f>
        <v>14180.970000000001</v>
      </c>
      <c r="O21" s="97">
        <f t="shared" si="78"/>
        <v>0</v>
      </c>
      <c r="P21" s="82">
        <f t="shared" ref="P21:R21" si="79">IF(BJ21=0,SUM(Z21+AC21+AF21+AI21+AL21+AO21+AR21+AU21+AX21+BA21+BD21+BG21),BJ21)</f>
        <v>0</v>
      </c>
      <c r="Q21" s="82">
        <f t="shared" si="79"/>
        <v>14180.970000000001</v>
      </c>
      <c r="R21" s="82">
        <f t="shared" si="79"/>
        <v>0</v>
      </c>
      <c r="S21" s="97">
        <f t="shared" ref="S21:T21" si="80">I21-M21</f>
        <v>0</v>
      </c>
      <c r="T21" s="97">
        <f t="shared" si="80"/>
        <v>6384.93</v>
      </c>
      <c r="U21" s="97">
        <f t="shared" si="52"/>
        <v>0</v>
      </c>
      <c r="V21" s="427">
        <f t="shared" si="73"/>
        <v>1.6823299405315537</v>
      </c>
      <c r="W21" s="96">
        <f t="shared" ref="W21:W24" si="81">AJ21*11</f>
        <v>41748.19</v>
      </c>
      <c r="X21" s="96">
        <f t="shared" si="54"/>
        <v>35363.26</v>
      </c>
      <c r="Y21" s="428">
        <f t="shared" si="62"/>
        <v>7636.739999999998</v>
      </c>
      <c r="Z21" s="96"/>
      <c r="AA21" s="103">
        <v>3427.65</v>
      </c>
      <c r="AB21" s="96"/>
      <c r="AC21" s="119"/>
      <c r="AD21" s="131">
        <f>2856.37+306.37</f>
        <v>3162.74</v>
      </c>
      <c r="AE21" s="96"/>
      <c r="AF21" s="96"/>
      <c r="AG21" s="126">
        <f>3795.29</f>
        <v>3795.29</v>
      </c>
      <c r="AH21" s="96"/>
      <c r="AI21" s="96"/>
      <c r="AJ21" s="103">
        <v>3795.29</v>
      </c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9"/>
      <c r="BN21" s="100"/>
      <c r="BO21" s="100"/>
      <c r="BP21" s="100"/>
      <c r="BQ21" s="100"/>
    </row>
    <row r="22" spans="1:69" ht="15.75" customHeight="1">
      <c r="A22" s="120"/>
      <c r="B22" s="114" t="s">
        <v>231</v>
      </c>
      <c r="C22" s="101" t="s">
        <v>232</v>
      </c>
      <c r="D22" s="91" t="s">
        <v>865</v>
      </c>
      <c r="E22" s="92">
        <v>2000</v>
      </c>
      <c r="F22" s="92">
        <f t="shared" si="77"/>
        <v>1710</v>
      </c>
      <c r="G22" s="92"/>
      <c r="H22" s="92"/>
      <c r="I22" s="96"/>
      <c r="J22" s="117">
        <v>1838.67</v>
      </c>
      <c r="K22" s="117"/>
      <c r="L22" s="118"/>
      <c r="M22" s="97">
        <f t="shared" si="74"/>
        <v>0</v>
      </c>
      <c r="N22" s="97">
        <f t="shared" ref="N22:O22" si="82">AA22+AD22+AG22+AJ22+AM22+AP22+AS22+AV22+AY22+BB22+BE22+BH22</f>
        <v>1163.06</v>
      </c>
      <c r="O22" s="97">
        <f t="shared" si="82"/>
        <v>0</v>
      </c>
      <c r="P22" s="82">
        <f t="shared" ref="P22:R22" si="83">IF(BJ22=0,SUM(Z22+AC22+AF22+AI22+AL22+AO22+AR22+AU22+AX22+BA22+BD22+BG22),BJ22)</f>
        <v>0</v>
      </c>
      <c r="Q22" s="82">
        <f t="shared" si="83"/>
        <v>1163.06</v>
      </c>
      <c r="R22" s="82">
        <f t="shared" si="83"/>
        <v>0</v>
      </c>
      <c r="S22" s="97">
        <f t="shared" ref="S22:T22" si="84">I22-M22</f>
        <v>0</v>
      </c>
      <c r="T22" s="97">
        <f t="shared" si="84"/>
        <v>675.61000000000013</v>
      </c>
      <c r="U22" s="97">
        <f t="shared" si="52"/>
        <v>0</v>
      </c>
      <c r="V22" s="427">
        <f t="shared" si="73"/>
        <v>0.58089006586074676</v>
      </c>
      <c r="W22" s="96">
        <f t="shared" si="81"/>
        <v>12793.66</v>
      </c>
      <c r="X22" s="96">
        <f t="shared" si="54"/>
        <v>12118.05</v>
      </c>
      <c r="Y22" s="428">
        <f t="shared" si="62"/>
        <v>-10118.049999999999</v>
      </c>
      <c r="Z22" s="96"/>
      <c r="AA22" s="96"/>
      <c r="AB22" s="96"/>
      <c r="AC22" s="119"/>
      <c r="AD22" s="119"/>
      <c r="AE22" s="96"/>
      <c r="AF22" s="96"/>
      <c r="AG22" s="96"/>
      <c r="AH22" s="96"/>
      <c r="AI22" s="96"/>
      <c r="AJ22" s="103">
        <v>1163.06</v>
      </c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9"/>
      <c r="BN22" s="100"/>
      <c r="BO22" s="100"/>
      <c r="BP22" s="100"/>
      <c r="BQ22" s="100"/>
    </row>
    <row r="23" spans="1:69" ht="15.75" customHeight="1">
      <c r="A23" s="120" t="s">
        <v>483</v>
      </c>
      <c r="B23" s="114" t="s">
        <v>234</v>
      </c>
      <c r="C23" s="101" t="s">
        <v>229</v>
      </c>
      <c r="D23" s="210" t="s">
        <v>866</v>
      </c>
      <c r="E23" s="92">
        <v>45000</v>
      </c>
      <c r="F23" s="92">
        <f t="shared" si="77"/>
        <v>38475</v>
      </c>
      <c r="G23" s="92"/>
      <c r="H23" s="116"/>
      <c r="I23" s="103">
        <f>4393.94+43939.4</f>
        <v>48333.340000000004</v>
      </c>
      <c r="J23" s="117">
        <v>16833.330000000002</v>
      </c>
      <c r="K23" s="117"/>
      <c r="L23" s="118"/>
      <c r="M23" s="97">
        <f t="shared" si="74"/>
        <v>5565.65</v>
      </c>
      <c r="N23" s="97">
        <f t="shared" ref="N23:O23" si="85">AA23+AD23+AG23+AJ23+AM23+AP23+AS23+AV23+AY23+BB23+BE23+BH23</f>
        <v>13856.23</v>
      </c>
      <c r="O23" s="97">
        <f t="shared" si="85"/>
        <v>0</v>
      </c>
      <c r="P23" s="82">
        <f t="shared" ref="P23:R23" si="86">IF(BJ23=0,SUM(Z23+AC23+AF23+AI23+AL23+AO23+AR23+AU23+AX23+BA23+BD23+BG23),BJ23)</f>
        <v>5565.65</v>
      </c>
      <c r="Q23" s="82">
        <f t="shared" si="86"/>
        <v>13856.23</v>
      </c>
      <c r="R23" s="82">
        <f t="shared" si="86"/>
        <v>0</v>
      </c>
      <c r="S23" s="97">
        <f t="shared" ref="S23:T23" si="87">I23-M23</f>
        <v>42767.69</v>
      </c>
      <c r="T23" s="97">
        <f t="shared" si="87"/>
        <v>2977.1000000000022</v>
      </c>
      <c r="U23" s="97">
        <f t="shared" si="52"/>
        <v>0</v>
      </c>
      <c r="V23" s="427" t="e">
        <f t="shared" si="73"/>
        <v>#DIV/0!</v>
      </c>
      <c r="W23" s="96">
        <f t="shared" si="81"/>
        <v>0</v>
      </c>
      <c r="X23" s="96">
        <f t="shared" si="54"/>
        <v>-2977.1000000000022</v>
      </c>
      <c r="Y23" s="428">
        <f t="shared" si="62"/>
        <v>47977.100000000006</v>
      </c>
      <c r="Z23" s="96"/>
      <c r="AA23" s="103">
        <f>3725.61+3078.02</f>
        <v>6803.63</v>
      </c>
      <c r="AB23" s="96"/>
      <c r="AC23" s="119"/>
      <c r="AD23" s="131">
        <v>4068.81</v>
      </c>
      <c r="AE23" s="96"/>
      <c r="AF23" s="103">
        <v>1171.71</v>
      </c>
      <c r="AG23" s="103">
        <f>2983.79</f>
        <v>2983.79</v>
      </c>
      <c r="AH23" s="96"/>
      <c r="AI23" s="103">
        <v>4393.9399999999996</v>
      </c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9"/>
      <c r="BN23" s="100"/>
      <c r="BO23" s="100"/>
      <c r="BP23" s="100"/>
      <c r="BQ23" s="100"/>
    </row>
    <row r="24" spans="1:69" ht="15.75" customHeight="1">
      <c r="A24" s="120"/>
      <c r="B24" s="114" t="s">
        <v>236</v>
      </c>
      <c r="C24" s="101" t="s">
        <v>229</v>
      </c>
      <c r="D24" s="122" t="s">
        <v>867</v>
      </c>
      <c r="E24" s="92">
        <v>43000</v>
      </c>
      <c r="F24" s="92">
        <f t="shared" si="77"/>
        <v>36765</v>
      </c>
      <c r="G24" s="92"/>
      <c r="H24" s="116"/>
      <c r="I24" s="96"/>
      <c r="J24" s="117">
        <v>18798.599999999999</v>
      </c>
      <c r="K24" s="117"/>
      <c r="L24" s="118"/>
      <c r="M24" s="97">
        <f t="shared" si="74"/>
        <v>0</v>
      </c>
      <c r="N24" s="97">
        <f t="shared" ref="N24:O24" si="88">AA24+AD24+AG24+AJ24+AM24+AP24+AS24+AV24+AY24+BB24+BE24+BH24</f>
        <v>13612.470000000001</v>
      </c>
      <c r="O24" s="97">
        <f t="shared" si="88"/>
        <v>0</v>
      </c>
      <c r="P24" s="82">
        <f t="shared" ref="P24:R24" si="89">IF(BJ24=0,SUM(Z24+AC24+AF24+AI24+AL24+AO24+AR24+AU24+AX24+BA24+BD24+BG24),BJ24)</f>
        <v>0</v>
      </c>
      <c r="Q24" s="82">
        <f t="shared" si="89"/>
        <v>13612.470000000001</v>
      </c>
      <c r="R24" s="82">
        <f t="shared" si="89"/>
        <v>0</v>
      </c>
      <c r="S24" s="97">
        <f t="shared" ref="S24:T24" si="90">I24-M24</f>
        <v>0</v>
      </c>
      <c r="T24" s="97">
        <f t="shared" si="90"/>
        <v>5186.1299999999974</v>
      </c>
      <c r="U24" s="97">
        <f t="shared" si="52"/>
        <v>0</v>
      </c>
      <c r="V24" s="427">
        <f t="shared" si="73"/>
        <v>1.5590537688714121</v>
      </c>
      <c r="W24" s="96">
        <f t="shared" si="81"/>
        <v>36591.06</v>
      </c>
      <c r="X24" s="96">
        <f t="shared" si="54"/>
        <v>31404.93</v>
      </c>
      <c r="Y24" s="428">
        <f t="shared" si="62"/>
        <v>11595.07</v>
      </c>
      <c r="Z24" s="96"/>
      <c r="AA24" s="103">
        <v>3133.1</v>
      </c>
      <c r="AB24" s="96"/>
      <c r="AC24" s="119"/>
      <c r="AD24" s="119">
        <f>3133.1</f>
        <v>3133.1</v>
      </c>
      <c r="AE24" s="96"/>
      <c r="AF24" s="96"/>
      <c r="AG24" s="357">
        <f>3133.1+886.71</f>
        <v>4019.81</v>
      </c>
      <c r="AH24" s="129"/>
      <c r="AI24" s="129"/>
      <c r="AJ24" s="260">
        <f>3297.25+29.21</f>
        <v>3326.46</v>
      </c>
      <c r="AK24" s="129"/>
      <c r="AL24" s="96"/>
      <c r="AM24" s="129"/>
      <c r="AN24" s="129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9"/>
      <c r="BN24" s="100"/>
      <c r="BO24" s="100"/>
      <c r="BP24" s="100"/>
      <c r="BQ24" s="100"/>
    </row>
    <row r="25" spans="1:69" ht="15.75" customHeight="1">
      <c r="A25" s="120"/>
      <c r="B25" s="114"/>
      <c r="C25" s="101" t="s">
        <v>229</v>
      </c>
      <c r="D25" s="122" t="s">
        <v>238</v>
      </c>
      <c r="E25" s="433">
        <v>44707.32</v>
      </c>
      <c r="F25" s="435">
        <f>E25-33100</f>
        <v>11607.32</v>
      </c>
      <c r="G25" s="435"/>
      <c r="H25" s="93">
        <v>50000</v>
      </c>
      <c r="I25" s="96"/>
      <c r="J25" s="117"/>
      <c r="K25" s="117"/>
      <c r="L25" s="118"/>
      <c r="M25" s="97">
        <f t="shared" si="74"/>
        <v>0</v>
      </c>
      <c r="N25" s="97">
        <f t="shared" ref="N25:O25" si="91">AA25+AD25+AG25+AJ25+AM25+AP25+AS25+AV25+AY25+BB25+BE25+BH25</f>
        <v>0</v>
      </c>
      <c r="O25" s="97">
        <f t="shared" si="91"/>
        <v>0</v>
      </c>
      <c r="P25" s="82">
        <f t="shared" ref="P25:R25" si="92">IF(BJ25=0,SUM(Z25+AC25+AF25+AI25+AL25+AO25+AR25+AU25+AX25+BA25+BD25+BG25),BJ25)</f>
        <v>0</v>
      </c>
      <c r="Q25" s="82">
        <f t="shared" si="92"/>
        <v>0</v>
      </c>
      <c r="R25" s="82">
        <f t="shared" si="92"/>
        <v>0</v>
      </c>
      <c r="S25" s="97">
        <f t="shared" ref="S25:T25" si="93">I25-M25</f>
        <v>0</v>
      </c>
      <c r="T25" s="97">
        <f t="shared" si="93"/>
        <v>0</v>
      </c>
      <c r="U25" s="97">
        <f t="shared" si="52"/>
        <v>0</v>
      </c>
      <c r="V25" s="427" t="e">
        <f t="shared" si="73"/>
        <v>#DIV/0!</v>
      </c>
      <c r="W25" s="96">
        <f>4393.94*11</f>
        <v>48333.34</v>
      </c>
      <c r="X25" s="96">
        <f t="shared" si="54"/>
        <v>48333.34</v>
      </c>
      <c r="Y25" s="428">
        <f t="shared" si="62"/>
        <v>-3626.0199999999968</v>
      </c>
      <c r="Z25" s="96"/>
      <c r="AA25" s="96"/>
      <c r="AB25" s="96"/>
      <c r="AC25" s="119"/>
      <c r="AD25" s="119"/>
      <c r="AE25" s="96"/>
      <c r="AF25" s="96"/>
      <c r="AG25" s="350"/>
      <c r="AH25" s="129"/>
      <c r="AI25" s="129"/>
      <c r="AJ25" s="129"/>
      <c r="AK25" s="129"/>
      <c r="AL25" s="96"/>
      <c r="AM25" s="129"/>
      <c r="AN25" s="129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9"/>
      <c r="BN25" s="100"/>
      <c r="BO25" s="100"/>
      <c r="BP25" s="100"/>
      <c r="BQ25" s="100"/>
    </row>
    <row r="26" spans="1:69" ht="15.75" customHeight="1">
      <c r="A26" s="113"/>
      <c r="B26" s="114" t="s">
        <v>239</v>
      </c>
      <c r="C26" s="101" t="s">
        <v>240</v>
      </c>
      <c r="D26" s="91" t="s">
        <v>868</v>
      </c>
      <c r="E26" s="92">
        <v>7000</v>
      </c>
      <c r="F26" s="92">
        <f t="shared" ref="F26:F33" si="94">-(E26*14.5%)+E26</f>
        <v>5985</v>
      </c>
      <c r="G26" s="92"/>
      <c r="H26" s="92"/>
      <c r="I26" s="96"/>
      <c r="J26" s="117">
        <v>5583.4</v>
      </c>
      <c r="K26" s="117"/>
      <c r="L26" s="118"/>
      <c r="M26" s="97">
        <f t="shared" si="74"/>
        <v>0</v>
      </c>
      <c r="N26" s="97">
        <f t="shared" ref="N26:O26" si="95">AA26+AD26+AG26+AJ26+AM26+AP26+AS26+AV26+AY26+BB26+BE26+BH26</f>
        <v>5583.4</v>
      </c>
      <c r="O26" s="97">
        <f t="shared" si="95"/>
        <v>0</v>
      </c>
      <c r="P26" s="82">
        <f t="shared" ref="P26:R26" si="96">IF(BJ26=0,SUM(Z26+AC26+AF26+AI26+AL26+AO26+AR26+AU26+AX26+BA26+BD26+BG26),BJ26)</f>
        <v>0</v>
      </c>
      <c r="Q26" s="82">
        <f t="shared" si="96"/>
        <v>5583.4</v>
      </c>
      <c r="R26" s="82">
        <f t="shared" si="96"/>
        <v>0</v>
      </c>
      <c r="S26" s="97">
        <f t="shared" ref="S26:T26" si="97">I26-M26</f>
        <v>0</v>
      </c>
      <c r="T26" s="97">
        <f t="shared" si="97"/>
        <v>0</v>
      </c>
      <c r="U26" s="97">
        <f t="shared" si="52"/>
        <v>0</v>
      </c>
      <c r="V26" s="427" t="e">
        <f t="shared" si="73"/>
        <v>#DIV/0!</v>
      </c>
      <c r="W26" s="96">
        <f t="shared" ref="W26:W31" si="98">AJ26*11</f>
        <v>0</v>
      </c>
      <c r="X26" s="96">
        <f t="shared" si="54"/>
        <v>0</v>
      </c>
      <c r="Y26" s="428">
        <f t="shared" si="62"/>
        <v>7000</v>
      </c>
      <c r="Z26" s="96"/>
      <c r="AA26" s="96"/>
      <c r="AB26" s="96"/>
      <c r="AC26" s="119"/>
      <c r="AD26" s="119"/>
      <c r="AE26" s="96"/>
      <c r="AF26" s="96"/>
      <c r="AG26" s="103">
        <v>5583.4</v>
      </c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9"/>
      <c r="BN26" s="100"/>
      <c r="BO26" s="100"/>
      <c r="BP26" s="100"/>
      <c r="BQ26" s="100"/>
    </row>
    <row r="27" spans="1:69" ht="15.75" customHeight="1">
      <c r="A27" s="356" t="s">
        <v>586</v>
      </c>
      <c r="B27" s="114"/>
      <c r="C27" s="101" t="s">
        <v>242</v>
      </c>
      <c r="D27" s="122" t="s">
        <v>869</v>
      </c>
      <c r="E27" s="116">
        <v>8404</v>
      </c>
      <c r="F27" s="92">
        <f t="shared" si="94"/>
        <v>7185.42</v>
      </c>
      <c r="G27" s="92"/>
      <c r="H27" s="116"/>
      <c r="I27" s="103">
        <v>2874.5</v>
      </c>
      <c r="J27" s="117"/>
      <c r="K27" s="117"/>
      <c r="L27" s="118"/>
      <c r="M27" s="97">
        <f t="shared" si="74"/>
        <v>0</v>
      </c>
      <c r="N27" s="97">
        <f t="shared" ref="N27:O27" si="99">AA27+AD27+AG27+AJ27+AM27+AP27+AS27+AV27+AY27+BB27+BE27+BH27</f>
        <v>0</v>
      </c>
      <c r="O27" s="97">
        <f t="shared" si="99"/>
        <v>0</v>
      </c>
      <c r="P27" s="82">
        <f t="shared" ref="P27:R27" si="100">IF(BJ27=0,SUM(Z27+AC27+AF27+AI27+AL27+AO27+AR27+AU27+AX27+BA27+BD27+BG27),BJ27)</f>
        <v>0</v>
      </c>
      <c r="Q27" s="82">
        <f t="shared" si="100"/>
        <v>0</v>
      </c>
      <c r="R27" s="82">
        <f t="shared" si="100"/>
        <v>0</v>
      </c>
      <c r="S27" s="97">
        <f t="shared" ref="S27:T27" si="101">I27-M27</f>
        <v>2874.5</v>
      </c>
      <c r="T27" s="97">
        <f t="shared" si="101"/>
        <v>0</v>
      </c>
      <c r="U27" s="97">
        <f t="shared" si="52"/>
        <v>0</v>
      </c>
      <c r="V27" s="427" t="e">
        <f t="shared" si="73"/>
        <v>#DIV/0!</v>
      </c>
      <c r="W27" s="96">
        <f t="shared" si="98"/>
        <v>0</v>
      </c>
      <c r="X27" s="96">
        <f t="shared" si="54"/>
        <v>0</v>
      </c>
      <c r="Y27" s="428">
        <f t="shared" si="62"/>
        <v>8404</v>
      </c>
      <c r="Z27" s="96"/>
      <c r="AA27" s="96"/>
      <c r="AB27" s="96"/>
      <c r="AC27" s="119"/>
      <c r="AD27" s="119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9"/>
      <c r="BN27" s="100"/>
      <c r="BO27" s="100"/>
      <c r="BP27" s="100"/>
      <c r="BQ27" s="100"/>
    </row>
    <row r="28" spans="1:69" ht="15.75" customHeight="1">
      <c r="A28" s="113"/>
      <c r="B28" s="114" t="s">
        <v>244</v>
      </c>
      <c r="C28" s="101" t="s">
        <v>245</v>
      </c>
      <c r="D28" s="91" t="s">
        <v>86</v>
      </c>
      <c r="E28" s="435">
        <v>10000</v>
      </c>
      <c r="F28" s="92">
        <f t="shared" si="94"/>
        <v>8550</v>
      </c>
      <c r="G28" s="92"/>
      <c r="H28" s="92"/>
      <c r="I28" s="96"/>
      <c r="J28" s="117">
        <v>13095</v>
      </c>
      <c r="K28" s="117"/>
      <c r="L28" s="118"/>
      <c r="M28" s="97">
        <f t="shared" si="74"/>
        <v>0</v>
      </c>
      <c r="N28" s="97">
        <f t="shared" ref="N28:O28" si="102">AA28+AD28+AG28+AJ28+AM28+AP28+AS28+AV28+AY28+BB28+BE28+BH28</f>
        <v>13095</v>
      </c>
      <c r="O28" s="97">
        <f t="shared" si="102"/>
        <v>0</v>
      </c>
      <c r="P28" s="82">
        <f t="shared" ref="P28:R28" si="103">IF(BJ28=0,SUM(Z28+AC28+AF28+AI28+AL28+AO28+AR28+AU28+AX28+BA28+BD28+BG28),BJ28)</f>
        <v>0</v>
      </c>
      <c r="Q28" s="82">
        <f t="shared" si="103"/>
        <v>13095</v>
      </c>
      <c r="R28" s="82">
        <f t="shared" si="103"/>
        <v>0</v>
      </c>
      <c r="S28" s="97">
        <f t="shared" ref="S28:T28" si="104">I28-M28</f>
        <v>0</v>
      </c>
      <c r="T28" s="97">
        <f t="shared" si="104"/>
        <v>0</v>
      </c>
      <c r="U28" s="97">
        <f t="shared" si="52"/>
        <v>0</v>
      </c>
      <c r="V28" s="427" t="e">
        <f t="shared" si="73"/>
        <v>#DIV/0!</v>
      </c>
      <c r="W28" s="96">
        <f t="shared" si="98"/>
        <v>0</v>
      </c>
      <c r="X28" s="96">
        <f t="shared" si="54"/>
        <v>0</v>
      </c>
      <c r="Y28" s="428">
        <f t="shared" si="62"/>
        <v>10000</v>
      </c>
      <c r="Z28" s="96"/>
      <c r="AA28" s="96">
        <f>13095</f>
        <v>13095</v>
      </c>
      <c r="AB28" s="96"/>
      <c r="AC28" s="119"/>
      <c r="AD28" s="119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9"/>
      <c r="BN28" s="100"/>
      <c r="BO28" s="100"/>
      <c r="BP28" s="100"/>
      <c r="BQ28" s="100"/>
    </row>
    <row r="29" spans="1:69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92">
        <f t="shared" si="94"/>
        <v>3592.71</v>
      </c>
      <c r="G29" s="92"/>
      <c r="H29" s="92"/>
      <c r="I29" s="96"/>
      <c r="J29" s="117">
        <v>16850</v>
      </c>
      <c r="K29" s="117"/>
      <c r="L29" s="118"/>
      <c r="M29" s="97">
        <f t="shared" si="74"/>
        <v>0</v>
      </c>
      <c r="N29" s="97">
        <f t="shared" ref="N29:O29" si="105">AA29+AD29+AG29+AJ29+AM29+AP29+AS29+AV29+AY29+BB29+BE29+BH29</f>
        <v>5229.5</v>
      </c>
      <c r="O29" s="97">
        <f t="shared" si="105"/>
        <v>0</v>
      </c>
      <c r="P29" s="82">
        <f t="shared" ref="P29:R29" si="106">IF(BJ29=0,SUM(Z29+AC29+AF29+AI29+AL29+AO29+AR29+AU29+AX29+BA29+BD29+BG29),BJ29)</f>
        <v>0</v>
      </c>
      <c r="Q29" s="82">
        <f t="shared" si="106"/>
        <v>5229.5</v>
      </c>
      <c r="R29" s="82">
        <f t="shared" si="106"/>
        <v>0</v>
      </c>
      <c r="S29" s="97">
        <f t="shared" ref="S29:T29" si="107">I29-M29</f>
        <v>0</v>
      </c>
      <c r="T29" s="97">
        <f t="shared" si="107"/>
        <v>11620.5</v>
      </c>
      <c r="U29" s="97">
        <f t="shared" si="52"/>
        <v>0</v>
      </c>
      <c r="V29" s="427" t="e">
        <f t="shared" si="73"/>
        <v>#DIV/0!</v>
      </c>
      <c r="W29" s="96">
        <f t="shared" si="98"/>
        <v>0</v>
      </c>
      <c r="X29" s="96">
        <f t="shared" si="54"/>
        <v>-11620.5</v>
      </c>
      <c r="Y29" s="428">
        <f t="shared" si="62"/>
        <v>15822.5</v>
      </c>
      <c r="Z29" s="96"/>
      <c r="AA29" s="96"/>
      <c r="AB29" s="96"/>
      <c r="AC29" s="119"/>
      <c r="AD29" s="131">
        <v>5229.5</v>
      </c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9"/>
      <c r="BN29" s="100"/>
      <c r="BO29" s="100"/>
      <c r="BP29" s="100"/>
      <c r="BQ29" s="100"/>
    </row>
    <row r="30" spans="1:69" ht="15.75" customHeight="1">
      <c r="A30" s="120"/>
      <c r="B30" s="114"/>
      <c r="C30" s="101" t="s">
        <v>242</v>
      </c>
      <c r="D30" s="91" t="s">
        <v>247</v>
      </c>
      <c r="E30" s="436">
        <v>4202</v>
      </c>
      <c r="F30" s="92">
        <f t="shared" si="94"/>
        <v>3592.71</v>
      </c>
      <c r="G30" s="92"/>
      <c r="H30" s="123" t="s">
        <v>870</v>
      </c>
      <c r="I30" s="96"/>
      <c r="J30" s="117"/>
      <c r="K30" s="117"/>
      <c r="L30" s="118"/>
      <c r="M30" s="97">
        <f t="shared" si="74"/>
        <v>0</v>
      </c>
      <c r="N30" s="97">
        <f t="shared" ref="N30:O30" si="108">AA30+AD30+AG30+AJ30+AM30+AP30+AS30+AV30+AY30+BB30+BE30+BH30</f>
        <v>0</v>
      </c>
      <c r="O30" s="97">
        <f t="shared" si="108"/>
        <v>0</v>
      </c>
      <c r="P30" s="82">
        <f t="shared" ref="P30:R30" si="109">IF(BJ30=0,SUM(Z30+AC30+AF30+AI30+AL30+AO30+AR30+AU30+AX30+BA30+BD30+BG30),BJ30)</f>
        <v>0</v>
      </c>
      <c r="Q30" s="82">
        <f t="shared" si="109"/>
        <v>0</v>
      </c>
      <c r="R30" s="82">
        <f t="shared" si="109"/>
        <v>0</v>
      </c>
      <c r="S30" s="97">
        <f t="shared" ref="S30:T30" si="110">I30-M30</f>
        <v>0</v>
      </c>
      <c r="T30" s="97">
        <f t="shared" si="110"/>
        <v>0</v>
      </c>
      <c r="U30" s="97">
        <f t="shared" si="52"/>
        <v>0</v>
      </c>
      <c r="V30" s="427" t="e">
        <f t="shared" si="73"/>
        <v>#DIV/0!</v>
      </c>
      <c r="W30" s="96">
        <f t="shared" si="98"/>
        <v>0</v>
      </c>
      <c r="X30" s="96">
        <f t="shared" si="54"/>
        <v>0</v>
      </c>
      <c r="Y30" s="428">
        <f t="shared" si="62"/>
        <v>4202</v>
      </c>
      <c r="Z30" s="96"/>
      <c r="AA30" s="129"/>
      <c r="AB30" s="96"/>
      <c r="AC30" s="119"/>
      <c r="AD30" s="119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9"/>
      <c r="BN30" s="100"/>
      <c r="BO30" s="100"/>
      <c r="BP30" s="100"/>
      <c r="BQ30" s="100"/>
    </row>
    <row r="31" spans="1:69" ht="15.75" customHeight="1">
      <c r="A31" s="113"/>
      <c r="B31" s="121" t="s">
        <v>488</v>
      </c>
      <c r="C31" s="101" t="s">
        <v>240</v>
      </c>
      <c r="D31" s="91" t="s">
        <v>871</v>
      </c>
      <c r="E31" s="92">
        <v>18404</v>
      </c>
      <c r="F31" s="92">
        <f t="shared" si="94"/>
        <v>15735.42</v>
      </c>
      <c r="G31" s="92"/>
      <c r="H31" s="92"/>
      <c r="I31" s="96"/>
      <c r="J31" s="117">
        <f>2515+5718.85</f>
        <v>8233.85</v>
      </c>
      <c r="K31" s="117"/>
      <c r="L31" s="118"/>
      <c r="M31" s="97">
        <f t="shared" si="74"/>
        <v>0</v>
      </c>
      <c r="N31" s="97">
        <f t="shared" ref="N31:O31" si="111">AA31+AD31+AG31+AJ31+AM31+AP31+AS31+AV31+AY31+BB31+BE31+BH31</f>
        <v>0</v>
      </c>
      <c r="O31" s="97">
        <f t="shared" si="111"/>
        <v>0</v>
      </c>
      <c r="P31" s="82">
        <f t="shared" ref="P31:R31" si="112">IF(BJ31=0,SUM(Z31+AC31+AF31+AI31+AL31+AO31+AR31+AU31+AX31+BA31+BD31+BG31),BJ31)</f>
        <v>0</v>
      </c>
      <c r="Q31" s="82">
        <f t="shared" si="112"/>
        <v>0</v>
      </c>
      <c r="R31" s="82">
        <f t="shared" si="112"/>
        <v>0</v>
      </c>
      <c r="S31" s="97">
        <f t="shared" ref="S31:T31" si="113">I31-M31</f>
        <v>0</v>
      </c>
      <c r="T31" s="97">
        <f t="shared" si="113"/>
        <v>8233.85</v>
      </c>
      <c r="U31" s="97">
        <f t="shared" si="52"/>
        <v>0</v>
      </c>
      <c r="V31" s="427" t="e">
        <f t="shared" si="73"/>
        <v>#DIV/0!</v>
      </c>
      <c r="W31" s="96">
        <f t="shared" si="98"/>
        <v>0</v>
      </c>
      <c r="X31" s="96">
        <f t="shared" si="54"/>
        <v>-8233.85</v>
      </c>
      <c r="Y31" s="428">
        <f t="shared" si="62"/>
        <v>26637.85</v>
      </c>
      <c r="Z31" s="96"/>
      <c r="AA31" s="96"/>
      <c r="AB31" s="96"/>
      <c r="AC31" s="119"/>
      <c r="AD31" s="119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9"/>
      <c r="BN31" s="100"/>
      <c r="BO31" s="100"/>
      <c r="BP31" s="100"/>
      <c r="BQ31" s="100"/>
    </row>
    <row r="32" spans="1:69" ht="15.75" customHeight="1">
      <c r="A32" s="113"/>
      <c r="B32" s="121" t="s">
        <v>490</v>
      </c>
      <c r="C32" s="101" t="s">
        <v>240</v>
      </c>
      <c r="D32" s="130" t="s">
        <v>872</v>
      </c>
      <c r="E32" s="92"/>
      <c r="F32" s="92">
        <f t="shared" si="94"/>
        <v>0</v>
      </c>
      <c r="G32" s="92"/>
      <c r="H32" s="92"/>
      <c r="I32" s="96"/>
      <c r="J32" s="117">
        <f>977.38+2861.28</f>
        <v>3838.6600000000003</v>
      </c>
      <c r="K32" s="117"/>
      <c r="L32" s="118"/>
      <c r="M32" s="97">
        <f t="shared" si="74"/>
        <v>0</v>
      </c>
      <c r="N32" s="97">
        <f t="shared" ref="N32:O32" si="114">AA32+AD32+AG32+AJ32+AM32+AP32+AS32+AV32+AY32+BB32+BE32+BH32</f>
        <v>3838.66</v>
      </c>
      <c r="O32" s="97">
        <f t="shared" si="114"/>
        <v>0</v>
      </c>
      <c r="P32" s="82">
        <f t="shared" ref="P32:R32" si="115">IF(BJ32=0,SUM(Z32+AC32+AF32+AI32+AL32+AO32+AR32+AU32+AX32+BA32+BD32+BG32),BJ32)</f>
        <v>0</v>
      </c>
      <c r="Q32" s="82">
        <f t="shared" si="115"/>
        <v>3838.66</v>
      </c>
      <c r="R32" s="82">
        <f t="shared" si="115"/>
        <v>0</v>
      </c>
      <c r="S32" s="97">
        <f t="shared" ref="S32:T32" si="116">I32-M32</f>
        <v>0</v>
      </c>
      <c r="T32" s="97">
        <f t="shared" si="116"/>
        <v>0</v>
      </c>
      <c r="U32" s="97">
        <f t="shared" si="52"/>
        <v>0</v>
      </c>
      <c r="V32" s="427">
        <f t="shared" si="73"/>
        <v>0</v>
      </c>
      <c r="W32" s="96"/>
      <c r="X32" s="96">
        <f t="shared" si="54"/>
        <v>0</v>
      </c>
      <c r="Y32" s="428">
        <f t="shared" si="62"/>
        <v>0</v>
      </c>
      <c r="Z32" s="96"/>
      <c r="AA32" s="96"/>
      <c r="AB32" s="96"/>
      <c r="AC32" s="119"/>
      <c r="AD32" s="119"/>
      <c r="AE32" s="96"/>
      <c r="AF32" s="96"/>
      <c r="AG32" s="96"/>
      <c r="AH32" s="96"/>
      <c r="AI32" s="96"/>
      <c r="AJ32" s="103">
        <v>3838.66</v>
      </c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9"/>
      <c r="BN32" s="100"/>
      <c r="BO32" s="100"/>
      <c r="BP32" s="100"/>
      <c r="BQ32" s="100"/>
    </row>
    <row r="33" spans="1:69" ht="15.75" customHeight="1">
      <c r="A33" s="113"/>
      <c r="B33" s="114"/>
      <c r="C33" s="101" t="s">
        <v>240</v>
      </c>
      <c r="D33" s="91" t="s">
        <v>873</v>
      </c>
      <c r="E33" s="92">
        <v>20000</v>
      </c>
      <c r="F33" s="92">
        <f t="shared" si="94"/>
        <v>17100</v>
      </c>
      <c r="G33" s="92"/>
      <c r="H33" s="92"/>
      <c r="I33" s="96"/>
      <c r="J33" s="117"/>
      <c r="K33" s="117"/>
      <c r="L33" s="118"/>
      <c r="M33" s="97">
        <f t="shared" si="74"/>
        <v>0</v>
      </c>
      <c r="N33" s="97">
        <f t="shared" ref="N33:O33" si="117">AA33+AD33+AG33+AJ33+AM33+AP33+AS33+AV33+AY33+BB33+BE33+BH33</f>
        <v>0</v>
      </c>
      <c r="O33" s="97">
        <f t="shared" si="117"/>
        <v>0</v>
      </c>
      <c r="P33" s="82">
        <f t="shared" ref="P33:R33" si="118">IF(BJ33=0,SUM(Z33+AC33+AF33+AI33+AL33+AO33+AR33+AU33+AX33+BA33+BD33+BG33),BJ33)</f>
        <v>0</v>
      </c>
      <c r="Q33" s="82">
        <f t="shared" si="118"/>
        <v>0</v>
      </c>
      <c r="R33" s="82">
        <f t="shared" si="118"/>
        <v>0</v>
      </c>
      <c r="S33" s="97">
        <f t="shared" ref="S33:T33" si="119">I33-M33</f>
        <v>0</v>
      </c>
      <c r="T33" s="97">
        <f t="shared" si="119"/>
        <v>0</v>
      </c>
      <c r="U33" s="97">
        <f t="shared" si="52"/>
        <v>0</v>
      </c>
      <c r="V33" s="427" t="e">
        <f t="shared" si="73"/>
        <v>#DIV/0!</v>
      </c>
      <c r="W33" s="96">
        <f t="shared" ref="W33:W34" si="120">AJ33*11</f>
        <v>0</v>
      </c>
      <c r="X33" s="96">
        <f t="shared" si="54"/>
        <v>0</v>
      </c>
      <c r="Y33" s="428">
        <f t="shared" si="62"/>
        <v>20000</v>
      </c>
      <c r="Z33" s="96"/>
      <c r="AA33" s="96"/>
      <c r="AB33" s="96"/>
      <c r="AC33" s="119"/>
      <c r="AD33" s="119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9"/>
      <c r="BN33" s="100"/>
      <c r="BO33" s="100"/>
      <c r="BP33" s="100"/>
      <c r="BQ33" s="100"/>
    </row>
    <row r="34" spans="1:69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92">
        <f t="shared" ref="F34:F36" si="121">E34</f>
        <v>2025.37</v>
      </c>
      <c r="G34" s="92"/>
      <c r="H34" s="92"/>
      <c r="I34" s="96"/>
      <c r="J34" s="117">
        <v>3374.7</v>
      </c>
      <c r="K34" s="117"/>
      <c r="L34" s="118"/>
      <c r="M34" s="97">
        <f t="shared" si="74"/>
        <v>0</v>
      </c>
      <c r="N34" s="97">
        <f t="shared" ref="N34:O34" si="122">AA34+AD34+AG34+AJ34+AM34+AP34+AS34+AV34+AY34+BB34+BE34+BH34</f>
        <v>3374.7</v>
      </c>
      <c r="O34" s="97">
        <f t="shared" si="122"/>
        <v>0</v>
      </c>
      <c r="P34" s="82">
        <f t="shared" ref="P34:R34" si="123">IF(BJ34=0,SUM(Z34+AC34+AF34+AI34+AL34+AO34+AR34+AU34+AX34+BA34+BD34+BG34),BJ34)</f>
        <v>0</v>
      </c>
      <c r="Q34" s="82">
        <f t="shared" si="123"/>
        <v>3374.7</v>
      </c>
      <c r="R34" s="82">
        <f t="shared" si="123"/>
        <v>0</v>
      </c>
      <c r="S34" s="97">
        <f t="shared" ref="S34:T34" si="124">I34-M34</f>
        <v>0</v>
      </c>
      <c r="T34" s="97">
        <f t="shared" si="124"/>
        <v>0</v>
      </c>
      <c r="U34" s="97">
        <f t="shared" si="52"/>
        <v>0</v>
      </c>
      <c r="V34" s="427" t="e">
        <f t="shared" si="73"/>
        <v>#DIV/0!</v>
      </c>
      <c r="W34" s="96">
        <f t="shared" si="120"/>
        <v>0</v>
      </c>
      <c r="X34" s="96">
        <f t="shared" si="54"/>
        <v>0</v>
      </c>
      <c r="Y34" s="428">
        <f t="shared" si="62"/>
        <v>2025.37</v>
      </c>
      <c r="Z34" s="96"/>
      <c r="AA34" s="96"/>
      <c r="AB34" s="96"/>
      <c r="AC34" s="119"/>
      <c r="AD34" s="131">
        <v>3374.7</v>
      </c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9"/>
      <c r="BN34" s="100"/>
      <c r="BO34" s="100"/>
      <c r="BP34" s="100"/>
      <c r="BQ34" s="100"/>
    </row>
    <row r="35" spans="1:69" ht="15.75" customHeight="1">
      <c r="A35" s="120"/>
      <c r="B35" s="114" t="s">
        <v>254</v>
      </c>
      <c r="C35" s="101" t="s">
        <v>255</v>
      </c>
      <c r="D35" s="122" t="s">
        <v>101</v>
      </c>
      <c r="E35" s="132">
        <v>30000</v>
      </c>
      <c r="F35" s="92">
        <f t="shared" si="121"/>
        <v>30000</v>
      </c>
      <c r="G35" s="92"/>
      <c r="H35" s="116"/>
      <c r="I35" s="133"/>
      <c r="J35" s="117">
        <v>4100</v>
      </c>
      <c r="K35" s="117"/>
      <c r="L35" s="118"/>
      <c r="M35" s="97">
        <f t="shared" si="74"/>
        <v>0</v>
      </c>
      <c r="N35" s="97">
        <f t="shared" ref="N35:O35" si="125">AA35+AD35+AG35+AJ35+AM35+AP35+AS35+AV35+AY35+BB35+BE35+BH35</f>
        <v>4100</v>
      </c>
      <c r="O35" s="97">
        <f t="shared" si="125"/>
        <v>0</v>
      </c>
      <c r="P35" s="82">
        <f t="shared" ref="P35:R35" si="126">IF(BJ35=0,SUM(Z35+AC35+AF35+AI35+AL35+AO35+AR35+AU35+AX35+BA35+BD35+BG35),BJ35)</f>
        <v>0</v>
      </c>
      <c r="Q35" s="82">
        <f t="shared" si="126"/>
        <v>4100</v>
      </c>
      <c r="R35" s="82">
        <f t="shared" si="126"/>
        <v>0</v>
      </c>
      <c r="S35" s="134">
        <f t="shared" ref="S35:T35" si="127">I35-M35</f>
        <v>0</v>
      </c>
      <c r="T35" s="97">
        <f t="shared" si="127"/>
        <v>0</v>
      </c>
      <c r="U35" s="97">
        <f t="shared" si="52"/>
        <v>0</v>
      </c>
      <c r="V35" s="427">
        <f t="shared" si="73"/>
        <v>0</v>
      </c>
      <c r="W35" s="96"/>
      <c r="X35" s="96">
        <f t="shared" si="54"/>
        <v>0</v>
      </c>
      <c r="Y35" s="428">
        <f t="shared" si="62"/>
        <v>30000</v>
      </c>
      <c r="Z35" s="119"/>
      <c r="AA35" s="96"/>
      <c r="AB35" s="96"/>
      <c r="AC35" s="119"/>
      <c r="AD35" s="119"/>
      <c r="AE35" s="96"/>
      <c r="AF35" s="96"/>
      <c r="AG35" s="96"/>
      <c r="AH35" s="96"/>
      <c r="AI35" s="96"/>
      <c r="AJ35" s="103">
        <v>4100</v>
      </c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9"/>
      <c r="BN35" s="100"/>
      <c r="BO35" s="100"/>
      <c r="BP35" s="100"/>
      <c r="BQ35" s="100"/>
    </row>
    <row r="36" spans="1:69" ht="15.75" customHeight="1">
      <c r="A36" s="359" t="s">
        <v>591</v>
      </c>
      <c r="B36" s="121" t="s">
        <v>256</v>
      </c>
      <c r="C36" s="101" t="s">
        <v>257</v>
      </c>
      <c r="D36" s="122" t="s">
        <v>103</v>
      </c>
      <c r="E36" s="132">
        <v>10000</v>
      </c>
      <c r="F36" s="92">
        <f t="shared" si="121"/>
        <v>10000</v>
      </c>
      <c r="G36" s="92"/>
      <c r="H36" s="116"/>
      <c r="I36" s="103">
        <v>1757.6</v>
      </c>
      <c r="J36" s="117">
        <f>19903.04+4541.3+16240</f>
        <v>40684.339999999997</v>
      </c>
      <c r="K36" s="135">
        <v>16240</v>
      </c>
      <c r="L36" s="118"/>
      <c r="M36" s="97">
        <f t="shared" si="74"/>
        <v>0</v>
      </c>
      <c r="N36" s="97">
        <f t="shared" ref="N36:O36" si="128">AA36+AD36+AG36+AJ36+AM36+AP36+AS36+AV36+AY36+BB36+BE36+BH36</f>
        <v>24444.34</v>
      </c>
      <c r="O36" s="97">
        <f t="shared" si="128"/>
        <v>0</v>
      </c>
      <c r="P36" s="82">
        <f t="shared" ref="P36:R36" si="129">IF(BJ36=0,SUM(Z36+AC36+AF36+AI36+AL36+AO36+AR36+AU36+AX36+BA36+BD36+BG36),BJ36)</f>
        <v>0</v>
      </c>
      <c r="Q36" s="82">
        <f t="shared" si="129"/>
        <v>24444.34</v>
      </c>
      <c r="R36" s="82">
        <f t="shared" si="129"/>
        <v>0</v>
      </c>
      <c r="S36" s="97">
        <f t="shared" ref="S36:S67" si="130">I36-M36</f>
        <v>1757.6</v>
      </c>
      <c r="T36" s="97">
        <f>J36-N36-K36</f>
        <v>0</v>
      </c>
      <c r="U36" s="97">
        <f t="shared" si="52"/>
        <v>0</v>
      </c>
      <c r="V36" s="427">
        <f t="shared" si="73"/>
        <v>0</v>
      </c>
      <c r="W36" s="96"/>
      <c r="X36" s="96">
        <f t="shared" si="54"/>
        <v>0</v>
      </c>
      <c r="Y36" s="428">
        <f t="shared" si="62"/>
        <v>10000</v>
      </c>
      <c r="Z36" s="96"/>
      <c r="AA36" s="96"/>
      <c r="AB36" s="96"/>
      <c r="AC36" s="119"/>
      <c r="AD36" s="119">
        <f>19903.04</f>
        <v>19903.04</v>
      </c>
      <c r="AE36" s="96"/>
      <c r="AF36" s="96"/>
      <c r="AG36" s="96"/>
      <c r="AH36" s="96"/>
      <c r="AI36" s="96"/>
      <c r="AJ36" s="103">
        <v>4541.3</v>
      </c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9"/>
      <c r="BN36" s="100"/>
      <c r="BO36" s="100"/>
      <c r="BP36" s="100"/>
      <c r="BQ36" s="100"/>
    </row>
    <row r="37" spans="1:69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92">
        <f>-(E37*14.5%)+E37</f>
        <v>0</v>
      </c>
      <c r="G37" s="92"/>
      <c r="H37" s="116"/>
      <c r="I37" s="96"/>
      <c r="J37" s="117">
        <v>949.5</v>
      </c>
      <c r="K37" s="117"/>
      <c r="L37" s="118"/>
      <c r="M37" s="97">
        <f t="shared" si="74"/>
        <v>0</v>
      </c>
      <c r="N37" s="97">
        <f t="shared" ref="N37:O37" si="131">AA37+AD37+AG37+AJ37+AM37+AP37+AS37+AV37+AY37+BB37+BE37+BH37</f>
        <v>949.5</v>
      </c>
      <c r="O37" s="97">
        <f t="shared" si="131"/>
        <v>0</v>
      </c>
      <c r="P37" s="82">
        <f t="shared" ref="P37:R37" si="132">IF(BJ37=0,SUM(Z37+AC37+AF37+AI37+AL37+AO37+AR37+AU37+AX37+BA37+BD37+BG37),BJ37)</f>
        <v>0</v>
      </c>
      <c r="Q37" s="82">
        <f t="shared" si="132"/>
        <v>949.5</v>
      </c>
      <c r="R37" s="82">
        <f t="shared" si="132"/>
        <v>0</v>
      </c>
      <c r="S37" s="97">
        <f t="shared" si="130"/>
        <v>0</v>
      </c>
      <c r="T37" s="97">
        <f t="shared" ref="T37:T43" si="133">J37-N37</f>
        <v>0</v>
      </c>
      <c r="U37" s="97">
        <f t="shared" si="52"/>
        <v>0</v>
      </c>
      <c r="V37" s="427" t="e">
        <f t="shared" si="73"/>
        <v>#DIV/0!</v>
      </c>
      <c r="W37" s="96">
        <f t="shared" ref="W37:W50" si="134">AJ37*11</f>
        <v>0</v>
      </c>
      <c r="X37" s="96">
        <f t="shared" si="54"/>
        <v>0</v>
      </c>
      <c r="Y37" s="428">
        <f t="shared" si="62"/>
        <v>0</v>
      </c>
      <c r="Z37" s="96"/>
      <c r="AA37" s="96"/>
      <c r="AB37" s="96"/>
      <c r="AC37" s="119"/>
      <c r="AD37" s="131">
        <v>949.5</v>
      </c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9"/>
      <c r="BN37" s="100"/>
      <c r="BO37" s="100"/>
      <c r="BP37" s="100"/>
      <c r="BQ37" s="100"/>
    </row>
    <row r="38" spans="1:69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92">
        <f t="shared" ref="F38:F39" si="135">E38</f>
        <v>19200</v>
      </c>
      <c r="G38" s="92"/>
      <c r="H38" s="92"/>
      <c r="I38" s="96"/>
      <c r="J38" s="358">
        <v>50813</v>
      </c>
      <c r="K38" s="117"/>
      <c r="L38" s="118"/>
      <c r="M38" s="97">
        <f t="shared" si="74"/>
        <v>0</v>
      </c>
      <c r="N38" s="97">
        <f t="shared" ref="N38:O38" si="136">AA38+AD38+AG38+AJ38+AM38+AP38+AS38+AV38+AY38+BB38+BE38+BH38</f>
        <v>0</v>
      </c>
      <c r="O38" s="97">
        <f t="shared" si="136"/>
        <v>0</v>
      </c>
      <c r="P38" s="82">
        <f t="shared" ref="P38:R38" si="137">IF(BJ38=0,SUM(Z38+AC38+AF38+AI38+AL38+AO38+AR38+AU38+AX38+BA38+BD38+BG38),BJ38)</f>
        <v>0</v>
      </c>
      <c r="Q38" s="82">
        <f t="shared" si="137"/>
        <v>0</v>
      </c>
      <c r="R38" s="82">
        <f t="shared" si="137"/>
        <v>0</v>
      </c>
      <c r="S38" s="97">
        <f t="shared" si="130"/>
        <v>0</v>
      </c>
      <c r="T38" s="363">
        <f t="shared" si="133"/>
        <v>50813</v>
      </c>
      <c r="U38" s="97">
        <f t="shared" si="52"/>
        <v>0</v>
      </c>
      <c r="V38" s="427" t="e">
        <f t="shared" si="73"/>
        <v>#DIV/0!</v>
      </c>
      <c r="W38" s="96">
        <f t="shared" si="134"/>
        <v>0</v>
      </c>
      <c r="X38" s="96">
        <f t="shared" si="54"/>
        <v>-50813</v>
      </c>
      <c r="Y38" s="428">
        <f t="shared" si="62"/>
        <v>70013</v>
      </c>
      <c r="Z38" s="96"/>
      <c r="AA38" s="96"/>
      <c r="AB38" s="96"/>
      <c r="AC38" s="119"/>
      <c r="AD38" s="119"/>
      <c r="AE38" s="96"/>
      <c r="AF38" s="96"/>
      <c r="AG38" s="96"/>
      <c r="AH38" s="96"/>
      <c r="AI38" s="96"/>
      <c r="AJ38" s="96"/>
      <c r="AK38" s="96"/>
      <c r="AL38" s="129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129"/>
      <c r="BH38" s="96"/>
      <c r="BI38" s="96"/>
      <c r="BJ38" s="96"/>
      <c r="BK38" s="96"/>
      <c r="BL38" s="96"/>
      <c r="BM38" s="99"/>
      <c r="BN38" s="100"/>
      <c r="BO38" s="100"/>
      <c r="BP38" s="100"/>
      <c r="BQ38" s="100"/>
    </row>
    <row r="39" spans="1:69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92">
        <f t="shared" si="135"/>
        <v>20000</v>
      </c>
      <c r="G39" s="92"/>
      <c r="H39" s="92"/>
      <c r="I39" s="96"/>
      <c r="J39" s="117"/>
      <c r="K39" s="117"/>
      <c r="L39" s="118"/>
      <c r="M39" s="97">
        <f t="shared" si="74"/>
        <v>0</v>
      </c>
      <c r="N39" s="97">
        <f t="shared" ref="N39:O39" si="138">AA39+AD39+AG39+AJ39+AM39+AP39+AS39+AV39+AY39+BB39+BE39+BH39</f>
        <v>0</v>
      </c>
      <c r="O39" s="97">
        <f t="shared" si="138"/>
        <v>0</v>
      </c>
      <c r="P39" s="82">
        <f t="shared" ref="P39:R39" si="139">IF(BJ39=0,SUM(Z39+AC39+AF39+AI39+AL39+AO39+AR39+AU39+AX39+BA39+BD39+BG39),BJ39)</f>
        <v>0</v>
      </c>
      <c r="Q39" s="82">
        <f t="shared" si="139"/>
        <v>0</v>
      </c>
      <c r="R39" s="82">
        <f t="shared" si="139"/>
        <v>0</v>
      </c>
      <c r="S39" s="97">
        <f t="shared" si="130"/>
        <v>0</v>
      </c>
      <c r="T39" s="97">
        <f t="shared" si="133"/>
        <v>0</v>
      </c>
      <c r="U39" s="97">
        <f t="shared" si="52"/>
        <v>0</v>
      </c>
      <c r="V39" s="427" t="e">
        <f t="shared" si="73"/>
        <v>#DIV/0!</v>
      </c>
      <c r="W39" s="96">
        <f t="shared" si="134"/>
        <v>0</v>
      </c>
      <c r="X39" s="96">
        <f t="shared" si="54"/>
        <v>0</v>
      </c>
      <c r="Y39" s="428">
        <f t="shared" si="62"/>
        <v>20000</v>
      </c>
      <c r="Z39" s="96"/>
      <c r="AA39" s="96"/>
      <c r="AB39" s="96"/>
      <c r="AC39" s="119"/>
      <c r="AD39" s="119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9"/>
      <c r="BN39" s="100"/>
      <c r="BO39" s="100"/>
      <c r="BP39" s="100"/>
      <c r="BQ39" s="100"/>
    </row>
    <row r="40" spans="1:69" ht="15.75" customHeight="1">
      <c r="A40" s="89"/>
      <c r="B40" s="136" t="s">
        <v>263</v>
      </c>
      <c r="C40" s="101" t="s">
        <v>218</v>
      </c>
      <c r="D40" s="91" t="s">
        <v>874</v>
      </c>
      <c r="E40" s="116">
        <v>2344.5</v>
      </c>
      <c r="F40" s="92">
        <f>-(E40*14.5%)+E40</f>
        <v>2004.5475000000001</v>
      </c>
      <c r="G40" s="92"/>
      <c r="H40" s="92"/>
      <c r="I40" s="96"/>
      <c r="J40" s="117">
        <v>1424.02</v>
      </c>
      <c r="K40" s="117"/>
      <c r="L40" s="118"/>
      <c r="M40" s="97">
        <f t="shared" si="74"/>
        <v>0</v>
      </c>
      <c r="N40" s="97">
        <f t="shared" ref="N40:O40" si="140">AA40+AD40+AG40+AJ40+AM40+AP40+AS40+AV40+AY40+BB40+BE40+BH40</f>
        <v>0</v>
      </c>
      <c r="O40" s="97">
        <f t="shared" si="140"/>
        <v>0</v>
      </c>
      <c r="P40" s="82">
        <f t="shared" ref="P40:R40" si="141">IF(BJ40=0,SUM(Z40+AC40+AF40+AI40+AL40+AO40+AR40+AU40+AX40+BA40+BD40+BG40),BJ40)</f>
        <v>0</v>
      </c>
      <c r="Q40" s="82">
        <f t="shared" si="141"/>
        <v>0</v>
      </c>
      <c r="R40" s="82">
        <f t="shared" si="141"/>
        <v>0</v>
      </c>
      <c r="S40" s="97">
        <f t="shared" si="130"/>
        <v>0</v>
      </c>
      <c r="T40" s="97">
        <f t="shared" si="133"/>
        <v>1424.02</v>
      </c>
      <c r="U40" s="97">
        <f t="shared" si="52"/>
        <v>0</v>
      </c>
      <c r="V40" s="427" t="e">
        <f t="shared" si="73"/>
        <v>#DIV/0!</v>
      </c>
      <c r="W40" s="96">
        <f t="shared" si="134"/>
        <v>0</v>
      </c>
      <c r="X40" s="96">
        <f t="shared" si="54"/>
        <v>-1424.02</v>
      </c>
      <c r="Y40" s="428">
        <f t="shared" si="62"/>
        <v>3768.52</v>
      </c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9"/>
      <c r="BN40" s="100"/>
      <c r="BO40" s="100"/>
      <c r="BP40" s="100"/>
      <c r="BQ40" s="100"/>
    </row>
    <row r="41" spans="1:69" ht="15.75" customHeight="1">
      <c r="A41" s="89" t="s">
        <v>494</v>
      </c>
      <c r="B41" s="136" t="s">
        <v>265</v>
      </c>
      <c r="C41" s="101" t="s">
        <v>266</v>
      </c>
      <c r="D41" s="91" t="s">
        <v>267</v>
      </c>
      <c r="E41" s="116">
        <v>2000</v>
      </c>
      <c r="F41" s="92">
        <f t="shared" ref="F41:F46" si="142">E41</f>
        <v>2000</v>
      </c>
      <c r="G41" s="92"/>
      <c r="H41" s="92"/>
      <c r="I41" s="96">
        <v>34.909999999999997</v>
      </c>
      <c r="J41" s="117">
        <v>576.45000000000005</v>
      </c>
      <c r="K41" s="117"/>
      <c r="L41" s="118"/>
      <c r="M41" s="97">
        <f t="shared" si="74"/>
        <v>3.61</v>
      </c>
      <c r="N41" s="97">
        <f t="shared" ref="N41:O41" si="143">AA41+AD41+AG41+AJ41+AM41+AP41+AS41+AV41+AY41+BB41+BE41+BH41</f>
        <v>0</v>
      </c>
      <c r="O41" s="97">
        <f t="shared" si="143"/>
        <v>0</v>
      </c>
      <c r="P41" s="82">
        <f t="shared" ref="P41:R41" si="144">IF(BJ41=0,SUM(Z41+AC41+AF41+AI41+AL41+AO41+AR41+AU41+AX41+BA41+BD41+BG41),BJ41)</f>
        <v>3.61</v>
      </c>
      <c r="Q41" s="82">
        <f t="shared" si="144"/>
        <v>0</v>
      </c>
      <c r="R41" s="82">
        <f t="shared" si="144"/>
        <v>0</v>
      </c>
      <c r="S41" s="97">
        <f t="shared" si="130"/>
        <v>31.299999999999997</v>
      </c>
      <c r="T41" s="97">
        <f t="shared" si="133"/>
        <v>576.45000000000005</v>
      </c>
      <c r="U41" s="97">
        <f t="shared" si="52"/>
        <v>0</v>
      </c>
      <c r="V41" s="427" t="e">
        <f t="shared" si="73"/>
        <v>#DIV/0!</v>
      </c>
      <c r="W41" s="96">
        <f t="shared" si="134"/>
        <v>0</v>
      </c>
      <c r="X41" s="96">
        <f t="shared" si="54"/>
        <v>-576.45000000000005</v>
      </c>
      <c r="Y41" s="428">
        <f t="shared" si="62"/>
        <v>2576.4499999999998</v>
      </c>
      <c r="Z41" s="96"/>
      <c r="AA41" s="96"/>
      <c r="AB41" s="96"/>
      <c r="AC41" s="119"/>
      <c r="AD41" s="119"/>
      <c r="AE41" s="96"/>
      <c r="AF41" s="103">
        <v>3.61</v>
      </c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9"/>
      <c r="BN41" s="100"/>
      <c r="BO41" s="100"/>
      <c r="BP41" s="100"/>
      <c r="BQ41" s="100"/>
    </row>
    <row r="42" spans="1:69" ht="15.75" customHeight="1">
      <c r="A42" s="356" t="s">
        <v>547</v>
      </c>
      <c r="B42" s="114"/>
      <c r="C42" s="101" t="s">
        <v>268</v>
      </c>
      <c r="D42" s="91" t="s">
        <v>875</v>
      </c>
      <c r="E42" s="116">
        <f>5000+1000</f>
        <v>6000</v>
      </c>
      <c r="F42" s="92">
        <f t="shared" si="142"/>
        <v>6000</v>
      </c>
      <c r="G42" s="92"/>
      <c r="H42" s="92"/>
      <c r="I42" s="103">
        <v>550</v>
      </c>
      <c r="J42" s="117"/>
      <c r="K42" s="117"/>
      <c r="L42" s="118"/>
      <c r="M42" s="97">
        <f t="shared" si="74"/>
        <v>550</v>
      </c>
      <c r="N42" s="97">
        <f t="shared" ref="N42:O42" si="145">AA42+AD42+AG42+AJ42+AM42+AP42+AS42+AV42+AY42+BB42+BE42+BH42</f>
        <v>0</v>
      </c>
      <c r="O42" s="97">
        <f t="shared" si="145"/>
        <v>0</v>
      </c>
      <c r="P42" s="82">
        <f t="shared" ref="P42:R42" si="146">IF(BJ42=0,SUM(Z42+AC42+AF42+AI42+AL42+AO42+AR42+AU42+AX42+BA42+BD42+BG42),BJ42)</f>
        <v>550</v>
      </c>
      <c r="Q42" s="82">
        <f t="shared" si="146"/>
        <v>0</v>
      </c>
      <c r="R42" s="82">
        <f t="shared" si="146"/>
        <v>0</v>
      </c>
      <c r="S42" s="97">
        <f t="shared" si="130"/>
        <v>0</v>
      </c>
      <c r="T42" s="97">
        <f t="shared" si="133"/>
        <v>0</v>
      </c>
      <c r="U42" s="97">
        <f t="shared" si="52"/>
        <v>0</v>
      </c>
      <c r="V42" s="427" t="e">
        <f t="shared" si="73"/>
        <v>#DIV/0!</v>
      </c>
      <c r="W42" s="96">
        <f t="shared" si="134"/>
        <v>0</v>
      </c>
      <c r="X42" s="96">
        <f t="shared" si="54"/>
        <v>0</v>
      </c>
      <c r="Y42" s="428">
        <f t="shared" si="62"/>
        <v>6000</v>
      </c>
      <c r="Z42" s="96"/>
      <c r="AA42" s="96"/>
      <c r="AB42" s="96"/>
      <c r="AC42" s="119"/>
      <c r="AD42" s="119"/>
      <c r="AE42" s="96"/>
      <c r="AF42" s="103">
        <v>550</v>
      </c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9"/>
      <c r="BN42" s="100"/>
      <c r="BO42" s="100"/>
      <c r="BP42" s="100"/>
      <c r="BQ42" s="100"/>
    </row>
    <row r="43" spans="1:69" ht="15.75" customHeight="1">
      <c r="A43" s="89" t="s">
        <v>496</v>
      </c>
      <c r="B43" s="136" t="s">
        <v>270</v>
      </c>
      <c r="C43" s="101" t="s">
        <v>271</v>
      </c>
      <c r="D43" s="91" t="s">
        <v>876</v>
      </c>
      <c r="E43" s="116">
        <v>30000</v>
      </c>
      <c r="F43" s="92">
        <f t="shared" si="142"/>
        <v>30000</v>
      </c>
      <c r="G43" s="92"/>
      <c r="H43" s="92"/>
      <c r="I43" s="96">
        <f>17500</f>
        <v>17500</v>
      </c>
      <c r="J43" s="135">
        <v>362.4</v>
      </c>
      <c r="K43" s="117"/>
      <c r="L43" s="118"/>
      <c r="M43" s="97">
        <f t="shared" si="74"/>
        <v>0</v>
      </c>
      <c r="N43" s="97">
        <f t="shared" ref="N43:O43" si="147">AA43+AD43+AG43+AJ43+AM43+AP43+AS43+AV43+AY43+BB43+BE43+BH43</f>
        <v>0</v>
      </c>
      <c r="O43" s="97">
        <f t="shared" si="147"/>
        <v>0</v>
      </c>
      <c r="P43" s="82">
        <f t="shared" ref="P43:R43" si="148">IF(BJ43=0,SUM(Z43+AC43+AF43+AI43+AL43+AO43+AR43+AU43+AX43+BA43+BD43+BG43),BJ43)</f>
        <v>0</v>
      </c>
      <c r="Q43" s="82">
        <f t="shared" si="148"/>
        <v>0</v>
      </c>
      <c r="R43" s="82">
        <f t="shared" si="148"/>
        <v>0</v>
      </c>
      <c r="S43" s="97">
        <f t="shared" si="130"/>
        <v>17500</v>
      </c>
      <c r="T43" s="97">
        <f t="shared" si="133"/>
        <v>362.4</v>
      </c>
      <c r="U43" s="97">
        <f t="shared" si="52"/>
        <v>0</v>
      </c>
      <c r="V43" s="427" t="e">
        <f t="shared" si="73"/>
        <v>#DIV/0!</v>
      </c>
      <c r="W43" s="96">
        <f t="shared" si="134"/>
        <v>0</v>
      </c>
      <c r="X43" s="96">
        <f t="shared" si="54"/>
        <v>-362.4</v>
      </c>
      <c r="Y43" s="428">
        <f t="shared" si="62"/>
        <v>30362.400000000001</v>
      </c>
      <c r="Z43" s="96"/>
      <c r="AA43" s="96"/>
      <c r="AB43" s="96"/>
      <c r="AC43" s="119"/>
      <c r="AD43" s="119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9"/>
      <c r="BN43" s="100"/>
      <c r="BO43" s="100"/>
      <c r="BP43" s="100"/>
      <c r="BQ43" s="100"/>
    </row>
    <row r="44" spans="1:69" ht="15.75" customHeight="1">
      <c r="A44" s="120"/>
      <c r="B44" s="140" t="s">
        <v>273</v>
      </c>
      <c r="C44" s="101" t="s">
        <v>161</v>
      </c>
      <c r="D44" s="91" t="s">
        <v>98</v>
      </c>
      <c r="E44" s="116">
        <v>20000</v>
      </c>
      <c r="F44" s="92">
        <f t="shared" si="142"/>
        <v>20000</v>
      </c>
      <c r="G44" s="92"/>
      <c r="H44" s="92"/>
      <c r="I44" s="96"/>
      <c r="J44" s="117">
        <f>1256.9+740+1407.15+678.68+610.54+4654.38+742.72+1006.2+186.96</f>
        <v>11283.53</v>
      </c>
      <c r="K44" s="135">
        <v>186.96</v>
      </c>
      <c r="L44" s="118"/>
      <c r="M44" s="97">
        <f t="shared" si="74"/>
        <v>0</v>
      </c>
      <c r="N44" s="97">
        <f t="shared" ref="N44:O44" si="149">AA44+AD44+AG44+AJ44+AM44+AP44+AS44+AV44+AY44+BB44+BE44+BH44</f>
        <v>3702.5699999999997</v>
      </c>
      <c r="O44" s="97">
        <f t="shared" si="149"/>
        <v>0</v>
      </c>
      <c r="P44" s="82">
        <f t="shared" ref="P44:R44" si="150">IF(BJ44=0,SUM(Z44+AC44+AF44+AI44+AL44+AO44+AR44+AU44+AX44+BA44+BD44+BG44),BJ44)</f>
        <v>0</v>
      </c>
      <c r="Q44" s="82">
        <f t="shared" si="150"/>
        <v>3702.5699999999997</v>
      </c>
      <c r="R44" s="82">
        <f t="shared" si="150"/>
        <v>0</v>
      </c>
      <c r="S44" s="97">
        <f t="shared" si="130"/>
        <v>0</v>
      </c>
      <c r="T44" s="97">
        <f>J44-N44-K44</f>
        <v>7394.0000000000009</v>
      </c>
      <c r="U44" s="97">
        <f t="shared" si="52"/>
        <v>0</v>
      </c>
      <c r="V44" s="427" t="e">
        <f t="shared" si="73"/>
        <v>#DIV/0!</v>
      </c>
      <c r="W44" s="96">
        <f t="shared" si="134"/>
        <v>0</v>
      </c>
      <c r="X44" s="96">
        <f t="shared" si="54"/>
        <v>-7394.0000000000009</v>
      </c>
      <c r="Y44" s="428">
        <f t="shared" si="62"/>
        <v>27394</v>
      </c>
      <c r="Z44" s="96"/>
      <c r="AA44" s="96"/>
      <c r="AB44" s="96"/>
      <c r="AC44" s="119"/>
      <c r="AD44" s="119">
        <f>427.8</f>
        <v>427.8</v>
      </c>
      <c r="AE44" s="96"/>
      <c r="AF44" s="96"/>
      <c r="AG44" s="103">
        <f>1006.2+2085.83+182.74</f>
        <v>3274.7699999999995</v>
      </c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9"/>
      <c r="BN44" s="100"/>
      <c r="BO44" s="100"/>
      <c r="BP44" s="100"/>
      <c r="BQ44" s="100"/>
    </row>
    <row r="45" spans="1:69" ht="15.75" customHeight="1">
      <c r="A45" s="359" t="s">
        <v>595</v>
      </c>
      <c r="B45" s="141" t="s">
        <v>877</v>
      </c>
      <c r="C45" s="101" t="s">
        <v>271</v>
      </c>
      <c r="D45" s="91" t="s">
        <v>99</v>
      </c>
      <c r="E45" s="116">
        <v>60000</v>
      </c>
      <c r="F45" s="92">
        <f t="shared" si="142"/>
        <v>60000</v>
      </c>
      <c r="G45" s="92"/>
      <c r="H45" s="93">
        <v>50000</v>
      </c>
      <c r="I45" s="142">
        <f>1890+2443+727.8+5511.95+3821.32+104.82+319.96+1524+3081+145.33+303.98+107.96</f>
        <v>19981.12</v>
      </c>
      <c r="J45" s="117">
        <f>4740+413+1266+3806.39</f>
        <v>10225.39</v>
      </c>
      <c r="K45" s="117"/>
      <c r="L45" s="118"/>
      <c r="M45" s="97">
        <f t="shared" si="74"/>
        <v>4437.82</v>
      </c>
      <c r="N45" s="97">
        <f t="shared" ref="N45:O45" si="151">AA45+AD45+AG45+AJ45+AM45+AP45+AS45+AV45+AY45+BB45+BE45+BH45</f>
        <v>4740</v>
      </c>
      <c r="O45" s="97">
        <f t="shared" si="151"/>
        <v>0</v>
      </c>
      <c r="P45" s="82">
        <f t="shared" ref="P45:R45" si="152">IF(BJ45=0,SUM(Z45+AC45+AF45+AI45+AL45+AO45+AR45+AU45+AX45+BA45+BD45+BG45),BJ45)</f>
        <v>4437.82</v>
      </c>
      <c r="Q45" s="82">
        <f t="shared" si="152"/>
        <v>4740</v>
      </c>
      <c r="R45" s="82">
        <f t="shared" si="152"/>
        <v>0</v>
      </c>
      <c r="S45" s="97">
        <f t="shared" si="130"/>
        <v>15543.3</v>
      </c>
      <c r="T45" s="97">
        <f t="shared" ref="T45:T67" si="153">J45-N45</f>
        <v>5485.3899999999994</v>
      </c>
      <c r="U45" s="97">
        <f t="shared" si="52"/>
        <v>0</v>
      </c>
      <c r="V45" s="427" t="e">
        <f t="shared" si="73"/>
        <v>#DIV/0!</v>
      </c>
      <c r="W45" s="96">
        <f t="shared" si="134"/>
        <v>0</v>
      </c>
      <c r="X45" s="96">
        <f t="shared" si="54"/>
        <v>-5485.3899999999994</v>
      </c>
      <c r="Y45" s="428">
        <f t="shared" si="62"/>
        <v>65485.39</v>
      </c>
      <c r="Z45" s="129"/>
      <c r="AA45" s="103">
        <v>4740</v>
      </c>
      <c r="AB45" s="129"/>
      <c r="AC45" s="119"/>
      <c r="AD45" s="119"/>
      <c r="AE45" s="129"/>
      <c r="AF45" s="129"/>
      <c r="AG45" s="129"/>
      <c r="AH45" s="129"/>
      <c r="AI45" s="260">
        <f>1890+2443+104.82</f>
        <v>4437.82</v>
      </c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99"/>
      <c r="BN45" s="100"/>
      <c r="BO45" s="100"/>
      <c r="BP45" s="100"/>
      <c r="BQ45" s="100"/>
    </row>
    <row r="46" spans="1:69" ht="15.75" customHeight="1">
      <c r="A46" s="364" t="s">
        <v>597</v>
      </c>
      <c r="B46" s="136"/>
      <c r="C46" s="101" t="s">
        <v>275</v>
      </c>
      <c r="D46" s="91" t="s">
        <v>276</v>
      </c>
      <c r="E46" s="116">
        <v>13000</v>
      </c>
      <c r="F46" s="92">
        <f t="shared" si="142"/>
        <v>13000</v>
      </c>
      <c r="G46" s="92"/>
      <c r="H46" s="92"/>
      <c r="I46" s="103">
        <f>1949.9+949.95</f>
        <v>2899.8500000000004</v>
      </c>
      <c r="J46" s="358">
        <v>30000</v>
      </c>
      <c r="K46" s="117"/>
      <c r="L46" s="118"/>
      <c r="M46" s="97">
        <f t="shared" si="74"/>
        <v>0</v>
      </c>
      <c r="N46" s="97">
        <f>AD46+AG46+AJ46+AM46+AP46+AS46+AV46+AY46+BB46+BE46+BH46</f>
        <v>0</v>
      </c>
      <c r="O46" s="97">
        <f>AB46+AE46+AH46+AK46+AN46+AQ46+AT46+AW46+AZ46+BC46+BF46+BI46</f>
        <v>0</v>
      </c>
      <c r="P46" s="82">
        <f t="shared" ref="P46:R46" si="154">IF(BJ46=0,SUM(Z46+AC46+AF46+AI46+AL46+AO46+AR46+AU46+AX46+BA46+BD46+BG46),BJ46)</f>
        <v>0</v>
      </c>
      <c r="Q46" s="82">
        <f t="shared" si="154"/>
        <v>0</v>
      </c>
      <c r="R46" s="82">
        <f t="shared" si="154"/>
        <v>0</v>
      </c>
      <c r="S46" s="97">
        <f t="shared" si="130"/>
        <v>2899.8500000000004</v>
      </c>
      <c r="T46" s="363">
        <f t="shared" si="153"/>
        <v>30000</v>
      </c>
      <c r="U46" s="97">
        <f t="shared" si="52"/>
        <v>0</v>
      </c>
      <c r="V46" s="427" t="e">
        <f t="shared" si="73"/>
        <v>#DIV/0!</v>
      </c>
      <c r="W46" s="96">
        <f t="shared" si="134"/>
        <v>0</v>
      </c>
      <c r="X46" s="96">
        <f t="shared" si="54"/>
        <v>-30000</v>
      </c>
      <c r="Y46" s="428">
        <f t="shared" si="62"/>
        <v>43000</v>
      </c>
      <c r="Z46" s="129"/>
      <c r="AA46" s="126"/>
      <c r="AB46" s="129"/>
      <c r="AC46" s="119"/>
      <c r="AD46" s="11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129"/>
      <c r="BM46" s="99"/>
      <c r="BN46" s="100"/>
      <c r="BO46" s="100"/>
      <c r="BP46" s="100"/>
      <c r="BQ46" s="100"/>
    </row>
    <row r="47" spans="1:69" ht="15.75" customHeight="1">
      <c r="A47" s="111"/>
      <c r="B47" s="136" t="s">
        <v>277</v>
      </c>
      <c r="C47" s="101" t="s">
        <v>278</v>
      </c>
      <c r="D47" s="122" t="s">
        <v>878</v>
      </c>
      <c r="E47" s="116"/>
      <c r="F47" s="92">
        <f t="shared" ref="F47:F67" si="155">-(E47*14.5%)+E47</f>
        <v>0</v>
      </c>
      <c r="G47" s="92"/>
      <c r="H47" s="93"/>
      <c r="I47" s="96"/>
      <c r="J47" s="117">
        <v>22098.39</v>
      </c>
      <c r="K47" s="117"/>
      <c r="L47" s="118"/>
      <c r="M47" s="97">
        <f t="shared" si="74"/>
        <v>0</v>
      </c>
      <c r="N47" s="97">
        <f t="shared" ref="N47:O47" si="156">AA47+AD47+AG47+AJ47+AM47+AP47+AS47+AV47+AY47+BB47+BE47+BH47</f>
        <v>8367.65</v>
      </c>
      <c r="O47" s="97">
        <f t="shared" si="156"/>
        <v>0</v>
      </c>
      <c r="P47" s="82">
        <f t="shared" ref="P47:R47" si="157">IF(BJ47=0,SUM(Z47+AC47+AF47+AI47+AL47+AO47+AR47+AU47+AX47+BA47+BD47+BG47),BJ47)</f>
        <v>0</v>
      </c>
      <c r="Q47" s="82">
        <f t="shared" si="157"/>
        <v>8367.65</v>
      </c>
      <c r="R47" s="82">
        <f t="shared" si="157"/>
        <v>0</v>
      </c>
      <c r="S47" s="97">
        <f t="shared" si="130"/>
        <v>0</v>
      </c>
      <c r="T47" s="97">
        <f t="shared" si="153"/>
        <v>13730.74</v>
      </c>
      <c r="U47" s="97">
        <f t="shared" si="52"/>
        <v>0</v>
      </c>
      <c r="V47" s="427" t="e">
        <f t="shared" si="73"/>
        <v>#DIV/0!</v>
      </c>
      <c r="W47" s="96">
        <f t="shared" si="134"/>
        <v>0</v>
      </c>
      <c r="X47" s="96">
        <f t="shared" si="54"/>
        <v>-13730.74</v>
      </c>
      <c r="Y47" s="428">
        <f t="shared" si="62"/>
        <v>13730.74</v>
      </c>
      <c r="Z47" s="129"/>
      <c r="AA47" s="96"/>
      <c r="AB47" s="129"/>
      <c r="AC47" s="119"/>
      <c r="AD47" s="119"/>
      <c r="AE47" s="129"/>
      <c r="AF47" s="129"/>
      <c r="AG47" s="260">
        <v>8367.65</v>
      </c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99"/>
      <c r="BN47" s="100"/>
      <c r="BO47" s="100"/>
      <c r="BP47" s="100"/>
      <c r="BQ47" s="100"/>
    </row>
    <row r="48" spans="1:69" ht="15.75" customHeight="1">
      <c r="A48" s="111"/>
      <c r="B48" s="143" t="s">
        <v>879</v>
      </c>
      <c r="C48" s="101" t="s">
        <v>278</v>
      </c>
      <c r="D48" s="91" t="s">
        <v>880</v>
      </c>
      <c r="E48" s="116"/>
      <c r="F48" s="92">
        <f t="shared" si="155"/>
        <v>0</v>
      </c>
      <c r="G48" s="92"/>
      <c r="H48" s="92"/>
      <c r="I48" s="96"/>
      <c r="J48" s="117">
        <f>50068.66+42203.34</f>
        <v>92272</v>
      </c>
      <c r="K48" s="117"/>
      <c r="L48" s="96"/>
      <c r="M48" s="97">
        <f t="shared" si="74"/>
        <v>0</v>
      </c>
      <c r="N48" s="97">
        <f t="shared" ref="N48:O48" si="158">AA48+AD48+AG48+AJ48+AM48+AP48+AS48+AV48+AY48+BB48+BE48+BH48</f>
        <v>66585.66</v>
      </c>
      <c r="O48" s="97">
        <f t="shared" si="158"/>
        <v>0</v>
      </c>
      <c r="P48" s="82">
        <f t="shared" ref="P48:R48" si="159">IF(BJ48=0,SUM(Z48+AC48+AF48+AI48+AL48+AO48+AR48+AU48+AX48+BA48+BD48+BG48),BJ48)</f>
        <v>0</v>
      </c>
      <c r="Q48" s="82">
        <f t="shared" si="159"/>
        <v>66585.66</v>
      </c>
      <c r="R48" s="82">
        <f t="shared" si="159"/>
        <v>0</v>
      </c>
      <c r="S48" s="97">
        <f t="shared" si="130"/>
        <v>0</v>
      </c>
      <c r="T48" s="97">
        <f t="shared" si="153"/>
        <v>25686.339999999997</v>
      </c>
      <c r="U48" s="97">
        <f t="shared" si="52"/>
        <v>0</v>
      </c>
      <c r="V48" s="427" t="e">
        <f t="shared" si="73"/>
        <v>#DIV/0!</v>
      </c>
      <c r="W48" s="96">
        <f t="shared" si="134"/>
        <v>0</v>
      </c>
      <c r="X48" s="96">
        <f t="shared" si="54"/>
        <v>-25686.339999999997</v>
      </c>
      <c r="Y48" s="428">
        <f t="shared" si="62"/>
        <v>25686.339999999997</v>
      </c>
      <c r="Z48" s="129"/>
      <c r="AA48" s="103">
        <v>49298.9</v>
      </c>
      <c r="AB48" s="129"/>
      <c r="AC48" s="119"/>
      <c r="AD48" s="119"/>
      <c r="AE48" s="129"/>
      <c r="AF48" s="129"/>
      <c r="AG48" s="129">
        <f>24069.07-6782.31</f>
        <v>17286.759999999998</v>
      </c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99"/>
      <c r="BN48" s="100"/>
      <c r="BO48" s="100"/>
      <c r="BP48" s="100"/>
      <c r="BQ48" s="100"/>
    </row>
    <row r="49" spans="1:69" ht="15.75" customHeight="1">
      <c r="A49" s="111"/>
      <c r="B49" s="136" t="s">
        <v>282</v>
      </c>
      <c r="C49" s="101" t="s">
        <v>278</v>
      </c>
      <c r="D49" s="91" t="s">
        <v>881</v>
      </c>
      <c r="E49" s="116"/>
      <c r="F49" s="92">
        <f t="shared" si="155"/>
        <v>0</v>
      </c>
      <c r="G49" s="92"/>
      <c r="H49" s="92"/>
      <c r="I49" s="96"/>
      <c r="J49" s="117">
        <v>6782.31</v>
      </c>
      <c r="K49" s="117"/>
      <c r="L49" s="96"/>
      <c r="M49" s="97">
        <f t="shared" si="74"/>
        <v>0</v>
      </c>
      <c r="N49" s="97">
        <f t="shared" ref="N49:O49" si="160">AA49+AD49+AG49+AJ49+AM49+AP49+AS49+AV49+AY49+BB49+BE49+BH49</f>
        <v>6782.31</v>
      </c>
      <c r="O49" s="97">
        <f t="shared" si="160"/>
        <v>0</v>
      </c>
      <c r="P49" s="82">
        <f t="shared" ref="P49:R49" si="161">IF(BJ49=0,SUM(Z49+AC49+AF49+AI49+AL49+AO49+AR49+AU49+AX49+BA49+BD49+BG49),BJ49)</f>
        <v>0</v>
      </c>
      <c r="Q49" s="82">
        <f t="shared" si="161"/>
        <v>6782.31</v>
      </c>
      <c r="R49" s="82">
        <f t="shared" si="161"/>
        <v>0</v>
      </c>
      <c r="S49" s="97">
        <f t="shared" si="130"/>
        <v>0</v>
      </c>
      <c r="T49" s="97">
        <f t="shared" si="153"/>
        <v>0</v>
      </c>
      <c r="U49" s="97">
        <f t="shared" si="52"/>
        <v>0</v>
      </c>
      <c r="V49" s="427" t="e">
        <f t="shared" si="73"/>
        <v>#DIV/0!</v>
      </c>
      <c r="W49" s="96">
        <f t="shared" si="134"/>
        <v>0</v>
      </c>
      <c r="X49" s="96">
        <f t="shared" si="54"/>
        <v>0</v>
      </c>
      <c r="Y49" s="428">
        <f t="shared" si="62"/>
        <v>0</v>
      </c>
      <c r="Z49" s="129"/>
      <c r="AA49" s="96"/>
      <c r="AB49" s="129"/>
      <c r="AC49" s="119"/>
      <c r="AD49" s="119"/>
      <c r="AE49" s="129"/>
      <c r="AF49" s="129"/>
      <c r="AG49" s="129">
        <f>6782.31</f>
        <v>6782.31</v>
      </c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99"/>
      <c r="BN49" s="100"/>
      <c r="BO49" s="100"/>
      <c r="BP49" s="100"/>
      <c r="BQ49" s="100"/>
    </row>
    <row r="50" spans="1:69" ht="15.75" customHeight="1">
      <c r="A50" s="111"/>
      <c r="B50" s="140" t="s">
        <v>284</v>
      </c>
      <c r="C50" s="101" t="s">
        <v>242</v>
      </c>
      <c r="D50" s="91" t="s">
        <v>882</v>
      </c>
      <c r="E50" s="116"/>
      <c r="F50" s="92">
        <f t="shared" si="155"/>
        <v>0</v>
      </c>
      <c r="G50" s="92"/>
      <c r="H50" s="92"/>
      <c r="I50" s="133"/>
      <c r="J50" s="117">
        <f>51880+30383</f>
        <v>82263</v>
      </c>
      <c r="K50" s="117"/>
      <c r="L50" s="96"/>
      <c r="M50" s="97">
        <f t="shared" si="74"/>
        <v>0</v>
      </c>
      <c r="N50" s="97">
        <f t="shared" ref="N50:O50" si="162">AA50+AD50+AG50+AJ50+AM50+AP50+AS50+AV50+AY50+BB50+BE50+BH50</f>
        <v>82263</v>
      </c>
      <c r="O50" s="97">
        <f t="shared" si="162"/>
        <v>0</v>
      </c>
      <c r="P50" s="82">
        <f t="shared" ref="P50:R50" si="163">IF(BJ50=0,SUM(Z50+AC50+AF50+AI50+AL50+AO50+AR50+AU50+AX50+BA50+BD50+BG50),BJ50)</f>
        <v>0</v>
      </c>
      <c r="Q50" s="82">
        <f t="shared" si="163"/>
        <v>82263</v>
      </c>
      <c r="R50" s="82">
        <f t="shared" si="163"/>
        <v>0</v>
      </c>
      <c r="S50" s="97">
        <f t="shared" si="130"/>
        <v>0</v>
      </c>
      <c r="T50" s="97">
        <f t="shared" si="153"/>
        <v>0</v>
      </c>
      <c r="U50" s="97">
        <f t="shared" si="52"/>
        <v>0</v>
      </c>
      <c r="V50" s="427" t="e">
        <f t="shared" si="73"/>
        <v>#DIV/0!</v>
      </c>
      <c r="W50" s="96">
        <f t="shared" si="134"/>
        <v>0</v>
      </c>
      <c r="X50" s="96">
        <f t="shared" si="54"/>
        <v>0</v>
      </c>
      <c r="Y50" s="428">
        <f t="shared" si="62"/>
        <v>0</v>
      </c>
      <c r="Z50" s="129"/>
      <c r="AA50" s="96"/>
      <c r="AB50" s="129"/>
      <c r="AC50" s="119"/>
      <c r="AD50" s="119">
        <f>11880+31280</f>
        <v>43160</v>
      </c>
      <c r="AE50" s="129"/>
      <c r="AF50" s="129"/>
      <c r="AG50" s="129">
        <f>39103</f>
        <v>39103</v>
      </c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99"/>
      <c r="BN50" s="100"/>
      <c r="BO50" s="100"/>
      <c r="BP50" s="100"/>
      <c r="BQ50" s="100"/>
    </row>
    <row r="51" spans="1:69" ht="15.75" customHeight="1">
      <c r="A51" s="356" t="s">
        <v>603</v>
      </c>
      <c r="B51" s="140" t="s">
        <v>286</v>
      </c>
      <c r="C51" s="101" t="s">
        <v>278</v>
      </c>
      <c r="D51" s="144" t="s">
        <v>883</v>
      </c>
      <c r="E51" s="116"/>
      <c r="F51" s="92">
        <f t="shared" si="155"/>
        <v>0</v>
      </c>
      <c r="G51" s="92"/>
      <c r="H51" s="92"/>
      <c r="I51" s="361">
        <f>67481.17+33207.88</f>
        <v>100689.04999999999</v>
      </c>
      <c r="J51" s="117">
        <f>572638.78+46434.84</f>
        <v>619073.62</v>
      </c>
      <c r="K51" s="117"/>
      <c r="L51" s="118"/>
      <c r="M51" s="97">
        <f t="shared" si="74"/>
        <v>10051.59</v>
      </c>
      <c r="N51" s="97">
        <f t="shared" ref="N51:O51" si="164">AA51+AD51+AG51+AJ51+AM51+AP51+AS51+AV51+AY51+BB51+BE51+BH51</f>
        <v>42111.08</v>
      </c>
      <c r="O51" s="97">
        <f t="shared" si="164"/>
        <v>0</v>
      </c>
      <c r="P51" s="82">
        <f t="shared" ref="P51:R51" si="165">IF(BJ51=0,SUM(Z51+AC51+AF51+AI51+AL51+AO51+AR51+AU51+AX51+BA51+BD51+BG51),BJ51)</f>
        <v>10051.59</v>
      </c>
      <c r="Q51" s="82">
        <f t="shared" si="165"/>
        <v>42111.08</v>
      </c>
      <c r="R51" s="82">
        <f t="shared" si="165"/>
        <v>0</v>
      </c>
      <c r="S51" s="97">
        <f t="shared" si="130"/>
        <v>90637.459999999992</v>
      </c>
      <c r="T51" s="97">
        <f t="shared" si="153"/>
        <v>576962.54</v>
      </c>
      <c r="U51" s="97">
        <f t="shared" si="52"/>
        <v>0</v>
      </c>
      <c r="V51" s="427">
        <f t="shared" si="73"/>
        <v>30.487049824463512</v>
      </c>
      <c r="W51" s="96"/>
      <c r="X51" s="96">
        <f t="shared" si="54"/>
        <v>-576962.54</v>
      </c>
      <c r="Y51" s="428">
        <f t="shared" si="62"/>
        <v>576962.54</v>
      </c>
      <c r="Z51" s="129"/>
      <c r="AA51" s="96"/>
      <c r="AB51" s="129"/>
      <c r="AC51" s="119"/>
      <c r="AD51" s="119"/>
      <c r="AE51" s="129"/>
      <c r="AF51" s="129"/>
      <c r="AG51" s="129">
        <f>23186.24</f>
        <v>23186.240000000002</v>
      </c>
      <c r="AH51" s="129"/>
      <c r="AI51" s="260">
        <v>10051.59</v>
      </c>
      <c r="AJ51" s="260">
        <v>18924.84</v>
      </c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99"/>
      <c r="BN51" s="100"/>
      <c r="BO51" s="100"/>
      <c r="BP51" s="100"/>
      <c r="BQ51" s="100"/>
    </row>
    <row r="52" spans="1:69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92">
        <f t="shared" si="155"/>
        <v>0</v>
      </c>
      <c r="G52" s="92"/>
      <c r="H52" s="92"/>
      <c r="I52" s="133"/>
      <c r="J52" s="117">
        <f>5855+6447</f>
        <v>12302</v>
      </c>
      <c r="K52" s="117"/>
      <c r="L52" s="96"/>
      <c r="M52" s="97">
        <f t="shared" si="74"/>
        <v>0</v>
      </c>
      <c r="N52" s="97">
        <f t="shared" ref="N52:O52" si="166">AA52+AD52+AG52+AJ52+AM52+AP52+AS52+AV52+AY52+BB52+BE52+BH52</f>
        <v>12302</v>
      </c>
      <c r="O52" s="97">
        <f t="shared" si="166"/>
        <v>0</v>
      </c>
      <c r="P52" s="82">
        <f t="shared" ref="P52:R52" si="167">IF(BJ52=0,SUM(Z52+AC52+AF52+AI52+AL52+AO52+AR52+AU52+AX52+BA52+BD52+BG52),BJ52)</f>
        <v>0</v>
      </c>
      <c r="Q52" s="82">
        <f t="shared" si="167"/>
        <v>12302</v>
      </c>
      <c r="R52" s="82">
        <f t="shared" si="167"/>
        <v>0</v>
      </c>
      <c r="S52" s="97">
        <f t="shared" si="130"/>
        <v>0</v>
      </c>
      <c r="T52" s="97">
        <f t="shared" si="153"/>
        <v>0</v>
      </c>
      <c r="U52" s="97">
        <f t="shared" si="52"/>
        <v>0</v>
      </c>
      <c r="V52" s="427" t="e">
        <f t="shared" si="73"/>
        <v>#DIV/0!</v>
      </c>
      <c r="W52" s="96">
        <f>AJ52*11</f>
        <v>0</v>
      </c>
      <c r="X52" s="96">
        <f t="shared" si="54"/>
        <v>0</v>
      </c>
      <c r="Y52" s="428">
        <f t="shared" si="62"/>
        <v>0</v>
      </c>
      <c r="Z52" s="129"/>
      <c r="AA52" s="103">
        <v>5855</v>
      </c>
      <c r="AB52" s="129"/>
      <c r="AC52" s="119"/>
      <c r="AD52" s="119">
        <f>6447</f>
        <v>6447</v>
      </c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99"/>
      <c r="BN52" s="100"/>
      <c r="BO52" s="100"/>
      <c r="BP52" s="100"/>
      <c r="BQ52" s="100"/>
    </row>
    <row r="53" spans="1:69" ht="15.75" customHeight="1">
      <c r="A53" s="111"/>
      <c r="B53" s="140" t="s">
        <v>507</v>
      </c>
      <c r="C53" s="101" t="s">
        <v>165</v>
      </c>
      <c r="D53" s="91" t="s">
        <v>884</v>
      </c>
      <c r="E53" s="116"/>
      <c r="F53" s="92">
        <f t="shared" si="155"/>
        <v>0</v>
      </c>
      <c r="G53" s="92"/>
      <c r="H53" s="92"/>
      <c r="I53" s="133"/>
      <c r="J53" s="117">
        <f>2874.45+8500+15300+2420</f>
        <v>29094.45</v>
      </c>
      <c r="K53" s="117"/>
      <c r="L53" s="145"/>
      <c r="M53" s="97">
        <f t="shared" si="74"/>
        <v>0</v>
      </c>
      <c r="N53" s="97">
        <f t="shared" ref="N53:O53" si="168">AA53+AD53+AG53+AJ53+AM53+AP53+AS53+AV53+AY53+BB53+BE53+BH53</f>
        <v>29094.45</v>
      </c>
      <c r="O53" s="97">
        <f t="shared" si="168"/>
        <v>0</v>
      </c>
      <c r="P53" s="82">
        <f t="shared" ref="P53:R53" si="169">IF(BJ53=0,SUM(Z53+AC53+AF53+AI53+AL53+AO53+AR53+AU53+AX53+BA53+BD53+BG53),BJ53)</f>
        <v>0</v>
      </c>
      <c r="Q53" s="82">
        <f t="shared" si="169"/>
        <v>29094.45</v>
      </c>
      <c r="R53" s="82">
        <f t="shared" si="169"/>
        <v>0</v>
      </c>
      <c r="S53" s="97">
        <f t="shared" si="130"/>
        <v>0</v>
      </c>
      <c r="T53" s="97">
        <f t="shared" si="153"/>
        <v>0</v>
      </c>
      <c r="U53" s="97">
        <f t="shared" si="52"/>
        <v>0</v>
      </c>
      <c r="V53" s="427">
        <f t="shared" si="73"/>
        <v>0</v>
      </c>
      <c r="W53" s="96"/>
      <c r="X53" s="96">
        <f t="shared" si="54"/>
        <v>0</v>
      </c>
      <c r="Y53" s="428">
        <f t="shared" si="62"/>
        <v>0</v>
      </c>
      <c r="Z53" s="129"/>
      <c r="AA53" s="103">
        <f>2420+15300</f>
        <v>17720</v>
      </c>
      <c r="AB53" s="129"/>
      <c r="AC53" s="119"/>
      <c r="AD53" s="119">
        <f>8500</f>
        <v>8500</v>
      </c>
      <c r="AE53" s="129"/>
      <c r="AF53" s="129"/>
      <c r="AG53" s="129"/>
      <c r="AH53" s="129"/>
      <c r="AI53" s="129"/>
      <c r="AJ53" s="260">
        <v>2874.45</v>
      </c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99"/>
      <c r="BN53" s="100"/>
      <c r="BO53" s="100"/>
      <c r="BP53" s="100"/>
      <c r="BQ53" s="100"/>
    </row>
    <row r="54" spans="1:69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92">
        <f t="shared" si="155"/>
        <v>0</v>
      </c>
      <c r="G54" s="92"/>
      <c r="H54" s="93">
        <v>10000</v>
      </c>
      <c r="I54" s="133"/>
      <c r="J54" s="117"/>
      <c r="K54" s="117"/>
      <c r="L54" s="145"/>
      <c r="M54" s="97">
        <f t="shared" si="74"/>
        <v>0</v>
      </c>
      <c r="N54" s="97">
        <f t="shared" ref="N54:O54" si="170">AA54+AD54+AG54+AJ54+AM54+AP54+AS54+AV54+AY54+BB54+BE54+BH54</f>
        <v>0</v>
      </c>
      <c r="O54" s="97">
        <f t="shared" si="170"/>
        <v>0</v>
      </c>
      <c r="P54" s="82">
        <f t="shared" ref="P54:R54" si="171">IF(BJ54=0,SUM(Z54+AC54+AF54+AI54+AL54+AO54+AR54+AU54+AX54+BA54+BD54+BG54),BJ54)</f>
        <v>0</v>
      </c>
      <c r="Q54" s="82">
        <f t="shared" si="171"/>
        <v>0</v>
      </c>
      <c r="R54" s="82">
        <f t="shared" si="171"/>
        <v>0</v>
      </c>
      <c r="S54" s="97">
        <f t="shared" si="130"/>
        <v>0</v>
      </c>
      <c r="T54" s="97">
        <f t="shared" si="153"/>
        <v>0</v>
      </c>
      <c r="U54" s="97">
        <f t="shared" si="52"/>
        <v>0</v>
      </c>
      <c r="V54" s="427" t="e">
        <f t="shared" si="73"/>
        <v>#DIV/0!</v>
      </c>
      <c r="W54" s="96">
        <f t="shared" ref="W54:W67" si="172">AJ54*11</f>
        <v>0</v>
      </c>
      <c r="X54" s="96">
        <f t="shared" si="54"/>
        <v>0</v>
      </c>
      <c r="Y54" s="428">
        <f t="shared" si="62"/>
        <v>0</v>
      </c>
      <c r="Z54" s="129"/>
      <c r="AA54" s="96"/>
      <c r="AB54" s="129"/>
      <c r="AC54" s="119"/>
      <c r="AD54" s="11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99"/>
      <c r="BN54" s="100"/>
      <c r="BO54" s="100"/>
      <c r="BP54" s="100"/>
      <c r="BQ54" s="100"/>
    </row>
    <row r="55" spans="1:69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92">
        <f t="shared" si="155"/>
        <v>0</v>
      </c>
      <c r="G55" s="92"/>
      <c r="H55" s="93">
        <v>160000</v>
      </c>
      <c r="I55" s="133"/>
      <c r="J55" s="117"/>
      <c r="K55" s="117"/>
      <c r="L55" s="145"/>
      <c r="M55" s="97">
        <f t="shared" si="74"/>
        <v>0</v>
      </c>
      <c r="N55" s="97">
        <f t="shared" ref="N55:O55" si="173">AA55+AD55+AG55+AJ55+AM55+AP55+AS55+AV55+AY55+BB55+BE55+BH55</f>
        <v>0</v>
      </c>
      <c r="O55" s="97">
        <f t="shared" si="173"/>
        <v>0</v>
      </c>
      <c r="P55" s="82">
        <f t="shared" ref="P55:R55" si="174">IF(BJ55=0,SUM(Z55+AC55+AF55+AI55+AL55+AO55+AR55+AU55+AX55+BA55+BD55+BG55),BJ55)</f>
        <v>0</v>
      </c>
      <c r="Q55" s="82">
        <f t="shared" si="174"/>
        <v>0</v>
      </c>
      <c r="R55" s="82">
        <f t="shared" si="174"/>
        <v>0</v>
      </c>
      <c r="S55" s="97">
        <f t="shared" si="130"/>
        <v>0</v>
      </c>
      <c r="T55" s="97">
        <f t="shared" si="153"/>
        <v>0</v>
      </c>
      <c r="U55" s="97">
        <f t="shared" si="52"/>
        <v>0</v>
      </c>
      <c r="V55" s="427" t="e">
        <f t="shared" si="73"/>
        <v>#DIV/0!</v>
      </c>
      <c r="W55" s="96">
        <f t="shared" si="172"/>
        <v>0</v>
      </c>
      <c r="X55" s="96">
        <f t="shared" si="54"/>
        <v>0</v>
      </c>
      <c r="Y55" s="428">
        <f t="shared" si="62"/>
        <v>0</v>
      </c>
      <c r="Z55" s="129"/>
      <c r="AA55" s="96"/>
      <c r="AB55" s="129"/>
      <c r="AC55" s="119"/>
      <c r="AD55" s="11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99"/>
      <c r="BN55" s="100"/>
      <c r="BO55" s="100"/>
      <c r="BP55" s="100"/>
      <c r="BQ55" s="100"/>
    </row>
    <row r="56" spans="1:69" ht="15.75" customHeight="1">
      <c r="A56" s="89"/>
      <c r="B56" s="114"/>
      <c r="C56" s="101" t="s">
        <v>294</v>
      </c>
      <c r="D56" s="122" t="s">
        <v>106</v>
      </c>
      <c r="E56" s="116"/>
      <c r="F56" s="92">
        <f t="shared" si="155"/>
        <v>0</v>
      </c>
      <c r="G56" s="92"/>
      <c r="H56" s="93">
        <v>50000</v>
      </c>
      <c r="I56" s="96"/>
      <c r="J56" s="117"/>
      <c r="K56" s="117"/>
      <c r="L56" s="118"/>
      <c r="M56" s="97">
        <f t="shared" si="74"/>
        <v>0</v>
      </c>
      <c r="N56" s="97">
        <f t="shared" ref="N56:O56" si="175">AA56+AD56+AG56+AJ56+AM56+AP56+AS56+AV56+AY56+BB56+BE56+BH56</f>
        <v>0</v>
      </c>
      <c r="O56" s="97">
        <f t="shared" si="175"/>
        <v>0</v>
      </c>
      <c r="P56" s="82">
        <f t="shared" ref="P56:R56" si="176">IF(BJ56=0,SUM(Z56+AC56+AF56+AI56+AL56+AO56+AR56+AU56+AX56+BA56+BD56+BG56),BJ56)</f>
        <v>0</v>
      </c>
      <c r="Q56" s="82">
        <f t="shared" si="176"/>
        <v>0</v>
      </c>
      <c r="R56" s="82">
        <f t="shared" si="176"/>
        <v>0</v>
      </c>
      <c r="S56" s="97">
        <f t="shared" si="130"/>
        <v>0</v>
      </c>
      <c r="T56" s="97">
        <f t="shared" si="153"/>
        <v>0</v>
      </c>
      <c r="U56" s="97">
        <f t="shared" si="52"/>
        <v>0</v>
      </c>
      <c r="V56" s="427" t="e">
        <f t="shared" si="73"/>
        <v>#DIV/0!</v>
      </c>
      <c r="W56" s="96">
        <f t="shared" si="172"/>
        <v>0</v>
      </c>
      <c r="X56" s="96">
        <f t="shared" si="54"/>
        <v>0</v>
      </c>
      <c r="Y56" s="428">
        <f t="shared" si="62"/>
        <v>0</v>
      </c>
      <c r="Z56" s="129"/>
      <c r="AA56" s="96"/>
      <c r="AB56" s="129"/>
      <c r="AC56" s="119"/>
      <c r="AD56" s="11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99"/>
      <c r="BN56" s="100"/>
      <c r="BO56" s="100"/>
      <c r="BP56" s="100"/>
      <c r="BQ56" s="100"/>
    </row>
    <row r="57" spans="1:69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92">
        <f t="shared" si="155"/>
        <v>0</v>
      </c>
      <c r="G57" s="92"/>
      <c r="H57" s="93">
        <v>20000</v>
      </c>
      <c r="I57" s="96"/>
      <c r="J57" s="117">
        <v>1817.8</v>
      </c>
      <c r="K57" s="117"/>
      <c r="L57" s="118"/>
      <c r="M57" s="97">
        <f t="shared" si="74"/>
        <v>0</v>
      </c>
      <c r="N57" s="97">
        <f t="shared" ref="N57:O57" si="177">AA57+AD57+AG57+AJ57+AM57+AP57+AS57+AV57+AY57+BB57+BE57+BH57</f>
        <v>1817.8</v>
      </c>
      <c r="O57" s="97">
        <f t="shared" si="177"/>
        <v>0</v>
      </c>
      <c r="P57" s="82">
        <f t="shared" ref="P57:R57" si="178">IF(BJ57=0,SUM(Z57+AC57+AF57+AI57+AL57+AO57+AR57+AU57+AX57+BA57+BD57+BG57),BJ57)</f>
        <v>0</v>
      </c>
      <c r="Q57" s="82">
        <f t="shared" si="178"/>
        <v>1817.8</v>
      </c>
      <c r="R57" s="82">
        <f t="shared" si="178"/>
        <v>0</v>
      </c>
      <c r="S57" s="97">
        <f t="shared" si="130"/>
        <v>0</v>
      </c>
      <c r="T57" s="97">
        <f t="shared" si="153"/>
        <v>0</v>
      </c>
      <c r="U57" s="97">
        <f t="shared" si="52"/>
        <v>0</v>
      </c>
      <c r="V57" s="427" t="e">
        <f t="shared" si="73"/>
        <v>#DIV/0!</v>
      </c>
      <c r="W57" s="96">
        <f t="shared" si="172"/>
        <v>0</v>
      </c>
      <c r="X57" s="96">
        <f t="shared" si="54"/>
        <v>0</v>
      </c>
      <c r="Y57" s="428">
        <f t="shared" si="62"/>
        <v>0</v>
      </c>
      <c r="Z57" s="129"/>
      <c r="AA57" s="96"/>
      <c r="AB57" s="129"/>
      <c r="AC57" s="119"/>
      <c r="AD57" s="119">
        <f>1817.8</f>
        <v>1817.8</v>
      </c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99"/>
      <c r="BN57" s="100"/>
      <c r="BO57" s="100"/>
      <c r="BP57" s="100"/>
      <c r="BQ57" s="100"/>
    </row>
    <row r="58" spans="1:69" ht="15.75" customHeight="1">
      <c r="A58" s="89"/>
      <c r="B58" s="114"/>
      <c r="C58" s="101" t="s">
        <v>296</v>
      </c>
      <c r="D58" s="122" t="s">
        <v>108</v>
      </c>
      <c r="E58" s="116"/>
      <c r="F58" s="92">
        <f t="shared" si="155"/>
        <v>0</v>
      </c>
      <c r="G58" s="92"/>
      <c r="H58" s="93">
        <v>50000</v>
      </c>
      <c r="I58" s="96"/>
      <c r="J58" s="117"/>
      <c r="K58" s="117"/>
      <c r="L58" s="118"/>
      <c r="M58" s="97">
        <f t="shared" si="74"/>
        <v>0</v>
      </c>
      <c r="N58" s="97">
        <f t="shared" ref="N58:O58" si="179">AA58+AD58+AG58+AJ58+AM58+AP58+AS58+AV58+AY58+BB58+BE58+BH58</f>
        <v>0</v>
      </c>
      <c r="O58" s="97">
        <f t="shared" si="179"/>
        <v>0</v>
      </c>
      <c r="P58" s="82">
        <f t="shared" ref="P58:R58" si="180">IF(BJ58=0,SUM(Z58+AC58+AF58+AI58+AL58+AO58+AR58+AU58+AX58+BA58+BD58+BG58),BJ58)</f>
        <v>0</v>
      </c>
      <c r="Q58" s="82">
        <f t="shared" si="180"/>
        <v>0</v>
      </c>
      <c r="R58" s="82">
        <f t="shared" si="180"/>
        <v>0</v>
      </c>
      <c r="S58" s="97">
        <f t="shared" si="130"/>
        <v>0</v>
      </c>
      <c r="T58" s="97">
        <f t="shared" si="153"/>
        <v>0</v>
      </c>
      <c r="U58" s="97">
        <f t="shared" si="52"/>
        <v>0</v>
      </c>
      <c r="V58" s="427" t="e">
        <f t="shared" si="73"/>
        <v>#DIV/0!</v>
      </c>
      <c r="W58" s="96">
        <f t="shared" si="172"/>
        <v>0</v>
      </c>
      <c r="X58" s="96">
        <f t="shared" si="54"/>
        <v>0</v>
      </c>
      <c r="Y58" s="428">
        <f t="shared" si="62"/>
        <v>0</v>
      </c>
      <c r="Z58" s="129"/>
      <c r="AA58" s="96"/>
      <c r="AB58" s="129"/>
      <c r="AC58" s="119"/>
      <c r="AD58" s="11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99"/>
      <c r="BN58" s="100"/>
      <c r="BO58" s="100"/>
      <c r="BP58" s="100"/>
      <c r="BQ58" s="100"/>
    </row>
    <row r="59" spans="1:69" ht="15.75" customHeight="1">
      <c r="B59" s="114"/>
      <c r="C59" s="101" t="s">
        <v>242</v>
      </c>
      <c r="D59" s="122" t="s">
        <v>109</v>
      </c>
      <c r="E59" s="116"/>
      <c r="F59" s="92">
        <f t="shared" si="155"/>
        <v>0</v>
      </c>
      <c r="G59" s="92"/>
      <c r="H59" s="93">
        <v>350000</v>
      </c>
      <c r="I59" s="142"/>
      <c r="J59" s="117"/>
      <c r="K59" s="117"/>
      <c r="L59" s="118"/>
      <c r="M59" s="97">
        <f t="shared" si="74"/>
        <v>0</v>
      </c>
      <c r="N59" s="97">
        <f t="shared" ref="N59:O59" si="181">AA59+AD59+AG59+AJ59+AM59+AP59+AS59+AV59+AY59+BB59+BE59+BH59</f>
        <v>0</v>
      </c>
      <c r="O59" s="97">
        <f t="shared" si="181"/>
        <v>0</v>
      </c>
      <c r="P59" s="82">
        <f t="shared" ref="P59:R59" si="182">IF(BJ59=0,SUM(Z59+AC59+AF59+AI59+AL59+AO59+AR59+AU59+AX59+BA59+BD59+BG59),BJ59)</f>
        <v>0</v>
      </c>
      <c r="Q59" s="82">
        <f t="shared" si="182"/>
        <v>0</v>
      </c>
      <c r="R59" s="82">
        <f t="shared" si="182"/>
        <v>0</v>
      </c>
      <c r="S59" s="97">
        <f t="shared" si="130"/>
        <v>0</v>
      </c>
      <c r="T59" s="97">
        <f t="shared" si="153"/>
        <v>0</v>
      </c>
      <c r="U59" s="97">
        <f t="shared" si="52"/>
        <v>0</v>
      </c>
      <c r="V59" s="427" t="e">
        <f t="shared" si="73"/>
        <v>#DIV/0!</v>
      </c>
      <c r="W59" s="96">
        <f t="shared" si="172"/>
        <v>0</v>
      </c>
      <c r="X59" s="96">
        <f t="shared" si="54"/>
        <v>0</v>
      </c>
      <c r="Y59" s="428">
        <f t="shared" si="62"/>
        <v>0</v>
      </c>
      <c r="Z59" s="96"/>
      <c r="AA59" s="96"/>
      <c r="AB59" s="96"/>
      <c r="AC59" s="119"/>
      <c r="AD59" s="119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9"/>
      <c r="BN59" s="100"/>
      <c r="BO59" s="100"/>
      <c r="BP59" s="100"/>
      <c r="BQ59" s="100"/>
    </row>
    <row r="60" spans="1:69" ht="15.75" customHeight="1">
      <c r="A60" s="89"/>
      <c r="B60" s="114"/>
      <c r="C60" s="101" t="s">
        <v>297</v>
      </c>
      <c r="D60" s="122" t="s">
        <v>110</v>
      </c>
      <c r="E60" s="116"/>
      <c r="F60" s="92">
        <f t="shared" si="155"/>
        <v>0</v>
      </c>
      <c r="G60" s="92"/>
      <c r="H60" s="93">
        <v>200000</v>
      </c>
      <c r="I60" s="96"/>
      <c r="J60" s="117"/>
      <c r="K60" s="117"/>
      <c r="L60" s="118"/>
      <c r="M60" s="97">
        <f t="shared" si="74"/>
        <v>0</v>
      </c>
      <c r="N60" s="97">
        <f t="shared" ref="N60:O60" si="183">AA60+AD60+AG60+AJ60+AM60+AP60+AS60+AV60+AY60+BB60+BE60+BH60</f>
        <v>0</v>
      </c>
      <c r="O60" s="97">
        <f t="shared" si="183"/>
        <v>0</v>
      </c>
      <c r="P60" s="82">
        <f t="shared" ref="P60:R60" si="184">IF(BJ60=0,SUM(Z60+AC60+AF60+AI60+AL60+AO60+AR60+AU60+AX60+BA60+BD60+BG60),BJ60)</f>
        <v>0</v>
      </c>
      <c r="Q60" s="82">
        <f t="shared" si="184"/>
        <v>0</v>
      </c>
      <c r="R60" s="82">
        <f t="shared" si="184"/>
        <v>0</v>
      </c>
      <c r="S60" s="97">
        <f t="shared" si="130"/>
        <v>0</v>
      </c>
      <c r="T60" s="97">
        <f t="shared" si="153"/>
        <v>0</v>
      </c>
      <c r="U60" s="97">
        <f t="shared" si="52"/>
        <v>0</v>
      </c>
      <c r="V60" s="427" t="e">
        <f t="shared" si="73"/>
        <v>#DIV/0!</v>
      </c>
      <c r="W60" s="96">
        <f t="shared" si="172"/>
        <v>0</v>
      </c>
      <c r="X60" s="96">
        <f t="shared" si="54"/>
        <v>0</v>
      </c>
      <c r="Y60" s="428">
        <f t="shared" si="62"/>
        <v>0</v>
      </c>
      <c r="Z60" s="96"/>
      <c r="AA60" s="96"/>
      <c r="AB60" s="96"/>
      <c r="AC60" s="119"/>
      <c r="AD60" s="119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9"/>
      <c r="BN60" s="100"/>
      <c r="BO60" s="100"/>
      <c r="BP60" s="100"/>
      <c r="BQ60" s="100"/>
    </row>
    <row r="61" spans="1:69" ht="15.75" customHeight="1">
      <c r="A61" s="89"/>
      <c r="B61" s="114"/>
      <c r="C61" s="101" t="s">
        <v>298</v>
      </c>
      <c r="D61" s="122" t="s">
        <v>299</v>
      </c>
      <c r="E61" s="92"/>
      <c r="F61" s="92">
        <f t="shared" si="155"/>
        <v>0</v>
      </c>
      <c r="G61" s="92"/>
      <c r="H61" s="93">
        <v>200000</v>
      </c>
      <c r="I61" s="96"/>
      <c r="J61" s="146"/>
      <c r="K61" s="146"/>
      <c r="L61" s="118"/>
      <c r="M61" s="97">
        <f t="shared" si="74"/>
        <v>0</v>
      </c>
      <c r="N61" s="97">
        <f t="shared" ref="N61:O61" si="185">AA61+AD61+AG61+AJ61+AM61+AP61+AS61+AV61+AY61+BB61+BE61+BH61</f>
        <v>0</v>
      </c>
      <c r="O61" s="97">
        <f t="shared" si="185"/>
        <v>0</v>
      </c>
      <c r="P61" s="82">
        <f t="shared" ref="P61:R61" si="186">IF(BJ61=0,SUM(Z61+AC61+AF61+AI61+AL61+AO61+AR61+AU61+AX61+BA61+BD61+BG61),BJ61)</f>
        <v>0</v>
      </c>
      <c r="Q61" s="82">
        <f t="shared" si="186"/>
        <v>0</v>
      </c>
      <c r="R61" s="82">
        <f t="shared" si="186"/>
        <v>0</v>
      </c>
      <c r="S61" s="97">
        <f t="shared" si="130"/>
        <v>0</v>
      </c>
      <c r="T61" s="97">
        <f t="shared" si="153"/>
        <v>0</v>
      </c>
      <c r="U61" s="97">
        <f t="shared" si="52"/>
        <v>0</v>
      </c>
      <c r="V61" s="427" t="e">
        <f t="shared" si="73"/>
        <v>#DIV/0!</v>
      </c>
      <c r="W61" s="96">
        <f t="shared" si="172"/>
        <v>0</v>
      </c>
      <c r="X61" s="96">
        <f t="shared" si="54"/>
        <v>0</v>
      </c>
      <c r="Y61" s="428">
        <f t="shared" si="62"/>
        <v>0</v>
      </c>
      <c r="Z61" s="96"/>
      <c r="AA61" s="96"/>
      <c r="AB61" s="96"/>
      <c r="AC61" s="119"/>
      <c r="AD61" s="119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9"/>
      <c r="BN61" s="100"/>
      <c r="BO61" s="100"/>
      <c r="BP61" s="100"/>
      <c r="BQ61" s="100"/>
    </row>
    <row r="62" spans="1:69" ht="15.75" customHeight="1">
      <c r="A62" s="89"/>
      <c r="B62" s="114"/>
      <c r="C62" s="101" t="s">
        <v>229</v>
      </c>
      <c r="D62" s="122" t="s">
        <v>113</v>
      </c>
      <c r="E62" s="92"/>
      <c r="F62" s="92">
        <f t="shared" si="155"/>
        <v>0</v>
      </c>
      <c r="G62" s="92"/>
      <c r="H62" s="93">
        <v>60000</v>
      </c>
      <c r="I62" s="96"/>
      <c r="J62" s="146"/>
      <c r="K62" s="146"/>
      <c r="L62" s="118"/>
      <c r="M62" s="97">
        <f t="shared" si="74"/>
        <v>0</v>
      </c>
      <c r="N62" s="97">
        <f t="shared" ref="N62:O62" si="187">AA62+AD62+AG62+AJ62+AM62+AP62+AS62+AV62+AY62+BB62+BE62+BH62</f>
        <v>0</v>
      </c>
      <c r="O62" s="97">
        <f t="shared" si="187"/>
        <v>0</v>
      </c>
      <c r="P62" s="82">
        <f t="shared" ref="P62:R62" si="188">IF(BJ62=0,SUM(Z62+AC62+AF62+AI62+AL62+AO62+AR62+AU62+AX62+BA62+BD62+BG62),BJ62)</f>
        <v>0</v>
      </c>
      <c r="Q62" s="82">
        <f t="shared" si="188"/>
        <v>0</v>
      </c>
      <c r="R62" s="82">
        <f t="shared" si="188"/>
        <v>0</v>
      </c>
      <c r="S62" s="97">
        <f t="shared" si="130"/>
        <v>0</v>
      </c>
      <c r="T62" s="97">
        <f t="shared" si="153"/>
        <v>0</v>
      </c>
      <c r="U62" s="97">
        <f t="shared" si="52"/>
        <v>0</v>
      </c>
      <c r="V62" s="427" t="e">
        <f t="shared" si="73"/>
        <v>#DIV/0!</v>
      </c>
      <c r="W62" s="96">
        <f t="shared" si="172"/>
        <v>0</v>
      </c>
      <c r="X62" s="96">
        <f t="shared" si="54"/>
        <v>0</v>
      </c>
      <c r="Y62" s="428">
        <f t="shared" si="62"/>
        <v>0</v>
      </c>
      <c r="Z62" s="96"/>
      <c r="AA62" s="96"/>
      <c r="AB62" s="96"/>
      <c r="AC62" s="119"/>
      <c r="AD62" s="119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9"/>
      <c r="BN62" s="100"/>
      <c r="BO62" s="100"/>
      <c r="BP62" s="100"/>
      <c r="BQ62" s="100"/>
    </row>
    <row r="63" spans="1:69" ht="15.75" customHeight="1">
      <c r="A63" s="89"/>
      <c r="B63" s="114"/>
      <c r="C63" s="101" t="s">
        <v>114</v>
      </c>
      <c r="D63" s="122" t="s">
        <v>115</v>
      </c>
      <c r="E63" s="92"/>
      <c r="F63" s="92">
        <f t="shared" si="155"/>
        <v>0</v>
      </c>
      <c r="G63" s="92"/>
      <c r="H63" s="93">
        <v>1200000</v>
      </c>
      <c r="I63" s="96"/>
      <c r="J63" s="146"/>
      <c r="K63" s="146"/>
      <c r="L63" s="118"/>
      <c r="M63" s="97">
        <f t="shared" si="74"/>
        <v>0</v>
      </c>
      <c r="N63" s="97">
        <f t="shared" ref="N63:O63" si="189">AA63+AD63+AG63+AJ63+AM63+AP63+AS63+AV63+AY63+BB63+BE63+BH63</f>
        <v>0</v>
      </c>
      <c r="O63" s="97">
        <f t="shared" si="189"/>
        <v>0</v>
      </c>
      <c r="P63" s="82">
        <f t="shared" ref="P63:R63" si="190">IF(BJ63=0,SUM(Z63+AC63+AF63+AI63+AL63+AO63+AR63+AU63+AX63+BA63+BD63+BG63),BJ63)</f>
        <v>0</v>
      </c>
      <c r="Q63" s="82">
        <f t="shared" si="190"/>
        <v>0</v>
      </c>
      <c r="R63" s="82">
        <f t="shared" si="190"/>
        <v>0</v>
      </c>
      <c r="S63" s="97">
        <f t="shared" si="130"/>
        <v>0</v>
      </c>
      <c r="T63" s="97">
        <f t="shared" si="153"/>
        <v>0</v>
      </c>
      <c r="U63" s="97">
        <f t="shared" si="52"/>
        <v>0</v>
      </c>
      <c r="V63" s="427" t="e">
        <f t="shared" si="73"/>
        <v>#DIV/0!</v>
      </c>
      <c r="W63" s="96">
        <f t="shared" si="172"/>
        <v>0</v>
      </c>
      <c r="X63" s="96">
        <f t="shared" si="54"/>
        <v>0</v>
      </c>
      <c r="Y63" s="428">
        <f t="shared" si="62"/>
        <v>0</v>
      </c>
      <c r="Z63" s="96"/>
      <c r="AA63" s="96"/>
      <c r="AB63" s="96"/>
      <c r="AC63" s="119"/>
      <c r="AD63" s="119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9"/>
      <c r="BN63" s="100"/>
      <c r="BO63" s="100"/>
      <c r="BP63" s="100"/>
      <c r="BQ63" s="100"/>
    </row>
    <row r="64" spans="1:69" ht="15.75" customHeight="1">
      <c r="A64" s="89"/>
      <c r="B64" s="114"/>
      <c r="C64" s="90" t="s">
        <v>114</v>
      </c>
      <c r="D64" s="122" t="s">
        <v>300</v>
      </c>
      <c r="E64" s="147"/>
      <c r="F64" s="92">
        <f t="shared" si="155"/>
        <v>0</v>
      </c>
      <c r="G64" s="92"/>
      <c r="H64" s="148">
        <v>100000</v>
      </c>
      <c r="I64" s="96"/>
      <c r="J64" s="146"/>
      <c r="K64" s="146"/>
      <c r="L64" s="118"/>
      <c r="M64" s="97">
        <f t="shared" si="74"/>
        <v>0</v>
      </c>
      <c r="N64" s="97">
        <f t="shared" ref="N64:O64" si="191">AA64+AD64+AG64+AJ64+AM64+AP64+AS64+AV64+AY64+BB64+BE64+BH64</f>
        <v>0</v>
      </c>
      <c r="O64" s="97">
        <f t="shared" si="191"/>
        <v>0</v>
      </c>
      <c r="P64" s="82">
        <f t="shared" ref="P64:R64" si="192">IF(BJ64=0,SUM(Z64+AC64+AF64+AI64+AL64+AO64+AR64+AU64+AX64+BA64+BD64+BG64),BJ64)</f>
        <v>0</v>
      </c>
      <c r="Q64" s="82">
        <f t="shared" si="192"/>
        <v>0</v>
      </c>
      <c r="R64" s="82">
        <f t="shared" si="192"/>
        <v>0</v>
      </c>
      <c r="S64" s="97">
        <f t="shared" si="130"/>
        <v>0</v>
      </c>
      <c r="T64" s="97">
        <f t="shared" si="153"/>
        <v>0</v>
      </c>
      <c r="U64" s="97">
        <f t="shared" si="52"/>
        <v>0</v>
      </c>
      <c r="V64" s="427" t="e">
        <f t="shared" si="73"/>
        <v>#DIV/0!</v>
      </c>
      <c r="W64" s="96">
        <f t="shared" si="172"/>
        <v>0</v>
      </c>
      <c r="X64" s="96">
        <f t="shared" si="54"/>
        <v>0</v>
      </c>
      <c r="Y64" s="428">
        <f t="shared" si="62"/>
        <v>0</v>
      </c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9"/>
      <c r="BN64" s="100"/>
      <c r="BO64" s="100"/>
      <c r="BP64" s="100"/>
      <c r="BQ64" s="100"/>
    </row>
    <row r="65" spans="1:69" ht="15.75" customHeight="1">
      <c r="A65" s="89"/>
      <c r="B65" s="114"/>
      <c r="C65" s="90" t="s">
        <v>114</v>
      </c>
      <c r="D65" s="122" t="s">
        <v>117</v>
      </c>
      <c r="E65" s="147"/>
      <c r="F65" s="92">
        <f t="shared" si="155"/>
        <v>0</v>
      </c>
      <c r="G65" s="92"/>
      <c r="H65" s="148">
        <v>500000</v>
      </c>
      <c r="I65" s="96"/>
      <c r="J65" s="146"/>
      <c r="K65" s="146"/>
      <c r="L65" s="118"/>
      <c r="M65" s="97">
        <f t="shared" si="74"/>
        <v>0</v>
      </c>
      <c r="N65" s="97">
        <f t="shared" ref="N65:O65" si="193">AA65+AD65+AG65+AJ65+AM65+AP65+AS65+AV65+AY65+BB65+BE65+BH65</f>
        <v>0</v>
      </c>
      <c r="O65" s="97">
        <f t="shared" si="193"/>
        <v>0</v>
      </c>
      <c r="P65" s="82">
        <f t="shared" ref="P65:R65" si="194">IF(BJ65=0,SUM(Z65+AC65+AF65+AI65+AL65+AO65+AR65+AU65+AX65+BA65+BD65+BG65),BJ65)</f>
        <v>0</v>
      </c>
      <c r="Q65" s="82">
        <f t="shared" si="194"/>
        <v>0</v>
      </c>
      <c r="R65" s="82">
        <f t="shared" si="194"/>
        <v>0</v>
      </c>
      <c r="S65" s="97">
        <f t="shared" si="130"/>
        <v>0</v>
      </c>
      <c r="T65" s="97">
        <f t="shared" si="153"/>
        <v>0</v>
      </c>
      <c r="U65" s="97">
        <f t="shared" si="52"/>
        <v>0</v>
      </c>
      <c r="V65" s="427" t="e">
        <f t="shared" si="73"/>
        <v>#DIV/0!</v>
      </c>
      <c r="W65" s="96">
        <f t="shared" si="172"/>
        <v>0</v>
      </c>
      <c r="X65" s="96">
        <f t="shared" si="54"/>
        <v>0</v>
      </c>
      <c r="Y65" s="428">
        <f t="shared" si="62"/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9"/>
      <c r="BN65" s="100"/>
      <c r="BO65" s="100"/>
      <c r="BP65" s="100"/>
      <c r="BQ65" s="100"/>
    </row>
    <row r="66" spans="1:69" ht="15.75" customHeight="1">
      <c r="A66" s="89"/>
      <c r="B66" s="114"/>
      <c r="C66" s="90" t="s">
        <v>114</v>
      </c>
      <c r="D66" s="122" t="s">
        <v>118</v>
      </c>
      <c r="E66" s="147"/>
      <c r="F66" s="92">
        <f t="shared" si="155"/>
        <v>0</v>
      </c>
      <c r="G66" s="92"/>
      <c r="H66" s="148">
        <v>100000</v>
      </c>
      <c r="I66" s="96"/>
      <c r="J66" s="126"/>
      <c r="K66" s="126"/>
      <c r="L66" s="118"/>
      <c r="M66" s="97">
        <f t="shared" si="74"/>
        <v>0</v>
      </c>
      <c r="N66" s="97">
        <f t="shared" ref="N66:O66" si="195">AA66+AD66+AG66+AJ66+AM66+AP66+AS66+AV66+AY66+BB66+BE66+BH66</f>
        <v>0</v>
      </c>
      <c r="O66" s="97">
        <f t="shared" si="195"/>
        <v>0</v>
      </c>
      <c r="P66" s="82">
        <f t="shared" ref="P66:R66" si="196">IF(BJ66=0,SUM(Z66+AC66+AF66+AI66+AL66+AO66+AR66+AU66+AX66+BA66+BD66+BG66),BJ66)</f>
        <v>0</v>
      </c>
      <c r="Q66" s="82">
        <f t="shared" si="196"/>
        <v>0</v>
      </c>
      <c r="R66" s="82">
        <f t="shared" si="196"/>
        <v>0</v>
      </c>
      <c r="S66" s="97">
        <f t="shared" si="130"/>
        <v>0</v>
      </c>
      <c r="T66" s="97">
        <f t="shared" si="153"/>
        <v>0</v>
      </c>
      <c r="U66" s="97">
        <f t="shared" si="52"/>
        <v>0</v>
      </c>
      <c r="V66" s="427" t="e">
        <f t="shared" si="73"/>
        <v>#DIV/0!</v>
      </c>
      <c r="W66" s="96">
        <f t="shared" si="172"/>
        <v>0</v>
      </c>
      <c r="X66" s="96">
        <f t="shared" si="54"/>
        <v>0</v>
      </c>
      <c r="Y66" s="428">
        <f t="shared" si="62"/>
        <v>0</v>
      </c>
      <c r="Z66" s="103">
        <v>0</v>
      </c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9"/>
      <c r="BN66" s="100"/>
      <c r="BO66" s="100"/>
      <c r="BP66" s="100"/>
      <c r="BQ66" s="100"/>
    </row>
    <row r="67" spans="1:69" ht="15.75" customHeight="1">
      <c r="A67" s="89"/>
      <c r="B67" s="89"/>
      <c r="C67" s="90" t="s">
        <v>114</v>
      </c>
      <c r="D67" s="122" t="s">
        <v>119</v>
      </c>
      <c r="E67" s="147"/>
      <c r="F67" s="92">
        <f t="shared" si="155"/>
        <v>0</v>
      </c>
      <c r="G67" s="92"/>
      <c r="H67" s="148">
        <v>150000</v>
      </c>
      <c r="I67" s="96"/>
      <c r="J67" s="146"/>
      <c r="K67" s="146"/>
      <c r="L67" s="95"/>
      <c r="M67" s="97">
        <f t="shared" si="74"/>
        <v>0</v>
      </c>
      <c r="N67" s="97">
        <f t="shared" ref="N67:O67" si="197">AA67+AD67+AG67+AJ67+AM67+AP67+AS67+AV67+AY67+BB67+BE67+BH67</f>
        <v>0</v>
      </c>
      <c r="O67" s="97">
        <f t="shared" si="197"/>
        <v>0</v>
      </c>
      <c r="P67" s="82">
        <f t="shared" ref="P67:R67" si="198">IF(BJ67=0,SUM(Z67+AC67+AF67+AI67+AL67+AO67+AR67+AU67+AX67+BA67+BD67+BG67),BJ67)</f>
        <v>0</v>
      </c>
      <c r="Q67" s="82">
        <f t="shared" si="198"/>
        <v>0</v>
      </c>
      <c r="R67" s="82">
        <f t="shared" si="198"/>
        <v>0</v>
      </c>
      <c r="S67" s="97">
        <f t="shared" si="130"/>
        <v>0</v>
      </c>
      <c r="T67" s="97">
        <f t="shared" si="153"/>
        <v>0</v>
      </c>
      <c r="U67" s="97">
        <f t="shared" si="52"/>
        <v>0</v>
      </c>
      <c r="V67" s="427" t="e">
        <f t="shared" si="73"/>
        <v>#DIV/0!</v>
      </c>
      <c r="W67" s="96">
        <f t="shared" si="172"/>
        <v>0</v>
      </c>
      <c r="X67" s="96">
        <f t="shared" si="54"/>
        <v>0</v>
      </c>
      <c r="Y67" s="428">
        <f t="shared" si="62"/>
        <v>0</v>
      </c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9"/>
      <c r="BN67" s="100"/>
      <c r="BO67" s="100"/>
      <c r="BP67" s="100"/>
      <c r="BQ67" s="100"/>
    </row>
    <row r="68" spans="1:69" ht="15.75" customHeight="1">
      <c r="A68" s="86"/>
      <c r="B68" s="86"/>
      <c r="C68" s="86" t="s">
        <v>301</v>
      </c>
      <c r="D68" s="86"/>
      <c r="E68" s="87">
        <f t="shared" ref="E68:F68" si="199">E69+E81+E85+E90</f>
        <v>267218.16000000003</v>
      </c>
      <c r="F68" s="87">
        <f t="shared" si="199"/>
        <v>250144.50000000003</v>
      </c>
      <c r="G68" s="87"/>
      <c r="H68" s="87">
        <f>H69+H81+H90</f>
        <v>21041.95</v>
      </c>
      <c r="I68" s="87">
        <f t="shared" ref="I68:Q68" si="200">I69+I76+I77+I78+I81+I85+I90</f>
        <v>15639.66</v>
      </c>
      <c r="J68" s="87">
        <f t="shared" si="200"/>
        <v>84340.34</v>
      </c>
      <c r="K68" s="87">
        <f t="shared" si="200"/>
        <v>0</v>
      </c>
      <c r="L68" s="87">
        <f t="shared" si="200"/>
        <v>0</v>
      </c>
      <c r="M68" s="87">
        <f t="shared" si="200"/>
        <v>0</v>
      </c>
      <c r="N68" s="87">
        <f t="shared" si="200"/>
        <v>20914.099999999999</v>
      </c>
      <c r="O68" s="87">
        <f t="shared" si="200"/>
        <v>0</v>
      </c>
      <c r="P68" s="87">
        <f t="shared" si="200"/>
        <v>0</v>
      </c>
      <c r="Q68" s="87">
        <f t="shared" si="200"/>
        <v>20914.099999999999</v>
      </c>
      <c r="R68" s="87">
        <f>IF(BL68=0,SUM(AB68+AE68+AH68+AK68+AN68+AQ68+AT68+AW68+AZ68+BC68+BF68+BI68),BL68)</f>
        <v>0</v>
      </c>
      <c r="S68" s="87">
        <f>S69+S76+S77+S78+S81+S85+S90</f>
        <v>15076.66</v>
      </c>
      <c r="T68" s="87">
        <f>T69+T85</f>
        <v>63426.239999999998</v>
      </c>
      <c r="U68" s="87">
        <f>U69+U76+U77+U78+U81+U85+U90</f>
        <v>0</v>
      </c>
      <c r="V68" s="427"/>
      <c r="W68" s="96"/>
      <c r="X68" s="96"/>
      <c r="Y68" s="428"/>
      <c r="Z68" s="87">
        <f t="shared" ref="Z68:BL68" si="201">Z69+Z76+Z77+Z78+Z81+Z85+Z90</f>
        <v>0</v>
      </c>
      <c r="AA68" s="87">
        <f t="shared" si="201"/>
        <v>4595.8899999999994</v>
      </c>
      <c r="AB68" s="87">
        <f t="shared" si="201"/>
        <v>0</v>
      </c>
      <c r="AC68" s="87">
        <f t="shared" si="201"/>
        <v>0</v>
      </c>
      <c r="AD68" s="87">
        <f t="shared" si="201"/>
        <v>7931.1</v>
      </c>
      <c r="AE68" s="87">
        <f t="shared" si="201"/>
        <v>0</v>
      </c>
      <c r="AF68" s="87">
        <f t="shared" si="201"/>
        <v>0</v>
      </c>
      <c r="AG68" s="87">
        <f t="shared" si="201"/>
        <v>5181.2700000000004</v>
      </c>
      <c r="AH68" s="87">
        <f t="shared" si="201"/>
        <v>0</v>
      </c>
      <c r="AI68" s="87">
        <f t="shared" si="201"/>
        <v>0</v>
      </c>
      <c r="AJ68" s="87">
        <f t="shared" si="201"/>
        <v>3205.84</v>
      </c>
      <c r="AK68" s="87">
        <f t="shared" si="201"/>
        <v>0</v>
      </c>
      <c r="AL68" s="87">
        <f t="shared" si="201"/>
        <v>0</v>
      </c>
      <c r="AM68" s="87">
        <f t="shared" si="201"/>
        <v>0</v>
      </c>
      <c r="AN68" s="87">
        <f t="shared" si="201"/>
        <v>0</v>
      </c>
      <c r="AO68" s="87">
        <f t="shared" si="201"/>
        <v>0</v>
      </c>
      <c r="AP68" s="87">
        <f t="shared" si="201"/>
        <v>0</v>
      </c>
      <c r="AQ68" s="87">
        <f t="shared" si="201"/>
        <v>0</v>
      </c>
      <c r="AR68" s="87">
        <f t="shared" si="201"/>
        <v>0</v>
      </c>
      <c r="AS68" s="87">
        <f t="shared" si="201"/>
        <v>0</v>
      </c>
      <c r="AT68" s="87">
        <f t="shared" si="201"/>
        <v>0</v>
      </c>
      <c r="AU68" s="87">
        <f t="shared" si="201"/>
        <v>0</v>
      </c>
      <c r="AV68" s="87">
        <f t="shared" si="201"/>
        <v>0</v>
      </c>
      <c r="AW68" s="87">
        <f t="shared" si="201"/>
        <v>0</v>
      </c>
      <c r="AX68" s="87">
        <f t="shared" si="201"/>
        <v>0</v>
      </c>
      <c r="AY68" s="87">
        <f t="shared" si="201"/>
        <v>0</v>
      </c>
      <c r="AZ68" s="87">
        <f t="shared" si="201"/>
        <v>0</v>
      </c>
      <c r="BA68" s="87">
        <f t="shared" si="201"/>
        <v>0</v>
      </c>
      <c r="BB68" s="87">
        <f t="shared" si="201"/>
        <v>0</v>
      </c>
      <c r="BC68" s="87">
        <f t="shared" si="201"/>
        <v>0</v>
      </c>
      <c r="BD68" s="87">
        <f t="shared" si="201"/>
        <v>0</v>
      </c>
      <c r="BE68" s="87">
        <f t="shared" si="201"/>
        <v>0</v>
      </c>
      <c r="BF68" s="87">
        <f t="shared" si="201"/>
        <v>0</v>
      </c>
      <c r="BG68" s="87">
        <f t="shared" si="201"/>
        <v>0</v>
      </c>
      <c r="BH68" s="87">
        <f t="shared" si="201"/>
        <v>0</v>
      </c>
      <c r="BI68" s="87">
        <f t="shared" si="201"/>
        <v>0</v>
      </c>
      <c r="BJ68" s="87">
        <f t="shared" si="201"/>
        <v>0</v>
      </c>
      <c r="BK68" s="87">
        <f t="shared" si="201"/>
        <v>0</v>
      </c>
      <c r="BL68" s="87">
        <f t="shared" si="201"/>
        <v>0</v>
      </c>
      <c r="BM68" s="149"/>
      <c r="BN68" s="150"/>
      <c r="BO68" s="150"/>
      <c r="BP68" s="150"/>
      <c r="BQ68" s="150"/>
    </row>
    <row r="69" spans="1:69" ht="15.75" customHeight="1">
      <c r="A69" s="151"/>
      <c r="B69" s="151"/>
      <c r="C69" s="152"/>
      <c r="D69" s="153" t="s">
        <v>302</v>
      </c>
      <c r="E69" s="154">
        <f t="shared" ref="E69:F69" si="202">SUM(E70:E78)</f>
        <v>151589.62000000002</v>
      </c>
      <c r="F69" s="154">
        <f t="shared" si="202"/>
        <v>144922.12000000002</v>
      </c>
      <c r="G69" s="154"/>
      <c r="H69" s="154">
        <f>SUM(H71:H78)</f>
        <v>0</v>
      </c>
      <c r="I69" s="154">
        <f>SUM(I70:I75)</f>
        <v>7590</v>
      </c>
      <c r="J69" s="154">
        <f t="shared" ref="J69:K69" si="203">SUM(J71:J75)</f>
        <v>10402.67</v>
      </c>
      <c r="K69" s="154">
        <f t="shared" si="203"/>
        <v>0</v>
      </c>
      <c r="L69" s="154">
        <f>SUM(L71:L72)</f>
        <v>0</v>
      </c>
      <c r="M69" s="154">
        <f>SUM(M70:M75)</f>
        <v>0</v>
      </c>
      <c r="N69" s="154">
        <f>SUM(N71:N75)</f>
        <v>4980.7</v>
      </c>
      <c r="O69" s="154">
        <f>SUM(O70:O75)</f>
        <v>0</v>
      </c>
      <c r="P69" s="81">
        <f t="shared" ref="P69:R69" si="204">IF(BJ69=0,SUM(Z69+AC69+AF69+AI69+AL69+AO69+AR69+AU69+AX69+BA69+BD69+BG69),BJ69)</f>
        <v>0</v>
      </c>
      <c r="Q69" s="81">
        <f t="shared" si="204"/>
        <v>4980.7</v>
      </c>
      <c r="R69" s="81">
        <f t="shared" si="204"/>
        <v>0</v>
      </c>
      <c r="S69" s="154">
        <f t="shared" ref="S69:T69" si="205">SUM(S70:S75)</f>
        <v>7590</v>
      </c>
      <c r="T69" s="154">
        <f t="shared" si="205"/>
        <v>5421.97</v>
      </c>
      <c r="U69" s="154">
        <f>SUM(U71:U75)</f>
        <v>0</v>
      </c>
      <c r="V69" s="427"/>
      <c r="W69" s="96"/>
      <c r="X69" s="96"/>
      <c r="Y69" s="428"/>
      <c r="Z69" s="154">
        <f>SUM(Z71:Z72)</f>
        <v>0</v>
      </c>
      <c r="AA69" s="154">
        <f>SUM(AA71:AA75)</f>
        <v>324.49</v>
      </c>
      <c r="AB69" s="154">
        <f t="shared" ref="AB69:AC69" si="206">SUM(AB71:AB72)</f>
        <v>0</v>
      </c>
      <c r="AC69" s="154">
        <f t="shared" si="206"/>
        <v>0</v>
      </c>
      <c r="AD69" s="154">
        <f>SUM(AD71:AD75)</f>
        <v>1301.0999999999999</v>
      </c>
      <c r="AE69" s="154">
        <f>SUM(AE71:AE72)</f>
        <v>0</v>
      </c>
      <c r="AF69" s="154">
        <f t="shared" ref="AF69:AG69" si="207">SUM(AF71:AF75)</f>
        <v>0</v>
      </c>
      <c r="AG69" s="154">
        <f t="shared" si="207"/>
        <v>2089.27</v>
      </c>
      <c r="AH69" s="154">
        <f>SUM(AH71:AH72)</f>
        <v>0</v>
      </c>
      <c r="AI69" s="154">
        <f t="shared" ref="AI69:AJ69" si="208">SUM(AI71:AI75)</f>
        <v>0</v>
      </c>
      <c r="AJ69" s="154">
        <f t="shared" si="208"/>
        <v>1265.8399999999999</v>
      </c>
      <c r="AK69" s="154">
        <f>SUM(AK71:AK72)</f>
        <v>0</v>
      </c>
      <c r="AL69" s="154">
        <f t="shared" ref="AL69:AM69" si="209">SUM(AL71:AL75)</f>
        <v>0</v>
      </c>
      <c r="AM69" s="154">
        <f t="shared" si="209"/>
        <v>0</v>
      </c>
      <c r="AN69" s="154">
        <f>SUM(AN71:AN72)</f>
        <v>0</v>
      </c>
      <c r="AO69" s="154">
        <f t="shared" ref="AO69:AP69" si="210">SUM(AO71:AO75)</f>
        <v>0</v>
      </c>
      <c r="AP69" s="154">
        <f t="shared" si="210"/>
        <v>0</v>
      </c>
      <c r="AQ69" s="154">
        <f>SUM(AQ71:AQ72)</f>
        <v>0</v>
      </c>
      <c r="AR69" s="154">
        <f>SUM(AR71:AR75)</f>
        <v>0</v>
      </c>
      <c r="AS69" s="154">
        <f t="shared" ref="AS69:AT69" si="211">SUM(AS71:AS72)</f>
        <v>0</v>
      </c>
      <c r="AT69" s="154">
        <f t="shared" si="211"/>
        <v>0</v>
      </c>
      <c r="AU69" s="154">
        <f>SUM(AU71:AU75)</f>
        <v>0</v>
      </c>
      <c r="AV69" s="154">
        <f>SUM(AV71:AV77)</f>
        <v>0</v>
      </c>
      <c r="AW69" s="154">
        <f>SUM(AW71:AW72)</f>
        <v>0</v>
      </c>
      <c r="AX69" s="154">
        <f t="shared" ref="AX69:AY69" si="212">SUM(AX71:AX75)</f>
        <v>0</v>
      </c>
      <c r="AY69" s="154">
        <f t="shared" si="212"/>
        <v>0</v>
      </c>
      <c r="AZ69" s="154">
        <f t="shared" ref="AZ69:BA69" si="213">SUM(AZ71:AZ72)</f>
        <v>0</v>
      </c>
      <c r="BA69" s="154">
        <f t="shared" si="213"/>
        <v>0</v>
      </c>
      <c r="BB69" s="154">
        <f>SUM(BB71:BB77)</f>
        <v>0</v>
      </c>
      <c r="BC69" s="154">
        <f t="shared" ref="BC69:BI69" si="214">SUM(BC71:BC72)</f>
        <v>0</v>
      </c>
      <c r="BD69" s="154">
        <f t="shared" si="214"/>
        <v>0</v>
      </c>
      <c r="BE69" s="154">
        <f t="shared" si="214"/>
        <v>0</v>
      </c>
      <c r="BF69" s="154">
        <f t="shared" si="214"/>
        <v>0</v>
      </c>
      <c r="BG69" s="154">
        <f t="shared" si="214"/>
        <v>0</v>
      </c>
      <c r="BH69" s="154">
        <f t="shared" si="214"/>
        <v>0</v>
      </c>
      <c r="BI69" s="154">
        <f t="shared" si="214"/>
        <v>0</v>
      </c>
      <c r="BJ69" s="154">
        <f t="shared" ref="BJ69:BL69" si="215">SUM(BJ70:BJ75)</f>
        <v>0</v>
      </c>
      <c r="BK69" s="154">
        <f t="shared" si="215"/>
        <v>0</v>
      </c>
      <c r="BL69" s="154">
        <f t="shared" si="215"/>
        <v>0</v>
      </c>
      <c r="BM69" s="157"/>
      <c r="BN69" s="158"/>
      <c r="BO69" s="158"/>
      <c r="BP69" s="158"/>
      <c r="BQ69" s="158"/>
    </row>
    <row r="70" spans="1:69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162">
        <f t="shared" ref="F70:F71" si="216">-(E70*14.5%)+E70</f>
        <v>1282.5</v>
      </c>
      <c r="G70" s="162"/>
      <c r="H70" s="142"/>
      <c r="I70" s="142">
        <v>1500</v>
      </c>
      <c r="J70" s="117"/>
      <c r="K70" s="117"/>
      <c r="L70" s="118"/>
      <c r="M70" s="97">
        <f t="shared" ref="M70:O70" si="217">Z70+AC70+AF70+AI70+AL70+AO70+AR70+AU70+AX70+BA70+BD70+BG70</f>
        <v>0</v>
      </c>
      <c r="N70" s="97">
        <f t="shared" si="217"/>
        <v>0</v>
      </c>
      <c r="O70" s="97">
        <f t="shared" si="217"/>
        <v>0</v>
      </c>
      <c r="P70" s="82">
        <f t="shared" ref="P70:R70" si="218">IF(BJ70=0,SUM(Z70+AC70+AF70+AI70+AL70+AO70+AR70+AU70+AX70+BA70+BD70+BG70),BJ70)</f>
        <v>0</v>
      </c>
      <c r="Q70" s="82">
        <f t="shared" si="218"/>
        <v>0</v>
      </c>
      <c r="R70" s="82">
        <f t="shared" si="218"/>
        <v>0</v>
      </c>
      <c r="S70" s="97">
        <f t="shared" ref="S70:T70" si="219">I70-M70</f>
        <v>1500</v>
      </c>
      <c r="T70" s="97">
        <f t="shared" si="219"/>
        <v>0</v>
      </c>
      <c r="U70" s="97">
        <f t="shared" ref="U70:U77" si="220">L70-O70</f>
        <v>0</v>
      </c>
      <c r="V70" s="427" t="e">
        <f t="shared" ref="V70:V188" si="221">T70/AJ70</f>
        <v>#DIV/0!</v>
      </c>
      <c r="W70" s="96">
        <f t="shared" ref="W70:W84" si="222">AJ70*11</f>
        <v>0</v>
      </c>
      <c r="X70" s="96">
        <f t="shared" ref="X70:X84" si="223">W70-T70</f>
        <v>0</v>
      </c>
      <c r="Y70" s="428">
        <f t="shared" ref="Y70:Y80" si="224">E70-X70</f>
        <v>1500</v>
      </c>
      <c r="Z70" s="96"/>
      <c r="AA70" s="96"/>
      <c r="AB70" s="96"/>
      <c r="AC70" s="96"/>
      <c r="AD70" s="119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83"/>
      <c r="AX70" s="96"/>
      <c r="AY70" s="83"/>
      <c r="AZ70" s="83"/>
      <c r="BA70" s="96"/>
      <c r="BB70" s="83"/>
      <c r="BC70" s="83"/>
      <c r="BD70" s="96"/>
      <c r="BE70" s="96"/>
      <c r="BF70" s="83"/>
      <c r="BG70" s="96"/>
      <c r="BH70" s="83"/>
      <c r="BI70" s="83"/>
      <c r="BJ70" s="96"/>
      <c r="BK70" s="83"/>
      <c r="BL70" s="83"/>
      <c r="BM70" s="99"/>
      <c r="BN70" s="164"/>
      <c r="BO70" s="164"/>
      <c r="BP70" s="164"/>
      <c r="BQ70" s="164"/>
    </row>
    <row r="71" spans="1:69" ht="15.75" customHeight="1">
      <c r="A71" s="165"/>
      <c r="B71" s="159" t="s">
        <v>303</v>
      </c>
      <c r="C71" s="160" t="s">
        <v>304</v>
      </c>
      <c r="D71" s="161" t="s">
        <v>885</v>
      </c>
      <c r="E71" s="162">
        <v>10000</v>
      </c>
      <c r="F71" s="162">
        <f t="shared" si="216"/>
        <v>8550</v>
      </c>
      <c r="G71" s="162"/>
      <c r="H71" s="142"/>
      <c r="I71" s="142"/>
      <c r="J71" s="117">
        <v>5435.51</v>
      </c>
      <c r="K71" s="117"/>
      <c r="L71" s="118"/>
      <c r="M71" s="97">
        <f t="shared" ref="M71:O71" si="225">Z71+AC71+AF71+AI71+AL71+AO71+AR71+AU71+AX71+BA71+BD71+BG71</f>
        <v>0</v>
      </c>
      <c r="N71" s="97">
        <f t="shared" si="225"/>
        <v>1470.76</v>
      </c>
      <c r="O71" s="97">
        <f t="shared" si="225"/>
        <v>0</v>
      </c>
      <c r="P71" s="82">
        <f t="shared" ref="P71:R71" si="226">IF(BJ71=0,SUM(Z71+AC71+AF71+AI71+AL71+AO71+AR71+AU71+AX71+BA71+BD71+BG71),BJ71)</f>
        <v>0</v>
      </c>
      <c r="Q71" s="82">
        <f t="shared" si="226"/>
        <v>1470.76</v>
      </c>
      <c r="R71" s="82">
        <f t="shared" si="226"/>
        <v>0</v>
      </c>
      <c r="S71" s="97">
        <f t="shared" ref="S71:T71" si="227">I71-M71</f>
        <v>0</v>
      </c>
      <c r="T71" s="97">
        <f t="shared" si="227"/>
        <v>3964.75</v>
      </c>
      <c r="U71" s="97">
        <f t="shared" si="220"/>
        <v>0</v>
      </c>
      <c r="V71" s="427">
        <f t="shared" si="221"/>
        <v>5.0319833483519689</v>
      </c>
      <c r="W71" s="96">
        <f t="shared" si="222"/>
        <v>8667.01</v>
      </c>
      <c r="X71" s="96">
        <f t="shared" si="223"/>
        <v>4702.26</v>
      </c>
      <c r="Y71" s="428">
        <f t="shared" si="224"/>
        <v>5297.74</v>
      </c>
      <c r="Z71" s="96"/>
      <c r="AA71" s="103">
        <v>324.49</v>
      </c>
      <c r="AB71" s="96"/>
      <c r="AC71" s="96"/>
      <c r="AD71" s="131">
        <v>0</v>
      </c>
      <c r="AE71" s="96"/>
      <c r="AF71" s="96"/>
      <c r="AG71" s="103">
        <v>358.36</v>
      </c>
      <c r="AH71" s="96"/>
      <c r="AI71" s="96"/>
      <c r="AJ71" s="103">
        <f>362.01+425.9</f>
        <v>787.91</v>
      </c>
      <c r="AK71" s="96"/>
      <c r="AL71" s="96"/>
      <c r="AM71" s="96"/>
      <c r="AN71" s="96"/>
      <c r="AO71" s="103">
        <v>0</v>
      </c>
      <c r="AP71" s="96"/>
      <c r="AQ71" s="96"/>
      <c r="AR71" s="103">
        <v>0</v>
      </c>
      <c r="AS71" s="103">
        <v>0</v>
      </c>
      <c r="AT71" s="96"/>
      <c r="AU71" s="103">
        <v>0</v>
      </c>
      <c r="AV71" s="103">
        <v>0</v>
      </c>
      <c r="AW71" s="83"/>
      <c r="AX71" s="103">
        <v>0</v>
      </c>
      <c r="AY71" s="83"/>
      <c r="AZ71" s="83"/>
      <c r="BA71" s="96"/>
      <c r="BB71" s="83"/>
      <c r="BC71" s="83"/>
      <c r="BD71" s="96"/>
      <c r="BE71" s="96"/>
      <c r="BF71" s="83"/>
      <c r="BG71" s="96"/>
      <c r="BH71" s="83"/>
      <c r="BI71" s="83"/>
      <c r="BJ71" s="96"/>
      <c r="BK71" s="83"/>
      <c r="BL71" s="83"/>
      <c r="BM71" s="99"/>
      <c r="BN71" s="164"/>
      <c r="BO71" s="164"/>
      <c r="BP71" s="164"/>
      <c r="BQ71" s="164"/>
    </row>
    <row r="72" spans="1:69" ht="15.75" customHeight="1">
      <c r="A72" s="354" t="s">
        <v>607</v>
      </c>
      <c r="B72" s="136"/>
      <c r="C72" s="101" t="s">
        <v>306</v>
      </c>
      <c r="D72" s="236" t="s">
        <v>886</v>
      </c>
      <c r="E72" s="92">
        <v>30000</v>
      </c>
      <c r="F72" s="162">
        <f t="shared" ref="F72:F73" si="228">E72</f>
        <v>30000</v>
      </c>
      <c r="G72" s="162"/>
      <c r="H72" s="166"/>
      <c r="I72" s="103">
        <v>3006</v>
      </c>
      <c r="J72" s="117"/>
      <c r="K72" s="117"/>
      <c r="L72" s="118"/>
      <c r="M72" s="97">
        <f t="shared" ref="M72:O72" si="229">Z72+AC72+AF72+AI72+AL72+AO72+AR72+AU72+AX72+BA72+BD72+BG72</f>
        <v>0</v>
      </c>
      <c r="N72" s="97">
        <f t="shared" si="229"/>
        <v>0</v>
      </c>
      <c r="O72" s="97">
        <f t="shared" si="229"/>
        <v>0</v>
      </c>
      <c r="P72" s="82">
        <f t="shared" ref="P72:R72" si="230">IF(BJ72=0,SUM(Z72+AC72+AF72+AI72+AL72+AO72+AR72+AU72+AX72+BA72+BD72+BG72),BJ72)</f>
        <v>0</v>
      </c>
      <c r="Q72" s="82">
        <f t="shared" si="230"/>
        <v>0</v>
      </c>
      <c r="R72" s="82">
        <f t="shared" si="230"/>
        <v>0</v>
      </c>
      <c r="S72" s="97">
        <f t="shared" ref="S72:T72" si="231">I72-M72</f>
        <v>3006</v>
      </c>
      <c r="T72" s="97">
        <f t="shared" si="231"/>
        <v>0</v>
      </c>
      <c r="U72" s="97">
        <f t="shared" si="220"/>
        <v>0</v>
      </c>
      <c r="V72" s="427" t="e">
        <f t="shared" si="221"/>
        <v>#DIV/0!</v>
      </c>
      <c r="W72" s="96">
        <f t="shared" si="222"/>
        <v>0</v>
      </c>
      <c r="X72" s="96">
        <f t="shared" si="223"/>
        <v>0</v>
      </c>
      <c r="Y72" s="437">
        <f t="shared" si="224"/>
        <v>30000</v>
      </c>
      <c r="Z72" s="96"/>
      <c r="AA72" s="103">
        <v>0</v>
      </c>
      <c r="AB72" s="96"/>
      <c r="AC72" s="96"/>
      <c r="AD72" s="131">
        <v>0</v>
      </c>
      <c r="AE72" s="96"/>
      <c r="AF72" s="103">
        <v>0</v>
      </c>
      <c r="AG72" s="96"/>
      <c r="AH72" s="96"/>
      <c r="AI72" s="103">
        <v>0</v>
      </c>
      <c r="AJ72" s="96"/>
      <c r="AK72" s="96"/>
      <c r="AL72" s="103">
        <v>0</v>
      </c>
      <c r="AM72" s="96"/>
      <c r="AN72" s="96"/>
      <c r="AO72" s="103">
        <v>0</v>
      </c>
      <c r="AP72" s="96"/>
      <c r="AQ72" s="96"/>
      <c r="AR72" s="103">
        <v>0</v>
      </c>
      <c r="AS72" s="96"/>
      <c r="AT72" s="96"/>
      <c r="AU72" s="103">
        <v>0</v>
      </c>
      <c r="AV72" s="96"/>
      <c r="AW72" s="83"/>
      <c r="AX72" s="103">
        <v>0</v>
      </c>
      <c r="AY72" s="83"/>
      <c r="AZ72" s="83"/>
      <c r="BA72" s="103">
        <v>0</v>
      </c>
      <c r="BB72" s="83"/>
      <c r="BC72" s="83"/>
      <c r="BD72" s="96"/>
      <c r="BE72" s="83"/>
      <c r="BF72" s="83"/>
      <c r="BG72" s="83"/>
      <c r="BH72" s="83"/>
      <c r="BI72" s="83"/>
      <c r="BJ72" s="83"/>
      <c r="BK72" s="83"/>
      <c r="BL72" s="83"/>
      <c r="BM72" s="99"/>
      <c r="BN72" s="164"/>
      <c r="BO72" s="164"/>
      <c r="BP72" s="164"/>
      <c r="BQ72" s="164"/>
    </row>
    <row r="73" spans="1:69" ht="15.75" customHeight="1">
      <c r="A73" s="89"/>
      <c r="B73" s="136" t="s">
        <v>308</v>
      </c>
      <c r="C73" s="101" t="s">
        <v>240</v>
      </c>
      <c r="D73" s="91" t="s">
        <v>887</v>
      </c>
      <c r="E73" s="92">
        <v>5200</v>
      </c>
      <c r="F73" s="162">
        <f t="shared" si="228"/>
        <v>5200</v>
      </c>
      <c r="G73" s="162"/>
      <c r="H73" s="166"/>
      <c r="I73" s="96"/>
      <c r="J73" s="117">
        <v>2723.27</v>
      </c>
      <c r="K73" s="117"/>
      <c r="L73" s="118"/>
      <c r="M73" s="97">
        <f t="shared" ref="M73:O73" si="232">Z73+AC73+AF73+AI73+AL73+AO73+AR73+AU73+AX73+BA73+BD73+BG73</f>
        <v>0</v>
      </c>
      <c r="N73" s="97">
        <f t="shared" si="232"/>
        <v>1911.72</v>
      </c>
      <c r="O73" s="97">
        <f t="shared" si="232"/>
        <v>0</v>
      </c>
      <c r="P73" s="82">
        <f t="shared" ref="P73:P88" si="233">IF(BJ73=0,SUM(Z73+AC73+AF73+AI73+AL73+AO73+AR73+AU73+AX73+BA73+BD73+BG73),BJ73)</f>
        <v>0</v>
      </c>
      <c r="Q73" s="82">
        <f>IF(BK73=0,SUM(AA73+AD73+AG73+AJ73+AM73+AP73+AS73+AU73+AY73+BB73+BE73+BH73),BK73)</f>
        <v>1911.72</v>
      </c>
      <c r="R73" s="82">
        <f>IF(BL73=0,SUM(AB73+AE73+AH73+AK73+AN73+AQ73+AT73+AW73+AZ73+BC73+BF73+BI73),BL73)</f>
        <v>0</v>
      </c>
      <c r="S73" s="97">
        <f t="shared" ref="S73:T73" si="234">I73-M73</f>
        <v>0</v>
      </c>
      <c r="T73" s="97">
        <f t="shared" si="234"/>
        <v>811.55</v>
      </c>
      <c r="U73" s="97">
        <f t="shared" si="220"/>
        <v>0</v>
      </c>
      <c r="V73" s="427">
        <f t="shared" si="221"/>
        <v>1.6980520159856045</v>
      </c>
      <c r="W73" s="96">
        <f t="shared" si="222"/>
        <v>5257.2300000000005</v>
      </c>
      <c r="X73" s="96">
        <f t="shared" si="223"/>
        <v>4445.68</v>
      </c>
      <c r="Y73" s="428">
        <f t="shared" si="224"/>
        <v>754.31999999999971</v>
      </c>
      <c r="Z73" s="96"/>
      <c r="AA73" s="103">
        <v>0</v>
      </c>
      <c r="AB73" s="96"/>
      <c r="AC73" s="96"/>
      <c r="AD73" s="131">
        <f>477.93+477.93</f>
        <v>955.86</v>
      </c>
      <c r="AE73" s="96"/>
      <c r="AF73" s="103">
        <v>0</v>
      </c>
      <c r="AG73" s="103">
        <v>477.93</v>
      </c>
      <c r="AH73" s="96"/>
      <c r="AI73" s="103"/>
      <c r="AJ73" s="103">
        <v>477.93</v>
      </c>
      <c r="AK73" s="96"/>
      <c r="AL73" s="103">
        <v>0</v>
      </c>
      <c r="AM73" s="96"/>
      <c r="AN73" s="96"/>
      <c r="AO73" s="103">
        <v>0</v>
      </c>
      <c r="AP73" s="96"/>
      <c r="AQ73" s="96"/>
      <c r="AR73" s="103">
        <v>0</v>
      </c>
      <c r="AS73" s="96"/>
      <c r="AT73" s="96"/>
      <c r="AU73" s="103">
        <v>0</v>
      </c>
      <c r="AV73" s="21"/>
      <c r="AW73" s="83"/>
      <c r="AX73" s="103">
        <v>0</v>
      </c>
      <c r="AY73" s="83"/>
      <c r="AZ73" s="83"/>
      <c r="BA73" s="83"/>
      <c r="BB73" s="83"/>
      <c r="BC73" s="83"/>
      <c r="BD73" s="96"/>
      <c r="BE73" s="83"/>
      <c r="BF73" s="83"/>
      <c r="BG73" s="83"/>
      <c r="BH73" s="83"/>
      <c r="BI73" s="83"/>
      <c r="BJ73" s="83"/>
      <c r="BK73" s="83"/>
      <c r="BL73" s="83"/>
      <c r="BM73" s="99"/>
      <c r="BN73" s="164"/>
      <c r="BO73" s="164"/>
      <c r="BP73" s="164"/>
      <c r="BQ73" s="164"/>
    </row>
    <row r="74" spans="1:69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429">
        <v>0</v>
      </c>
      <c r="G74" s="429">
        <v>5000</v>
      </c>
      <c r="H74" s="166"/>
      <c r="I74" s="96"/>
      <c r="J74" s="117"/>
      <c r="K74" s="117"/>
      <c r="L74" s="118"/>
      <c r="M74" s="97">
        <f t="shared" ref="M74:O74" si="235">Z74+AC74+AF74+AI74+AL74+AO74+AR74+AU74+AX74+BA74+BD74+BG74</f>
        <v>0</v>
      </c>
      <c r="N74" s="97">
        <f t="shared" si="235"/>
        <v>0</v>
      </c>
      <c r="O74" s="97">
        <f t="shared" si="235"/>
        <v>0</v>
      </c>
      <c r="P74" s="82">
        <f t="shared" si="233"/>
        <v>0</v>
      </c>
      <c r="Q74" s="82">
        <f t="shared" ref="Q74:R74" si="236">IF(BK74=0,SUM(AA74+AD74+AG74+AJ74+AM74+AP74+AS74+AV74+AY74+BB74+BE74+BH74),BK74)</f>
        <v>0</v>
      </c>
      <c r="R74" s="82">
        <f t="shared" si="236"/>
        <v>0</v>
      </c>
      <c r="S74" s="97">
        <f t="shared" ref="S74:T74" si="237">I74-M74</f>
        <v>0</v>
      </c>
      <c r="T74" s="97">
        <f t="shared" si="237"/>
        <v>0</v>
      </c>
      <c r="U74" s="97">
        <f t="shared" si="220"/>
        <v>0</v>
      </c>
      <c r="V74" s="427" t="e">
        <f t="shared" si="221"/>
        <v>#DIV/0!</v>
      </c>
      <c r="W74" s="96">
        <f t="shared" si="222"/>
        <v>0</v>
      </c>
      <c r="X74" s="96">
        <f t="shared" si="223"/>
        <v>0</v>
      </c>
      <c r="Y74" s="428">
        <f t="shared" si="224"/>
        <v>5000</v>
      </c>
      <c r="Z74" s="96"/>
      <c r="AA74" s="103">
        <v>0</v>
      </c>
      <c r="AB74" s="96"/>
      <c r="AC74" s="96"/>
      <c r="AD74" s="131">
        <v>0</v>
      </c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83"/>
      <c r="AX74" s="83"/>
      <c r="AY74" s="83"/>
      <c r="AZ74" s="83"/>
      <c r="BA74" s="83"/>
      <c r="BB74" s="83"/>
      <c r="BC74" s="83"/>
      <c r="BD74" s="96"/>
      <c r="BE74" s="83"/>
      <c r="BF74" s="83"/>
      <c r="BG74" s="83"/>
      <c r="BH74" s="83"/>
      <c r="BI74" s="83"/>
      <c r="BJ74" s="83"/>
      <c r="BK74" s="83"/>
      <c r="BL74" s="83"/>
      <c r="BM74" s="99"/>
      <c r="BN74" s="164"/>
      <c r="BO74" s="164"/>
      <c r="BP74" s="164"/>
      <c r="BQ74" s="164"/>
    </row>
    <row r="75" spans="1:69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162">
        <f t="shared" ref="F75:F78" si="238">E75</f>
        <v>30000</v>
      </c>
      <c r="G75" s="162"/>
      <c r="H75" s="166"/>
      <c r="I75" s="96">
        <v>3084</v>
      </c>
      <c r="J75" s="167">
        <v>2243.89</v>
      </c>
      <c r="K75" s="117"/>
      <c r="L75" s="118"/>
      <c r="M75" s="97">
        <f t="shared" ref="M75:O75" si="239">Z75+AC75+AF75+AI75+AL75+AO75+AR75+AU75+AX75+BA75+BD75+BG75</f>
        <v>0</v>
      </c>
      <c r="N75" s="97">
        <f t="shared" si="239"/>
        <v>1598.22</v>
      </c>
      <c r="O75" s="97">
        <f t="shared" si="239"/>
        <v>0</v>
      </c>
      <c r="P75" s="82">
        <f t="shared" si="233"/>
        <v>0</v>
      </c>
      <c r="Q75" s="82">
        <f t="shared" ref="Q75:R75" si="240">IF(BK75=0,SUM(AA75+AD75+AG75+AJ75+AM75+AP75+AS75+AV75+AY75+BB75+BE75+BH75),BK75)</f>
        <v>1598.22</v>
      </c>
      <c r="R75" s="82">
        <f t="shared" si="240"/>
        <v>0</v>
      </c>
      <c r="S75" s="97">
        <f t="shared" ref="S75:T75" si="241">I75-M75</f>
        <v>3084</v>
      </c>
      <c r="T75" s="97">
        <f t="shared" si="241"/>
        <v>645.66999999999985</v>
      </c>
      <c r="U75" s="97">
        <f t="shared" si="220"/>
        <v>0</v>
      </c>
      <c r="V75" s="427" t="e">
        <f t="shared" si="221"/>
        <v>#DIV/0!</v>
      </c>
      <c r="W75" s="96">
        <f t="shared" si="222"/>
        <v>0</v>
      </c>
      <c r="X75" s="96">
        <f t="shared" si="223"/>
        <v>-645.66999999999985</v>
      </c>
      <c r="Y75" s="428">
        <f t="shared" si="224"/>
        <v>30645.67</v>
      </c>
      <c r="Z75" s="96"/>
      <c r="AA75" s="103">
        <v>0</v>
      </c>
      <c r="AB75" s="96"/>
      <c r="AC75" s="96"/>
      <c r="AD75" s="131">
        <f>284.15+61.09</f>
        <v>345.24</v>
      </c>
      <c r="AE75" s="96"/>
      <c r="AF75" s="96"/>
      <c r="AG75" s="103">
        <f>1252.98</f>
        <v>1252.98</v>
      </c>
      <c r="AH75" s="96"/>
      <c r="AI75" s="96"/>
      <c r="AJ75" s="103">
        <v>0</v>
      </c>
      <c r="AK75" s="96"/>
      <c r="AL75" s="96"/>
      <c r="AM75" s="103">
        <v>0</v>
      </c>
      <c r="AN75" s="96"/>
      <c r="AO75" s="96"/>
      <c r="AP75" s="103">
        <v>0</v>
      </c>
      <c r="AQ75" s="96"/>
      <c r="AR75" s="96"/>
      <c r="AS75" s="96"/>
      <c r="AT75" s="96"/>
      <c r="AU75" s="96"/>
      <c r="AV75" s="103">
        <v>0</v>
      </c>
      <c r="AW75" s="83"/>
      <c r="AX75" s="83"/>
      <c r="AY75" s="103">
        <v>0</v>
      </c>
      <c r="AZ75" s="83"/>
      <c r="BA75" s="83"/>
      <c r="BB75" s="96"/>
      <c r="BC75" s="83"/>
      <c r="BD75" s="96"/>
      <c r="BE75" s="96"/>
      <c r="BF75" s="83"/>
      <c r="BG75" s="83"/>
      <c r="BH75" s="83"/>
      <c r="BI75" s="83"/>
      <c r="BJ75" s="83"/>
      <c r="BK75" s="83"/>
      <c r="BL75" s="83"/>
      <c r="BM75" s="99"/>
      <c r="BN75" s="164"/>
      <c r="BO75" s="164"/>
      <c r="BP75" s="164"/>
      <c r="BQ75" s="164"/>
    </row>
    <row r="76" spans="1:69" ht="14.25" customHeight="1">
      <c r="A76" s="168"/>
      <c r="B76" s="168"/>
      <c r="C76" s="169"/>
      <c r="D76" s="170" t="s">
        <v>314</v>
      </c>
      <c r="E76" s="171">
        <v>23296.54</v>
      </c>
      <c r="F76" s="162">
        <f t="shared" si="238"/>
        <v>23296.54</v>
      </c>
      <c r="G76" s="162"/>
      <c r="H76" s="172"/>
      <c r="I76" s="173"/>
      <c r="J76" s="174"/>
      <c r="K76" s="174"/>
      <c r="L76" s="174"/>
      <c r="M76" s="97">
        <f t="shared" ref="M76:O76" si="242">Z76+AC76+AF76+AI76+AL76+AO76+AR76+AU76+AX76+BA76+BD76+BG76</f>
        <v>0</v>
      </c>
      <c r="N76" s="97">
        <f t="shared" si="242"/>
        <v>0</v>
      </c>
      <c r="O76" s="175">
        <f t="shared" si="242"/>
        <v>0</v>
      </c>
      <c r="P76" s="82">
        <f t="shared" si="233"/>
        <v>0</v>
      </c>
      <c r="Q76" s="82">
        <f t="shared" ref="Q76:R76" si="243">IF(BK76=0,SUM(AA76+AD76+AG76+AJ76+AM76+AP76+AS76+AV76+AY76+BB76+BE76+BH76),BK76)</f>
        <v>0</v>
      </c>
      <c r="R76" s="82">
        <f t="shared" si="243"/>
        <v>0</v>
      </c>
      <c r="S76" s="175">
        <f t="shared" ref="S76:T76" si="244">I76-M76</f>
        <v>0</v>
      </c>
      <c r="T76" s="97">
        <f t="shared" si="244"/>
        <v>0</v>
      </c>
      <c r="U76" s="175">
        <f t="shared" si="220"/>
        <v>0</v>
      </c>
      <c r="V76" s="427" t="e">
        <f t="shared" si="221"/>
        <v>#DIV/0!</v>
      </c>
      <c r="W76" s="96">
        <f t="shared" si="222"/>
        <v>0</v>
      </c>
      <c r="X76" s="96">
        <f t="shared" si="223"/>
        <v>0</v>
      </c>
      <c r="Y76" s="428">
        <f t="shared" si="224"/>
        <v>23296.54</v>
      </c>
      <c r="Z76" s="172"/>
      <c r="AA76" s="172"/>
      <c r="AB76" s="172"/>
      <c r="AC76" s="172"/>
      <c r="AD76" s="177"/>
      <c r="AE76" s="172"/>
      <c r="AF76" s="172"/>
      <c r="AG76" s="172"/>
      <c r="AH76" s="172"/>
      <c r="AI76" s="172"/>
      <c r="AJ76" s="172"/>
      <c r="AK76" s="172"/>
      <c r="AL76" s="171">
        <v>0</v>
      </c>
      <c r="AM76" s="172"/>
      <c r="AN76" s="172"/>
      <c r="AO76" s="178"/>
      <c r="AP76" s="178"/>
      <c r="AQ76" s="178"/>
      <c r="AR76" s="178"/>
      <c r="AS76" s="178"/>
      <c r="AT76" s="178"/>
      <c r="AU76" s="178"/>
      <c r="AV76" s="179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80"/>
      <c r="BN76" s="181"/>
      <c r="BO76" s="181"/>
      <c r="BP76" s="181"/>
      <c r="BQ76" s="181"/>
    </row>
    <row r="77" spans="1:69" ht="15.75" customHeight="1">
      <c r="A77" s="168"/>
      <c r="B77" s="168"/>
      <c r="C77" s="169"/>
      <c r="D77" s="170" t="s">
        <v>315</v>
      </c>
      <c r="E77" s="171">
        <v>23296.54</v>
      </c>
      <c r="F77" s="162">
        <f t="shared" si="238"/>
        <v>23296.54</v>
      </c>
      <c r="G77" s="162"/>
      <c r="H77" s="172"/>
      <c r="I77" s="174"/>
      <c r="J77" s="174"/>
      <c r="K77" s="174"/>
      <c r="L77" s="174"/>
      <c r="M77" s="175">
        <f t="shared" ref="M77:O77" si="245">Z77+AC77+AF77+AI77+AL77+AO77+AR77+AU77+AX77+BA77+BD77+BG77</f>
        <v>0</v>
      </c>
      <c r="N77" s="175">
        <f t="shared" si="245"/>
        <v>0</v>
      </c>
      <c r="O77" s="175">
        <f t="shared" si="245"/>
        <v>0</v>
      </c>
      <c r="P77" s="82">
        <f t="shared" si="233"/>
        <v>0</v>
      </c>
      <c r="Q77" s="82">
        <f t="shared" ref="Q77:R77" si="246">IF(BK77=0,SUM(AA77+AD77+AG77+AJ77+AM77+AP77+AS77+AV77+AY77+BB77+BE77+BH77),BK77)</f>
        <v>0</v>
      </c>
      <c r="R77" s="82">
        <f t="shared" si="246"/>
        <v>0</v>
      </c>
      <c r="S77" s="175">
        <f t="shared" ref="S77:T77" si="247">I77-M77</f>
        <v>0</v>
      </c>
      <c r="T77" s="175">
        <f t="shared" si="247"/>
        <v>0</v>
      </c>
      <c r="U77" s="175">
        <f t="shared" si="220"/>
        <v>0</v>
      </c>
      <c r="V77" s="427" t="e">
        <f t="shared" si="221"/>
        <v>#DIV/0!</v>
      </c>
      <c r="W77" s="96">
        <f t="shared" si="222"/>
        <v>0</v>
      </c>
      <c r="X77" s="96">
        <f t="shared" si="223"/>
        <v>0</v>
      </c>
      <c r="Y77" s="428">
        <f t="shared" si="224"/>
        <v>23296.54</v>
      </c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80"/>
      <c r="BN77" s="181"/>
      <c r="BO77" s="181"/>
      <c r="BP77" s="181"/>
      <c r="BQ77" s="181"/>
    </row>
    <row r="78" spans="1:69" ht="18.75" customHeight="1">
      <c r="A78" s="182"/>
      <c r="B78" s="182"/>
      <c r="C78" s="183"/>
      <c r="D78" s="184" t="s">
        <v>316</v>
      </c>
      <c r="E78" s="185">
        <v>23296.54</v>
      </c>
      <c r="F78" s="162">
        <f t="shared" si="238"/>
        <v>23296.54</v>
      </c>
      <c r="G78" s="162"/>
      <c r="H78" s="186"/>
      <c r="I78" s="186">
        <f t="shared" ref="I78:O78" si="248">SUM(I79:I80)</f>
        <v>0</v>
      </c>
      <c r="J78" s="186">
        <f t="shared" si="248"/>
        <v>0</v>
      </c>
      <c r="K78" s="186">
        <f t="shared" si="248"/>
        <v>0</v>
      </c>
      <c r="L78" s="186">
        <f t="shared" si="248"/>
        <v>0</v>
      </c>
      <c r="M78" s="186">
        <f t="shared" si="248"/>
        <v>0</v>
      </c>
      <c r="N78" s="186">
        <f t="shared" si="248"/>
        <v>0</v>
      </c>
      <c r="O78" s="186">
        <f t="shared" si="248"/>
        <v>0</v>
      </c>
      <c r="P78" s="81">
        <f t="shared" si="233"/>
        <v>0</v>
      </c>
      <c r="Q78" s="81">
        <f t="shared" ref="Q78:R78" si="249">IF(BK78=0,SUM(AA78+AD78+AG78+AJ78+AM78+AP78+AS78+AV78+AY78+BB78+BE78+BH78),BK78)</f>
        <v>0</v>
      </c>
      <c r="R78" s="81">
        <f t="shared" si="249"/>
        <v>0</v>
      </c>
      <c r="S78" s="186">
        <f t="shared" ref="S78:U78" si="250">SUM(S79:S80)</f>
        <v>0</v>
      </c>
      <c r="T78" s="186">
        <f t="shared" si="250"/>
        <v>0</v>
      </c>
      <c r="U78" s="186">
        <f t="shared" si="250"/>
        <v>0</v>
      </c>
      <c r="V78" s="427" t="e">
        <f t="shared" si="221"/>
        <v>#DIV/0!</v>
      </c>
      <c r="W78" s="96">
        <f t="shared" si="222"/>
        <v>0</v>
      </c>
      <c r="X78" s="96">
        <f t="shared" si="223"/>
        <v>0</v>
      </c>
      <c r="Y78" s="428">
        <f t="shared" si="224"/>
        <v>23296.54</v>
      </c>
      <c r="Z78" s="186">
        <f t="shared" ref="Z78:BL78" si="251">SUM(Z79:Z80)</f>
        <v>0</v>
      </c>
      <c r="AA78" s="186">
        <f t="shared" si="251"/>
        <v>0</v>
      </c>
      <c r="AB78" s="186">
        <f t="shared" si="251"/>
        <v>0</v>
      </c>
      <c r="AC78" s="186">
        <f t="shared" si="251"/>
        <v>0</v>
      </c>
      <c r="AD78" s="186">
        <f t="shared" si="251"/>
        <v>0</v>
      </c>
      <c r="AE78" s="186">
        <f t="shared" si="251"/>
        <v>0</v>
      </c>
      <c r="AF78" s="186">
        <f t="shared" si="251"/>
        <v>0</v>
      </c>
      <c r="AG78" s="186">
        <f t="shared" si="251"/>
        <v>0</v>
      </c>
      <c r="AH78" s="186">
        <f t="shared" si="251"/>
        <v>0</v>
      </c>
      <c r="AI78" s="186">
        <f t="shared" si="251"/>
        <v>0</v>
      </c>
      <c r="AJ78" s="186">
        <f t="shared" si="251"/>
        <v>0</v>
      </c>
      <c r="AK78" s="186">
        <f t="shared" si="251"/>
        <v>0</v>
      </c>
      <c r="AL78" s="186">
        <f t="shared" si="251"/>
        <v>0</v>
      </c>
      <c r="AM78" s="186">
        <f t="shared" si="251"/>
        <v>0</v>
      </c>
      <c r="AN78" s="186">
        <f t="shared" si="251"/>
        <v>0</v>
      </c>
      <c r="AO78" s="186">
        <f t="shared" si="251"/>
        <v>0</v>
      </c>
      <c r="AP78" s="186">
        <f t="shared" si="251"/>
        <v>0</v>
      </c>
      <c r="AQ78" s="186">
        <f t="shared" si="251"/>
        <v>0</v>
      </c>
      <c r="AR78" s="186">
        <f t="shared" si="251"/>
        <v>0</v>
      </c>
      <c r="AS78" s="186">
        <f t="shared" si="251"/>
        <v>0</v>
      </c>
      <c r="AT78" s="186">
        <f t="shared" si="251"/>
        <v>0</v>
      </c>
      <c r="AU78" s="186">
        <f t="shared" si="251"/>
        <v>0</v>
      </c>
      <c r="AV78" s="186">
        <f t="shared" si="251"/>
        <v>0</v>
      </c>
      <c r="AW78" s="186">
        <f t="shared" si="251"/>
        <v>0</v>
      </c>
      <c r="AX78" s="186">
        <f t="shared" si="251"/>
        <v>0</v>
      </c>
      <c r="AY78" s="186">
        <f t="shared" si="251"/>
        <v>0</v>
      </c>
      <c r="AZ78" s="186">
        <f t="shared" si="251"/>
        <v>0</v>
      </c>
      <c r="BA78" s="186">
        <f t="shared" si="251"/>
        <v>0</v>
      </c>
      <c r="BB78" s="186">
        <f t="shared" si="251"/>
        <v>0</v>
      </c>
      <c r="BC78" s="186">
        <f t="shared" si="251"/>
        <v>0</v>
      </c>
      <c r="BD78" s="186">
        <f t="shared" si="251"/>
        <v>0</v>
      </c>
      <c r="BE78" s="186">
        <f t="shared" si="251"/>
        <v>0</v>
      </c>
      <c r="BF78" s="186">
        <f t="shared" si="251"/>
        <v>0</v>
      </c>
      <c r="BG78" s="186">
        <f t="shared" si="251"/>
        <v>0</v>
      </c>
      <c r="BH78" s="186">
        <f t="shared" si="251"/>
        <v>0</v>
      </c>
      <c r="BI78" s="186">
        <f t="shared" si="251"/>
        <v>0</v>
      </c>
      <c r="BJ78" s="186">
        <f t="shared" si="251"/>
        <v>0</v>
      </c>
      <c r="BK78" s="186">
        <f t="shared" si="251"/>
        <v>0</v>
      </c>
      <c r="BL78" s="186">
        <f t="shared" si="251"/>
        <v>0</v>
      </c>
      <c r="BM78" s="157"/>
      <c r="BN78" s="158"/>
      <c r="BO78" s="158"/>
      <c r="BP78" s="158"/>
      <c r="BQ78" s="158"/>
    </row>
    <row r="79" spans="1:69" ht="15.75" customHeight="1">
      <c r="A79" s="89"/>
      <c r="B79" s="89"/>
      <c r="C79" s="90" t="s">
        <v>271</v>
      </c>
      <c r="D79" s="91" t="s">
        <v>317</v>
      </c>
      <c r="E79" s="166"/>
      <c r="F79" s="166"/>
      <c r="G79" s="166"/>
      <c r="H79" s="166"/>
      <c r="I79" s="96"/>
      <c r="J79" s="190"/>
      <c r="K79" s="190"/>
      <c r="L79" s="190"/>
      <c r="M79" s="97">
        <f t="shared" ref="M79:O79" si="252">Z79+AC79+AF79+AI79+AL79+AO79+AR79+AU79+AX79+BA79+BD79+BG79</f>
        <v>0</v>
      </c>
      <c r="N79" s="97">
        <f t="shared" si="252"/>
        <v>0</v>
      </c>
      <c r="O79" s="97">
        <f t="shared" si="252"/>
        <v>0</v>
      </c>
      <c r="P79" s="82">
        <f t="shared" si="233"/>
        <v>0</v>
      </c>
      <c r="Q79" s="82">
        <f t="shared" ref="Q79:R79" si="253">IF(BK79=0,SUM(AA79+AD79+AG79+AJ79+AM79+AP79+AS79+AV79+AY79+BB79+BE79+BH79),BK79)</f>
        <v>0</v>
      </c>
      <c r="R79" s="82">
        <f t="shared" si="253"/>
        <v>0</v>
      </c>
      <c r="S79" s="97">
        <f t="shared" ref="S79:T79" si="254">I79-M79</f>
        <v>0</v>
      </c>
      <c r="T79" s="97">
        <f t="shared" si="254"/>
        <v>0</v>
      </c>
      <c r="U79" s="97">
        <f t="shared" ref="U79:U80" si="255">L79-O79</f>
        <v>0</v>
      </c>
      <c r="V79" s="427" t="e">
        <f t="shared" si="221"/>
        <v>#DIV/0!</v>
      </c>
      <c r="W79" s="96">
        <f t="shared" si="222"/>
        <v>0</v>
      </c>
      <c r="X79" s="96">
        <f t="shared" si="223"/>
        <v>0</v>
      </c>
      <c r="Y79" s="428">
        <f t="shared" si="224"/>
        <v>0</v>
      </c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95">
        <v>0</v>
      </c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95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99"/>
      <c r="BN79" s="100"/>
      <c r="BO79" s="100"/>
      <c r="BP79" s="100"/>
      <c r="BQ79" s="100"/>
    </row>
    <row r="80" spans="1:69" ht="15.75" customHeight="1">
      <c r="A80" s="89"/>
      <c r="B80" s="89"/>
      <c r="C80" s="90" t="s">
        <v>318</v>
      </c>
      <c r="D80" s="91" t="s">
        <v>319</v>
      </c>
      <c r="E80" s="166"/>
      <c r="F80" s="166"/>
      <c r="G80" s="166"/>
      <c r="H80" s="166"/>
      <c r="I80" s="96"/>
      <c r="J80" s="190"/>
      <c r="K80" s="190"/>
      <c r="L80" s="190"/>
      <c r="M80" s="97">
        <f t="shared" ref="M80:O80" si="256">Z80+AC80+AF80+AI80+AL80+AO80+AR80+AU80+AX80+BA80+BD80+BG80</f>
        <v>0</v>
      </c>
      <c r="N80" s="97">
        <f t="shared" si="256"/>
        <v>0</v>
      </c>
      <c r="O80" s="97">
        <f t="shared" si="256"/>
        <v>0</v>
      </c>
      <c r="P80" s="82">
        <f t="shared" si="233"/>
        <v>0</v>
      </c>
      <c r="Q80" s="82">
        <f t="shared" ref="Q80:R80" si="257">IF(BK80=0,SUM(AA80+AD80+AG80+AJ80+AM80+AP80+AS80+AV80+AY80+BB80+BE80+BH80),BK80)</f>
        <v>0</v>
      </c>
      <c r="R80" s="82">
        <f t="shared" si="257"/>
        <v>0</v>
      </c>
      <c r="S80" s="97">
        <f t="shared" ref="S80:T80" si="258">I80-M80</f>
        <v>0</v>
      </c>
      <c r="T80" s="97">
        <f t="shared" si="258"/>
        <v>0</v>
      </c>
      <c r="U80" s="97">
        <f t="shared" si="255"/>
        <v>0</v>
      </c>
      <c r="V80" s="427" t="e">
        <f t="shared" si="221"/>
        <v>#DIV/0!</v>
      </c>
      <c r="W80" s="96">
        <f t="shared" si="222"/>
        <v>0</v>
      </c>
      <c r="X80" s="96">
        <f t="shared" si="223"/>
        <v>0</v>
      </c>
      <c r="Y80" s="428">
        <f t="shared" si="224"/>
        <v>0</v>
      </c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95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95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99"/>
      <c r="BN80" s="100"/>
      <c r="BO80" s="100"/>
      <c r="BP80" s="100"/>
      <c r="BQ80" s="100"/>
    </row>
    <row r="81" spans="1:69" ht="15.75" customHeight="1">
      <c r="A81" s="151"/>
      <c r="B81" s="151"/>
      <c r="C81" s="191"/>
      <c r="D81" s="153" t="s">
        <v>320</v>
      </c>
      <c r="E81" s="154">
        <f t="shared" ref="E81:F81" si="259">SUM(E82:E84)</f>
        <v>13808</v>
      </c>
      <c r="F81" s="154">
        <f t="shared" si="259"/>
        <v>13255.84</v>
      </c>
      <c r="G81" s="154"/>
      <c r="H81" s="154">
        <f t="shared" ref="H81:O81" si="260">SUM(H82:H84)</f>
        <v>0</v>
      </c>
      <c r="I81" s="154">
        <f t="shared" si="260"/>
        <v>3808</v>
      </c>
      <c r="J81" s="154">
        <f t="shared" si="260"/>
        <v>0</v>
      </c>
      <c r="K81" s="154">
        <f t="shared" si="260"/>
        <v>0</v>
      </c>
      <c r="L81" s="154">
        <f t="shared" si="260"/>
        <v>0</v>
      </c>
      <c r="M81" s="154">
        <f t="shared" si="260"/>
        <v>0</v>
      </c>
      <c r="N81" s="154">
        <f t="shared" si="260"/>
        <v>0</v>
      </c>
      <c r="O81" s="154">
        <f t="shared" si="260"/>
        <v>0</v>
      </c>
      <c r="P81" s="81">
        <f t="shared" si="233"/>
        <v>0</v>
      </c>
      <c r="Q81" s="81">
        <f t="shared" ref="Q81:R81" si="261">IF(BK81=0,SUM(AA81+AD81+AG81+AJ81+AM81+AP81+AS81+AV81+AY81+BB81+BE81+BH81),BK81)</f>
        <v>0</v>
      </c>
      <c r="R81" s="81">
        <f t="shared" si="261"/>
        <v>0</v>
      </c>
      <c r="S81" s="154">
        <f t="shared" ref="S81:U81" si="262">SUM(S82:S84)</f>
        <v>3808</v>
      </c>
      <c r="T81" s="154">
        <f t="shared" si="262"/>
        <v>0</v>
      </c>
      <c r="U81" s="154">
        <f t="shared" si="262"/>
        <v>0</v>
      </c>
      <c r="V81" s="427" t="e">
        <f t="shared" si="221"/>
        <v>#DIV/0!</v>
      </c>
      <c r="W81" s="96">
        <f t="shared" si="222"/>
        <v>0</v>
      </c>
      <c r="X81" s="96">
        <f t="shared" si="223"/>
        <v>0</v>
      </c>
      <c r="Y81" s="428"/>
      <c r="Z81" s="154">
        <f t="shared" ref="Z81:BL81" si="263">SUM(Z82:Z84)</f>
        <v>0</v>
      </c>
      <c r="AA81" s="154">
        <f t="shared" si="263"/>
        <v>0</v>
      </c>
      <c r="AB81" s="154">
        <f t="shared" si="263"/>
        <v>0</v>
      </c>
      <c r="AC81" s="154">
        <f t="shared" si="263"/>
        <v>0</v>
      </c>
      <c r="AD81" s="154">
        <f t="shared" si="263"/>
        <v>0</v>
      </c>
      <c r="AE81" s="154">
        <f t="shared" si="263"/>
        <v>0</v>
      </c>
      <c r="AF81" s="154">
        <f t="shared" si="263"/>
        <v>0</v>
      </c>
      <c r="AG81" s="154">
        <f t="shared" si="263"/>
        <v>0</v>
      </c>
      <c r="AH81" s="154">
        <f t="shared" si="263"/>
        <v>0</v>
      </c>
      <c r="AI81" s="154">
        <f t="shared" si="263"/>
        <v>0</v>
      </c>
      <c r="AJ81" s="154">
        <f t="shared" si="263"/>
        <v>0</v>
      </c>
      <c r="AK81" s="154">
        <f t="shared" si="263"/>
        <v>0</v>
      </c>
      <c r="AL81" s="154">
        <f t="shared" si="263"/>
        <v>0</v>
      </c>
      <c r="AM81" s="154">
        <f t="shared" si="263"/>
        <v>0</v>
      </c>
      <c r="AN81" s="154">
        <f t="shared" si="263"/>
        <v>0</v>
      </c>
      <c r="AO81" s="154">
        <f t="shared" si="263"/>
        <v>0</v>
      </c>
      <c r="AP81" s="154">
        <f t="shared" si="263"/>
        <v>0</v>
      </c>
      <c r="AQ81" s="154">
        <f t="shared" si="263"/>
        <v>0</v>
      </c>
      <c r="AR81" s="154">
        <f t="shared" si="263"/>
        <v>0</v>
      </c>
      <c r="AS81" s="154">
        <f t="shared" si="263"/>
        <v>0</v>
      </c>
      <c r="AT81" s="154">
        <f t="shared" si="263"/>
        <v>0</v>
      </c>
      <c r="AU81" s="154">
        <f t="shared" si="263"/>
        <v>0</v>
      </c>
      <c r="AV81" s="154">
        <f t="shared" si="263"/>
        <v>0</v>
      </c>
      <c r="AW81" s="154">
        <f t="shared" si="263"/>
        <v>0</v>
      </c>
      <c r="AX81" s="154">
        <f t="shared" si="263"/>
        <v>0</v>
      </c>
      <c r="AY81" s="154">
        <f t="shared" si="263"/>
        <v>0</v>
      </c>
      <c r="AZ81" s="154">
        <f t="shared" si="263"/>
        <v>0</v>
      </c>
      <c r="BA81" s="154">
        <f t="shared" si="263"/>
        <v>0</v>
      </c>
      <c r="BB81" s="154">
        <f t="shared" si="263"/>
        <v>0</v>
      </c>
      <c r="BC81" s="154">
        <f t="shared" si="263"/>
        <v>0</v>
      </c>
      <c r="BD81" s="154">
        <f t="shared" si="263"/>
        <v>0</v>
      </c>
      <c r="BE81" s="154">
        <f t="shared" si="263"/>
        <v>0</v>
      </c>
      <c r="BF81" s="154">
        <f t="shared" si="263"/>
        <v>0</v>
      </c>
      <c r="BG81" s="154">
        <f t="shared" si="263"/>
        <v>0</v>
      </c>
      <c r="BH81" s="154">
        <f t="shared" si="263"/>
        <v>0</v>
      </c>
      <c r="BI81" s="154">
        <f t="shared" si="263"/>
        <v>0</v>
      </c>
      <c r="BJ81" s="154">
        <f t="shared" si="263"/>
        <v>0</v>
      </c>
      <c r="BK81" s="154">
        <f t="shared" si="263"/>
        <v>0</v>
      </c>
      <c r="BL81" s="154">
        <f t="shared" si="263"/>
        <v>0</v>
      </c>
      <c r="BM81" s="157"/>
      <c r="BN81" s="158"/>
      <c r="BO81" s="158"/>
      <c r="BP81" s="158"/>
      <c r="BQ81" s="158"/>
    </row>
    <row r="82" spans="1:69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162">
        <f t="shared" ref="F82:F83" si="264">-(E82*14.5%)+E82</f>
        <v>3255.84</v>
      </c>
      <c r="G82" s="162"/>
      <c r="H82" s="166"/>
      <c r="I82" s="96">
        <v>3808</v>
      </c>
      <c r="J82" s="96"/>
      <c r="K82" s="96"/>
      <c r="L82" s="95"/>
      <c r="M82" s="97">
        <f t="shared" ref="M82:O82" si="265">Z82+AC82+AF82+AI82+AL82+AO82+AR82+AU82+AX82+BA82+BD82+BG82</f>
        <v>0</v>
      </c>
      <c r="N82" s="97">
        <f t="shared" si="265"/>
        <v>0</v>
      </c>
      <c r="O82" s="97">
        <f t="shared" si="265"/>
        <v>0</v>
      </c>
      <c r="P82" s="82">
        <f t="shared" si="233"/>
        <v>0</v>
      </c>
      <c r="Q82" s="82">
        <f t="shared" ref="Q82:R82" si="266">IF(BK82=0,SUM(AA82+AD82+AG82+AJ82+AM82+AP82+AS82+AV82+AY82+BB82+BE82+BH82),BK82)</f>
        <v>0</v>
      </c>
      <c r="R82" s="82">
        <f t="shared" si="266"/>
        <v>0</v>
      </c>
      <c r="S82" s="97">
        <f t="shared" ref="S82:T82" si="267">I82-M82</f>
        <v>3808</v>
      </c>
      <c r="T82" s="97">
        <f t="shared" si="267"/>
        <v>0</v>
      </c>
      <c r="U82" s="97">
        <f t="shared" ref="U82:U84" si="268">L82-O82</f>
        <v>0</v>
      </c>
      <c r="V82" s="427" t="e">
        <f t="shared" si="221"/>
        <v>#DIV/0!</v>
      </c>
      <c r="W82" s="96">
        <f t="shared" si="222"/>
        <v>0</v>
      </c>
      <c r="X82" s="96">
        <f t="shared" si="223"/>
        <v>0</v>
      </c>
      <c r="Y82" s="428">
        <f t="shared" ref="Y82:Y84" si="269">E82-X82</f>
        <v>3808</v>
      </c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9"/>
      <c r="BN82" s="100"/>
      <c r="BO82" s="100"/>
      <c r="BP82" s="100"/>
      <c r="BQ82" s="100"/>
    </row>
    <row r="83" spans="1:69" ht="15.75" customHeight="1">
      <c r="A83" s="89"/>
      <c r="B83" s="89"/>
      <c r="C83" s="90" t="s">
        <v>213</v>
      </c>
      <c r="D83" s="91" t="s">
        <v>74</v>
      </c>
      <c r="E83" s="166"/>
      <c r="F83" s="162">
        <f t="shared" si="264"/>
        <v>0</v>
      </c>
      <c r="G83" s="162"/>
      <c r="H83" s="166"/>
      <c r="I83" s="96"/>
      <c r="J83" s="96"/>
      <c r="K83" s="96"/>
      <c r="L83" s="95"/>
      <c r="M83" s="97">
        <f t="shared" ref="M83:O83" si="270">Z83+AC83+AF83+AI83+AL83+AO83+AR83+AU83+AX83+BA83+BD83+BG83</f>
        <v>0</v>
      </c>
      <c r="N83" s="97">
        <f t="shared" si="270"/>
        <v>0</v>
      </c>
      <c r="O83" s="97">
        <f t="shared" si="270"/>
        <v>0</v>
      </c>
      <c r="P83" s="82">
        <f t="shared" si="233"/>
        <v>0</v>
      </c>
      <c r="Q83" s="82">
        <f t="shared" ref="Q83:R83" si="271">IF(BK83=0,SUM(AA83+AD83+AG83+AJ83+AM83+AP83+AS83+AV83+AY83+BB83+BE83+BH83),BK83)</f>
        <v>0</v>
      </c>
      <c r="R83" s="82">
        <f t="shared" si="271"/>
        <v>0</v>
      </c>
      <c r="S83" s="97">
        <f t="shared" ref="S83:T83" si="272">I83-M83</f>
        <v>0</v>
      </c>
      <c r="T83" s="97">
        <f t="shared" si="272"/>
        <v>0</v>
      </c>
      <c r="U83" s="97">
        <f t="shared" si="268"/>
        <v>0</v>
      </c>
      <c r="V83" s="427" t="e">
        <f t="shared" si="221"/>
        <v>#DIV/0!</v>
      </c>
      <c r="W83" s="96">
        <f t="shared" si="222"/>
        <v>0</v>
      </c>
      <c r="X83" s="96">
        <f t="shared" si="223"/>
        <v>0</v>
      </c>
      <c r="Y83" s="428">
        <f t="shared" si="269"/>
        <v>0</v>
      </c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9"/>
      <c r="BN83" s="100"/>
      <c r="BO83" s="100"/>
      <c r="BP83" s="100"/>
      <c r="BQ83" s="100"/>
    </row>
    <row r="84" spans="1:69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162">
        <f>E84</f>
        <v>10000</v>
      </c>
      <c r="G84" s="162"/>
      <c r="H84" s="195"/>
      <c r="I84" s="142"/>
      <c r="J84" s="96"/>
      <c r="K84" s="96"/>
      <c r="L84" s="95"/>
      <c r="M84" s="97">
        <f t="shared" ref="M84:O84" si="273">Z84+AC84+AF84+AI84+AL84+AO84+AR84+AU84+AX84+BA84+BD84+BG84</f>
        <v>0</v>
      </c>
      <c r="N84" s="97">
        <f t="shared" si="273"/>
        <v>0</v>
      </c>
      <c r="O84" s="97">
        <f t="shared" si="273"/>
        <v>0</v>
      </c>
      <c r="P84" s="82">
        <f t="shared" si="233"/>
        <v>0</v>
      </c>
      <c r="Q84" s="82">
        <f t="shared" ref="Q84:R84" si="274">IF(BK84=0,SUM(AA84+AD84+AG84+AJ84+AM84+AP84+AS84+AV84+AY84+BB84+BE84+BH84),BK84)</f>
        <v>0</v>
      </c>
      <c r="R84" s="82">
        <f t="shared" si="274"/>
        <v>0</v>
      </c>
      <c r="S84" s="97">
        <f t="shared" ref="S84:T84" si="275">I84-M84</f>
        <v>0</v>
      </c>
      <c r="T84" s="97">
        <f t="shared" si="275"/>
        <v>0</v>
      </c>
      <c r="U84" s="97">
        <f t="shared" si="268"/>
        <v>0</v>
      </c>
      <c r="V84" s="427" t="e">
        <f t="shared" si="221"/>
        <v>#DIV/0!</v>
      </c>
      <c r="W84" s="96">
        <f t="shared" si="222"/>
        <v>0</v>
      </c>
      <c r="X84" s="96">
        <f t="shared" si="223"/>
        <v>0</v>
      </c>
      <c r="Y84" s="428">
        <f t="shared" si="269"/>
        <v>10000</v>
      </c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103">
        <v>0</v>
      </c>
      <c r="BB84" s="96"/>
      <c r="BC84" s="96"/>
      <c r="BD84" s="96"/>
      <c r="BE84" s="96"/>
      <c r="BF84" s="96"/>
      <c r="BG84" s="103">
        <v>0</v>
      </c>
      <c r="BH84" s="96"/>
      <c r="BI84" s="96"/>
      <c r="BJ84" s="96"/>
      <c r="BK84" s="96"/>
      <c r="BL84" s="96"/>
      <c r="BM84" s="99"/>
      <c r="BN84" s="100"/>
      <c r="BO84" s="100"/>
      <c r="BP84" s="100"/>
      <c r="BQ84" s="100"/>
    </row>
    <row r="85" spans="1:69" ht="15.75" customHeight="1">
      <c r="A85" s="151"/>
      <c r="B85" s="151"/>
      <c r="C85" s="191"/>
      <c r="D85" s="153" t="s">
        <v>322</v>
      </c>
      <c r="E85" s="154">
        <f t="shared" ref="E85:F85" si="276">SUM(E86:E89)</f>
        <v>32329.200000000001</v>
      </c>
      <c r="F85" s="154">
        <f t="shared" si="276"/>
        <v>22475.200000000001</v>
      </c>
      <c r="G85" s="154"/>
      <c r="H85" s="154">
        <f>SUM(H86:H88)</f>
        <v>0</v>
      </c>
      <c r="I85" s="154">
        <f t="shared" ref="I85:K85" si="277">SUM(I86:I89)</f>
        <v>0</v>
      </c>
      <c r="J85" s="154">
        <f t="shared" si="277"/>
        <v>73937.67</v>
      </c>
      <c r="K85" s="154">
        <f t="shared" si="277"/>
        <v>0</v>
      </c>
      <c r="L85" s="154">
        <f t="shared" ref="L85:M85" si="278">SUM(L86:L88)</f>
        <v>0</v>
      </c>
      <c r="M85" s="154">
        <f t="shared" si="278"/>
        <v>0</v>
      </c>
      <c r="N85" s="154">
        <f>SUM(N86:N89)</f>
        <v>15933.4</v>
      </c>
      <c r="O85" s="154">
        <f>SUM(O86:O88)</f>
        <v>0</v>
      </c>
      <c r="P85" s="81">
        <f t="shared" si="233"/>
        <v>0</v>
      </c>
      <c r="Q85" s="81">
        <f t="shared" ref="Q85:R85" si="279">IF(BK85=0,SUM(AA85+AD85+AG85+AJ85+AM85+AP85+AS85+AV85+AY85+BB85+BE85+BH85),BK85)</f>
        <v>15933.4</v>
      </c>
      <c r="R85" s="81">
        <f t="shared" si="279"/>
        <v>0</v>
      </c>
      <c r="S85" s="154">
        <f t="shared" ref="S85:T85" si="280">SUM(S86:S89)</f>
        <v>0</v>
      </c>
      <c r="T85" s="154">
        <f t="shared" si="280"/>
        <v>58004.27</v>
      </c>
      <c r="U85" s="154">
        <f>SUM(U86:U88)</f>
        <v>0</v>
      </c>
      <c r="V85" s="427">
        <f t="shared" si="221"/>
        <v>29.899108247422678</v>
      </c>
      <c r="W85" s="96"/>
      <c r="X85" s="96"/>
      <c r="Y85" s="428"/>
      <c r="Z85" s="154">
        <f t="shared" ref="Z85:AI85" si="281">SUM(Z86:Z88)</f>
        <v>0</v>
      </c>
      <c r="AA85" s="154">
        <f t="shared" si="281"/>
        <v>4271.3999999999996</v>
      </c>
      <c r="AB85" s="154">
        <f t="shared" si="281"/>
        <v>0</v>
      </c>
      <c r="AC85" s="154">
        <f t="shared" si="281"/>
        <v>0</v>
      </c>
      <c r="AD85" s="154">
        <f t="shared" si="281"/>
        <v>6630</v>
      </c>
      <c r="AE85" s="154">
        <f t="shared" si="281"/>
        <v>0</v>
      </c>
      <c r="AF85" s="154">
        <f t="shared" si="281"/>
        <v>0</v>
      </c>
      <c r="AG85" s="154">
        <f t="shared" si="281"/>
        <v>3092</v>
      </c>
      <c r="AH85" s="154">
        <f t="shared" si="281"/>
        <v>0</v>
      </c>
      <c r="AI85" s="154">
        <f t="shared" si="281"/>
        <v>0</v>
      </c>
      <c r="AJ85" s="154">
        <f>SUM(AJ86:AJ89)</f>
        <v>1940</v>
      </c>
      <c r="AK85" s="154">
        <f t="shared" ref="AK85:BL85" si="282">SUM(AK86:AK88)</f>
        <v>0</v>
      </c>
      <c r="AL85" s="154">
        <f t="shared" si="282"/>
        <v>0</v>
      </c>
      <c r="AM85" s="154">
        <f t="shared" si="282"/>
        <v>0</v>
      </c>
      <c r="AN85" s="154">
        <f t="shared" si="282"/>
        <v>0</v>
      </c>
      <c r="AO85" s="154">
        <f t="shared" si="282"/>
        <v>0</v>
      </c>
      <c r="AP85" s="154">
        <f t="shared" si="282"/>
        <v>0</v>
      </c>
      <c r="AQ85" s="154">
        <f t="shared" si="282"/>
        <v>0</v>
      </c>
      <c r="AR85" s="154">
        <f t="shared" si="282"/>
        <v>0</v>
      </c>
      <c r="AS85" s="154">
        <f t="shared" si="282"/>
        <v>0</v>
      </c>
      <c r="AT85" s="154">
        <f t="shared" si="282"/>
        <v>0</v>
      </c>
      <c r="AU85" s="154">
        <f t="shared" si="282"/>
        <v>0</v>
      </c>
      <c r="AV85" s="154">
        <f t="shared" si="282"/>
        <v>0</v>
      </c>
      <c r="AW85" s="154">
        <f t="shared" si="282"/>
        <v>0</v>
      </c>
      <c r="AX85" s="154">
        <f t="shared" si="282"/>
        <v>0</v>
      </c>
      <c r="AY85" s="154">
        <f t="shared" si="282"/>
        <v>0</v>
      </c>
      <c r="AZ85" s="154">
        <f t="shared" si="282"/>
        <v>0</v>
      </c>
      <c r="BA85" s="154">
        <f t="shared" si="282"/>
        <v>0</v>
      </c>
      <c r="BB85" s="154">
        <f t="shared" si="282"/>
        <v>0</v>
      </c>
      <c r="BC85" s="154">
        <f t="shared" si="282"/>
        <v>0</v>
      </c>
      <c r="BD85" s="154">
        <f t="shared" si="282"/>
        <v>0</v>
      </c>
      <c r="BE85" s="154">
        <f t="shared" si="282"/>
        <v>0</v>
      </c>
      <c r="BF85" s="154">
        <f t="shared" si="282"/>
        <v>0</v>
      </c>
      <c r="BG85" s="154">
        <f t="shared" si="282"/>
        <v>0</v>
      </c>
      <c r="BH85" s="154">
        <f t="shared" si="282"/>
        <v>0</v>
      </c>
      <c r="BI85" s="154">
        <f t="shared" si="282"/>
        <v>0</v>
      </c>
      <c r="BJ85" s="154">
        <f t="shared" si="282"/>
        <v>0</v>
      </c>
      <c r="BK85" s="154">
        <f t="shared" si="282"/>
        <v>0</v>
      </c>
      <c r="BL85" s="154">
        <f t="shared" si="282"/>
        <v>0</v>
      </c>
      <c r="BM85" s="157"/>
      <c r="BN85" s="158"/>
      <c r="BO85" s="158"/>
      <c r="BP85" s="158"/>
      <c r="BQ85" s="158"/>
    </row>
    <row r="86" spans="1:69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162">
        <f t="shared" ref="F86:F87" si="283">E86</f>
        <v>10925.2</v>
      </c>
      <c r="G86" s="162"/>
      <c r="H86" s="166"/>
      <c r="I86" s="142"/>
      <c r="J86" s="96"/>
      <c r="K86" s="96"/>
      <c r="L86" s="95"/>
      <c r="M86" s="97">
        <f t="shared" ref="M86:O86" si="284">Z86+AC86+AF86+AI86+AL86+AO86+AR86+AU86+AX86+BA86+BD86+BG86</f>
        <v>0</v>
      </c>
      <c r="N86" s="97">
        <f t="shared" si="284"/>
        <v>0</v>
      </c>
      <c r="O86" s="97">
        <f t="shared" si="284"/>
        <v>0</v>
      </c>
      <c r="P86" s="82">
        <f t="shared" si="233"/>
        <v>0</v>
      </c>
      <c r="Q86" s="82">
        <f t="shared" ref="Q86:R86" si="285">IF(BK86=0,SUM(AA86+AD86+AG86+AJ86+AM86+AP86+AS86+AV86+AY86+BB86+BE86+BH86),BK86)</f>
        <v>0</v>
      </c>
      <c r="R86" s="82">
        <f t="shared" si="285"/>
        <v>0</v>
      </c>
      <c r="S86" s="97">
        <f t="shared" ref="S86:T86" si="286">I86-M86</f>
        <v>0</v>
      </c>
      <c r="T86" s="97">
        <f t="shared" si="286"/>
        <v>0</v>
      </c>
      <c r="U86" s="97">
        <f t="shared" ref="U86:U89" si="287">L86-O86</f>
        <v>0</v>
      </c>
      <c r="V86" s="427" t="e">
        <f t="shared" si="221"/>
        <v>#DIV/0!</v>
      </c>
      <c r="W86" s="96">
        <f t="shared" ref="W86:W96" si="288">AJ86*11</f>
        <v>0</v>
      </c>
      <c r="X86" s="96">
        <f t="shared" ref="X86:X96" si="289">W86-T86</f>
        <v>0</v>
      </c>
      <c r="Y86" s="428">
        <f t="shared" ref="Y86:Y89" si="290">E86-X86</f>
        <v>10925.2</v>
      </c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9"/>
      <c r="BN86" s="100"/>
      <c r="BO86" s="100"/>
      <c r="BP86" s="100"/>
      <c r="BQ86" s="100"/>
    </row>
    <row r="87" spans="1:69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438">
        <f t="shared" si="283"/>
        <v>3000</v>
      </c>
      <c r="G87" s="438"/>
      <c r="H87" s="147"/>
      <c r="I87" s="95"/>
      <c r="J87" s="119"/>
      <c r="K87" s="119"/>
      <c r="L87" s="95"/>
      <c r="M87" s="97">
        <f t="shared" ref="M87:O87" si="291">Z87+AC87+AF87+AI87+AL87+AO87+AR87+AU87+AX87+BA87+BD87+BG87</f>
        <v>0</v>
      </c>
      <c r="N87" s="97">
        <f t="shared" si="291"/>
        <v>0</v>
      </c>
      <c r="O87" s="97">
        <f t="shared" si="291"/>
        <v>0</v>
      </c>
      <c r="P87" s="82">
        <f t="shared" si="233"/>
        <v>0</v>
      </c>
      <c r="Q87" s="82">
        <f t="shared" ref="Q87:R87" si="292">IF(BK87=0,SUM(AA87+AD87+AG87+AJ87+AM87+AP87+AS87+AV87+AY87+BB87+BE87+BH87),BK87)</f>
        <v>0</v>
      </c>
      <c r="R87" s="82">
        <f t="shared" si="292"/>
        <v>0</v>
      </c>
      <c r="S87" s="97">
        <f t="shared" ref="S87:T87" si="293">I87-M87</f>
        <v>0</v>
      </c>
      <c r="T87" s="97">
        <f t="shared" si="293"/>
        <v>0</v>
      </c>
      <c r="U87" s="97">
        <f t="shared" si="287"/>
        <v>0</v>
      </c>
      <c r="V87" s="427" t="e">
        <f t="shared" si="221"/>
        <v>#DIV/0!</v>
      </c>
      <c r="W87" s="96">
        <f t="shared" si="288"/>
        <v>0</v>
      </c>
      <c r="X87" s="96">
        <f t="shared" si="289"/>
        <v>0</v>
      </c>
      <c r="Y87" s="428">
        <f t="shared" si="290"/>
        <v>3000</v>
      </c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103">
        <v>0</v>
      </c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9"/>
      <c r="BN87" s="100"/>
      <c r="BO87" s="100"/>
      <c r="BP87" s="100"/>
      <c r="BQ87" s="100"/>
    </row>
    <row r="88" spans="1:69" ht="15.75" customHeight="1">
      <c r="A88" s="89"/>
      <c r="B88" s="136" t="s">
        <v>324</v>
      </c>
      <c r="C88" s="101" t="s">
        <v>325</v>
      </c>
      <c r="D88" s="144" t="s">
        <v>135</v>
      </c>
      <c r="E88" s="433">
        <v>10000</v>
      </c>
      <c r="F88" s="432">
        <f>-(E88*14.5%)+E88</f>
        <v>8550</v>
      </c>
      <c r="G88" s="432"/>
      <c r="H88" s="147"/>
      <c r="I88" s="96"/>
      <c r="J88" s="117">
        <v>73937.67</v>
      </c>
      <c r="K88" s="117"/>
      <c r="L88" s="95"/>
      <c r="M88" s="97">
        <f t="shared" ref="M88:O88" si="294">Z88+AC88+AF88+AI88+AL88+AO88+AR88+AU88+AX88+BA88+BD88+BG88</f>
        <v>0</v>
      </c>
      <c r="N88" s="97">
        <f t="shared" si="294"/>
        <v>13993.4</v>
      </c>
      <c r="O88" s="97">
        <f t="shared" si="294"/>
        <v>0</v>
      </c>
      <c r="P88" s="82">
        <f t="shared" si="233"/>
        <v>0</v>
      </c>
      <c r="Q88" s="82">
        <f t="shared" ref="Q88:R88" si="295">IF(BK88=0,SUM(AA88+AD88+AG88+AJ88+AM88+AP88+AS88+AV88+AY88+BB88+BE88+BH88),BK88)</f>
        <v>13993.4</v>
      </c>
      <c r="R88" s="82">
        <f t="shared" si="295"/>
        <v>0</v>
      </c>
      <c r="S88" s="97">
        <f t="shared" ref="S88:T88" si="296">I88-M88</f>
        <v>0</v>
      </c>
      <c r="T88" s="97">
        <f t="shared" si="296"/>
        <v>59944.27</v>
      </c>
      <c r="U88" s="97">
        <f t="shared" si="287"/>
        <v>0</v>
      </c>
      <c r="V88" s="427" t="e">
        <f t="shared" si="221"/>
        <v>#DIV/0!</v>
      </c>
      <c r="W88" s="96">
        <f t="shared" si="288"/>
        <v>0</v>
      </c>
      <c r="X88" s="96">
        <f t="shared" si="289"/>
        <v>-59944.27</v>
      </c>
      <c r="Y88" s="428">
        <f t="shared" si="290"/>
        <v>69944.26999999999</v>
      </c>
      <c r="Z88" s="96"/>
      <c r="AA88" s="96">
        <f>363.4+2000+900+1008</f>
        <v>4271.3999999999996</v>
      </c>
      <c r="AB88" s="96"/>
      <c r="AC88" s="96"/>
      <c r="AD88" s="103">
        <f>490+210+2000+3930</f>
        <v>6630</v>
      </c>
      <c r="AE88" s="96"/>
      <c r="AF88" s="96"/>
      <c r="AG88" s="103">
        <f>500+2592</f>
        <v>3092</v>
      </c>
      <c r="AH88" s="96"/>
      <c r="AI88" s="96"/>
      <c r="AJ88" s="103">
        <v>0</v>
      </c>
      <c r="AK88" s="96"/>
      <c r="AL88" s="96"/>
      <c r="AM88" s="96"/>
      <c r="AN88" s="96"/>
      <c r="AO88" s="103">
        <v>0</v>
      </c>
      <c r="AP88" s="103">
        <v>0</v>
      </c>
      <c r="AQ88" s="96"/>
      <c r="AR88" s="103">
        <v>0</v>
      </c>
      <c r="AS88" s="96"/>
      <c r="AT88" s="96"/>
      <c r="AU88" s="96"/>
      <c r="AV88" s="96"/>
      <c r="AW88" s="96"/>
      <c r="AX88" s="103">
        <v>0</v>
      </c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9"/>
      <c r="BN88" s="100"/>
      <c r="BO88" s="100"/>
      <c r="BP88" s="100"/>
      <c r="BQ88" s="100"/>
    </row>
    <row r="89" spans="1:69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429">
        <v>0</v>
      </c>
      <c r="G89" s="429">
        <v>8404</v>
      </c>
      <c r="H89" s="147"/>
      <c r="I89" s="126"/>
      <c r="J89" s="126"/>
      <c r="K89" s="117"/>
      <c r="L89" s="95"/>
      <c r="M89" s="196">
        <f t="shared" ref="M89:N89" si="297">Z89+AF89+AI89+AL89+AO89+AR89+AU89+AX89+BA89+BD89+BG89</f>
        <v>0</v>
      </c>
      <c r="N89" s="97">
        <f t="shared" si="297"/>
        <v>1940</v>
      </c>
      <c r="O89" s="97">
        <f>AB89+AE89+AH89+AK89+AN89+AQ89+AT89+AW89+AZ89+BC89+BF89+BI89</f>
        <v>0</v>
      </c>
      <c r="P89" s="82">
        <f t="shared" ref="P89:Q89" si="298">IF(BJ89=0,SUM(Z89+AF89+AI89+AL89+AO89+AR89+AU89+AX89+BA89+BD89+BG89),BJ89)</f>
        <v>0</v>
      </c>
      <c r="Q89" s="82">
        <f t="shared" si="298"/>
        <v>1940</v>
      </c>
      <c r="R89" s="82">
        <f>IF(BL89=0,SUM(AB89+AE89+AH89+AK89+AN89+AQ89+AT89+AW89+AZ89+BC89+BF89+BI89),BL89)</f>
        <v>0</v>
      </c>
      <c r="S89" s="97">
        <f t="shared" ref="S89:T89" si="299">I89-M89</f>
        <v>0</v>
      </c>
      <c r="T89" s="97">
        <f t="shared" si="299"/>
        <v>-1940</v>
      </c>
      <c r="U89" s="97">
        <f t="shared" si="287"/>
        <v>0</v>
      </c>
      <c r="V89" s="427">
        <f t="shared" si="221"/>
        <v>-1</v>
      </c>
      <c r="W89" s="96">
        <f t="shared" si="288"/>
        <v>21340</v>
      </c>
      <c r="X89" s="96">
        <f t="shared" si="289"/>
        <v>23280</v>
      </c>
      <c r="Y89" s="428">
        <f t="shared" si="290"/>
        <v>-14876</v>
      </c>
      <c r="Z89" s="96"/>
      <c r="AA89" s="96"/>
      <c r="AB89" s="96"/>
      <c r="AC89" s="126"/>
      <c r="AD89" s="126"/>
      <c r="AE89" s="96"/>
      <c r="AF89" s="96"/>
      <c r="AG89" s="96"/>
      <c r="AH89" s="96"/>
      <c r="AI89" s="96"/>
      <c r="AJ89" s="103">
        <f>500+1440</f>
        <v>1940</v>
      </c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9"/>
      <c r="BN89" s="100"/>
      <c r="BO89" s="100"/>
      <c r="BP89" s="100"/>
      <c r="BQ89" s="100"/>
    </row>
    <row r="90" spans="1:69" ht="15.75" customHeight="1">
      <c r="A90" s="151"/>
      <c r="B90" s="151"/>
      <c r="C90" s="191"/>
      <c r="D90" s="153" t="s">
        <v>327</v>
      </c>
      <c r="E90" s="154">
        <f t="shared" ref="E90:F90" si="300">SUM(E91:E96)</f>
        <v>69491.34</v>
      </c>
      <c r="F90" s="154">
        <f t="shared" si="300"/>
        <v>69491.34</v>
      </c>
      <c r="G90" s="154"/>
      <c r="H90" s="154">
        <f>SUM(H91:H96)</f>
        <v>21041.95</v>
      </c>
      <c r="I90" s="154">
        <f t="shared" ref="I90:O90" si="301">SUM(I92:I96)</f>
        <v>4241.66</v>
      </c>
      <c r="J90" s="154">
        <f t="shared" si="301"/>
        <v>0</v>
      </c>
      <c r="K90" s="154">
        <f t="shared" si="301"/>
        <v>0</v>
      </c>
      <c r="L90" s="154">
        <f t="shared" si="301"/>
        <v>0</v>
      </c>
      <c r="M90" s="154">
        <f t="shared" si="301"/>
        <v>0</v>
      </c>
      <c r="N90" s="154">
        <f t="shared" si="301"/>
        <v>0</v>
      </c>
      <c r="O90" s="154">
        <f t="shared" si="301"/>
        <v>0</v>
      </c>
      <c r="P90" s="81">
        <f t="shared" ref="P90:R90" si="302">IF(BJ90=0,SUM(Z90+AC90+AF90+AI90+AL90+AO90+AR90+AU90+AX90+BA90+BD90+BG90),BJ90)</f>
        <v>0</v>
      </c>
      <c r="Q90" s="81">
        <f t="shared" si="302"/>
        <v>0</v>
      </c>
      <c r="R90" s="81">
        <f t="shared" si="302"/>
        <v>0</v>
      </c>
      <c r="S90" s="154">
        <f t="shared" ref="S90:U90" si="303">SUM(S92:S96)</f>
        <v>3678.66</v>
      </c>
      <c r="T90" s="154">
        <f t="shared" si="303"/>
        <v>0</v>
      </c>
      <c r="U90" s="154">
        <f t="shared" si="303"/>
        <v>0</v>
      </c>
      <c r="V90" s="427" t="e">
        <f t="shared" si="221"/>
        <v>#DIV/0!</v>
      </c>
      <c r="W90" s="96">
        <f t="shared" si="288"/>
        <v>0</v>
      </c>
      <c r="X90" s="96">
        <f t="shared" si="289"/>
        <v>0</v>
      </c>
      <c r="Y90" s="428"/>
      <c r="Z90" s="154">
        <f t="shared" ref="Z90:BL90" si="304">SUM(Z92:Z96)</f>
        <v>0</v>
      </c>
      <c r="AA90" s="154">
        <f t="shared" si="304"/>
        <v>0</v>
      </c>
      <c r="AB90" s="154">
        <f t="shared" si="304"/>
        <v>0</v>
      </c>
      <c r="AC90" s="154">
        <f t="shared" si="304"/>
        <v>0</v>
      </c>
      <c r="AD90" s="154">
        <f t="shared" si="304"/>
        <v>0</v>
      </c>
      <c r="AE90" s="154">
        <f t="shared" si="304"/>
        <v>0</v>
      </c>
      <c r="AF90" s="154">
        <f t="shared" si="304"/>
        <v>0</v>
      </c>
      <c r="AG90" s="154">
        <f t="shared" si="304"/>
        <v>0</v>
      </c>
      <c r="AH90" s="154">
        <f t="shared" si="304"/>
        <v>0</v>
      </c>
      <c r="AI90" s="154">
        <f t="shared" si="304"/>
        <v>0</v>
      </c>
      <c r="AJ90" s="154">
        <f t="shared" si="304"/>
        <v>0</v>
      </c>
      <c r="AK90" s="154">
        <f t="shared" si="304"/>
        <v>0</v>
      </c>
      <c r="AL90" s="154">
        <f t="shared" si="304"/>
        <v>0</v>
      </c>
      <c r="AM90" s="154">
        <f t="shared" si="304"/>
        <v>0</v>
      </c>
      <c r="AN90" s="154">
        <f t="shared" si="304"/>
        <v>0</v>
      </c>
      <c r="AO90" s="154">
        <f t="shared" si="304"/>
        <v>0</v>
      </c>
      <c r="AP90" s="154">
        <f t="shared" si="304"/>
        <v>0</v>
      </c>
      <c r="AQ90" s="154">
        <f t="shared" si="304"/>
        <v>0</v>
      </c>
      <c r="AR90" s="154">
        <f t="shared" si="304"/>
        <v>0</v>
      </c>
      <c r="AS90" s="154">
        <f t="shared" si="304"/>
        <v>0</v>
      </c>
      <c r="AT90" s="154">
        <f t="shared" si="304"/>
        <v>0</v>
      </c>
      <c r="AU90" s="154">
        <f t="shared" si="304"/>
        <v>0</v>
      </c>
      <c r="AV90" s="154">
        <f t="shared" si="304"/>
        <v>0</v>
      </c>
      <c r="AW90" s="154">
        <f t="shared" si="304"/>
        <v>0</v>
      </c>
      <c r="AX90" s="154">
        <f t="shared" si="304"/>
        <v>0</v>
      </c>
      <c r="AY90" s="154">
        <f t="shared" si="304"/>
        <v>0</v>
      </c>
      <c r="AZ90" s="154">
        <f t="shared" si="304"/>
        <v>0</v>
      </c>
      <c r="BA90" s="154">
        <f t="shared" si="304"/>
        <v>0</v>
      </c>
      <c r="BB90" s="154">
        <f t="shared" si="304"/>
        <v>0</v>
      </c>
      <c r="BC90" s="154">
        <f t="shared" si="304"/>
        <v>0</v>
      </c>
      <c r="BD90" s="154">
        <f t="shared" si="304"/>
        <v>0</v>
      </c>
      <c r="BE90" s="154">
        <f t="shared" si="304"/>
        <v>0</v>
      </c>
      <c r="BF90" s="154">
        <f t="shared" si="304"/>
        <v>0</v>
      </c>
      <c r="BG90" s="154">
        <f t="shared" si="304"/>
        <v>0</v>
      </c>
      <c r="BH90" s="154">
        <f t="shared" si="304"/>
        <v>0</v>
      </c>
      <c r="BI90" s="154">
        <f t="shared" si="304"/>
        <v>0</v>
      </c>
      <c r="BJ90" s="154">
        <f t="shared" si="304"/>
        <v>0</v>
      </c>
      <c r="BK90" s="154">
        <f t="shared" si="304"/>
        <v>0</v>
      </c>
      <c r="BL90" s="154">
        <f t="shared" si="304"/>
        <v>0</v>
      </c>
      <c r="BM90" s="157"/>
      <c r="BN90" s="158"/>
      <c r="BO90" s="158"/>
      <c r="BP90" s="158"/>
      <c r="BQ90" s="158"/>
    </row>
    <row r="91" spans="1:69" ht="15.75" customHeight="1">
      <c r="A91" s="168"/>
      <c r="B91" s="168"/>
      <c r="C91" s="169"/>
      <c r="D91" s="170" t="s">
        <v>328</v>
      </c>
      <c r="E91" s="171">
        <v>59491.34</v>
      </c>
      <c r="F91" s="171">
        <f t="shared" ref="F91:F92" si="305">E91</f>
        <v>59491.34</v>
      </c>
      <c r="G91" s="171"/>
      <c r="H91" s="172"/>
      <c r="I91" s="174"/>
      <c r="J91" s="174"/>
      <c r="K91" s="174"/>
      <c r="L91" s="174"/>
      <c r="M91" s="175"/>
      <c r="N91" s="175"/>
      <c r="O91" s="175"/>
      <c r="P91" s="82"/>
      <c r="Q91" s="82"/>
      <c r="R91" s="82"/>
      <c r="S91" s="175"/>
      <c r="T91" s="175"/>
      <c r="U91" s="175"/>
      <c r="V91" s="427" t="e">
        <f t="shared" si="221"/>
        <v>#DIV/0!</v>
      </c>
      <c r="W91" s="96">
        <f t="shared" si="288"/>
        <v>0</v>
      </c>
      <c r="X91" s="96">
        <f t="shared" si="289"/>
        <v>0</v>
      </c>
      <c r="Y91" s="428">
        <f t="shared" ref="Y91:Y96" si="306">E91-X91</f>
        <v>59491.34</v>
      </c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78"/>
      <c r="BM91" s="180"/>
      <c r="BN91" s="181"/>
      <c r="BO91" s="181"/>
      <c r="BP91" s="181"/>
      <c r="BQ91" s="181"/>
    </row>
    <row r="92" spans="1:69" ht="15.75" customHeight="1">
      <c r="A92" s="365" t="s">
        <v>888</v>
      </c>
      <c r="B92" s="197"/>
      <c r="C92" s="198" t="s">
        <v>165</v>
      </c>
      <c r="D92" s="199" t="s">
        <v>889</v>
      </c>
      <c r="E92" s="200">
        <v>10000</v>
      </c>
      <c r="F92" s="200">
        <f t="shared" si="305"/>
        <v>10000</v>
      </c>
      <c r="G92" s="200"/>
      <c r="H92" s="172"/>
      <c r="I92" s="366">
        <f>2252+1426.66</f>
        <v>3678.66</v>
      </c>
      <c r="J92" s="174"/>
      <c r="K92" s="174"/>
      <c r="L92" s="174"/>
      <c r="M92" s="175">
        <f t="shared" ref="M92:O92" si="307">Z92+AC92+AF92+AI92+AL92+AO92+AR92+AU92+AX92+BA92+BD92+BG92</f>
        <v>0</v>
      </c>
      <c r="N92" s="175">
        <f t="shared" si="307"/>
        <v>0</v>
      </c>
      <c r="O92" s="175">
        <f t="shared" si="307"/>
        <v>0</v>
      </c>
      <c r="P92" s="82">
        <f t="shared" ref="P92:R92" si="308">IF(BJ92=0,SUM(Z92+AC92+AF92+AI92+AL92+AO92+AR92+AU92+AX92+BA92+BD92+BG92),BJ92)</f>
        <v>0</v>
      </c>
      <c r="Q92" s="82">
        <f t="shared" si="308"/>
        <v>0</v>
      </c>
      <c r="R92" s="82">
        <f t="shared" si="308"/>
        <v>0</v>
      </c>
      <c r="S92" s="175">
        <f t="shared" ref="S92:T92" si="309">I92-M92</f>
        <v>3678.66</v>
      </c>
      <c r="T92" s="175">
        <f t="shared" si="309"/>
        <v>0</v>
      </c>
      <c r="U92" s="175">
        <f>L92-O92</f>
        <v>0</v>
      </c>
      <c r="V92" s="427" t="e">
        <f t="shared" si="221"/>
        <v>#DIV/0!</v>
      </c>
      <c r="W92" s="96">
        <f t="shared" si="288"/>
        <v>0</v>
      </c>
      <c r="X92" s="96">
        <f t="shared" si="289"/>
        <v>0</v>
      </c>
      <c r="Y92" s="428">
        <f t="shared" si="306"/>
        <v>10000</v>
      </c>
      <c r="Z92" s="172"/>
      <c r="AA92" s="172"/>
      <c r="AB92" s="172"/>
      <c r="AC92" s="172"/>
      <c r="AD92" s="172"/>
      <c r="AE92" s="172"/>
      <c r="AF92" s="172"/>
      <c r="AG92" s="171">
        <v>0</v>
      </c>
      <c r="AH92" s="172"/>
      <c r="AI92" s="172"/>
      <c r="AJ92" s="171">
        <v>0</v>
      </c>
      <c r="AK92" s="172"/>
      <c r="AL92" s="172"/>
      <c r="AM92" s="171">
        <v>0</v>
      </c>
      <c r="AN92" s="172"/>
      <c r="AO92" s="178"/>
      <c r="AP92" s="201">
        <v>0</v>
      </c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78"/>
      <c r="BM92" s="180"/>
      <c r="BN92" s="181"/>
      <c r="BO92" s="181"/>
      <c r="BP92" s="181"/>
      <c r="BQ92" s="181"/>
    </row>
    <row r="93" spans="1:69" ht="15.75" customHeight="1">
      <c r="A93" s="136"/>
      <c r="B93" s="136"/>
      <c r="C93" s="90" t="s">
        <v>165</v>
      </c>
      <c r="D93" s="122" t="s">
        <v>330</v>
      </c>
      <c r="E93" s="147"/>
      <c r="F93" s="147"/>
      <c r="G93" s="147"/>
      <c r="H93" s="147">
        <v>0</v>
      </c>
      <c r="I93" s="202"/>
      <c r="J93" s="203"/>
      <c r="K93" s="203"/>
      <c r="L93" s="145"/>
      <c r="M93" s="97"/>
      <c r="N93" s="97"/>
      <c r="O93" s="97"/>
      <c r="P93" s="82">
        <f t="shared" ref="P93:Q93" si="310">IF(BJ93=0,SUM(Z93+AC93+AF93+AI93+AL93+AO93+AR93+AU93+AX93+BA93+BD93+BG93),BJ93)</f>
        <v>0</v>
      </c>
      <c r="Q93" s="82">
        <f t="shared" si="310"/>
        <v>0</v>
      </c>
      <c r="R93" s="82"/>
      <c r="S93" s="97"/>
      <c r="T93" s="97"/>
      <c r="U93" s="97"/>
      <c r="V93" s="427" t="e">
        <f t="shared" si="221"/>
        <v>#DIV/0!</v>
      </c>
      <c r="W93" s="96">
        <f t="shared" si="288"/>
        <v>0</v>
      </c>
      <c r="X93" s="96">
        <f t="shared" si="289"/>
        <v>0</v>
      </c>
      <c r="Y93" s="428">
        <f t="shared" si="306"/>
        <v>0</v>
      </c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99"/>
      <c r="BN93" s="100"/>
      <c r="BO93" s="100"/>
      <c r="BP93" s="100"/>
      <c r="BQ93" s="100"/>
    </row>
    <row r="94" spans="1:69" ht="15.75" customHeight="1">
      <c r="A94" s="89" t="s">
        <v>564</v>
      </c>
      <c r="B94" s="136"/>
      <c r="C94" s="90" t="s">
        <v>240</v>
      </c>
      <c r="D94" s="122" t="s">
        <v>331</v>
      </c>
      <c r="E94" s="147"/>
      <c r="F94" s="147"/>
      <c r="G94" s="147"/>
      <c r="H94" s="195">
        <v>21041.95</v>
      </c>
      <c r="I94" s="202">
        <f>563</f>
        <v>563</v>
      </c>
      <c r="J94" s="203"/>
      <c r="K94" s="203"/>
      <c r="L94" s="204"/>
      <c r="M94" s="97"/>
      <c r="N94" s="97"/>
      <c r="O94" s="97"/>
      <c r="P94" s="82">
        <f t="shared" ref="P94:Q94" si="311">IF(BJ94=0,SUM(Z94+AC94+AF94+AI94+AL94+AO94+AR94+AU94+AX94+BA94+BD94+BG94),BJ94)</f>
        <v>0</v>
      </c>
      <c r="Q94" s="82">
        <f t="shared" si="311"/>
        <v>0</v>
      </c>
      <c r="R94" s="82"/>
      <c r="S94" s="97"/>
      <c r="T94" s="97"/>
      <c r="U94" s="97"/>
      <c r="V94" s="427" t="e">
        <f t="shared" si="221"/>
        <v>#DIV/0!</v>
      </c>
      <c r="W94" s="96">
        <f t="shared" si="288"/>
        <v>0</v>
      </c>
      <c r="X94" s="96">
        <f t="shared" si="289"/>
        <v>0</v>
      </c>
      <c r="Y94" s="428">
        <f t="shared" si="306"/>
        <v>0</v>
      </c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99"/>
      <c r="BN94" s="100"/>
      <c r="BO94" s="100"/>
      <c r="BP94" s="100"/>
      <c r="BQ94" s="100"/>
    </row>
    <row r="95" spans="1:69" ht="15.75" customHeight="1">
      <c r="A95" s="89"/>
      <c r="B95" s="89"/>
      <c r="C95" s="90" t="s">
        <v>332</v>
      </c>
      <c r="D95" s="91" t="s">
        <v>333</v>
      </c>
      <c r="E95" s="166"/>
      <c r="F95" s="166"/>
      <c r="G95" s="166"/>
      <c r="H95" s="166"/>
      <c r="I95" s="96"/>
      <c r="J95" s="96"/>
      <c r="K95" s="96"/>
      <c r="L95" s="96"/>
      <c r="M95" s="97">
        <f t="shared" ref="M95:O95" si="312">Z95+AC95+AF95+AI95+AL95+AO95+AR95+AU95+AX95+BA95+BD95+BG95</f>
        <v>0</v>
      </c>
      <c r="N95" s="97">
        <f t="shared" si="312"/>
        <v>0</v>
      </c>
      <c r="O95" s="97">
        <f t="shared" si="312"/>
        <v>0</v>
      </c>
      <c r="P95" s="82">
        <f t="shared" ref="P95:R95" si="313">IF(BJ95=0,SUM(Z95+AC95+AF95+AI95+AL95+AO95+AR95+AU95+AX95+BA95+BD95+BG95),BJ95)</f>
        <v>0</v>
      </c>
      <c r="Q95" s="82">
        <f t="shared" si="313"/>
        <v>0</v>
      </c>
      <c r="R95" s="82">
        <f t="shared" si="313"/>
        <v>0</v>
      </c>
      <c r="S95" s="97">
        <f t="shared" ref="S95:T95" si="314">I95-M95</f>
        <v>0</v>
      </c>
      <c r="T95" s="97">
        <f t="shared" si="314"/>
        <v>0</v>
      </c>
      <c r="U95" s="97">
        <f t="shared" ref="U95:U96" si="315">L95-O95</f>
        <v>0</v>
      </c>
      <c r="V95" s="427" t="e">
        <f t="shared" si="221"/>
        <v>#DIV/0!</v>
      </c>
      <c r="W95" s="96">
        <f t="shared" si="288"/>
        <v>0</v>
      </c>
      <c r="X95" s="96">
        <f t="shared" si="289"/>
        <v>0</v>
      </c>
      <c r="Y95" s="428">
        <f t="shared" si="306"/>
        <v>0</v>
      </c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9"/>
      <c r="BN95" s="100"/>
      <c r="BO95" s="100"/>
      <c r="BP95" s="100"/>
      <c r="BQ95" s="100"/>
    </row>
    <row r="96" spans="1:69" ht="15.75" customHeight="1">
      <c r="A96" s="89"/>
      <c r="B96" s="89"/>
      <c r="C96" s="90" t="s">
        <v>161</v>
      </c>
      <c r="D96" s="91" t="s">
        <v>317</v>
      </c>
      <c r="E96" s="166"/>
      <c r="F96" s="166"/>
      <c r="G96" s="166"/>
      <c r="H96" s="166"/>
      <c r="I96" s="96"/>
      <c r="J96" s="96"/>
      <c r="K96" s="96"/>
      <c r="L96" s="96"/>
      <c r="M96" s="97">
        <f t="shared" ref="M96:O96" si="316">Z96+AC96+AF96+AI96+AL96+AO96+AR96+AU96+AX96+BA96+BD96+BG96</f>
        <v>0</v>
      </c>
      <c r="N96" s="97">
        <f t="shared" si="316"/>
        <v>0</v>
      </c>
      <c r="O96" s="97">
        <f t="shared" si="316"/>
        <v>0</v>
      </c>
      <c r="P96" s="82">
        <f t="shared" ref="P96:R96" si="317">IF(BJ96=0,SUM(Z96+AC96+AF96+AI96+AL96+AO96+AR96+AU96+AX96+BA96+BD96+BG96),BJ96)</f>
        <v>0</v>
      </c>
      <c r="Q96" s="82">
        <f t="shared" si="317"/>
        <v>0</v>
      </c>
      <c r="R96" s="82">
        <f t="shared" si="317"/>
        <v>0</v>
      </c>
      <c r="S96" s="97">
        <f t="shared" ref="S96:T96" si="318">I96-M96</f>
        <v>0</v>
      </c>
      <c r="T96" s="97">
        <f t="shared" si="318"/>
        <v>0</v>
      </c>
      <c r="U96" s="97">
        <f t="shared" si="315"/>
        <v>0</v>
      </c>
      <c r="V96" s="427" t="e">
        <f t="shared" si="221"/>
        <v>#DIV/0!</v>
      </c>
      <c r="W96" s="96">
        <f t="shared" si="288"/>
        <v>0</v>
      </c>
      <c r="X96" s="96">
        <f t="shared" si="289"/>
        <v>0</v>
      </c>
      <c r="Y96" s="428">
        <f t="shared" si="306"/>
        <v>0</v>
      </c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9"/>
      <c r="BN96" s="100"/>
      <c r="BO96" s="100"/>
      <c r="BP96" s="100"/>
      <c r="BQ96" s="100"/>
    </row>
    <row r="97" spans="1:69" ht="15.75" customHeight="1">
      <c r="A97" s="86"/>
      <c r="B97" s="86"/>
      <c r="C97" s="86" t="s">
        <v>334</v>
      </c>
      <c r="D97" s="86"/>
      <c r="E97" s="87">
        <f t="shared" ref="E97:F97" si="319">E98+E115+E120+E146+E151+E155</f>
        <v>273274.02</v>
      </c>
      <c r="F97" s="87">
        <f t="shared" si="319"/>
        <v>270362.02</v>
      </c>
      <c r="G97" s="87"/>
      <c r="H97" s="87">
        <f t="shared" ref="H97:O97" si="320">H98+H115+H120+H146+H151+H155</f>
        <v>1183964.47</v>
      </c>
      <c r="I97" s="87">
        <f t="shared" si="320"/>
        <v>9502</v>
      </c>
      <c r="J97" s="87">
        <f t="shared" si="320"/>
        <v>751131.49</v>
      </c>
      <c r="K97" s="87">
        <f t="shared" si="320"/>
        <v>0</v>
      </c>
      <c r="L97" s="87">
        <f t="shared" si="320"/>
        <v>0</v>
      </c>
      <c r="M97" s="87">
        <f t="shared" si="320"/>
        <v>0</v>
      </c>
      <c r="N97" s="87">
        <f t="shared" si="320"/>
        <v>344396.7</v>
      </c>
      <c r="O97" s="87">
        <f t="shared" si="320"/>
        <v>0</v>
      </c>
      <c r="P97" s="87">
        <f t="shared" ref="P97:R97" si="321">IF(BJ97=0,SUM(Z97+AC97+AF97+AI97+AL97+AO97+AR97+AU97+AX97+BA97+BD97+BG97),BJ97)</f>
        <v>0</v>
      </c>
      <c r="Q97" s="87">
        <f t="shared" si="321"/>
        <v>344396.7</v>
      </c>
      <c r="R97" s="87">
        <f t="shared" si="321"/>
        <v>0</v>
      </c>
      <c r="S97" s="87">
        <f t="shared" ref="S97:U97" si="322">S98+S115+S120+S146+S151+S155</f>
        <v>9502</v>
      </c>
      <c r="T97" s="87">
        <f t="shared" si="322"/>
        <v>406734.79000000004</v>
      </c>
      <c r="U97" s="87">
        <f t="shared" si="322"/>
        <v>0</v>
      </c>
      <c r="V97" s="427">
        <f t="shared" si="221"/>
        <v>2.4433145740228857</v>
      </c>
      <c r="W97" s="96"/>
      <c r="X97" s="96"/>
      <c r="Y97" s="428"/>
      <c r="Z97" s="87">
        <f t="shared" ref="Z97:BL97" si="323">Z98+Z115+Z120+Z146+Z151+Z155</f>
        <v>0</v>
      </c>
      <c r="AA97" s="87">
        <f t="shared" si="323"/>
        <v>53060</v>
      </c>
      <c r="AB97" s="87">
        <f t="shared" si="323"/>
        <v>0</v>
      </c>
      <c r="AC97" s="87">
        <f t="shared" si="323"/>
        <v>0</v>
      </c>
      <c r="AD97" s="87">
        <f t="shared" si="323"/>
        <v>61206.74</v>
      </c>
      <c r="AE97" s="87">
        <f t="shared" si="323"/>
        <v>0</v>
      </c>
      <c r="AF97" s="87">
        <f t="shared" si="323"/>
        <v>0</v>
      </c>
      <c r="AG97" s="87">
        <f t="shared" si="323"/>
        <v>63661.509999999995</v>
      </c>
      <c r="AH97" s="87">
        <f t="shared" si="323"/>
        <v>0</v>
      </c>
      <c r="AI97" s="87">
        <f t="shared" si="323"/>
        <v>0</v>
      </c>
      <c r="AJ97" s="87">
        <f t="shared" si="323"/>
        <v>166468.45000000001</v>
      </c>
      <c r="AK97" s="87">
        <f t="shared" si="323"/>
        <v>0</v>
      </c>
      <c r="AL97" s="87">
        <f t="shared" si="323"/>
        <v>0</v>
      </c>
      <c r="AM97" s="87">
        <f t="shared" si="323"/>
        <v>0</v>
      </c>
      <c r="AN97" s="87">
        <f t="shared" si="323"/>
        <v>0</v>
      </c>
      <c r="AO97" s="87">
        <f t="shared" si="323"/>
        <v>0</v>
      </c>
      <c r="AP97" s="87">
        <f t="shared" si="323"/>
        <v>0</v>
      </c>
      <c r="AQ97" s="87">
        <f t="shared" si="323"/>
        <v>0</v>
      </c>
      <c r="AR97" s="87">
        <f t="shared" si="323"/>
        <v>0</v>
      </c>
      <c r="AS97" s="87">
        <f t="shared" si="323"/>
        <v>0</v>
      </c>
      <c r="AT97" s="87">
        <f t="shared" si="323"/>
        <v>0</v>
      </c>
      <c r="AU97" s="87">
        <f t="shared" si="323"/>
        <v>0</v>
      </c>
      <c r="AV97" s="87">
        <f t="shared" si="323"/>
        <v>0</v>
      </c>
      <c r="AW97" s="87">
        <f t="shared" si="323"/>
        <v>0</v>
      </c>
      <c r="AX97" s="87">
        <f t="shared" si="323"/>
        <v>0</v>
      </c>
      <c r="AY97" s="87">
        <f t="shared" si="323"/>
        <v>0</v>
      </c>
      <c r="AZ97" s="87">
        <f t="shared" si="323"/>
        <v>0</v>
      </c>
      <c r="BA97" s="87">
        <f t="shared" si="323"/>
        <v>0</v>
      </c>
      <c r="BB97" s="87">
        <f t="shared" si="323"/>
        <v>0</v>
      </c>
      <c r="BC97" s="87">
        <f t="shared" si="323"/>
        <v>0</v>
      </c>
      <c r="BD97" s="87">
        <f t="shared" si="323"/>
        <v>0</v>
      </c>
      <c r="BE97" s="87">
        <f t="shared" si="323"/>
        <v>0</v>
      </c>
      <c r="BF97" s="87">
        <f t="shared" si="323"/>
        <v>0</v>
      </c>
      <c r="BG97" s="87">
        <f t="shared" si="323"/>
        <v>0</v>
      </c>
      <c r="BH97" s="87">
        <f t="shared" si="323"/>
        <v>0</v>
      </c>
      <c r="BI97" s="87">
        <f t="shared" si="323"/>
        <v>0</v>
      </c>
      <c r="BJ97" s="87">
        <f t="shared" si="323"/>
        <v>0</v>
      </c>
      <c r="BK97" s="87">
        <f t="shared" si="323"/>
        <v>0</v>
      </c>
      <c r="BL97" s="87">
        <f t="shared" si="323"/>
        <v>0</v>
      </c>
      <c r="BM97" s="149"/>
      <c r="BN97" s="150"/>
      <c r="BO97" s="150"/>
      <c r="BP97" s="150"/>
      <c r="BQ97" s="150"/>
    </row>
    <row r="98" spans="1:69" ht="15.75" customHeight="1">
      <c r="A98" s="151"/>
      <c r="B98" s="151"/>
      <c r="C98" s="152"/>
      <c r="D98" s="153" t="s">
        <v>302</v>
      </c>
      <c r="E98" s="154">
        <f t="shared" ref="E98:F98" si="324">SUM(E99:E114)</f>
        <v>97800</v>
      </c>
      <c r="F98" s="154">
        <f t="shared" si="324"/>
        <v>91785</v>
      </c>
      <c r="G98" s="154"/>
      <c r="H98" s="154">
        <f t="shared" ref="H98:O98" si="325">SUM(H99:H114)</f>
        <v>10000</v>
      </c>
      <c r="I98" s="154">
        <f t="shared" si="325"/>
        <v>9502</v>
      </c>
      <c r="J98" s="154">
        <f t="shared" si="325"/>
        <v>75763.899999999994</v>
      </c>
      <c r="K98" s="154">
        <f t="shared" si="325"/>
        <v>0</v>
      </c>
      <c r="L98" s="154">
        <f t="shared" si="325"/>
        <v>0</v>
      </c>
      <c r="M98" s="154">
        <f t="shared" si="325"/>
        <v>0</v>
      </c>
      <c r="N98" s="154">
        <f t="shared" si="325"/>
        <v>52560</v>
      </c>
      <c r="O98" s="154">
        <f t="shared" si="325"/>
        <v>0</v>
      </c>
      <c r="P98" s="81">
        <f t="shared" ref="P98:R98" si="326">IF(BJ98=0,SUM(Z98+AC98+AF98+AI98+AL98+AO98+AR98+AU98+AX98+BA98+BD98+BG98),BJ98)</f>
        <v>0</v>
      </c>
      <c r="Q98" s="81">
        <f t="shared" si="326"/>
        <v>52560</v>
      </c>
      <c r="R98" s="81">
        <f t="shared" si="326"/>
        <v>0</v>
      </c>
      <c r="S98" s="154">
        <f t="shared" ref="S98:U98" si="327">SUM(S99:S114)</f>
        <v>9502</v>
      </c>
      <c r="T98" s="154">
        <f t="shared" si="327"/>
        <v>23203.9</v>
      </c>
      <c r="U98" s="154">
        <f t="shared" si="327"/>
        <v>0</v>
      </c>
      <c r="V98" s="427" t="e">
        <f t="shared" si="221"/>
        <v>#DIV/0!</v>
      </c>
      <c r="W98" s="96">
        <f t="shared" ref="W98:W119" si="328">AJ98*11</f>
        <v>0</v>
      </c>
      <c r="X98" s="96"/>
      <c r="Y98" s="428"/>
      <c r="Z98" s="154">
        <f t="shared" ref="Z98:BL98" si="329">SUM(Z99:Z114)</f>
        <v>0</v>
      </c>
      <c r="AA98" s="154">
        <f t="shared" si="329"/>
        <v>52560</v>
      </c>
      <c r="AB98" s="154">
        <f t="shared" si="329"/>
        <v>0</v>
      </c>
      <c r="AC98" s="154">
        <f t="shared" si="329"/>
        <v>0</v>
      </c>
      <c r="AD98" s="154">
        <f t="shared" si="329"/>
        <v>0</v>
      </c>
      <c r="AE98" s="154">
        <f t="shared" si="329"/>
        <v>0</v>
      </c>
      <c r="AF98" s="154">
        <f t="shared" si="329"/>
        <v>0</v>
      </c>
      <c r="AG98" s="154">
        <f t="shared" si="329"/>
        <v>0</v>
      </c>
      <c r="AH98" s="154">
        <f t="shared" si="329"/>
        <v>0</v>
      </c>
      <c r="AI98" s="154">
        <f t="shared" si="329"/>
        <v>0</v>
      </c>
      <c r="AJ98" s="154">
        <f t="shared" si="329"/>
        <v>0</v>
      </c>
      <c r="AK98" s="154">
        <f t="shared" si="329"/>
        <v>0</v>
      </c>
      <c r="AL98" s="154">
        <f t="shared" si="329"/>
        <v>0</v>
      </c>
      <c r="AM98" s="154">
        <f t="shared" si="329"/>
        <v>0</v>
      </c>
      <c r="AN98" s="154">
        <f t="shared" si="329"/>
        <v>0</v>
      </c>
      <c r="AO98" s="154">
        <f t="shared" si="329"/>
        <v>0</v>
      </c>
      <c r="AP98" s="154">
        <f t="shared" si="329"/>
        <v>0</v>
      </c>
      <c r="AQ98" s="154">
        <f t="shared" si="329"/>
        <v>0</v>
      </c>
      <c r="AR98" s="154">
        <f t="shared" si="329"/>
        <v>0</v>
      </c>
      <c r="AS98" s="154">
        <f t="shared" si="329"/>
        <v>0</v>
      </c>
      <c r="AT98" s="154">
        <f t="shared" si="329"/>
        <v>0</v>
      </c>
      <c r="AU98" s="154">
        <f t="shared" si="329"/>
        <v>0</v>
      </c>
      <c r="AV98" s="154">
        <f t="shared" si="329"/>
        <v>0</v>
      </c>
      <c r="AW98" s="154">
        <f t="shared" si="329"/>
        <v>0</v>
      </c>
      <c r="AX98" s="154">
        <f t="shared" si="329"/>
        <v>0</v>
      </c>
      <c r="AY98" s="154">
        <f t="shared" si="329"/>
        <v>0</v>
      </c>
      <c r="AZ98" s="154">
        <f t="shared" si="329"/>
        <v>0</v>
      </c>
      <c r="BA98" s="154">
        <f t="shared" si="329"/>
        <v>0</v>
      </c>
      <c r="BB98" s="154">
        <f t="shared" si="329"/>
        <v>0</v>
      </c>
      <c r="BC98" s="154">
        <f t="shared" si="329"/>
        <v>0</v>
      </c>
      <c r="BD98" s="154">
        <f t="shared" si="329"/>
        <v>0</v>
      </c>
      <c r="BE98" s="154">
        <f t="shared" si="329"/>
        <v>0</v>
      </c>
      <c r="BF98" s="154">
        <f t="shared" si="329"/>
        <v>0</v>
      </c>
      <c r="BG98" s="154">
        <f t="shared" si="329"/>
        <v>0</v>
      </c>
      <c r="BH98" s="154">
        <f t="shared" si="329"/>
        <v>0</v>
      </c>
      <c r="BI98" s="154">
        <f t="shared" si="329"/>
        <v>0</v>
      </c>
      <c r="BJ98" s="154">
        <f t="shared" si="329"/>
        <v>0</v>
      </c>
      <c r="BK98" s="154">
        <f t="shared" si="329"/>
        <v>0</v>
      </c>
      <c r="BL98" s="154">
        <f t="shared" si="329"/>
        <v>0</v>
      </c>
      <c r="BM98" s="157"/>
      <c r="BN98" s="158"/>
      <c r="BO98" s="158"/>
      <c r="BP98" s="158"/>
      <c r="BQ98" s="158"/>
    </row>
    <row r="99" spans="1:69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162">
        <f t="shared" ref="F99:F103" si="330">-(E99*14.5%)+E99</f>
        <v>3847.5</v>
      </c>
      <c r="G99" s="162"/>
      <c r="H99" s="166"/>
      <c r="I99" s="96">
        <v>4500</v>
      </c>
      <c r="J99" s="96"/>
      <c r="K99" s="96"/>
      <c r="L99" s="96"/>
      <c r="M99" s="97">
        <f t="shared" ref="M99:O99" si="331">Z99+AC99+AF99+AI99+AL99+AO99+AR99+AU99+AX99+BA99+BD99+BG99</f>
        <v>0</v>
      </c>
      <c r="N99" s="97">
        <f t="shared" si="331"/>
        <v>0</v>
      </c>
      <c r="O99" s="97">
        <f t="shared" si="331"/>
        <v>0</v>
      </c>
      <c r="P99" s="97">
        <f t="shared" ref="P99:R99" si="332">IF(BJ99=0,SUM(Z99+AC99+AF99+AI99+AL99+AO99+AR99+AU99+AX99+BA99+BD99+BG99),BJ99)</f>
        <v>0</v>
      </c>
      <c r="Q99" s="97">
        <f t="shared" si="332"/>
        <v>0</v>
      </c>
      <c r="R99" s="97">
        <f t="shared" si="332"/>
        <v>0</v>
      </c>
      <c r="S99" s="97">
        <f t="shared" ref="S99:T99" si="333">I99-M99</f>
        <v>4500</v>
      </c>
      <c r="T99" s="97">
        <f t="shared" si="333"/>
        <v>0</v>
      </c>
      <c r="U99" s="97">
        <f t="shared" ref="U99:U114" si="334">L99-O99</f>
        <v>0</v>
      </c>
      <c r="V99" s="427" t="e">
        <f t="shared" si="221"/>
        <v>#DIV/0!</v>
      </c>
      <c r="W99" s="96">
        <f t="shared" si="328"/>
        <v>0</v>
      </c>
      <c r="X99" s="96">
        <f t="shared" ref="X99:X119" si="335">W99-T99</f>
        <v>0</v>
      </c>
      <c r="Y99" s="428">
        <f t="shared" ref="Y99:Y119" si="336">E99-X99</f>
        <v>4500</v>
      </c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9"/>
      <c r="BN99" s="100"/>
      <c r="BO99" s="100"/>
      <c r="BP99" s="100"/>
      <c r="BQ99" s="100"/>
    </row>
    <row r="100" spans="1:69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162">
        <f t="shared" si="330"/>
        <v>2137.5</v>
      </c>
      <c r="G100" s="162"/>
      <c r="H100" s="166"/>
      <c r="I100" s="96">
        <v>2500</v>
      </c>
      <c r="J100" s="96"/>
      <c r="K100" s="96"/>
      <c r="L100" s="96"/>
      <c r="M100" s="97">
        <f t="shared" ref="M100:O100" si="337">Z100+AC100+AF100+AI100+AL100+AO100+AR100+AU100+AX100+BA100+BD100+BG100</f>
        <v>0</v>
      </c>
      <c r="N100" s="97">
        <f t="shared" si="337"/>
        <v>0</v>
      </c>
      <c r="O100" s="97">
        <f t="shared" si="337"/>
        <v>0</v>
      </c>
      <c r="P100" s="97">
        <f t="shared" ref="P100:R100" si="338">IF(BJ100=0,SUM(Z100+AC100+AF100+AI100+AL100+AO100+AR100+AU100+AX100+BA100+BD100+BG100),BJ100)</f>
        <v>0</v>
      </c>
      <c r="Q100" s="97">
        <f t="shared" si="338"/>
        <v>0</v>
      </c>
      <c r="R100" s="97">
        <f t="shared" si="338"/>
        <v>0</v>
      </c>
      <c r="S100" s="97">
        <f t="shared" ref="S100:T100" si="339">I100-M100</f>
        <v>2500</v>
      </c>
      <c r="T100" s="97">
        <f t="shared" si="339"/>
        <v>0</v>
      </c>
      <c r="U100" s="97">
        <f t="shared" si="334"/>
        <v>0</v>
      </c>
      <c r="V100" s="427" t="e">
        <f t="shared" si="221"/>
        <v>#DIV/0!</v>
      </c>
      <c r="W100" s="96">
        <f t="shared" si="328"/>
        <v>0</v>
      </c>
      <c r="X100" s="96">
        <f t="shared" si="335"/>
        <v>0</v>
      </c>
      <c r="Y100" s="428">
        <f t="shared" si="336"/>
        <v>2500</v>
      </c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9"/>
      <c r="BN100" s="100"/>
      <c r="BO100" s="100"/>
      <c r="BP100" s="100"/>
      <c r="BQ100" s="100"/>
    </row>
    <row r="101" spans="1:69" ht="15.75" customHeight="1">
      <c r="A101" s="89"/>
      <c r="B101" s="206"/>
      <c r="C101" s="90" t="s">
        <v>213</v>
      </c>
      <c r="D101" s="91" t="s">
        <v>74</v>
      </c>
      <c r="E101" s="166"/>
      <c r="F101" s="162">
        <f t="shared" si="330"/>
        <v>0</v>
      </c>
      <c r="G101" s="162"/>
      <c r="H101" s="166"/>
      <c r="I101" s="96"/>
      <c r="J101" s="96"/>
      <c r="K101" s="96"/>
      <c r="L101" s="96"/>
      <c r="M101" s="97">
        <f t="shared" ref="M101:O101" si="340">Z101+AC101+AF101+AI101+AL101+AO101+AR101+AU101+AX101+BA101+BD101+BG101</f>
        <v>0</v>
      </c>
      <c r="N101" s="97">
        <f t="shared" si="340"/>
        <v>0</v>
      </c>
      <c r="O101" s="97">
        <f t="shared" si="340"/>
        <v>0</v>
      </c>
      <c r="P101" s="97">
        <f t="shared" ref="P101:R101" si="341">IF(BJ101=0,SUM(Z101+AC101+AF101+AI101+AL101+AO101+AR101+AU101+AX101+BA101+BD101+BG101),BJ101)</f>
        <v>0</v>
      </c>
      <c r="Q101" s="97">
        <f t="shared" si="341"/>
        <v>0</v>
      </c>
      <c r="R101" s="97">
        <f t="shared" si="341"/>
        <v>0</v>
      </c>
      <c r="S101" s="97">
        <f t="shared" ref="S101:T101" si="342">I101-M101</f>
        <v>0</v>
      </c>
      <c r="T101" s="97">
        <f t="shared" si="342"/>
        <v>0</v>
      </c>
      <c r="U101" s="97">
        <f t="shared" si="334"/>
        <v>0</v>
      </c>
      <c r="V101" s="427" t="e">
        <f t="shared" si="221"/>
        <v>#DIV/0!</v>
      </c>
      <c r="W101" s="96">
        <f t="shared" si="328"/>
        <v>0</v>
      </c>
      <c r="X101" s="96">
        <f t="shared" si="335"/>
        <v>0</v>
      </c>
      <c r="Y101" s="428">
        <f t="shared" si="336"/>
        <v>0</v>
      </c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9"/>
      <c r="BN101" s="100"/>
      <c r="BO101" s="100"/>
      <c r="BP101" s="100"/>
      <c r="BQ101" s="100"/>
    </row>
    <row r="102" spans="1:69" ht="15.75" customHeight="1">
      <c r="A102" s="89"/>
      <c r="B102" s="206"/>
      <c r="C102" s="90"/>
      <c r="D102" s="207" t="s">
        <v>890</v>
      </c>
      <c r="E102" s="208"/>
      <c r="F102" s="162">
        <f t="shared" si="330"/>
        <v>0</v>
      </c>
      <c r="G102" s="162"/>
      <c r="H102" s="208"/>
      <c r="I102" s="202"/>
      <c r="J102" s="204"/>
      <c r="K102" s="204"/>
      <c r="L102" s="202"/>
      <c r="M102" s="97">
        <f t="shared" ref="M102:O102" si="343">Z102+AC102+AF102+AI102+AL102+AO102+AR102+AU102+AX102+BA102+BD102+BG102</f>
        <v>0</v>
      </c>
      <c r="N102" s="97">
        <f t="shared" si="343"/>
        <v>0</v>
      </c>
      <c r="O102" s="97">
        <f t="shared" si="343"/>
        <v>0</v>
      </c>
      <c r="P102" s="97">
        <f t="shared" ref="P102:R102" si="344">IF(BJ102=0,SUM(Z102+AC102+AF102+AI102+AL102+AO102+AR102+AU102+AX102+BA102+BD102+BG102),BJ102)</f>
        <v>0</v>
      </c>
      <c r="Q102" s="97">
        <f t="shared" si="344"/>
        <v>0</v>
      </c>
      <c r="R102" s="97">
        <f t="shared" si="344"/>
        <v>0</v>
      </c>
      <c r="S102" s="97">
        <f t="shared" ref="S102:T102" si="345">I102-M102</f>
        <v>0</v>
      </c>
      <c r="T102" s="97">
        <f t="shared" si="345"/>
        <v>0</v>
      </c>
      <c r="U102" s="97">
        <f t="shared" si="334"/>
        <v>0</v>
      </c>
      <c r="V102" s="427" t="e">
        <f t="shared" si="221"/>
        <v>#DIV/0!</v>
      </c>
      <c r="W102" s="96">
        <f t="shared" si="328"/>
        <v>0</v>
      </c>
      <c r="X102" s="96">
        <f t="shared" si="335"/>
        <v>0</v>
      </c>
      <c r="Y102" s="428">
        <f t="shared" si="336"/>
        <v>0</v>
      </c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9"/>
      <c r="BH102" s="204"/>
      <c r="BI102" s="204"/>
      <c r="BJ102" s="209"/>
      <c r="BK102" s="204"/>
      <c r="BL102" s="204"/>
      <c r="BM102" s="99"/>
      <c r="BN102" s="100"/>
      <c r="BO102" s="100"/>
      <c r="BP102" s="100"/>
      <c r="BQ102" s="100"/>
    </row>
    <row r="103" spans="1:69" ht="15.75" customHeight="1">
      <c r="A103" s="89"/>
      <c r="B103" s="206"/>
      <c r="C103" s="90" t="s">
        <v>240</v>
      </c>
      <c r="D103" s="210" t="s">
        <v>891</v>
      </c>
      <c r="E103" s="166"/>
      <c r="F103" s="162">
        <f t="shared" si="330"/>
        <v>0</v>
      </c>
      <c r="G103" s="162"/>
      <c r="H103" s="147"/>
      <c r="I103" s="96"/>
      <c r="J103" s="96"/>
      <c r="K103" s="96"/>
      <c r="L103" s="96"/>
      <c r="M103" s="97">
        <f t="shared" ref="M103:O103" si="346">Z103+AC103+AF103+AI103+AL103+AO103+AR103+AU103+AX103+BA103+BD103+BG103</f>
        <v>0</v>
      </c>
      <c r="N103" s="97">
        <f t="shared" si="346"/>
        <v>0</v>
      </c>
      <c r="O103" s="97">
        <f t="shared" si="346"/>
        <v>0</v>
      </c>
      <c r="P103" s="97">
        <f t="shared" ref="P103:R103" si="347">IF(BJ103=0,SUM(Z103+AC103+AF103+AI103+AL103+AO103+AR103+AU103+AX103+BA103+BD103+BG103),BJ103)</f>
        <v>0</v>
      </c>
      <c r="Q103" s="97">
        <f t="shared" si="347"/>
        <v>0</v>
      </c>
      <c r="R103" s="97">
        <f t="shared" si="347"/>
        <v>0</v>
      </c>
      <c r="S103" s="97">
        <f t="shared" ref="S103:T103" si="348">I103-M103</f>
        <v>0</v>
      </c>
      <c r="T103" s="97">
        <f t="shared" si="348"/>
        <v>0</v>
      </c>
      <c r="U103" s="97">
        <f t="shared" si="334"/>
        <v>0</v>
      </c>
      <c r="V103" s="427" t="e">
        <f t="shared" si="221"/>
        <v>#DIV/0!</v>
      </c>
      <c r="W103" s="96">
        <f t="shared" si="328"/>
        <v>0</v>
      </c>
      <c r="X103" s="96">
        <f t="shared" si="335"/>
        <v>0</v>
      </c>
      <c r="Y103" s="428">
        <f t="shared" si="336"/>
        <v>0</v>
      </c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9"/>
      <c r="BN103" s="100"/>
      <c r="BO103" s="100"/>
      <c r="BP103" s="100"/>
      <c r="BQ103" s="100"/>
    </row>
    <row r="104" spans="1:69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432">
        <f>E104</f>
        <v>800</v>
      </c>
      <c r="G104" s="432"/>
      <c r="H104" s="166"/>
      <c r="I104" s="96"/>
      <c r="J104" s="96"/>
      <c r="K104" s="96"/>
      <c r="L104" s="96"/>
      <c r="M104" s="97">
        <f t="shared" ref="M104:O104" si="349">Z104+AC104+AF104+AI104+AL104+AO104+AR104+AU104+AX104+BA104+BD104+BG104</f>
        <v>0</v>
      </c>
      <c r="N104" s="97">
        <f t="shared" si="349"/>
        <v>0</v>
      </c>
      <c r="O104" s="97">
        <f t="shared" si="349"/>
        <v>0</v>
      </c>
      <c r="P104" s="97">
        <f t="shared" ref="P104:R104" si="350">IF(BJ104=0,SUM(Z104+AC104+AF104+AI104+AL104+AO104+AR104+AU104+AX104+BA104+BD104+BG104),BJ104)</f>
        <v>0</v>
      </c>
      <c r="Q104" s="97">
        <f t="shared" si="350"/>
        <v>0</v>
      </c>
      <c r="R104" s="97">
        <f t="shared" si="350"/>
        <v>0</v>
      </c>
      <c r="S104" s="97">
        <f t="shared" ref="S104:T104" si="351">I104-M104</f>
        <v>0</v>
      </c>
      <c r="T104" s="97">
        <f t="shared" si="351"/>
        <v>0</v>
      </c>
      <c r="U104" s="97">
        <f t="shared" si="334"/>
        <v>0</v>
      </c>
      <c r="V104" s="427" t="e">
        <f t="shared" si="221"/>
        <v>#DIV/0!</v>
      </c>
      <c r="W104" s="96">
        <f t="shared" si="328"/>
        <v>0</v>
      </c>
      <c r="X104" s="96">
        <f t="shared" si="335"/>
        <v>0</v>
      </c>
      <c r="Y104" s="428">
        <f t="shared" si="336"/>
        <v>800</v>
      </c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103">
        <v>0</v>
      </c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9"/>
      <c r="BN104" s="100"/>
      <c r="BO104" s="100"/>
      <c r="BP104" s="100"/>
      <c r="BQ104" s="100"/>
    </row>
    <row r="105" spans="1:69" ht="15.75" customHeight="1">
      <c r="A105" s="89"/>
      <c r="B105" s="206"/>
      <c r="C105" s="90" t="s">
        <v>340</v>
      </c>
      <c r="D105" s="91" t="s">
        <v>341</v>
      </c>
      <c r="E105" s="166"/>
      <c r="F105" s="162"/>
      <c r="G105" s="162"/>
      <c r="H105" s="166"/>
      <c r="I105" s="96"/>
      <c r="J105" s="96"/>
      <c r="K105" s="96"/>
      <c r="L105" s="96"/>
      <c r="M105" s="97">
        <f t="shared" ref="M105:O105" si="352">Z105+AC105+AF105+AI105+AL105+AO105+AR105+AU105+AX105+BA105+BD105+BG105</f>
        <v>0</v>
      </c>
      <c r="N105" s="97">
        <f t="shared" si="352"/>
        <v>0</v>
      </c>
      <c r="O105" s="97">
        <f t="shared" si="352"/>
        <v>0</v>
      </c>
      <c r="P105" s="97">
        <f t="shared" ref="P105:R105" si="353">IF(BJ105=0,SUM(Z105+AC105+AF105+AI105+AL105+AO105+AR105+AU105+AX105+BA105+BD105+BG105),BJ105)</f>
        <v>0</v>
      </c>
      <c r="Q105" s="97">
        <f t="shared" si="353"/>
        <v>0</v>
      </c>
      <c r="R105" s="97">
        <f t="shared" si="353"/>
        <v>0</v>
      </c>
      <c r="S105" s="97">
        <f t="shared" ref="S105:T105" si="354">I105-M105</f>
        <v>0</v>
      </c>
      <c r="T105" s="97">
        <f t="shared" si="354"/>
        <v>0</v>
      </c>
      <c r="U105" s="97">
        <f t="shared" si="334"/>
        <v>0</v>
      </c>
      <c r="V105" s="427" t="e">
        <f t="shared" si="221"/>
        <v>#DIV/0!</v>
      </c>
      <c r="W105" s="96">
        <f t="shared" si="328"/>
        <v>0</v>
      </c>
      <c r="X105" s="96">
        <f t="shared" si="335"/>
        <v>0</v>
      </c>
      <c r="Y105" s="428">
        <f t="shared" si="336"/>
        <v>0</v>
      </c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9"/>
      <c r="BN105" s="100"/>
      <c r="BO105" s="100"/>
      <c r="BP105" s="100"/>
      <c r="BQ105" s="100"/>
    </row>
    <row r="106" spans="1:69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429">
        <v>10000</v>
      </c>
      <c r="G106" s="432"/>
      <c r="H106" s="166"/>
      <c r="I106" s="96"/>
      <c r="J106" s="96"/>
      <c r="K106" s="96"/>
      <c r="L106" s="96"/>
      <c r="M106" s="97">
        <f t="shared" ref="M106:O106" si="355">Z106+AC106+AF106+AI106+AL106+AO106+AR106+AU106+AX106+BA106+BD106+BG106</f>
        <v>0</v>
      </c>
      <c r="N106" s="97">
        <f t="shared" si="355"/>
        <v>0</v>
      </c>
      <c r="O106" s="97">
        <f t="shared" si="355"/>
        <v>0</v>
      </c>
      <c r="P106" s="97">
        <f t="shared" ref="P106:R106" si="356">IF(BJ106=0,SUM(Z106+AC106+AF106+AI106+AL106+AO106+AR106+AU106+AX106+BA106+BD106+BG106),BJ106)</f>
        <v>0</v>
      </c>
      <c r="Q106" s="97">
        <f t="shared" si="356"/>
        <v>0</v>
      </c>
      <c r="R106" s="97">
        <f t="shared" si="356"/>
        <v>0</v>
      </c>
      <c r="S106" s="97">
        <f t="shared" ref="S106:T106" si="357">I106-M106</f>
        <v>0</v>
      </c>
      <c r="T106" s="97">
        <f t="shared" si="357"/>
        <v>0</v>
      </c>
      <c r="U106" s="97">
        <f t="shared" si="334"/>
        <v>0</v>
      </c>
      <c r="V106" s="427" t="e">
        <f t="shared" si="221"/>
        <v>#DIV/0!</v>
      </c>
      <c r="W106" s="96">
        <f t="shared" si="328"/>
        <v>0</v>
      </c>
      <c r="X106" s="96">
        <f t="shared" si="335"/>
        <v>0</v>
      </c>
      <c r="Y106" s="428">
        <f t="shared" si="336"/>
        <v>15000</v>
      </c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9"/>
      <c r="BN106" s="100"/>
      <c r="BO106" s="100"/>
      <c r="BP106" s="100"/>
      <c r="BQ106" s="100"/>
    </row>
    <row r="107" spans="1:69" ht="15.75" customHeight="1">
      <c r="A107" s="354" t="s">
        <v>614</v>
      </c>
      <c r="B107" s="211"/>
      <c r="C107" s="101" t="s">
        <v>229</v>
      </c>
      <c r="D107" s="122" t="s">
        <v>342</v>
      </c>
      <c r="E107" s="116">
        <v>70000</v>
      </c>
      <c r="F107" s="162">
        <f t="shared" ref="F107:F109" si="358">E107</f>
        <v>70000</v>
      </c>
      <c r="G107" s="162"/>
      <c r="H107" s="166"/>
      <c r="I107" s="103">
        <v>2502</v>
      </c>
      <c r="J107" s="96"/>
      <c r="K107" s="96"/>
      <c r="L107" s="96"/>
      <c r="M107" s="97">
        <f t="shared" ref="M107:O107" si="359">Z107+AC107+AF107+AI107+AL107+AO107+AR107+AU107+AX107+BA107+BD107+BG107</f>
        <v>0</v>
      </c>
      <c r="N107" s="97">
        <f t="shared" si="359"/>
        <v>0</v>
      </c>
      <c r="O107" s="97">
        <f t="shared" si="359"/>
        <v>0</v>
      </c>
      <c r="P107" s="97">
        <f t="shared" ref="P107:R107" si="360">IF(BJ107=0,SUM(Z107+AC107+AF107+AI107+AL107+AO107+AR107+AU107+AX107+BA107+BD107+BG107),BJ107)</f>
        <v>0</v>
      </c>
      <c r="Q107" s="97">
        <f t="shared" si="360"/>
        <v>0</v>
      </c>
      <c r="R107" s="97">
        <f t="shared" si="360"/>
        <v>0</v>
      </c>
      <c r="S107" s="97">
        <f t="shared" ref="S107:S114" si="361">I107-M107</f>
        <v>2502</v>
      </c>
      <c r="T107" s="97">
        <f>J107-N107-K107</f>
        <v>0</v>
      </c>
      <c r="U107" s="97">
        <f t="shared" si="334"/>
        <v>0</v>
      </c>
      <c r="V107" s="427" t="e">
        <f t="shared" si="221"/>
        <v>#DIV/0!</v>
      </c>
      <c r="W107" s="96">
        <f t="shared" si="328"/>
        <v>0</v>
      </c>
      <c r="X107" s="96">
        <f t="shared" si="335"/>
        <v>0</v>
      </c>
      <c r="Y107" s="428">
        <f t="shared" si="336"/>
        <v>70000</v>
      </c>
      <c r="Z107" s="96"/>
      <c r="AA107" s="103">
        <v>0</v>
      </c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9"/>
      <c r="BN107" s="100"/>
      <c r="BO107" s="100"/>
      <c r="BP107" s="100"/>
      <c r="BQ107" s="100"/>
    </row>
    <row r="108" spans="1:69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162">
        <f t="shared" si="358"/>
        <v>2000</v>
      </c>
      <c r="G108" s="162"/>
      <c r="H108" s="166"/>
      <c r="I108" s="96"/>
      <c r="J108" s="96"/>
      <c r="K108" s="96"/>
      <c r="L108" s="96"/>
      <c r="M108" s="97">
        <f t="shared" ref="M108:O108" si="362">Z108+AC108+AF108+AI108+AL108+AO108+AR108+AU108+AX108+BA108+BD108+BG108</f>
        <v>0</v>
      </c>
      <c r="N108" s="97">
        <f t="shared" si="362"/>
        <v>0</v>
      </c>
      <c r="O108" s="97">
        <f t="shared" si="362"/>
        <v>0</v>
      </c>
      <c r="P108" s="97">
        <f t="shared" ref="P108:R108" si="363">IF(BJ108=0,SUM(Z108+AC108+AF108+AI108+AL108+AO108+AR108+AU108+AX108+BA108+BD108+BG108),BJ108)</f>
        <v>0</v>
      </c>
      <c r="Q108" s="97">
        <f t="shared" si="363"/>
        <v>0</v>
      </c>
      <c r="R108" s="97">
        <f t="shared" si="363"/>
        <v>0</v>
      </c>
      <c r="S108" s="97">
        <f t="shared" si="361"/>
        <v>0</v>
      </c>
      <c r="T108" s="97">
        <f t="shared" ref="T108:T114" si="364">J108-N108</f>
        <v>0</v>
      </c>
      <c r="U108" s="97">
        <f t="shared" si="334"/>
        <v>0</v>
      </c>
      <c r="V108" s="427" t="e">
        <f t="shared" si="221"/>
        <v>#DIV/0!</v>
      </c>
      <c r="W108" s="96">
        <f t="shared" si="328"/>
        <v>0</v>
      </c>
      <c r="X108" s="96">
        <f t="shared" si="335"/>
        <v>0</v>
      </c>
      <c r="Y108" s="428">
        <f t="shared" si="336"/>
        <v>2000</v>
      </c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9"/>
      <c r="BN108" s="100"/>
      <c r="BO108" s="100"/>
      <c r="BP108" s="100"/>
      <c r="BQ108" s="100"/>
    </row>
    <row r="109" spans="1:69" ht="15.75" customHeight="1">
      <c r="A109" s="89"/>
      <c r="B109" s="206" t="s">
        <v>343</v>
      </c>
      <c r="C109" s="101" t="s">
        <v>344</v>
      </c>
      <c r="D109" s="122" t="s">
        <v>892</v>
      </c>
      <c r="E109" s="92">
        <v>3000</v>
      </c>
      <c r="F109" s="162">
        <f t="shared" si="358"/>
        <v>3000</v>
      </c>
      <c r="G109" s="162"/>
      <c r="H109" s="93">
        <v>10000</v>
      </c>
      <c r="I109" s="96"/>
      <c r="J109" s="96">
        <v>19996.900000000001</v>
      </c>
      <c r="K109" s="96"/>
      <c r="L109" s="96"/>
      <c r="M109" s="97">
        <f t="shared" ref="M109:O109" si="365">Z109+AC109+AF109+AI109+AL109+AO109+AR109+AU109+AX109+BA109+BD109+BG109</f>
        <v>0</v>
      </c>
      <c r="N109" s="97">
        <f t="shared" si="365"/>
        <v>0</v>
      </c>
      <c r="O109" s="97">
        <f t="shared" si="365"/>
        <v>0</v>
      </c>
      <c r="P109" s="97">
        <f t="shared" ref="P109:R109" si="366">IF(BJ109=0,SUM(Z109+AC109+AF109+AI109+AL109+AO109+AR109+AU109+AX109+BA109+BD109+BG109),BJ109)</f>
        <v>0</v>
      </c>
      <c r="Q109" s="97">
        <f t="shared" si="366"/>
        <v>0</v>
      </c>
      <c r="R109" s="97">
        <f t="shared" si="366"/>
        <v>0</v>
      </c>
      <c r="S109" s="97">
        <f t="shared" si="361"/>
        <v>0</v>
      </c>
      <c r="T109" s="97">
        <f t="shared" si="364"/>
        <v>19996.900000000001</v>
      </c>
      <c r="U109" s="97">
        <f t="shared" si="334"/>
        <v>0</v>
      </c>
      <c r="V109" s="427" t="e">
        <f t="shared" si="221"/>
        <v>#DIV/0!</v>
      </c>
      <c r="W109" s="96">
        <f t="shared" si="328"/>
        <v>0</v>
      </c>
      <c r="X109" s="96">
        <f t="shared" si="335"/>
        <v>-19996.900000000001</v>
      </c>
      <c r="Y109" s="428">
        <f t="shared" si="336"/>
        <v>22996.9</v>
      </c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9"/>
      <c r="BN109" s="100"/>
      <c r="BO109" s="100"/>
      <c r="BP109" s="100"/>
      <c r="BQ109" s="100"/>
    </row>
    <row r="110" spans="1:69" ht="15.75" customHeight="1">
      <c r="A110" s="89"/>
      <c r="B110" s="206" t="s">
        <v>346</v>
      </c>
      <c r="C110" s="90" t="s">
        <v>347</v>
      </c>
      <c r="D110" s="91" t="s">
        <v>893</v>
      </c>
      <c r="E110" s="92"/>
      <c r="F110" s="162">
        <f t="shared" ref="F110:F114" si="367">-(E110*14.5%)+E110</f>
        <v>0</v>
      </c>
      <c r="G110" s="162"/>
      <c r="H110" s="93"/>
      <c r="I110" s="96"/>
      <c r="J110" s="117">
        <v>52560</v>
      </c>
      <c r="K110" s="117"/>
      <c r="L110" s="96"/>
      <c r="M110" s="97">
        <f t="shared" ref="M110:O110" si="368">Z110+AC110+AF110+AI110+AL110+AO110+AR110+AU110+AX110+BA110+BD110+BG110</f>
        <v>0</v>
      </c>
      <c r="N110" s="97">
        <f t="shared" si="368"/>
        <v>52560</v>
      </c>
      <c r="O110" s="97">
        <f t="shared" si="368"/>
        <v>0</v>
      </c>
      <c r="P110" s="97">
        <f t="shared" ref="P110:R110" si="369">IF(BJ110=0,SUM(Z110+AC110+AF110+AI110+AL110+AO110+AR110+AU110+AX110+BA110+BD110+BG110),BJ110)</f>
        <v>0</v>
      </c>
      <c r="Q110" s="97">
        <f t="shared" si="369"/>
        <v>52560</v>
      </c>
      <c r="R110" s="97">
        <f t="shared" si="369"/>
        <v>0</v>
      </c>
      <c r="S110" s="97">
        <f t="shared" si="361"/>
        <v>0</v>
      </c>
      <c r="T110" s="97">
        <f t="shared" si="364"/>
        <v>0</v>
      </c>
      <c r="U110" s="97">
        <f t="shared" si="334"/>
        <v>0</v>
      </c>
      <c r="V110" s="427" t="e">
        <f t="shared" si="221"/>
        <v>#DIV/0!</v>
      </c>
      <c r="W110" s="96">
        <f t="shared" si="328"/>
        <v>0</v>
      </c>
      <c r="X110" s="96">
        <f t="shared" si="335"/>
        <v>0</v>
      </c>
      <c r="Y110" s="428">
        <f t="shared" si="336"/>
        <v>0</v>
      </c>
      <c r="Z110" s="96"/>
      <c r="AA110" s="103">
        <v>52560</v>
      </c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103">
        <v>0</v>
      </c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9"/>
      <c r="BN110" s="100"/>
      <c r="BO110" s="100"/>
      <c r="BP110" s="100"/>
      <c r="BQ110" s="100"/>
    </row>
    <row r="111" spans="1:69" ht="16.5" customHeight="1">
      <c r="A111" s="89"/>
      <c r="B111" s="206"/>
      <c r="C111" s="90" t="s">
        <v>349</v>
      </c>
      <c r="D111" s="122" t="s">
        <v>894</v>
      </c>
      <c r="E111" s="166"/>
      <c r="F111" s="162">
        <f t="shared" si="367"/>
        <v>0</v>
      </c>
      <c r="G111" s="162"/>
      <c r="H111" s="147"/>
      <c r="I111" s="96"/>
      <c r="J111" s="96"/>
      <c r="K111" s="96"/>
      <c r="L111" s="96"/>
      <c r="M111" s="97">
        <f t="shared" ref="M111:O111" si="370">Z111+AC111+AF111+AI111+AL111+AO111+AR111+AU111+AX111+BA111+BD111+BG111</f>
        <v>0</v>
      </c>
      <c r="N111" s="97">
        <f t="shared" si="370"/>
        <v>0</v>
      </c>
      <c r="O111" s="97">
        <f t="shared" si="370"/>
        <v>0</v>
      </c>
      <c r="P111" s="97">
        <f t="shared" ref="P111:R111" si="371">IF(BJ111=0,SUM(Z111+AC111+AF111+AI111+AL111+AO111+AR111+AU111+AX111+BA111+BD111+BG111),BJ111)</f>
        <v>0</v>
      </c>
      <c r="Q111" s="97">
        <f t="shared" si="371"/>
        <v>0</v>
      </c>
      <c r="R111" s="97">
        <f t="shared" si="371"/>
        <v>0</v>
      </c>
      <c r="S111" s="97">
        <f t="shared" si="361"/>
        <v>0</v>
      </c>
      <c r="T111" s="97">
        <f t="shared" si="364"/>
        <v>0</v>
      </c>
      <c r="U111" s="97">
        <f t="shared" si="334"/>
        <v>0</v>
      </c>
      <c r="V111" s="427" t="e">
        <f t="shared" si="221"/>
        <v>#DIV/0!</v>
      </c>
      <c r="W111" s="96">
        <f t="shared" si="328"/>
        <v>0</v>
      </c>
      <c r="X111" s="96">
        <f t="shared" si="335"/>
        <v>0</v>
      </c>
      <c r="Y111" s="428">
        <f t="shared" si="336"/>
        <v>0</v>
      </c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9"/>
      <c r="BN111" s="100"/>
      <c r="BO111" s="100"/>
      <c r="BP111" s="100"/>
      <c r="BQ111" s="100"/>
    </row>
    <row r="112" spans="1:69" ht="17.25" customHeight="1">
      <c r="A112" s="89"/>
      <c r="B112" s="206"/>
      <c r="C112" s="90" t="s">
        <v>318</v>
      </c>
      <c r="D112" s="212" t="s">
        <v>895</v>
      </c>
      <c r="E112" s="166"/>
      <c r="F112" s="162">
        <f t="shared" si="367"/>
        <v>0</v>
      </c>
      <c r="G112" s="162"/>
      <c r="H112" s="213"/>
      <c r="I112" s="96"/>
      <c r="J112" s="96"/>
      <c r="K112" s="96"/>
      <c r="L112" s="96"/>
      <c r="M112" s="97">
        <f t="shared" ref="M112:O112" si="372">Z112+AC112+AF112+AI112+AL112+AO112+AR112+AU112+AX112+BA112+BD112+BG112</f>
        <v>0</v>
      </c>
      <c r="N112" s="97">
        <f t="shared" si="372"/>
        <v>0</v>
      </c>
      <c r="O112" s="97">
        <f t="shared" si="372"/>
        <v>0</v>
      </c>
      <c r="P112" s="97">
        <f t="shared" ref="P112:R112" si="373">IF(BJ112=0,SUM(Z112+AC112+AF112+AI112+AL112+AO112+AR112+AU112+AX112+BA112+BD112+BG112),BJ112)</f>
        <v>0</v>
      </c>
      <c r="Q112" s="97">
        <f t="shared" si="373"/>
        <v>0</v>
      </c>
      <c r="R112" s="97">
        <f t="shared" si="373"/>
        <v>0</v>
      </c>
      <c r="S112" s="97">
        <f t="shared" si="361"/>
        <v>0</v>
      </c>
      <c r="T112" s="97">
        <f t="shared" si="364"/>
        <v>0</v>
      </c>
      <c r="U112" s="97">
        <f t="shared" si="334"/>
        <v>0</v>
      </c>
      <c r="V112" s="427" t="e">
        <f t="shared" si="221"/>
        <v>#DIV/0!</v>
      </c>
      <c r="W112" s="96">
        <f t="shared" si="328"/>
        <v>0</v>
      </c>
      <c r="X112" s="96">
        <f t="shared" si="335"/>
        <v>0</v>
      </c>
      <c r="Y112" s="428">
        <f t="shared" si="336"/>
        <v>0</v>
      </c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9"/>
      <c r="BN112" s="100"/>
      <c r="BO112" s="100"/>
      <c r="BP112" s="100"/>
      <c r="BQ112" s="100"/>
    </row>
    <row r="113" spans="1:69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162">
        <f t="shared" si="367"/>
        <v>0</v>
      </c>
      <c r="G113" s="162"/>
      <c r="H113" s="166">
        <v>0</v>
      </c>
      <c r="I113" s="96"/>
      <c r="J113" s="96">
        <v>3207</v>
      </c>
      <c r="K113" s="96"/>
      <c r="L113" s="214"/>
      <c r="M113" s="97">
        <f t="shared" ref="M113:O113" si="374">Z113+AC113+AF113+AI113+AL113+AO113+AR113+AU113+AX113+BA113+BD113+BG113</f>
        <v>0</v>
      </c>
      <c r="N113" s="97">
        <f t="shared" si="374"/>
        <v>0</v>
      </c>
      <c r="O113" s="97">
        <f t="shared" si="374"/>
        <v>0</v>
      </c>
      <c r="P113" s="97">
        <f t="shared" ref="P113:R113" si="375">IF(BJ113=0,SUM(Z113+AC113+AF113+AI113+AL113+AO113+AR113+AU113+AX113+BA113+BD113+BG113),BJ113)</f>
        <v>0</v>
      </c>
      <c r="Q113" s="97">
        <f t="shared" si="375"/>
        <v>0</v>
      </c>
      <c r="R113" s="97">
        <f t="shared" si="375"/>
        <v>0</v>
      </c>
      <c r="S113" s="97">
        <f t="shared" si="361"/>
        <v>0</v>
      </c>
      <c r="T113" s="97">
        <f t="shared" si="364"/>
        <v>3207</v>
      </c>
      <c r="U113" s="97">
        <f t="shared" si="334"/>
        <v>0</v>
      </c>
      <c r="V113" s="427" t="e">
        <f t="shared" si="221"/>
        <v>#DIV/0!</v>
      </c>
      <c r="W113" s="96">
        <f t="shared" si="328"/>
        <v>0</v>
      </c>
      <c r="X113" s="96">
        <f t="shared" si="335"/>
        <v>-3207</v>
      </c>
      <c r="Y113" s="428">
        <f t="shared" si="336"/>
        <v>3207</v>
      </c>
      <c r="Z113" s="96"/>
      <c r="AA113" s="96"/>
      <c r="AB113" s="96"/>
      <c r="AC113" s="96"/>
      <c r="AD113" s="96"/>
      <c r="AE113" s="96"/>
      <c r="AF113" s="215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9"/>
      <c r="BN113" s="100"/>
      <c r="BO113" s="100"/>
      <c r="BP113" s="100"/>
      <c r="BQ113" s="100"/>
    </row>
    <row r="114" spans="1:69" ht="15.75" customHeight="1">
      <c r="A114" s="216"/>
      <c r="B114" s="216"/>
      <c r="C114" s="217" t="s">
        <v>354</v>
      </c>
      <c r="D114" s="144" t="s">
        <v>355</v>
      </c>
      <c r="E114" s="213"/>
      <c r="F114" s="162">
        <f t="shared" si="367"/>
        <v>0</v>
      </c>
      <c r="G114" s="162"/>
      <c r="H114" s="213"/>
      <c r="I114" s="218"/>
      <c r="J114" s="219"/>
      <c r="K114" s="219"/>
      <c r="L114" s="219"/>
      <c r="M114" s="82">
        <f t="shared" ref="M114:O114" si="376">Z114+AC114+AF114+AI114+AL114+AO114+AR114+AU114+AX114+BA114+BD114+BG114</f>
        <v>0</v>
      </c>
      <c r="N114" s="82">
        <f t="shared" si="376"/>
        <v>0</v>
      </c>
      <c r="O114" s="82">
        <f t="shared" si="376"/>
        <v>0</v>
      </c>
      <c r="P114" s="97">
        <f t="shared" ref="P114:R114" si="377">IF(BJ114=0,SUM(Z114+AC114+AF114+AI114+AL114+AO114+AR114+AU114+AX114+BA114+BD114+BG114),BJ114)</f>
        <v>0</v>
      </c>
      <c r="Q114" s="97">
        <f t="shared" si="377"/>
        <v>0</v>
      </c>
      <c r="R114" s="97">
        <f t="shared" si="377"/>
        <v>0</v>
      </c>
      <c r="S114" s="97">
        <f t="shared" si="361"/>
        <v>0</v>
      </c>
      <c r="T114" s="97">
        <f t="shared" si="364"/>
        <v>0</v>
      </c>
      <c r="U114" s="97">
        <f t="shared" si="334"/>
        <v>0</v>
      </c>
      <c r="V114" s="427" t="e">
        <f t="shared" si="221"/>
        <v>#DIV/0!</v>
      </c>
      <c r="W114" s="96">
        <f t="shared" si="328"/>
        <v>0</v>
      </c>
      <c r="X114" s="96">
        <f t="shared" si="335"/>
        <v>0</v>
      </c>
      <c r="Y114" s="428">
        <f t="shared" si="336"/>
        <v>0</v>
      </c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19"/>
      <c r="BM114" s="220"/>
      <c r="BN114" s="221"/>
      <c r="BO114" s="221"/>
      <c r="BP114" s="221"/>
      <c r="BQ114" s="221"/>
    </row>
    <row r="115" spans="1:69" ht="15.75" customHeight="1">
      <c r="A115" s="182"/>
      <c r="B115" s="182"/>
      <c r="C115" s="222"/>
      <c r="D115" s="184" t="s">
        <v>356</v>
      </c>
      <c r="E115" s="186">
        <f t="shared" ref="E115:F115" si="378">SUM(E116:E119)</f>
        <v>23296.54</v>
      </c>
      <c r="F115" s="186">
        <f t="shared" si="378"/>
        <v>26399.54</v>
      </c>
      <c r="G115" s="186"/>
      <c r="H115" s="186">
        <f t="shared" ref="H115:J115" si="379">SUM(H116:H119)</f>
        <v>0</v>
      </c>
      <c r="I115" s="186">
        <f t="shared" si="379"/>
        <v>0</v>
      </c>
      <c r="J115" s="186">
        <f t="shared" si="379"/>
        <v>0</v>
      </c>
      <c r="K115" s="186"/>
      <c r="L115" s="186">
        <f t="shared" ref="L115:O115" si="380">SUM(L116:L119)</f>
        <v>0</v>
      </c>
      <c r="M115" s="186">
        <f t="shared" si="380"/>
        <v>0</v>
      </c>
      <c r="N115" s="186">
        <f t="shared" si="380"/>
        <v>0</v>
      </c>
      <c r="O115" s="186">
        <f t="shared" si="380"/>
        <v>0</v>
      </c>
      <c r="P115" s="186">
        <f t="shared" ref="P115:R115" si="381">IF(BJ115=0,SUM(Z115+AC115+AF115+AI115+AL115+AO115+AR115+AU115+AX115+BA115+BD115+BG115),BJ115)</f>
        <v>0</v>
      </c>
      <c r="Q115" s="186">
        <f t="shared" si="381"/>
        <v>0</v>
      </c>
      <c r="R115" s="186">
        <f t="shared" si="381"/>
        <v>0</v>
      </c>
      <c r="S115" s="186">
        <f t="shared" ref="S115:U115" si="382">SUM(S116:S119)</f>
        <v>0</v>
      </c>
      <c r="T115" s="186">
        <f t="shared" si="382"/>
        <v>0</v>
      </c>
      <c r="U115" s="186">
        <f t="shared" si="382"/>
        <v>0</v>
      </c>
      <c r="V115" s="427" t="e">
        <f t="shared" si="221"/>
        <v>#DIV/0!</v>
      </c>
      <c r="W115" s="96">
        <f t="shared" si="328"/>
        <v>0</v>
      </c>
      <c r="X115" s="96">
        <f t="shared" si="335"/>
        <v>0</v>
      </c>
      <c r="Y115" s="428">
        <f t="shared" si="336"/>
        <v>23296.54</v>
      </c>
      <c r="Z115" s="186">
        <f t="shared" ref="Z115:BL115" si="383">SUM(Z116:Z119)</f>
        <v>0</v>
      </c>
      <c r="AA115" s="186">
        <f t="shared" si="383"/>
        <v>0</v>
      </c>
      <c r="AB115" s="186">
        <f t="shared" si="383"/>
        <v>0</v>
      </c>
      <c r="AC115" s="186">
        <f t="shared" si="383"/>
        <v>0</v>
      </c>
      <c r="AD115" s="186">
        <f t="shared" si="383"/>
        <v>0</v>
      </c>
      <c r="AE115" s="186">
        <f t="shared" si="383"/>
        <v>0</v>
      </c>
      <c r="AF115" s="186">
        <f t="shared" si="383"/>
        <v>0</v>
      </c>
      <c r="AG115" s="186">
        <f t="shared" si="383"/>
        <v>0</v>
      </c>
      <c r="AH115" s="186">
        <f t="shared" si="383"/>
        <v>0</v>
      </c>
      <c r="AI115" s="186">
        <f t="shared" si="383"/>
        <v>0</v>
      </c>
      <c r="AJ115" s="186">
        <f t="shared" si="383"/>
        <v>0</v>
      </c>
      <c r="AK115" s="186">
        <f t="shared" si="383"/>
        <v>0</v>
      </c>
      <c r="AL115" s="186">
        <f t="shared" si="383"/>
        <v>0</v>
      </c>
      <c r="AM115" s="186">
        <f t="shared" si="383"/>
        <v>0</v>
      </c>
      <c r="AN115" s="186">
        <f t="shared" si="383"/>
        <v>0</v>
      </c>
      <c r="AO115" s="186">
        <f t="shared" si="383"/>
        <v>0</v>
      </c>
      <c r="AP115" s="186">
        <f t="shared" si="383"/>
        <v>0</v>
      </c>
      <c r="AQ115" s="186">
        <f t="shared" si="383"/>
        <v>0</v>
      </c>
      <c r="AR115" s="186">
        <f t="shared" si="383"/>
        <v>0</v>
      </c>
      <c r="AS115" s="186">
        <f t="shared" si="383"/>
        <v>0</v>
      </c>
      <c r="AT115" s="186">
        <f t="shared" si="383"/>
        <v>0</v>
      </c>
      <c r="AU115" s="186">
        <f t="shared" si="383"/>
        <v>0</v>
      </c>
      <c r="AV115" s="186">
        <f t="shared" si="383"/>
        <v>0</v>
      </c>
      <c r="AW115" s="186">
        <f t="shared" si="383"/>
        <v>0</v>
      </c>
      <c r="AX115" s="186">
        <f t="shared" si="383"/>
        <v>0</v>
      </c>
      <c r="AY115" s="186">
        <f t="shared" si="383"/>
        <v>0</v>
      </c>
      <c r="AZ115" s="186">
        <f t="shared" si="383"/>
        <v>0</v>
      </c>
      <c r="BA115" s="186">
        <f t="shared" si="383"/>
        <v>0</v>
      </c>
      <c r="BB115" s="186">
        <f t="shared" si="383"/>
        <v>0</v>
      </c>
      <c r="BC115" s="186">
        <f t="shared" si="383"/>
        <v>0</v>
      </c>
      <c r="BD115" s="186">
        <f t="shared" si="383"/>
        <v>0</v>
      </c>
      <c r="BE115" s="186">
        <f t="shared" si="383"/>
        <v>0</v>
      </c>
      <c r="BF115" s="186">
        <f t="shared" si="383"/>
        <v>0</v>
      </c>
      <c r="BG115" s="186">
        <f t="shared" si="383"/>
        <v>0</v>
      </c>
      <c r="BH115" s="186">
        <f t="shared" si="383"/>
        <v>0</v>
      </c>
      <c r="BI115" s="186">
        <f t="shared" si="383"/>
        <v>0</v>
      </c>
      <c r="BJ115" s="186">
        <f t="shared" si="383"/>
        <v>0</v>
      </c>
      <c r="BK115" s="186">
        <f t="shared" si="383"/>
        <v>0</v>
      </c>
      <c r="BL115" s="186">
        <f t="shared" si="383"/>
        <v>0</v>
      </c>
      <c r="BM115" s="157"/>
      <c r="BN115" s="158"/>
      <c r="BO115" s="158"/>
      <c r="BP115" s="158"/>
      <c r="BQ115" s="158"/>
    </row>
    <row r="116" spans="1:69" ht="15.75" customHeight="1">
      <c r="A116" s="89"/>
      <c r="B116" s="89"/>
      <c r="C116" s="90" t="s">
        <v>357</v>
      </c>
      <c r="D116" s="91" t="s">
        <v>358</v>
      </c>
      <c r="E116" s="194">
        <v>18000</v>
      </c>
      <c r="F116" s="435">
        <f>E116+3103</f>
        <v>21103</v>
      </c>
      <c r="G116" s="435"/>
      <c r="H116" s="166"/>
      <c r="I116" s="142"/>
      <c r="J116" s="96"/>
      <c r="K116" s="96"/>
      <c r="L116" s="95"/>
      <c r="M116" s="97">
        <f t="shared" ref="M116:O116" si="384">Z116+AC116+AF116+AI116+AL116+AO116+AR116+AU116+AX116+BA116+BD116+BG116</f>
        <v>0</v>
      </c>
      <c r="N116" s="97">
        <f t="shared" si="384"/>
        <v>0</v>
      </c>
      <c r="O116" s="97">
        <f t="shared" si="384"/>
        <v>0</v>
      </c>
      <c r="P116" s="97">
        <f t="shared" ref="P116:R116" si="385">IF(BJ116=0,SUM(Z116+AC116+AF116+AI116+AL116+AO116+AR116+AU116+AX116+BA116+BD116+BG116),BJ116)</f>
        <v>0</v>
      </c>
      <c r="Q116" s="97">
        <f t="shared" si="385"/>
        <v>0</v>
      </c>
      <c r="R116" s="97">
        <f t="shared" si="385"/>
        <v>0</v>
      </c>
      <c r="S116" s="97">
        <f t="shared" ref="S116:T116" si="386">I116-M116</f>
        <v>0</v>
      </c>
      <c r="T116" s="97">
        <f t="shared" si="386"/>
        <v>0</v>
      </c>
      <c r="U116" s="97">
        <f t="shared" ref="U116:U119" si="387">L116-O116</f>
        <v>0</v>
      </c>
      <c r="V116" s="427" t="e">
        <f t="shared" si="221"/>
        <v>#DIV/0!</v>
      </c>
      <c r="W116" s="96">
        <f t="shared" si="328"/>
        <v>0</v>
      </c>
      <c r="X116" s="96">
        <f t="shared" si="335"/>
        <v>0</v>
      </c>
      <c r="Y116" s="428">
        <f t="shared" si="336"/>
        <v>18000</v>
      </c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103">
        <v>0</v>
      </c>
      <c r="BH116" s="96"/>
      <c r="BI116" s="96"/>
      <c r="BJ116" s="96"/>
      <c r="BK116" s="96"/>
      <c r="BL116" s="96"/>
      <c r="BM116" s="99"/>
      <c r="BN116" s="100"/>
      <c r="BO116" s="100"/>
      <c r="BP116" s="100"/>
      <c r="BQ116" s="100"/>
    </row>
    <row r="117" spans="1:69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162">
        <f>E117</f>
        <v>5296.54</v>
      </c>
      <c r="G117" s="162"/>
      <c r="H117" s="166"/>
      <c r="I117" s="96"/>
      <c r="J117" s="96"/>
      <c r="K117" s="96"/>
      <c r="L117" s="95"/>
      <c r="M117" s="97">
        <f t="shared" ref="M117:O117" si="388">Z117+AC117+AF117+AI117+AL117+AO117+AR117+AU117+AX117+BA117+BD117+BG117</f>
        <v>0</v>
      </c>
      <c r="N117" s="97">
        <f t="shared" si="388"/>
        <v>0</v>
      </c>
      <c r="O117" s="97">
        <f t="shared" si="388"/>
        <v>0</v>
      </c>
      <c r="P117" s="97">
        <f t="shared" ref="P117:R117" si="389">IF(BJ117=0,SUM(Z117+AC117+AF117+AI117+AL117+AO117+AR117+AU117+AX117+BA117+BD117+BG117),BJ117)</f>
        <v>0</v>
      </c>
      <c r="Q117" s="97">
        <f t="shared" si="389"/>
        <v>0</v>
      </c>
      <c r="R117" s="97">
        <f t="shared" si="389"/>
        <v>0</v>
      </c>
      <c r="S117" s="97">
        <f t="shared" ref="S117:T117" si="390">I117-M117</f>
        <v>0</v>
      </c>
      <c r="T117" s="97">
        <f t="shared" si="390"/>
        <v>0</v>
      </c>
      <c r="U117" s="97">
        <f t="shared" si="387"/>
        <v>0</v>
      </c>
      <c r="V117" s="427" t="e">
        <f t="shared" si="221"/>
        <v>#DIV/0!</v>
      </c>
      <c r="W117" s="96">
        <f t="shared" si="328"/>
        <v>0</v>
      </c>
      <c r="X117" s="96">
        <f t="shared" si="335"/>
        <v>0</v>
      </c>
      <c r="Y117" s="428">
        <f t="shared" si="336"/>
        <v>5296.54</v>
      </c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9"/>
      <c r="BN117" s="100"/>
      <c r="BO117" s="100"/>
      <c r="BP117" s="100"/>
      <c r="BQ117" s="100"/>
    </row>
    <row r="118" spans="1:69" ht="15.75" customHeight="1">
      <c r="A118" s="89"/>
      <c r="B118" s="89"/>
      <c r="C118" s="90"/>
      <c r="D118" s="91" t="s">
        <v>361</v>
      </c>
      <c r="E118" s="166"/>
      <c r="F118" s="162">
        <f t="shared" ref="F118:F119" si="391">-(E118*14.5%)+E118</f>
        <v>0</v>
      </c>
      <c r="G118" s="162"/>
      <c r="H118" s="166"/>
      <c r="I118" s="96"/>
      <c r="J118" s="96"/>
      <c r="K118" s="96"/>
      <c r="L118" s="95"/>
      <c r="M118" s="97">
        <f t="shared" ref="M118:O118" si="392">Z118+AC118+AF118+AI118+AL118+AO118+AR118+AU118+AX118+BA118+BD118+BG118</f>
        <v>0</v>
      </c>
      <c r="N118" s="97">
        <f t="shared" si="392"/>
        <v>0</v>
      </c>
      <c r="O118" s="97">
        <f t="shared" si="392"/>
        <v>0</v>
      </c>
      <c r="P118" s="97">
        <f t="shared" ref="P118:R118" si="393">IF(BJ118=0,SUM(Z118+AC118+AF118+AI118+AL118+AO118+AR118+AU118+AX118+BA118+BD118+BG118),BJ118)</f>
        <v>0</v>
      </c>
      <c r="Q118" s="97">
        <f t="shared" si="393"/>
        <v>0</v>
      </c>
      <c r="R118" s="97">
        <f t="shared" si="393"/>
        <v>0</v>
      </c>
      <c r="S118" s="97">
        <f t="shared" ref="S118:T118" si="394">I118-M118</f>
        <v>0</v>
      </c>
      <c r="T118" s="97">
        <f t="shared" si="394"/>
        <v>0</v>
      </c>
      <c r="U118" s="97">
        <f t="shared" si="387"/>
        <v>0</v>
      </c>
      <c r="V118" s="427" t="e">
        <f t="shared" si="221"/>
        <v>#DIV/0!</v>
      </c>
      <c r="W118" s="96">
        <f t="shared" si="328"/>
        <v>0</v>
      </c>
      <c r="X118" s="96">
        <f t="shared" si="335"/>
        <v>0</v>
      </c>
      <c r="Y118" s="428">
        <f t="shared" si="336"/>
        <v>0</v>
      </c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9"/>
      <c r="BN118" s="100"/>
      <c r="BO118" s="100"/>
      <c r="BP118" s="100"/>
      <c r="BQ118" s="100"/>
    </row>
    <row r="119" spans="1:69" ht="15.75" customHeight="1">
      <c r="A119" s="89"/>
      <c r="B119" s="89"/>
      <c r="C119" s="90" t="s">
        <v>318</v>
      </c>
      <c r="D119" s="91" t="s">
        <v>362</v>
      </c>
      <c r="E119" s="166"/>
      <c r="F119" s="162">
        <f t="shared" si="391"/>
        <v>0</v>
      </c>
      <c r="G119" s="162"/>
      <c r="H119" s="166"/>
      <c r="I119" s="96"/>
      <c r="J119" s="96"/>
      <c r="K119" s="96"/>
      <c r="L119" s="95"/>
      <c r="M119" s="97">
        <f t="shared" ref="M119:O119" si="395">Z119+AC119+AF119+AI119+AL119+AO119+AR119+AU119+AX119+BA119+BD119+BG119</f>
        <v>0</v>
      </c>
      <c r="N119" s="97">
        <f t="shared" si="395"/>
        <v>0</v>
      </c>
      <c r="O119" s="97">
        <f t="shared" si="395"/>
        <v>0</v>
      </c>
      <c r="P119" s="97">
        <f t="shared" ref="P119:R119" si="396">IF(BJ119=0,SUM(Z119+AC119+AF119+AI119+AL119+AO119+AR119+AU119+AX119+BA119+BD119+BG119),BJ119)</f>
        <v>0</v>
      </c>
      <c r="Q119" s="97">
        <f t="shared" si="396"/>
        <v>0</v>
      </c>
      <c r="R119" s="97">
        <f t="shared" si="396"/>
        <v>0</v>
      </c>
      <c r="S119" s="97">
        <f t="shared" ref="S119:T119" si="397">I119-M119</f>
        <v>0</v>
      </c>
      <c r="T119" s="97">
        <f t="shared" si="397"/>
        <v>0</v>
      </c>
      <c r="U119" s="97">
        <f t="shared" si="387"/>
        <v>0</v>
      </c>
      <c r="V119" s="427" t="e">
        <f t="shared" si="221"/>
        <v>#DIV/0!</v>
      </c>
      <c r="W119" s="96">
        <f t="shared" si="328"/>
        <v>0</v>
      </c>
      <c r="X119" s="96">
        <f t="shared" si="335"/>
        <v>0</v>
      </c>
      <c r="Y119" s="428">
        <f t="shared" si="336"/>
        <v>0</v>
      </c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9"/>
      <c r="BN119" s="100"/>
      <c r="BO119" s="100"/>
      <c r="BP119" s="100"/>
      <c r="BQ119" s="100"/>
    </row>
    <row r="120" spans="1:69" ht="15.75" customHeight="1">
      <c r="A120" s="182"/>
      <c r="B120" s="182"/>
      <c r="C120" s="222"/>
      <c r="D120" s="224" t="s">
        <v>363</v>
      </c>
      <c r="E120" s="186">
        <f t="shared" ref="E120:F120" si="398">E121+E131+E137+E141</f>
        <v>152177.47999999998</v>
      </c>
      <c r="F120" s="186">
        <f t="shared" si="398"/>
        <v>152177.47999999998</v>
      </c>
      <c r="G120" s="186"/>
      <c r="H120" s="186">
        <f t="shared" ref="H120:U120" si="399">H121+H131+H137+H141</f>
        <v>1173964.47</v>
      </c>
      <c r="I120" s="186">
        <f t="shared" si="399"/>
        <v>0</v>
      </c>
      <c r="J120" s="186">
        <f t="shared" si="399"/>
        <v>665873.97</v>
      </c>
      <c r="K120" s="186">
        <f t="shared" si="399"/>
        <v>0</v>
      </c>
      <c r="L120" s="186">
        <f t="shared" si="399"/>
        <v>0</v>
      </c>
      <c r="M120" s="186">
        <f t="shared" si="399"/>
        <v>0</v>
      </c>
      <c r="N120" s="186">
        <f t="shared" si="399"/>
        <v>291336.7</v>
      </c>
      <c r="O120" s="186">
        <f t="shared" si="399"/>
        <v>0</v>
      </c>
      <c r="P120" s="186">
        <f t="shared" si="399"/>
        <v>0</v>
      </c>
      <c r="Q120" s="186">
        <f t="shared" si="399"/>
        <v>291336.7</v>
      </c>
      <c r="R120" s="186">
        <f t="shared" si="399"/>
        <v>0</v>
      </c>
      <c r="S120" s="186">
        <f t="shared" si="399"/>
        <v>0</v>
      </c>
      <c r="T120" s="186">
        <f t="shared" si="399"/>
        <v>374537.27</v>
      </c>
      <c r="U120" s="186">
        <f t="shared" si="399"/>
        <v>0</v>
      </c>
      <c r="V120" s="427">
        <f t="shared" si="221"/>
        <v>2.2498994253866123</v>
      </c>
      <c r="W120" s="96"/>
      <c r="X120" s="96"/>
      <c r="Y120" s="428"/>
      <c r="Z120" s="186">
        <f t="shared" ref="Z120:BL120" si="400">Z121+Z131+Z137+Z141</f>
        <v>0</v>
      </c>
      <c r="AA120" s="186">
        <f t="shared" si="400"/>
        <v>0</v>
      </c>
      <c r="AB120" s="186">
        <f t="shared" si="400"/>
        <v>0</v>
      </c>
      <c r="AC120" s="186">
        <f t="shared" si="400"/>
        <v>0</v>
      </c>
      <c r="AD120" s="186">
        <f t="shared" si="400"/>
        <v>61206.74</v>
      </c>
      <c r="AE120" s="186">
        <f t="shared" si="400"/>
        <v>0</v>
      </c>
      <c r="AF120" s="186">
        <f t="shared" si="400"/>
        <v>0</v>
      </c>
      <c r="AG120" s="186">
        <f t="shared" si="400"/>
        <v>63661.509999999995</v>
      </c>
      <c r="AH120" s="186">
        <f t="shared" si="400"/>
        <v>0</v>
      </c>
      <c r="AI120" s="186">
        <f t="shared" si="400"/>
        <v>0</v>
      </c>
      <c r="AJ120" s="186">
        <f t="shared" si="400"/>
        <v>166468.45000000001</v>
      </c>
      <c r="AK120" s="186">
        <f t="shared" si="400"/>
        <v>0</v>
      </c>
      <c r="AL120" s="186">
        <f t="shared" si="400"/>
        <v>0</v>
      </c>
      <c r="AM120" s="186">
        <f t="shared" si="400"/>
        <v>0</v>
      </c>
      <c r="AN120" s="186">
        <f t="shared" si="400"/>
        <v>0</v>
      </c>
      <c r="AO120" s="186">
        <f t="shared" si="400"/>
        <v>0</v>
      </c>
      <c r="AP120" s="186">
        <f t="shared" si="400"/>
        <v>0</v>
      </c>
      <c r="AQ120" s="186">
        <f t="shared" si="400"/>
        <v>0</v>
      </c>
      <c r="AR120" s="186">
        <f t="shared" si="400"/>
        <v>0</v>
      </c>
      <c r="AS120" s="186">
        <f t="shared" si="400"/>
        <v>0</v>
      </c>
      <c r="AT120" s="186">
        <f t="shared" si="400"/>
        <v>0</v>
      </c>
      <c r="AU120" s="186">
        <f t="shared" si="400"/>
        <v>0</v>
      </c>
      <c r="AV120" s="186">
        <f t="shared" si="400"/>
        <v>0</v>
      </c>
      <c r="AW120" s="186">
        <f t="shared" si="400"/>
        <v>0</v>
      </c>
      <c r="AX120" s="186">
        <f t="shared" si="400"/>
        <v>0</v>
      </c>
      <c r="AY120" s="186">
        <f t="shared" si="400"/>
        <v>0</v>
      </c>
      <c r="AZ120" s="186">
        <f t="shared" si="400"/>
        <v>0</v>
      </c>
      <c r="BA120" s="186">
        <f t="shared" si="400"/>
        <v>0</v>
      </c>
      <c r="BB120" s="186">
        <f t="shared" si="400"/>
        <v>0</v>
      </c>
      <c r="BC120" s="186">
        <f t="shared" si="400"/>
        <v>0</v>
      </c>
      <c r="BD120" s="186">
        <f t="shared" si="400"/>
        <v>0</v>
      </c>
      <c r="BE120" s="186">
        <f t="shared" si="400"/>
        <v>0</v>
      </c>
      <c r="BF120" s="186">
        <f t="shared" si="400"/>
        <v>0</v>
      </c>
      <c r="BG120" s="186">
        <f t="shared" si="400"/>
        <v>0</v>
      </c>
      <c r="BH120" s="186">
        <f t="shared" si="400"/>
        <v>0</v>
      </c>
      <c r="BI120" s="186">
        <f t="shared" si="400"/>
        <v>0</v>
      </c>
      <c r="BJ120" s="186">
        <f t="shared" si="400"/>
        <v>0</v>
      </c>
      <c r="BK120" s="186">
        <f t="shared" si="400"/>
        <v>0</v>
      </c>
      <c r="BL120" s="186">
        <f t="shared" si="400"/>
        <v>0</v>
      </c>
      <c r="BM120" s="226"/>
      <c r="BN120" s="227"/>
      <c r="BO120" s="227"/>
      <c r="BP120" s="227"/>
      <c r="BQ120" s="227"/>
    </row>
    <row r="121" spans="1:69" ht="15.75" customHeight="1">
      <c r="A121" s="228"/>
      <c r="B121" s="228"/>
      <c r="C121" s="229"/>
      <c r="D121" s="230" t="s">
        <v>364</v>
      </c>
      <c r="E121" s="231">
        <f t="shared" ref="E121:F121" si="401">SUM(E122:E130)</f>
        <v>152177.47999999998</v>
      </c>
      <c r="F121" s="231">
        <f t="shared" si="401"/>
        <v>152177.47999999998</v>
      </c>
      <c r="G121" s="231"/>
      <c r="H121" s="231">
        <f t="shared" ref="H121:O121" si="402">SUM(H122:H130)</f>
        <v>0</v>
      </c>
      <c r="I121" s="231">
        <f t="shared" si="402"/>
        <v>0</v>
      </c>
      <c r="J121" s="231">
        <f t="shared" si="402"/>
        <v>457969.89</v>
      </c>
      <c r="K121" s="231">
        <f t="shared" si="402"/>
        <v>0</v>
      </c>
      <c r="L121" s="231">
        <f t="shared" si="402"/>
        <v>0</v>
      </c>
      <c r="M121" s="231">
        <f t="shared" si="402"/>
        <v>0</v>
      </c>
      <c r="N121" s="231">
        <f t="shared" si="402"/>
        <v>156261.5</v>
      </c>
      <c r="O121" s="231">
        <f t="shared" si="402"/>
        <v>0</v>
      </c>
      <c r="P121" s="232">
        <f t="shared" ref="P121:R121" si="403">IF(BJ121=0,SUM(Z121+AC121+AF121+AI121+AL121+AO121+AR121+AU121+AX121+BA121+BD121+BG121),BJ121)</f>
        <v>0</v>
      </c>
      <c r="Q121" s="232">
        <f t="shared" si="403"/>
        <v>156261.5</v>
      </c>
      <c r="R121" s="232">
        <f t="shared" si="403"/>
        <v>0</v>
      </c>
      <c r="S121" s="231">
        <f t="shared" ref="S121:U121" si="404">SUM(S122:S130)</f>
        <v>0</v>
      </c>
      <c r="T121" s="231">
        <f t="shared" si="404"/>
        <v>301708.39</v>
      </c>
      <c r="U121" s="231">
        <f t="shared" si="404"/>
        <v>0</v>
      </c>
      <c r="V121" s="427">
        <f t="shared" si="221"/>
        <v>3.1740482012684059</v>
      </c>
      <c r="W121" s="96"/>
      <c r="X121" s="96"/>
      <c r="Y121" s="428"/>
      <c r="Z121" s="231">
        <f t="shared" ref="Z121:BL121" si="405">SUM(Z122:Z130)</f>
        <v>0</v>
      </c>
      <c r="AA121" s="231">
        <f t="shared" si="405"/>
        <v>0</v>
      </c>
      <c r="AB121" s="231">
        <f t="shared" si="405"/>
        <v>0</v>
      </c>
      <c r="AC121" s="231">
        <f t="shared" si="405"/>
        <v>0</v>
      </c>
      <c r="AD121" s="231">
        <f t="shared" si="405"/>
        <v>61206.74</v>
      </c>
      <c r="AE121" s="231">
        <f t="shared" si="405"/>
        <v>0</v>
      </c>
      <c r="AF121" s="231">
        <f t="shared" si="405"/>
        <v>0</v>
      </c>
      <c r="AG121" s="231">
        <f t="shared" si="405"/>
        <v>0</v>
      </c>
      <c r="AH121" s="231">
        <f t="shared" si="405"/>
        <v>0</v>
      </c>
      <c r="AI121" s="231">
        <f t="shared" si="405"/>
        <v>0</v>
      </c>
      <c r="AJ121" s="231">
        <f t="shared" si="405"/>
        <v>95054.76</v>
      </c>
      <c r="AK121" s="231">
        <f t="shared" si="405"/>
        <v>0</v>
      </c>
      <c r="AL121" s="231">
        <f t="shared" si="405"/>
        <v>0</v>
      </c>
      <c r="AM121" s="231">
        <f t="shared" si="405"/>
        <v>0</v>
      </c>
      <c r="AN121" s="231">
        <f t="shared" si="405"/>
        <v>0</v>
      </c>
      <c r="AO121" s="231">
        <f t="shared" si="405"/>
        <v>0</v>
      </c>
      <c r="AP121" s="231">
        <f t="shared" si="405"/>
        <v>0</v>
      </c>
      <c r="AQ121" s="231">
        <f t="shared" si="405"/>
        <v>0</v>
      </c>
      <c r="AR121" s="231">
        <f t="shared" si="405"/>
        <v>0</v>
      </c>
      <c r="AS121" s="231">
        <f t="shared" si="405"/>
        <v>0</v>
      </c>
      <c r="AT121" s="231">
        <f t="shared" si="405"/>
        <v>0</v>
      </c>
      <c r="AU121" s="231">
        <f t="shared" si="405"/>
        <v>0</v>
      </c>
      <c r="AV121" s="231">
        <f t="shared" si="405"/>
        <v>0</v>
      </c>
      <c r="AW121" s="231">
        <f t="shared" si="405"/>
        <v>0</v>
      </c>
      <c r="AX121" s="231">
        <f t="shared" si="405"/>
        <v>0</v>
      </c>
      <c r="AY121" s="231">
        <f t="shared" si="405"/>
        <v>0</v>
      </c>
      <c r="AZ121" s="231">
        <f t="shared" si="405"/>
        <v>0</v>
      </c>
      <c r="BA121" s="231">
        <f t="shared" si="405"/>
        <v>0</v>
      </c>
      <c r="BB121" s="231">
        <f t="shared" si="405"/>
        <v>0</v>
      </c>
      <c r="BC121" s="231">
        <f t="shared" si="405"/>
        <v>0</v>
      </c>
      <c r="BD121" s="231">
        <f t="shared" si="405"/>
        <v>0</v>
      </c>
      <c r="BE121" s="231">
        <f t="shared" si="405"/>
        <v>0</v>
      </c>
      <c r="BF121" s="231">
        <f t="shared" si="405"/>
        <v>0</v>
      </c>
      <c r="BG121" s="231">
        <f t="shared" si="405"/>
        <v>0</v>
      </c>
      <c r="BH121" s="231">
        <f t="shared" si="405"/>
        <v>0</v>
      </c>
      <c r="BI121" s="231">
        <f t="shared" si="405"/>
        <v>0</v>
      </c>
      <c r="BJ121" s="231">
        <f t="shared" si="405"/>
        <v>0</v>
      </c>
      <c r="BK121" s="231">
        <f t="shared" si="405"/>
        <v>0</v>
      </c>
      <c r="BL121" s="231">
        <f t="shared" si="405"/>
        <v>0</v>
      </c>
      <c r="BM121" s="233"/>
      <c r="BN121" s="234"/>
      <c r="BO121" s="234"/>
      <c r="BP121" s="234"/>
      <c r="BQ121" s="234"/>
    </row>
    <row r="122" spans="1:69" ht="15.75" customHeight="1">
      <c r="A122" s="111"/>
      <c r="B122" s="111"/>
      <c r="C122" s="90" t="s">
        <v>365</v>
      </c>
      <c r="D122" s="91" t="s">
        <v>143</v>
      </c>
      <c r="E122" s="194">
        <v>116482.68</v>
      </c>
      <c r="F122" s="162">
        <f>E122</f>
        <v>116482.68</v>
      </c>
      <c r="G122" s="162"/>
      <c r="H122" s="166"/>
      <c r="I122" s="96"/>
      <c r="J122" s="96"/>
      <c r="K122" s="96"/>
      <c r="L122" s="96"/>
      <c r="M122" s="97">
        <f t="shared" ref="M122:O122" si="406">Z122+AC122+AF122+AI122+AL122+AO122+AR122+AU122+AX122+BA122+BD122+BG122</f>
        <v>0</v>
      </c>
      <c r="N122" s="97">
        <f t="shared" si="406"/>
        <v>0</v>
      </c>
      <c r="O122" s="97">
        <f t="shared" si="406"/>
        <v>0</v>
      </c>
      <c r="P122" s="97">
        <f t="shared" ref="P122:R122" si="407">IF(BJ122=0,SUM(Z122+AC122+AF122+AI122+AL122+AO122+AR122+AU122+AX122+BA122+BD122+BG122),BJ122)</f>
        <v>0</v>
      </c>
      <c r="Q122" s="97">
        <f t="shared" si="407"/>
        <v>0</v>
      </c>
      <c r="R122" s="97">
        <f t="shared" si="407"/>
        <v>0</v>
      </c>
      <c r="S122" s="97">
        <f t="shared" ref="S122:T122" si="408">I122-M122</f>
        <v>0</v>
      </c>
      <c r="T122" s="97">
        <f t="shared" si="408"/>
        <v>0</v>
      </c>
      <c r="U122" s="97">
        <f t="shared" ref="U122:U130" si="409">L122-O122</f>
        <v>0</v>
      </c>
      <c r="V122" s="427" t="e">
        <f t="shared" si="221"/>
        <v>#DIV/0!</v>
      </c>
      <c r="W122" s="96">
        <f t="shared" ref="W122:W128" si="410">AJ122*11</f>
        <v>0</v>
      </c>
      <c r="X122" s="96">
        <f t="shared" ref="X122:X125" si="411">W122-T122</f>
        <v>0</v>
      </c>
      <c r="Y122" s="428">
        <f t="shared" ref="Y122:Y188" si="412">E122-X122</f>
        <v>116482.68</v>
      </c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119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9"/>
      <c r="BN122" s="100"/>
      <c r="BO122" s="100"/>
      <c r="BP122" s="100"/>
      <c r="BQ122" s="100"/>
    </row>
    <row r="123" spans="1:69" ht="15.75" customHeight="1">
      <c r="A123" s="111"/>
      <c r="B123" s="111"/>
      <c r="C123" s="90" t="s">
        <v>318</v>
      </c>
      <c r="D123" s="91" t="s">
        <v>366</v>
      </c>
      <c r="E123" s="166"/>
      <c r="F123" s="162">
        <f t="shared" ref="F123:F126" si="413">-(E123*14.5%)+E123</f>
        <v>0</v>
      </c>
      <c r="G123" s="162"/>
      <c r="H123" s="166"/>
      <c r="I123" s="96"/>
      <c r="J123" s="96"/>
      <c r="K123" s="96"/>
      <c r="L123" s="96"/>
      <c r="M123" s="97">
        <f t="shared" ref="M123:O123" si="414">Z123+AC123+AF123+AI123+AL123+AO123+AR123+AU123+AX123+BA123+BD123+BG123</f>
        <v>0</v>
      </c>
      <c r="N123" s="97">
        <f t="shared" si="414"/>
        <v>0</v>
      </c>
      <c r="O123" s="97">
        <f t="shared" si="414"/>
        <v>0</v>
      </c>
      <c r="P123" s="97">
        <f t="shared" ref="P123:R123" si="415">IF(BJ123=0,SUM(Z123+AC123+AF123+AI123+AL123+AO123+AR123+AU123+AX123+BA123+BD123+BG123),BJ123)</f>
        <v>0</v>
      </c>
      <c r="Q123" s="97">
        <f t="shared" si="415"/>
        <v>0</v>
      </c>
      <c r="R123" s="97">
        <f t="shared" si="415"/>
        <v>0</v>
      </c>
      <c r="S123" s="97">
        <f t="shared" ref="S123:T123" si="416">I123-M123</f>
        <v>0</v>
      </c>
      <c r="T123" s="97">
        <f t="shared" si="416"/>
        <v>0</v>
      </c>
      <c r="U123" s="97">
        <f t="shared" si="409"/>
        <v>0</v>
      </c>
      <c r="V123" s="427" t="e">
        <f t="shared" si="221"/>
        <v>#DIV/0!</v>
      </c>
      <c r="W123" s="96">
        <f t="shared" si="410"/>
        <v>0</v>
      </c>
      <c r="X123" s="96">
        <f t="shared" si="411"/>
        <v>0</v>
      </c>
      <c r="Y123" s="428">
        <f t="shared" si="412"/>
        <v>0</v>
      </c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119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9"/>
      <c r="BN123" s="100"/>
      <c r="BO123" s="100"/>
      <c r="BP123" s="100"/>
      <c r="BQ123" s="100"/>
    </row>
    <row r="124" spans="1:69" ht="15.75" customHeight="1">
      <c r="A124" s="111"/>
      <c r="B124" s="111"/>
      <c r="C124" s="90" t="s">
        <v>367</v>
      </c>
      <c r="D124" s="91" t="s">
        <v>368</v>
      </c>
      <c r="E124" s="166"/>
      <c r="F124" s="162">
        <f t="shared" si="413"/>
        <v>0</v>
      </c>
      <c r="G124" s="162"/>
      <c r="H124" s="166"/>
      <c r="I124" s="96"/>
      <c r="J124" s="96"/>
      <c r="K124" s="96"/>
      <c r="L124" s="96"/>
      <c r="M124" s="97">
        <f t="shared" ref="M124:O124" si="417">Z124+AC124+AF124+AI124+AL124+AO124+AR124+AU124+AX124+BA124+BD124+BG124</f>
        <v>0</v>
      </c>
      <c r="N124" s="97">
        <f t="shared" si="417"/>
        <v>0</v>
      </c>
      <c r="O124" s="97">
        <f t="shared" si="417"/>
        <v>0</v>
      </c>
      <c r="P124" s="97">
        <f t="shared" ref="P124:R124" si="418">IF(BJ124=0,SUM(Z124+AC124+AF124+AI124+AL124+AO124+AR124+AU124+AX124+BA124+BD124+BG124),BJ124)</f>
        <v>0</v>
      </c>
      <c r="Q124" s="97">
        <f t="shared" si="418"/>
        <v>0</v>
      </c>
      <c r="R124" s="97">
        <f t="shared" si="418"/>
        <v>0</v>
      </c>
      <c r="S124" s="97">
        <f t="shared" ref="S124:T124" si="419">I124-M124</f>
        <v>0</v>
      </c>
      <c r="T124" s="97">
        <f t="shared" si="419"/>
        <v>0</v>
      </c>
      <c r="U124" s="97">
        <f t="shared" si="409"/>
        <v>0</v>
      </c>
      <c r="V124" s="427" t="e">
        <f t="shared" si="221"/>
        <v>#DIV/0!</v>
      </c>
      <c r="W124" s="96">
        <f t="shared" si="410"/>
        <v>0</v>
      </c>
      <c r="X124" s="96">
        <f t="shared" si="411"/>
        <v>0</v>
      </c>
      <c r="Y124" s="428">
        <f t="shared" si="412"/>
        <v>0</v>
      </c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119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9"/>
      <c r="BN124" s="100"/>
      <c r="BO124" s="100"/>
      <c r="BP124" s="100"/>
      <c r="BQ124" s="100"/>
    </row>
    <row r="125" spans="1:69" ht="18" customHeight="1">
      <c r="A125" s="111"/>
      <c r="B125" s="111"/>
      <c r="C125" s="90" t="s">
        <v>161</v>
      </c>
      <c r="D125" s="91" t="s">
        <v>369</v>
      </c>
      <c r="E125" s="166"/>
      <c r="F125" s="162">
        <f t="shared" si="413"/>
        <v>0</v>
      </c>
      <c r="G125" s="162"/>
      <c r="H125" s="166"/>
      <c r="I125" s="96"/>
      <c r="J125" s="96"/>
      <c r="K125" s="96"/>
      <c r="L125" s="96"/>
      <c r="M125" s="97">
        <f t="shared" ref="M125:O125" si="420">Z125+AC125+AF125+AI125+AL125+AO125+AR125+AU125+AX125+BA125+BD125+BG125</f>
        <v>0</v>
      </c>
      <c r="N125" s="97">
        <f t="shared" si="420"/>
        <v>0</v>
      </c>
      <c r="O125" s="97">
        <f t="shared" si="420"/>
        <v>0</v>
      </c>
      <c r="P125" s="97">
        <f t="shared" ref="P125:R125" si="421">IF(BJ125=0,SUM(Z125+AC125+AF125+AI125+AL125+AO125+AR125+AU125+AX125+BA125+BD125+BG125),BJ125)</f>
        <v>0</v>
      </c>
      <c r="Q125" s="97">
        <f t="shared" si="421"/>
        <v>0</v>
      </c>
      <c r="R125" s="97">
        <f t="shared" si="421"/>
        <v>0</v>
      </c>
      <c r="S125" s="97">
        <f t="shared" ref="S125:T125" si="422">I125-M125</f>
        <v>0</v>
      </c>
      <c r="T125" s="97">
        <f t="shared" si="422"/>
        <v>0</v>
      </c>
      <c r="U125" s="97">
        <f t="shared" si="409"/>
        <v>0</v>
      </c>
      <c r="V125" s="427" t="e">
        <f t="shared" si="221"/>
        <v>#DIV/0!</v>
      </c>
      <c r="W125" s="96">
        <f t="shared" si="410"/>
        <v>0</v>
      </c>
      <c r="X125" s="96">
        <f t="shared" si="411"/>
        <v>0</v>
      </c>
      <c r="Y125" s="428">
        <f t="shared" si="412"/>
        <v>0</v>
      </c>
      <c r="Z125" s="96"/>
      <c r="AA125" s="103">
        <v>0</v>
      </c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119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9"/>
      <c r="BN125" s="100"/>
      <c r="BO125" s="100"/>
      <c r="BP125" s="100"/>
      <c r="BQ125" s="100"/>
    </row>
    <row r="126" spans="1:69" ht="15.75" customHeight="1">
      <c r="A126" s="111"/>
      <c r="B126" s="143" t="s">
        <v>370</v>
      </c>
      <c r="C126" s="90" t="s">
        <v>161</v>
      </c>
      <c r="D126" s="91" t="s">
        <v>896</v>
      </c>
      <c r="E126" s="166"/>
      <c r="F126" s="162">
        <f t="shared" si="413"/>
        <v>0</v>
      </c>
      <c r="G126" s="162"/>
      <c r="H126" s="166"/>
      <c r="I126" s="96"/>
      <c r="J126" s="235">
        <f>2187.61+388.49+200+59.9+14.5+358.9+1990</f>
        <v>5199.4000000000005</v>
      </c>
      <c r="K126" s="117"/>
      <c r="L126" s="96"/>
      <c r="M126" s="97">
        <f t="shared" ref="M126:O126" si="423">Z126+AC126+AF126+AI126+AL126+AO126+AR126+AU126+AX126+BA126+BD126+BG126</f>
        <v>0</v>
      </c>
      <c r="N126" s="97">
        <f t="shared" si="423"/>
        <v>0</v>
      </c>
      <c r="O126" s="97">
        <f t="shared" si="423"/>
        <v>0</v>
      </c>
      <c r="P126" s="97">
        <f t="shared" ref="P126:R126" si="424">IF(BJ126=0,SUM(Z126+AC126+AF126+AI126+AL126+AO126+AR126+AU126+AX126+BA126+BD126+BG126),BJ126)</f>
        <v>0</v>
      </c>
      <c r="Q126" s="97">
        <f t="shared" si="424"/>
        <v>0</v>
      </c>
      <c r="R126" s="97">
        <f t="shared" si="424"/>
        <v>0</v>
      </c>
      <c r="S126" s="97">
        <f t="shared" ref="S126:T126" si="425">I126-M126</f>
        <v>0</v>
      </c>
      <c r="T126" s="97">
        <f t="shared" si="425"/>
        <v>5199.4000000000005</v>
      </c>
      <c r="U126" s="97">
        <f t="shared" si="409"/>
        <v>0</v>
      </c>
      <c r="V126" s="427" t="e">
        <f t="shared" si="221"/>
        <v>#DIV/0!</v>
      </c>
      <c r="W126" s="96">
        <f t="shared" si="410"/>
        <v>0</v>
      </c>
      <c r="X126" s="96"/>
      <c r="Y126" s="428">
        <f t="shared" si="412"/>
        <v>0</v>
      </c>
      <c r="Z126" s="96"/>
      <c r="AA126" s="96"/>
      <c r="AB126" s="96"/>
      <c r="AC126" s="96"/>
      <c r="AD126" s="103">
        <v>0</v>
      </c>
      <c r="AE126" s="96"/>
      <c r="AF126" s="96"/>
      <c r="AG126" s="103">
        <v>0</v>
      </c>
      <c r="AH126" s="96"/>
      <c r="AI126" s="96"/>
      <c r="AJ126" s="96"/>
      <c r="AK126" s="96"/>
      <c r="AL126" s="96"/>
      <c r="AM126" s="103">
        <v>0</v>
      </c>
      <c r="AN126" s="96"/>
      <c r="AO126" s="96"/>
      <c r="AP126" s="96"/>
      <c r="AQ126" s="96"/>
      <c r="AR126" s="96"/>
      <c r="AS126" s="103">
        <v>0</v>
      </c>
      <c r="AT126" s="96"/>
      <c r="AU126" s="119"/>
      <c r="AV126" s="103">
        <v>0</v>
      </c>
      <c r="AW126" s="96"/>
      <c r="AX126" s="96"/>
      <c r="AY126" s="103">
        <v>0</v>
      </c>
      <c r="AZ126" s="96"/>
      <c r="BA126" s="96"/>
      <c r="BB126" s="103">
        <v>0</v>
      </c>
      <c r="BC126" s="96"/>
      <c r="BD126" s="96"/>
      <c r="BE126" s="96"/>
      <c r="BF126" s="96"/>
      <c r="BG126" s="96"/>
      <c r="BH126" s="103"/>
      <c r="BI126" s="96"/>
      <c r="BJ126" s="96"/>
      <c r="BK126" s="96"/>
      <c r="BL126" s="96"/>
      <c r="BM126" s="99"/>
      <c r="BN126" s="100"/>
      <c r="BO126" s="100"/>
      <c r="BP126" s="100"/>
      <c r="BQ126" s="100"/>
    </row>
    <row r="127" spans="1:69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162">
        <f>E127</f>
        <v>35694.800000000003</v>
      </c>
      <c r="G127" s="162"/>
      <c r="H127" s="166"/>
      <c r="I127" s="96"/>
      <c r="J127" s="96"/>
      <c r="K127" s="96"/>
      <c r="L127" s="96"/>
      <c r="M127" s="97">
        <f t="shared" ref="M127:O127" si="426">Z127+AC127+AF127+AI127+AL127+AO127+AR127+AU127+AX127+BA127+BD127+BG127</f>
        <v>0</v>
      </c>
      <c r="N127" s="97">
        <f t="shared" si="426"/>
        <v>0</v>
      </c>
      <c r="O127" s="97">
        <f t="shared" si="426"/>
        <v>0</v>
      </c>
      <c r="P127" s="97">
        <f t="shared" ref="P127:R127" si="427">IF(BJ127=0,SUM(Z127+AC127+AF127+AI127+AL127+AO127+AR127+AU127+AX127+BA127+BD127+BG127),BJ127)</f>
        <v>0</v>
      </c>
      <c r="Q127" s="97">
        <f t="shared" si="427"/>
        <v>0</v>
      </c>
      <c r="R127" s="97">
        <f t="shared" si="427"/>
        <v>0</v>
      </c>
      <c r="S127" s="97">
        <f t="shared" ref="S127:T127" si="428">I127-M127</f>
        <v>0</v>
      </c>
      <c r="T127" s="97">
        <f t="shared" si="428"/>
        <v>0</v>
      </c>
      <c r="U127" s="97">
        <f t="shared" si="409"/>
        <v>0</v>
      </c>
      <c r="V127" s="427" t="e">
        <f t="shared" si="221"/>
        <v>#DIV/0!</v>
      </c>
      <c r="W127" s="96">
        <f t="shared" si="410"/>
        <v>0</v>
      </c>
      <c r="X127" s="96">
        <f t="shared" ref="X127:X128" si="429">W127-T127</f>
        <v>0</v>
      </c>
      <c r="Y127" s="428">
        <f t="shared" si="412"/>
        <v>35694.800000000003</v>
      </c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119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9"/>
      <c r="BN127" s="100"/>
      <c r="BO127" s="100"/>
      <c r="BP127" s="100"/>
      <c r="BQ127" s="100"/>
    </row>
    <row r="128" spans="1:69" ht="15.75" customHeight="1">
      <c r="A128" s="111"/>
      <c r="B128" s="136"/>
      <c r="C128" s="90" t="s">
        <v>374</v>
      </c>
      <c r="D128" s="141" t="s">
        <v>375</v>
      </c>
      <c r="E128" s="166"/>
      <c r="F128" s="162">
        <f t="shared" ref="F128:F130" si="430">-(E128*14.5%)+E128</f>
        <v>0</v>
      </c>
      <c r="G128" s="162"/>
      <c r="H128" s="166"/>
      <c r="I128" s="96"/>
      <c r="J128" s="96"/>
      <c r="K128" s="96"/>
      <c r="L128" s="96"/>
      <c r="M128" s="97">
        <f t="shared" ref="M128:O128" si="431">Z128+AC128+AF128+AI128+AL128+AO128+AR128+AU128+AX128+BA128+BD128+BG128</f>
        <v>0</v>
      </c>
      <c r="N128" s="97">
        <f t="shared" si="431"/>
        <v>0</v>
      </c>
      <c r="O128" s="97">
        <f t="shared" si="431"/>
        <v>0</v>
      </c>
      <c r="P128" s="97">
        <f t="shared" ref="P128:R128" si="432">IF(BJ128=0,SUM(Z128+AC128+AF128+AI128+AL128+AO128+AR128+AU128+AX128+BA128+BD128+BG128),BJ128)</f>
        <v>0</v>
      </c>
      <c r="Q128" s="97">
        <f t="shared" si="432"/>
        <v>0</v>
      </c>
      <c r="R128" s="97">
        <f t="shared" si="432"/>
        <v>0</v>
      </c>
      <c r="S128" s="97">
        <f t="shared" ref="S128:T128" si="433">I128-M128</f>
        <v>0</v>
      </c>
      <c r="T128" s="97">
        <f t="shared" si="433"/>
        <v>0</v>
      </c>
      <c r="U128" s="97">
        <f t="shared" si="409"/>
        <v>0</v>
      </c>
      <c r="V128" s="427" t="e">
        <f t="shared" si="221"/>
        <v>#DIV/0!</v>
      </c>
      <c r="W128" s="96">
        <f t="shared" si="410"/>
        <v>0</v>
      </c>
      <c r="X128" s="96">
        <f t="shared" si="429"/>
        <v>0</v>
      </c>
      <c r="Y128" s="428">
        <f t="shared" si="412"/>
        <v>0</v>
      </c>
      <c r="Z128" s="96"/>
      <c r="AA128" s="96"/>
      <c r="AB128" s="96"/>
      <c r="AC128" s="96"/>
      <c r="AD128" s="96"/>
      <c r="AE128" s="96"/>
      <c r="AF128" s="96"/>
      <c r="AG128" s="103">
        <v>0</v>
      </c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119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9"/>
      <c r="BN128" s="100"/>
      <c r="BO128" s="100"/>
      <c r="BP128" s="100"/>
      <c r="BQ128" s="100"/>
    </row>
    <row r="129" spans="1:69" ht="15.75" customHeight="1">
      <c r="A129" s="111"/>
      <c r="B129" s="136" t="s">
        <v>376</v>
      </c>
      <c r="C129" s="90" t="s">
        <v>114</v>
      </c>
      <c r="D129" s="141" t="s">
        <v>897</v>
      </c>
      <c r="E129" s="166"/>
      <c r="F129" s="162">
        <f t="shared" si="430"/>
        <v>0</v>
      </c>
      <c r="G129" s="162"/>
      <c r="H129" s="166"/>
      <c r="I129" s="96"/>
      <c r="J129" s="96">
        <v>452770.49</v>
      </c>
      <c r="K129" s="96"/>
      <c r="L129" s="145"/>
      <c r="M129" s="97">
        <f t="shared" ref="M129:O129" si="434">Z129+AC129+AF129+AI129+AL129+AO129+AR129+AU129+AX129+BA129+BD129+BG129</f>
        <v>0</v>
      </c>
      <c r="N129" s="97">
        <f t="shared" si="434"/>
        <v>156261.5</v>
      </c>
      <c r="O129" s="97">
        <f t="shared" si="434"/>
        <v>0</v>
      </c>
      <c r="P129" s="97">
        <f t="shared" ref="P129:R129" si="435">IF(BJ129=0,SUM(Z129+AC129+AF129+AI129+AL129+AO129+AR129+AU129+AX129+BA129+BD129+BG129),BJ129)</f>
        <v>0</v>
      </c>
      <c r="Q129" s="97">
        <f t="shared" si="435"/>
        <v>156261.5</v>
      </c>
      <c r="R129" s="97">
        <f t="shared" si="435"/>
        <v>0</v>
      </c>
      <c r="S129" s="97">
        <f t="shared" ref="S129:T129" si="436">I129-M129</f>
        <v>0</v>
      </c>
      <c r="T129" s="97">
        <f t="shared" si="436"/>
        <v>296508.99</v>
      </c>
      <c r="U129" s="97">
        <f t="shared" si="409"/>
        <v>0</v>
      </c>
      <c r="V129" s="427">
        <f t="shared" si="221"/>
        <v>3.1193492046058506</v>
      </c>
      <c r="W129" s="96"/>
      <c r="X129" s="96"/>
      <c r="Y129" s="428">
        <f t="shared" si="412"/>
        <v>0</v>
      </c>
      <c r="Z129" s="96"/>
      <c r="AA129" s="96"/>
      <c r="AB129" s="96"/>
      <c r="AC129" s="96"/>
      <c r="AD129" s="96">
        <f>61206.74</f>
        <v>61206.74</v>
      </c>
      <c r="AE129" s="96"/>
      <c r="AF129" s="96"/>
      <c r="AG129" s="96"/>
      <c r="AH129" s="96"/>
      <c r="AI129" s="96"/>
      <c r="AJ129" s="103">
        <f>95054.76</f>
        <v>95054.76</v>
      </c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119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9"/>
      <c r="BN129" s="100"/>
      <c r="BO129" s="100"/>
      <c r="BP129" s="100"/>
      <c r="BQ129" s="100"/>
    </row>
    <row r="130" spans="1:69" ht="15.75" customHeight="1">
      <c r="A130" s="111"/>
      <c r="B130" s="111"/>
      <c r="C130" s="90"/>
      <c r="D130" s="236" t="s">
        <v>378</v>
      </c>
      <c r="E130" s="166"/>
      <c r="F130" s="162">
        <f t="shared" si="430"/>
        <v>0</v>
      </c>
      <c r="G130" s="162"/>
      <c r="H130" s="166">
        <v>0</v>
      </c>
      <c r="I130" s="96"/>
      <c r="J130" s="96"/>
      <c r="K130" s="96"/>
      <c r="L130" s="237"/>
      <c r="M130" s="97">
        <f t="shared" ref="M130:O130" si="437">Z130+AC130+AF130+AI130+AL130+AO130+AR130+AU130+AX130+BA130+BD130+BG130</f>
        <v>0</v>
      </c>
      <c r="N130" s="97">
        <f t="shared" si="437"/>
        <v>0</v>
      </c>
      <c r="O130" s="97">
        <f t="shared" si="437"/>
        <v>0</v>
      </c>
      <c r="P130" s="97">
        <f t="shared" ref="P130:R130" si="438">IF(BJ130=0,SUM(Z130+AC130+AF130+AI130+AL130+AO130+AR130+AU130+AX130+BA130+BD130+BG130),BJ130)</f>
        <v>0</v>
      </c>
      <c r="Q130" s="97">
        <f t="shared" si="438"/>
        <v>0</v>
      </c>
      <c r="R130" s="97">
        <f t="shared" si="438"/>
        <v>0</v>
      </c>
      <c r="S130" s="97">
        <f t="shared" ref="S130:T130" si="439">I130-M130</f>
        <v>0</v>
      </c>
      <c r="T130" s="97">
        <f t="shared" si="439"/>
        <v>0</v>
      </c>
      <c r="U130" s="97">
        <f t="shared" si="409"/>
        <v>0</v>
      </c>
      <c r="V130" s="427" t="e">
        <f t="shared" si="221"/>
        <v>#DIV/0!</v>
      </c>
      <c r="W130" s="96">
        <f t="shared" ref="W130:W136" si="440">AJ130*11</f>
        <v>0</v>
      </c>
      <c r="X130" s="96">
        <f t="shared" ref="X130:X136" si="441">W130-T130</f>
        <v>0</v>
      </c>
      <c r="Y130" s="428">
        <f t="shared" si="412"/>
        <v>0</v>
      </c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119"/>
      <c r="AV130" s="96"/>
      <c r="AW130" s="96"/>
      <c r="AX130" s="96"/>
      <c r="AY130" s="96"/>
      <c r="AZ130" s="96"/>
      <c r="BA130" s="96"/>
      <c r="BB130" s="96"/>
      <c r="BC130" s="103">
        <v>0</v>
      </c>
      <c r="BD130" s="96"/>
      <c r="BE130" s="96"/>
      <c r="BF130" s="103">
        <v>0</v>
      </c>
      <c r="BG130" s="96"/>
      <c r="BH130" s="96"/>
      <c r="BI130" s="96"/>
      <c r="BJ130" s="96"/>
      <c r="BK130" s="96"/>
      <c r="BL130" s="96"/>
      <c r="BM130" s="99"/>
      <c r="BN130" s="100"/>
      <c r="BO130" s="100"/>
      <c r="BP130" s="100"/>
      <c r="BQ130" s="100"/>
    </row>
    <row r="131" spans="1:69" ht="15.75" customHeight="1">
      <c r="A131" s="228"/>
      <c r="B131" s="228"/>
      <c r="C131" s="229"/>
      <c r="D131" s="230" t="s">
        <v>379</v>
      </c>
      <c r="E131" s="231">
        <f>SUM(E132:E136)</f>
        <v>0</v>
      </c>
      <c r="F131" s="231"/>
      <c r="G131" s="231"/>
      <c r="H131" s="231">
        <f t="shared" ref="H131:O131" si="442">SUM(H132:H136)</f>
        <v>216000</v>
      </c>
      <c r="I131" s="231">
        <f t="shared" si="442"/>
        <v>0</v>
      </c>
      <c r="J131" s="231">
        <f t="shared" si="442"/>
        <v>0</v>
      </c>
      <c r="K131" s="231">
        <f t="shared" si="442"/>
        <v>0</v>
      </c>
      <c r="L131" s="231">
        <f t="shared" si="442"/>
        <v>0</v>
      </c>
      <c r="M131" s="231">
        <f t="shared" si="442"/>
        <v>0</v>
      </c>
      <c r="N131" s="238">
        <f t="shared" si="442"/>
        <v>0</v>
      </c>
      <c r="O131" s="238">
        <f t="shared" si="442"/>
        <v>0</v>
      </c>
      <c r="P131" s="238">
        <f t="shared" ref="P131:R131" si="443">IF(BJ131=0,SUM(Z131+AC131+AF131+AI131+AL131+AO131+AR131+AU131+AX131+BA131+BD131+BG131),BJ131)</f>
        <v>0</v>
      </c>
      <c r="Q131" s="238">
        <f t="shared" si="443"/>
        <v>0</v>
      </c>
      <c r="R131" s="238">
        <f t="shared" si="443"/>
        <v>0</v>
      </c>
      <c r="S131" s="238">
        <f t="shared" ref="S131:U131" si="444">SUM(S132:S136)</f>
        <v>0</v>
      </c>
      <c r="T131" s="238">
        <f t="shared" si="444"/>
        <v>0</v>
      </c>
      <c r="U131" s="238">
        <f t="shared" si="444"/>
        <v>0</v>
      </c>
      <c r="V131" s="427" t="e">
        <f t="shared" si="221"/>
        <v>#DIV/0!</v>
      </c>
      <c r="W131" s="96">
        <f t="shared" si="440"/>
        <v>0</v>
      </c>
      <c r="X131" s="96">
        <f t="shared" si="441"/>
        <v>0</v>
      </c>
      <c r="Y131" s="428">
        <f t="shared" si="412"/>
        <v>0</v>
      </c>
      <c r="Z131" s="231">
        <f t="shared" ref="Z131:BL131" si="445">SUM(Z132:Z136)</f>
        <v>0</v>
      </c>
      <c r="AA131" s="231">
        <f t="shared" si="445"/>
        <v>0</v>
      </c>
      <c r="AB131" s="231">
        <f t="shared" si="445"/>
        <v>0</v>
      </c>
      <c r="AC131" s="231">
        <f t="shared" si="445"/>
        <v>0</v>
      </c>
      <c r="AD131" s="231">
        <f t="shared" si="445"/>
        <v>0</v>
      </c>
      <c r="AE131" s="231">
        <f t="shared" si="445"/>
        <v>0</v>
      </c>
      <c r="AF131" s="231">
        <f t="shared" si="445"/>
        <v>0</v>
      </c>
      <c r="AG131" s="231">
        <f t="shared" si="445"/>
        <v>0</v>
      </c>
      <c r="AH131" s="231">
        <f t="shared" si="445"/>
        <v>0</v>
      </c>
      <c r="AI131" s="231">
        <f t="shared" si="445"/>
        <v>0</v>
      </c>
      <c r="AJ131" s="231">
        <f t="shared" si="445"/>
        <v>0</v>
      </c>
      <c r="AK131" s="231">
        <f t="shared" si="445"/>
        <v>0</v>
      </c>
      <c r="AL131" s="231">
        <f t="shared" si="445"/>
        <v>0</v>
      </c>
      <c r="AM131" s="231">
        <f t="shared" si="445"/>
        <v>0</v>
      </c>
      <c r="AN131" s="231">
        <f t="shared" si="445"/>
        <v>0</v>
      </c>
      <c r="AO131" s="231">
        <f t="shared" si="445"/>
        <v>0</v>
      </c>
      <c r="AP131" s="231">
        <f t="shared" si="445"/>
        <v>0</v>
      </c>
      <c r="AQ131" s="231">
        <f t="shared" si="445"/>
        <v>0</v>
      </c>
      <c r="AR131" s="231">
        <f t="shared" si="445"/>
        <v>0</v>
      </c>
      <c r="AS131" s="231">
        <f t="shared" si="445"/>
        <v>0</v>
      </c>
      <c r="AT131" s="231">
        <f t="shared" si="445"/>
        <v>0</v>
      </c>
      <c r="AU131" s="231">
        <f t="shared" si="445"/>
        <v>0</v>
      </c>
      <c r="AV131" s="231">
        <f t="shared" si="445"/>
        <v>0</v>
      </c>
      <c r="AW131" s="231">
        <f t="shared" si="445"/>
        <v>0</v>
      </c>
      <c r="AX131" s="231">
        <f t="shared" si="445"/>
        <v>0</v>
      </c>
      <c r="AY131" s="231">
        <f t="shared" si="445"/>
        <v>0</v>
      </c>
      <c r="AZ131" s="231">
        <f t="shared" si="445"/>
        <v>0</v>
      </c>
      <c r="BA131" s="231">
        <f t="shared" si="445"/>
        <v>0</v>
      </c>
      <c r="BB131" s="231">
        <f t="shared" si="445"/>
        <v>0</v>
      </c>
      <c r="BC131" s="231">
        <f t="shared" si="445"/>
        <v>0</v>
      </c>
      <c r="BD131" s="231">
        <f t="shared" si="445"/>
        <v>0</v>
      </c>
      <c r="BE131" s="231">
        <f t="shared" si="445"/>
        <v>0</v>
      </c>
      <c r="BF131" s="231">
        <f t="shared" si="445"/>
        <v>0</v>
      </c>
      <c r="BG131" s="231">
        <f t="shared" si="445"/>
        <v>0</v>
      </c>
      <c r="BH131" s="231">
        <f t="shared" si="445"/>
        <v>0</v>
      </c>
      <c r="BI131" s="231">
        <f t="shared" si="445"/>
        <v>0</v>
      </c>
      <c r="BJ131" s="231">
        <f t="shared" si="445"/>
        <v>0</v>
      </c>
      <c r="BK131" s="231">
        <f t="shared" si="445"/>
        <v>0</v>
      </c>
      <c r="BL131" s="231">
        <f t="shared" si="445"/>
        <v>0</v>
      </c>
      <c r="BM131" s="233"/>
      <c r="BN131" s="234"/>
      <c r="BO131" s="234"/>
      <c r="BP131" s="234"/>
      <c r="BQ131" s="234"/>
    </row>
    <row r="132" spans="1:69" ht="15.75" customHeight="1">
      <c r="A132" s="111"/>
      <c r="B132" s="111"/>
      <c r="C132" s="90" t="s">
        <v>380</v>
      </c>
      <c r="D132" s="91" t="s">
        <v>381</v>
      </c>
      <c r="E132" s="166"/>
      <c r="F132" s="166"/>
      <c r="G132" s="166"/>
      <c r="H132" s="166">
        <v>216000</v>
      </c>
      <c r="I132" s="96"/>
      <c r="J132" s="96"/>
      <c r="K132" s="96"/>
      <c r="L132" s="96"/>
      <c r="M132" s="97">
        <f t="shared" ref="M132:O132" si="446">Z132+AC132+AF132+AI132+AL132+AO132+AR132+AU132+AX132+BA132+BD132+BG132</f>
        <v>0</v>
      </c>
      <c r="N132" s="97">
        <f t="shared" si="446"/>
        <v>0</v>
      </c>
      <c r="O132" s="97">
        <f t="shared" si="446"/>
        <v>0</v>
      </c>
      <c r="P132" s="97">
        <f t="shared" ref="P132:R132" si="447">IF(BJ132=0,SUM(Z132+AC132+AF132+AI132+AL132+AO132+AR132+AU132+AX132+BA132+BD132+BG132),BJ132)</f>
        <v>0</v>
      </c>
      <c r="Q132" s="97">
        <f t="shared" si="447"/>
        <v>0</v>
      </c>
      <c r="R132" s="97">
        <f t="shared" si="447"/>
        <v>0</v>
      </c>
      <c r="S132" s="97">
        <f t="shared" ref="S132:T132" si="448">I132-M132</f>
        <v>0</v>
      </c>
      <c r="T132" s="97">
        <f t="shared" si="448"/>
        <v>0</v>
      </c>
      <c r="U132" s="97">
        <f t="shared" ref="U132:U136" si="449">L132-O132</f>
        <v>0</v>
      </c>
      <c r="V132" s="427" t="e">
        <f t="shared" si="221"/>
        <v>#DIV/0!</v>
      </c>
      <c r="W132" s="96">
        <f t="shared" si="440"/>
        <v>0</v>
      </c>
      <c r="X132" s="96">
        <f t="shared" si="441"/>
        <v>0</v>
      </c>
      <c r="Y132" s="428">
        <f t="shared" si="412"/>
        <v>0</v>
      </c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103">
        <v>0</v>
      </c>
      <c r="AL132" s="96"/>
      <c r="AM132" s="96"/>
      <c r="AN132" s="103">
        <v>0</v>
      </c>
      <c r="AO132" s="96"/>
      <c r="AP132" s="96"/>
      <c r="AQ132" s="103">
        <v>0</v>
      </c>
      <c r="AR132" s="96"/>
      <c r="AS132" s="96"/>
      <c r="AT132" s="96"/>
      <c r="AU132" s="119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9"/>
      <c r="BN132" s="100"/>
      <c r="BO132" s="100"/>
      <c r="BP132" s="100"/>
      <c r="BQ132" s="100"/>
    </row>
    <row r="133" spans="1:69" ht="15.75" customHeight="1">
      <c r="A133" s="89"/>
      <c r="B133" s="89"/>
      <c r="C133" s="90" t="s">
        <v>380</v>
      </c>
      <c r="D133" s="91" t="s">
        <v>382</v>
      </c>
      <c r="E133" s="166"/>
      <c r="F133" s="166"/>
      <c r="G133" s="166"/>
      <c r="H133" s="166"/>
      <c r="I133" s="96"/>
      <c r="J133" s="96"/>
      <c r="K133" s="96"/>
      <c r="L133" s="83"/>
      <c r="M133" s="97">
        <f t="shared" ref="M133:O133" si="450">Z133+AC133+AF133+AI133+AL133+AO133+AR133+AU133+AX133+BA133+BD133+BG133</f>
        <v>0</v>
      </c>
      <c r="N133" s="97">
        <f t="shared" si="450"/>
        <v>0</v>
      </c>
      <c r="O133" s="97">
        <f t="shared" si="450"/>
        <v>0</v>
      </c>
      <c r="P133" s="97">
        <f t="shared" ref="P133:R133" si="451">IF(BJ133=0,SUM(Z133+AC133+AF133+AI133+AL133+AO133+AR133+AU133+AX133+BA133+BD133+BG133),BJ133)</f>
        <v>0</v>
      </c>
      <c r="Q133" s="97">
        <f t="shared" si="451"/>
        <v>0</v>
      </c>
      <c r="R133" s="97">
        <f t="shared" si="451"/>
        <v>0</v>
      </c>
      <c r="S133" s="97">
        <f t="shared" ref="S133:T133" si="452">I133-M133</f>
        <v>0</v>
      </c>
      <c r="T133" s="97">
        <f t="shared" si="452"/>
        <v>0</v>
      </c>
      <c r="U133" s="97">
        <f t="shared" si="449"/>
        <v>0</v>
      </c>
      <c r="V133" s="427" t="e">
        <f t="shared" si="221"/>
        <v>#DIV/0!</v>
      </c>
      <c r="W133" s="96">
        <f t="shared" si="440"/>
        <v>0</v>
      </c>
      <c r="X133" s="96">
        <f t="shared" si="441"/>
        <v>0</v>
      </c>
      <c r="Y133" s="428">
        <f t="shared" si="412"/>
        <v>0</v>
      </c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5"/>
      <c r="AK133" s="96"/>
      <c r="AL133" s="96"/>
      <c r="AM133" s="95"/>
      <c r="AN133" s="96"/>
      <c r="AO133" s="96"/>
      <c r="AP133" s="95"/>
      <c r="AQ133" s="95"/>
      <c r="AR133" s="96"/>
      <c r="AS133" s="96"/>
      <c r="AT133" s="95"/>
      <c r="AU133" s="96"/>
      <c r="AV133" s="95"/>
      <c r="AW133" s="95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6"/>
      <c r="BM133" s="99"/>
      <c r="BN133" s="100"/>
      <c r="BO133" s="100"/>
      <c r="BP133" s="100"/>
      <c r="BQ133" s="100"/>
    </row>
    <row r="134" spans="1:69" ht="15.75" customHeight="1">
      <c r="A134" s="89"/>
      <c r="B134" s="89"/>
      <c r="C134" s="90" t="s">
        <v>380</v>
      </c>
      <c r="D134" s="91" t="s">
        <v>383</v>
      </c>
      <c r="E134" s="166"/>
      <c r="F134" s="166"/>
      <c r="G134" s="166"/>
      <c r="H134" s="166"/>
      <c r="I134" s="96"/>
      <c r="J134" s="96"/>
      <c r="K134" s="96"/>
      <c r="L134" s="96"/>
      <c r="M134" s="97">
        <f t="shared" ref="M134:O134" si="453">Z134+AC134+AF134+AI134+AL134+AO134+AR134+AU134+AX134+BA134+BD134+BG134</f>
        <v>0</v>
      </c>
      <c r="N134" s="97">
        <f t="shared" si="453"/>
        <v>0</v>
      </c>
      <c r="O134" s="97">
        <f t="shared" si="453"/>
        <v>0</v>
      </c>
      <c r="P134" s="97">
        <f t="shared" ref="P134:R134" si="454">IF(BJ134=0,SUM(Z134+AC134+AF134+AI134+AL134+AO134+AR134+AU134+AX134+BA134+BD134+BG134),BJ134)</f>
        <v>0</v>
      </c>
      <c r="Q134" s="97">
        <f t="shared" si="454"/>
        <v>0</v>
      </c>
      <c r="R134" s="97">
        <f t="shared" si="454"/>
        <v>0</v>
      </c>
      <c r="S134" s="97">
        <f t="shared" ref="S134:T134" si="455">I134-M134</f>
        <v>0</v>
      </c>
      <c r="T134" s="97">
        <f t="shared" si="455"/>
        <v>0</v>
      </c>
      <c r="U134" s="97">
        <f t="shared" si="449"/>
        <v>0</v>
      </c>
      <c r="V134" s="427" t="e">
        <f t="shared" si="221"/>
        <v>#DIV/0!</v>
      </c>
      <c r="W134" s="96">
        <f t="shared" si="440"/>
        <v>0</v>
      </c>
      <c r="X134" s="96">
        <f t="shared" si="441"/>
        <v>0</v>
      </c>
      <c r="Y134" s="428">
        <f t="shared" si="412"/>
        <v>0</v>
      </c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5"/>
      <c r="AK134" s="96"/>
      <c r="AL134" s="96"/>
      <c r="AM134" s="95"/>
      <c r="AN134" s="96"/>
      <c r="AO134" s="96"/>
      <c r="AP134" s="95"/>
      <c r="AQ134" s="95"/>
      <c r="AR134" s="96"/>
      <c r="AS134" s="96"/>
      <c r="AT134" s="95"/>
      <c r="AU134" s="96"/>
      <c r="AV134" s="95"/>
      <c r="AW134" s="95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6"/>
      <c r="BM134" s="99"/>
      <c r="BN134" s="100"/>
      <c r="BO134" s="100"/>
      <c r="BP134" s="100"/>
      <c r="BQ134" s="100"/>
    </row>
    <row r="135" spans="1:69" ht="15.75" customHeight="1">
      <c r="A135" s="89"/>
      <c r="B135" s="89"/>
      <c r="C135" s="90" t="s">
        <v>380</v>
      </c>
      <c r="D135" s="91" t="s">
        <v>384</v>
      </c>
      <c r="E135" s="166"/>
      <c r="F135" s="166"/>
      <c r="G135" s="166"/>
      <c r="H135" s="166"/>
      <c r="I135" s="96"/>
      <c r="J135" s="96"/>
      <c r="K135" s="96"/>
      <c r="L135" s="96"/>
      <c r="M135" s="97">
        <f t="shared" ref="M135:O135" si="456">Z135+AC135+AF135+AI135+AL135+AO135+AR135+AU135+AX135+BA135+BD135+BG135</f>
        <v>0</v>
      </c>
      <c r="N135" s="97">
        <f t="shared" si="456"/>
        <v>0</v>
      </c>
      <c r="O135" s="97">
        <f t="shared" si="456"/>
        <v>0</v>
      </c>
      <c r="P135" s="97">
        <f t="shared" ref="P135:R135" si="457">IF(BJ135=0,SUM(Z135+AC135+AF135+AI135+AL135+AO135+AR135+AU135+AX135+BA135+BD135+BG135),BJ135)</f>
        <v>0</v>
      </c>
      <c r="Q135" s="97">
        <f t="shared" si="457"/>
        <v>0</v>
      </c>
      <c r="R135" s="97">
        <f t="shared" si="457"/>
        <v>0</v>
      </c>
      <c r="S135" s="97">
        <f t="shared" ref="S135:T135" si="458">I135-M135</f>
        <v>0</v>
      </c>
      <c r="T135" s="97">
        <f t="shared" si="458"/>
        <v>0</v>
      </c>
      <c r="U135" s="97">
        <f t="shared" si="449"/>
        <v>0</v>
      </c>
      <c r="V135" s="427" t="e">
        <f t="shared" si="221"/>
        <v>#DIV/0!</v>
      </c>
      <c r="W135" s="96">
        <f t="shared" si="440"/>
        <v>0</v>
      </c>
      <c r="X135" s="96">
        <f t="shared" si="441"/>
        <v>0</v>
      </c>
      <c r="Y135" s="428">
        <f t="shared" si="412"/>
        <v>0</v>
      </c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5"/>
      <c r="AK135" s="96"/>
      <c r="AL135" s="96"/>
      <c r="AM135" s="95"/>
      <c r="AN135" s="96"/>
      <c r="AO135" s="96"/>
      <c r="AP135" s="95"/>
      <c r="AQ135" s="95"/>
      <c r="AR135" s="96"/>
      <c r="AS135" s="96"/>
      <c r="AT135" s="95"/>
      <c r="AU135" s="96"/>
      <c r="AV135" s="95"/>
      <c r="AW135" s="95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6"/>
      <c r="BM135" s="99"/>
      <c r="BN135" s="100"/>
      <c r="BO135" s="100"/>
      <c r="BP135" s="100"/>
      <c r="BQ135" s="100"/>
    </row>
    <row r="136" spans="1:69" ht="15.75" customHeight="1">
      <c r="A136" s="89"/>
      <c r="B136" s="89"/>
      <c r="C136" s="90" t="s">
        <v>385</v>
      </c>
      <c r="D136" s="91" t="s">
        <v>386</v>
      </c>
      <c r="E136" s="166"/>
      <c r="F136" s="166"/>
      <c r="G136" s="166"/>
      <c r="H136" s="166"/>
      <c r="I136" s="96"/>
      <c r="J136" s="96"/>
      <c r="K136" s="96"/>
      <c r="L136" s="239"/>
      <c r="M136" s="97">
        <f t="shared" ref="M136:O136" si="459">Z136+AC136+AF136+AI136+AL136+AO136+AR136+AU136+AX136+BA136+BD136+BG136</f>
        <v>0</v>
      </c>
      <c r="N136" s="97">
        <f t="shared" si="459"/>
        <v>0</v>
      </c>
      <c r="O136" s="97">
        <f t="shared" si="459"/>
        <v>0</v>
      </c>
      <c r="P136" s="97">
        <f t="shared" ref="P136:R136" si="460">IF(BJ136=0,SUM(Z136+AC136+AF136+AI136+AL136+AO136+AR136+AU136+AX136+BA136+BD136+BG136),BJ136)</f>
        <v>0</v>
      </c>
      <c r="Q136" s="97">
        <f t="shared" si="460"/>
        <v>0</v>
      </c>
      <c r="R136" s="97">
        <f t="shared" si="460"/>
        <v>0</v>
      </c>
      <c r="S136" s="97">
        <f t="shared" ref="S136:T136" si="461">I136-M136</f>
        <v>0</v>
      </c>
      <c r="T136" s="97">
        <f t="shared" si="461"/>
        <v>0</v>
      </c>
      <c r="U136" s="97">
        <f t="shared" si="449"/>
        <v>0</v>
      </c>
      <c r="V136" s="427" t="e">
        <f t="shared" si="221"/>
        <v>#DIV/0!</v>
      </c>
      <c r="W136" s="96">
        <f t="shared" si="440"/>
        <v>0</v>
      </c>
      <c r="X136" s="96">
        <f t="shared" si="441"/>
        <v>0</v>
      </c>
      <c r="Y136" s="428">
        <f t="shared" si="412"/>
        <v>0</v>
      </c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6"/>
      <c r="BM136" s="99"/>
      <c r="BN136" s="100"/>
      <c r="BO136" s="100"/>
      <c r="BP136" s="100"/>
      <c r="BQ136" s="100"/>
    </row>
    <row r="137" spans="1:69" ht="15.75" customHeight="1">
      <c r="A137" s="240"/>
      <c r="B137" s="240"/>
      <c r="C137" s="229"/>
      <c r="D137" s="241" t="s">
        <v>387</v>
      </c>
      <c r="E137" s="242">
        <f>SUM(E138:E140)</f>
        <v>0</v>
      </c>
      <c r="F137" s="242"/>
      <c r="G137" s="242"/>
      <c r="H137" s="242">
        <f t="shared" ref="H137:O137" si="462">SUM(H138:H140)</f>
        <v>867964.47</v>
      </c>
      <c r="I137" s="242">
        <f t="shared" si="462"/>
        <v>0</v>
      </c>
      <c r="J137" s="242">
        <f t="shared" si="462"/>
        <v>203666.88</v>
      </c>
      <c r="K137" s="242">
        <f t="shared" si="462"/>
        <v>0</v>
      </c>
      <c r="L137" s="242">
        <f t="shared" si="462"/>
        <v>0</v>
      </c>
      <c r="M137" s="242">
        <f t="shared" si="462"/>
        <v>0</v>
      </c>
      <c r="N137" s="243">
        <f t="shared" si="462"/>
        <v>130838</v>
      </c>
      <c r="O137" s="243">
        <f t="shared" si="462"/>
        <v>0</v>
      </c>
      <c r="P137" s="243">
        <f t="shared" ref="P137:R137" si="463">IF(BJ137=0,SUM(Z137+AC137+AF137+AI137+AL137+AO137+AR137+AU137+AX137+BA137+BD137+BG137),BJ137)</f>
        <v>0</v>
      </c>
      <c r="Q137" s="243">
        <f t="shared" si="463"/>
        <v>130838</v>
      </c>
      <c r="R137" s="243">
        <f t="shared" si="463"/>
        <v>0</v>
      </c>
      <c r="S137" s="242">
        <f t="shared" ref="S137:U137" si="464">SUM(S138:S140)</f>
        <v>0</v>
      </c>
      <c r="T137" s="186">
        <f t="shared" si="464"/>
        <v>72828.88</v>
      </c>
      <c r="U137" s="186">
        <f t="shared" si="464"/>
        <v>0</v>
      </c>
      <c r="V137" s="427">
        <f t="shared" si="221"/>
        <v>1.0198167886297431</v>
      </c>
      <c r="W137" s="96"/>
      <c r="X137" s="96"/>
      <c r="Y137" s="428">
        <f t="shared" si="412"/>
        <v>0</v>
      </c>
      <c r="Z137" s="242">
        <f t="shared" ref="Z137:BL137" si="465">SUM(Z138:Z140)</f>
        <v>0</v>
      </c>
      <c r="AA137" s="242">
        <f t="shared" si="465"/>
        <v>0</v>
      </c>
      <c r="AB137" s="242">
        <f t="shared" si="465"/>
        <v>0</v>
      </c>
      <c r="AC137" s="242">
        <f t="shared" si="465"/>
        <v>0</v>
      </c>
      <c r="AD137" s="242">
        <f t="shared" si="465"/>
        <v>0</v>
      </c>
      <c r="AE137" s="242">
        <f t="shared" si="465"/>
        <v>0</v>
      </c>
      <c r="AF137" s="242">
        <f t="shared" si="465"/>
        <v>0</v>
      </c>
      <c r="AG137" s="242">
        <f t="shared" si="465"/>
        <v>59424.31</v>
      </c>
      <c r="AH137" s="242">
        <f t="shared" si="465"/>
        <v>0</v>
      </c>
      <c r="AI137" s="242">
        <f t="shared" si="465"/>
        <v>0</v>
      </c>
      <c r="AJ137" s="242">
        <f t="shared" si="465"/>
        <v>71413.69</v>
      </c>
      <c r="AK137" s="242">
        <f t="shared" si="465"/>
        <v>0</v>
      </c>
      <c r="AL137" s="242">
        <f t="shared" si="465"/>
        <v>0</v>
      </c>
      <c r="AM137" s="242">
        <f t="shared" si="465"/>
        <v>0</v>
      </c>
      <c r="AN137" s="242">
        <f t="shared" si="465"/>
        <v>0</v>
      </c>
      <c r="AO137" s="242">
        <f t="shared" si="465"/>
        <v>0</v>
      </c>
      <c r="AP137" s="242">
        <f t="shared" si="465"/>
        <v>0</v>
      </c>
      <c r="AQ137" s="242">
        <f t="shared" si="465"/>
        <v>0</v>
      </c>
      <c r="AR137" s="242">
        <f t="shared" si="465"/>
        <v>0</v>
      </c>
      <c r="AS137" s="242">
        <f t="shared" si="465"/>
        <v>0</v>
      </c>
      <c r="AT137" s="242">
        <f t="shared" si="465"/>
        <v>0</v>
      </c>
      <c r="AU137" s="242">
        <f t="shared" si="465"/>
        <v>0</v>
      </c>
      <c r="AV137" s="242">
        <f t="shared" si="465"/>
        <v>0</v>
      </c>
      <c r="AW137" s="242">
        <f t="shared" si="465"/>
        <v>0</v>
      </c>
      <c r="AX137" s="242">
        <f t="shared" si="465"/>
        <v>0</v>
      </c>
      <c r="AY137" s="242">
        <f t="shared" si="465"/>
        <v>0</v>
      </c>
      <c r="AZ137" s="242">
        <f t="shared" si="465"/>
        <v>0</v>
      </c>
      <c r="BA137" s="242">
        <f t="shared" si="465"/>
        <v>0</v>
      </c>
      <c r="BB137" s="242">
        <f t="shared" si="465"/>
        <v>0</v>
      </c>
      <c r="BC137" s="242">
        <f t="shared" si="465"/>
        <v>0</v>
      </c>
      <c r="BD137" s="242">
        <f t="shared" si="465"/>
        <v>0</v>
      </c>
      <c r="BE137" s="242">
        <f t="shared" si="465"/>
        <v>0</v>
      </c>
      <c r="BF137" s="242">
        <f t="shared" si="465"/>
        <v>0</v>
      </c>
      <c r="BG137" s="242">
        <f t="shared" si="465"/>
        <v>0</v>
      </c>
      <c r="BH137" s="242">
        <f t="shared" si="465"/>
        <v>0</v>
      </c>
      <c r="BI137" s="242">
        <f t="shared" si="465"/>
        <v>0</v>
      </c>
      <c r="BJ137" s="242">
        <f t="shared" si="465"/>
        <v>0</v>
      </c>
      <c r="BK137" s="242">
        <f t="shared" si="465"/>
        <v>0</v>
      </c>
      <c r="BL137" s="242">
        <f t="shared" si="465"/>
        <v>0</v>
      </c>
      <c r="BM137" s="233"/>
      <c r="BN137" s="234"/>
      <c r="BO137" s="234"/>
      <c r="BP137" s="234"/>
      <c r="BQ137" s="234"/>
    </row>
    <row r="138" spans="1:69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92"/>
      <c r="G138" s="92"/>
      <c r="H138" s="195"/>
      <c r="I138" s="96"/>
      <c r="J138" s="96">
        <v>193192.78</v>
      </c>
      <c r="K138" s="96"/>
      <c r="L138" s="96"/>
      <c r="M138" s="97">
        <f t="shared" ref="M138:O138" si="466">Z138+AC138+AF138+AI138+AL138+AO138+AR138+AU138+AX138+BA138+BD138+BG138</f>
        <v>0</v>
      </c>
      <c r="N138" s="97">
        <f t="shared" si="466"/>
        <v>130838</v>
      </c>
      <c r="O138" s="97">
        <f t="shared" si="466"/>
        <v>0</v>
      </c>
      <c r="P138" s="97">
        <f t="shared" ref="P138:R138" si="467">IF(BJ138=0,SUM(Z138+AC138+AF138+AI138+AL138+AO138+AR138+AU138+AX138+BA138+BD138+BG138),BJ138)</f>
        <v>0</v>
      </c>
      <c r="Q138" s="97">
        <f t="shared" si="467"/>
        <v>130838</v>
      </c>
      <c r="R138" s="97">
        <f t="shared" si="467"/>
        <v>0</v>
      </c>
      <c r="S138" s="97">
        <f t="shared" ref="S138:T138" si="468">I138-M138</f>
        <v>0</v>
      </c>
      <c r="T138" s="97">
        <f t="shared" si="468"/>
        <v>62354.78</v>
      </c>
      <c r="U138" s="97">
        <f t="shared" ref="U138:U140" si="469">L138-O138</f>
        <v>0</v>
      </c>
      <c r="V138" s="427">
        <f t="shared" si="221"/>
        <v>0.87314883182762293</v>
      </c>
      <c r="W138" s="96"/>
      <c r="X138" s="96">
        <f t="shared" ref="X138:X150" si="470">W138-T138</f>
        <v>-62354.78</v>
      </c>
      <c r="Y138" s="428">
        <f t="shared" si="412"/>
        <v>62354.78</v>
      </c>
      <c r="Z138" s="96"/>
      <c r="AA138" s="96"/>
      <c r="AB138" s="96"/>
      <c r="AC138" s="96"/>
      <c r="AD138" s="96"/>
      <c r="AE138" s="96"/>
      <c r="AF138" s="96"/>
      <c r="AG138" s="96">
        <f>59424.31</f>
        <v>59424.31</v>
      </c>
      <c r="AH138" s="96"/>
      <c r="AI138" s="96"/>
      <c r="AJ138" s="96">
        <f>31947.84+39465.85</f>
        <v>71413.69</v>
      </c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6"/>
      <c r="BM138" s="99"/>
      <c r="BN138" s="100"/>
      <c r="BO138" s="100"/>
      <c r="BP138" s="100"/>
      <c r="BQ138" s="100"/>
    </row>
    <row r="139" spans="1:69" ht="15.75" customHeight="1">
      <c r="A139" s="89"/>
      <c r="B139" s="206"/>
      <c r="C139" s="101" t="s">
        <v>388</v>
      </c>
      <c r="D139" s="122" t="s">
        <v>139</v>
      </c>
      <c r="E139" s="92"/>
      <c r="F139" s="92"/>
      <c r="G139" s="92"/>
      <c r="H139" s="195">
        <v>400000</v>
      </c>
      <c r="I139" s="119"/>
      <c r="J139" s="96"/>
      <c r="K139" s="96"/>
      <c r="L139" s="202"/>
      <c r="M139" s="97">
        <f t="shared" ref="M139:O139" si="471">Z139+AC139+AF139+AI139+AL139+AO139+AR139+AU139+AX139+BA139+BD139+BG139</f>
        <v>0</v>
      </c>
      <c r="N139" s="97">
        <f t="shared" si="471"/>
        <v>0</v>
      </c>
      <c r="O139" s="97">
        <f t="shared" si="471"/>
        <v>0</v>
      </c>
      <c r="P139" s="97">
        <f t="shared" ref="P139:R139" si="472">IF(BJ139=0,SUM(Z139+AC139+AF139+AI139+AL139+AO139+AR139+AU139+AX139+BA139+BD139+BG139),BJ139)</f>
        <v>0</v>
      </c>
      <c r="Q139" s="97">
        <f t="shared" si="472"/>
        <v>0</v>
      </c>
      <c r="R139" s="97">
        <f t="shared" si="472"/>
        <v>0</v>
      </c>
      <c r="S139" s="97">
        <f t="shared" ref="S139:T139" si="473">I139-M139</f>
        <v>0</v>
      </c>
      <c r="T139" s="97">
        <f t="shared" si="473"/>
        <v>0</v>
      </c>
      <c r="U139" s="97">
        <f t="shared" si="469"/>
        <v>0</v>
      </c>
      <c r="V139" s="427" t="e">
        <f t="shared" si="221"/>
        <v>#DIV/0!</v>
      </c>
      <c r="W139" s="96">
        <f t="shared" ref="W139:W159" si="474">AJ139*11</f>
        <v>0</v>
      </c>
      <c r="X139" s="96">
        <f t="shared" si="470"/>
        <v>0</v>
      </c>
      <c r="Y139" s="428">
        <f t="shared" si="412"/>
        <v>0</v>
      </c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6"/>
      <c r="BM139" s="99"/>
      <c r="BN139" s="100"/>
      <c r="BO139" s="100"/>
      <c r="BP139" s="100"/>
      <c r="BQ139" s="100"/>
    </row>
    <row r="140" spans="1:69" ht="15.75" customHeight="1">
      <c r="A140" s="89"/>
      <c r="B140" s="206" t="s">
        <v>389</v>
      </c>
      <c r="C140" s="90"/>
      <c r="D140" s="122" t="s">
        <v>139</v>
      </c>
      <c r="E140" s="166"/>
      <c r="F140" s="166"/>
      <c r="G140" s="166"/>
      <c r="H140" s="166">
        <v>467964.47</v>
      </c>
      <c r="I140" s="96"/>
      <c r="J140" s="96">
        <v>10474.1</v>
      </c>
      <c r="K140" s="96"/>
      <c r="L140" s="244"/>
      <c r="M140" s="97">
        <f t="shared" ref="M140:O140" si="475">Z140+AC140+AF140+AI140+AL140+AO140+AR140+AU140+AX140+BA140+BD140+BG140</f>
        <v>0</v>
      </c>
      <c r="N140" s="97">
        <f t="shared" si="475"/>
        <v>0</v>
      </c>
      <c r="O140" s="97">
        <f t="shared" si="475"/>
        <v>0</v>
      </c>
      <c r="P140" s="97">
        <f t="shared" ref="P140:R140" si="476">IF(BJ140=0,SUM(Z140+AC140+AF140+AI140+AL140+AO140+AR140+AU140+AX140+BA140+BD140+BG140),BJ140)</f>
        <v>0</v>
      </c>
      <c r="Q140" s="97">
        <f t="shared" si="476"/>
        <v>0</v>
      </c>
      <c r="R140" s="97">
        <f t="shared" si="476"/>
        <v>0</v>
      </c>
      <c r="S140" s="97">
        <f t="shared" ref="S140:T140" si="477">I140-M140</f>
        <v>0</v>
      </c>
      <c r="T140" s="97">
        <f t="shared" si="477"/>
        <v>10474.1</v>
      </c>
      <c r="U140" s="97">
        <f t="shared" si="469"/>
        <v>0</v>
      </c>
      <c r="V140" s="427" t="e">
        <f t="shared" si="221"/>
        <v>#DIV/0!</v>
      </c>
      <c r="W140" s="96">
        <f t="shared" si="474"/>
        <v>0</v>
      </c>
      <c r="X140" s="96">
        <f t="shared" si="470"/>
        <v>-10474.1</v>
      </c>
      <c r="Y140" s="428">
        <f t="shared" si="412"/>
        <v>10474.1</v>
      </c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  <c r="AQ140" s="96"/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6"/>
      <c r="BM140" s="99"/>
      <c r="BN140" s="100"/>
      <c r="BO140" s="100"/>
      <c r="BP140" s="100"/>
      <c r="BQ140" s="100"/>
    </row>
    <row r="141" spans="1:69" ht="15.75" customHeight="1">
      <c r="A141" s="240"/>
      <c r="B141" s="240"/>
      <c r="C141" s="229"/>
      <c r="D141" s="241" t="s">
        <v>390</v>
      </c>
      <c r="E141" s="242">
        <f>SUM(E142:E144)</f>
        <v>0</v>
      </c>
      <c r="F141" s="242"/>
      <c r="G141" s="242"/>
      <c r="H141" s="242">
        <f t="shared" ref="H141:I141" si="478">SUM(H142:H144)</f>
        <v>90000</v>
      </c>
      <c r="I141" s="242">
        <f t="shared" si="478"/>
        <v>0</v>
      </c>
      <c r="J141" s="242">
        <f t="shared" ref="J141:K141" si="479">SUM(J142:J145)</f>
        <v>4237.2</v>
      </c>
      <c r="K141" s="242">
        <f t="shared" si="479"/>
        <v>0</v>
      </c>
      <c r="L141" s="242">
        <f t="shared" ref="L141:M141" si="480">SUM(L142:L144)</f>
        <v>0</v>
      </c>
      <c r="M141" s="242">
        <f t="shared" si="480"/>
        <v>0</v>
      </c>
      <c r="N141" s="243">
        <f>SUM(N142:N145)</f>
        <v>4237.2</v>
      </c>
      <c r="O141" s="243">
        <f>SUM(O142:O144)</f>
        <v>0</v>
      </c>
      <c r="P141" s="243">
        <f t="shared" ref="P141:R141" si="481">IF(BJ141=0,SUM(Z141+AC141+AF141+AI141+AL141+AO141+AR141+AU141+AX141+BA141+BD141+BG141),BJ141)</f>
        <v>0</v>
      </c>
      <c r="Q141" s="243">
        <f t="shared" si="481"/>
        <v>4237.2</v>
      </c>
      <c r="R141" s="243">
        <f t="shared" si="481"/>
        <v>0</v>
      </c>
      <c r="S141" s="242">
        <f t="shared" ref="S141:U141" si="482">SUM(S142:S144)</f>
        <v>0</v>
      </c>
      <c r="T141" s="186">
        <f t="shared" si="482"/>
        <v>0</v>
      </c>
      <c r="U141" s="186">
        <f t="shared" si="482"/>
        <v>0</v>
      </c>
      <c r="V141" s="427" t="e">
        <f t="shared" si="221"/>
        <v>#DIV/0!</v>
      </c>
      <c r="W141" s="96">
        <f t="shared" si="474"/>
        <v>0</v>
      </c>
      <c r="X141" s="96">
        <f t="shared" si="470"/>
        <v>0</v>
      </c>
      <c r="Y141" s="428">
        <f t="shared" si="412"/>
        <v>0</v>
      </c>
      <c r="Z141" s="242">
        <f t="shared" ref="Z141:AF141" si="483">SUM(Z142:Z144)</f>
        <v>0</v>
      </c>
      <c r="AA141" s="242">
        <f t="shared" si="483"/>
        <v>0</v>
      </c>
      <c r="AB141" s="242">
        <f t="shared" si="483"/>
        <v>0</v>
      </c>
      <c r="AC141" s="242">
        <f t="shared" si="483"/>
        <v>0</v>
      </c>
      <c r="AD141" s="242">
        <f t="shared" si="483"/>
        <v>0</v>
      </c>
      <c r="AE141" s="242">
        <f t="shared" si="483"/>
        <v>0</v>
      </c>
      <c r="AF141" s="242">
        <f t="shared" si="483"/>
        <v>0</v>
      </c>
      <c r="AG141" s="242">
        <f>SUM(AG142:AG145)</f>
        <v>4237.2</v>
      </c>
      <c r="AH141" s="242">
        <f t="shared" ref="AH141:BL141" si="484">SUM(AH142:AH144)</f>
        <v>0</v>
      </c>
      <c r="AI141" s="242">
        <f t="shared" si="484"/>
        <v>0</v>
      </c>
      <c r="AJ141" s="242">
        <f t="shared" si="484"/>
        <v>0</v>
      </c>
      <c r="AK141" s="242">
        <f t="shared" si="484"/>
        <v>0</v>
      </c>
      <c r="AL141" s="242">
        <f t="shared" si="484"/>
        <v>0</v>
      </c>
      <c r="AM141" s="242">
        <f t="shared" si="484"/>
        <v>0</v>
      </c>
      <c r="AN141" s="242">
        <f t="shared" si="484"/>
        <v>0</v>
      </c>
      <c r="AO141" s="242">
        <f t="shared" si="484"/>
        <v>0</v>
      </c>
      <c r="AP141" s="242">
        <f t="shared" si="484"/>
        <v>0</v>
      </c>
      <c r="AQ141" s="242">
        <f t="shared" si="484"/>
        <v>0</v>
      </c>
      <c r="AR141" s="242">
        <f t="shared" si="484"/>
        <v>0</v>
      </c>
      <c r="AS141" s="242">
        <f t="shared" si="484"/>
        <v>0</v>
      </c>
      <c r="AT141" s="242">
        <f t="shared" si="484"/>
        <v>0</v>
      </c>
      <c r="AU141" s="242">
        <f t="shared" si="484"/>
        <v>0</v>
      </c>
      <c r="AV141" s="242">
        <f t="shared" si="484"/>
        <v>0</v>
      </c>
      <c r="AW141" s="242">
        <f t="shared" si="484"/>
        <v>0</v>
      </c>
      <c r="AX141" s="242">
        <f t="shared" si="484"/>
        <v>0</v>
      </c>
      <c r="AY141" s="242">
        <f t="shared" si="484"/>
        <v>0</v>
      </c>
      <c r="AZ141" s="242">
        <f t="shared" si="484"/>
        <v>0</v>
      </c>
      <c r="BA141" s="242">
        <f t="shared" si="484"/>
        <v>0</v>
      </c>
      <c r="BB141" s="242">
        <f t="shared" si="484"/>
        <v>0</v>
      </c>
      <c r="BC141" s="242">
        <f t="shared" si="484"/>
        <v>0</v>
      </c>
      <c r="BD141" s="242">
        <f t="shared" si="484"/>
        <v>0</v>
      </c>
      <c r="BE141" s="242">
        <f t="shared" si="484"/>
        <v>0</v>
      </c>
      <c r="BF141" s="242">
        <f t="shared" si="484"/>
        <v>0</v>
      </c>
      <c r="BG141" s="242">
        <f t="shared" si="484"/>
        <v>0</v>
      </c>
      <c r="BH141" s="242">
        <f t="shared" si="484"/>
        <v>0</v>
      </c>
      <c r="BI141" s="242">
        <f t="shared" si="484"/>
        <v>0</v>
      </c>
      <c r="BJ141" s="242">
        <f t="shared" si="484"/>
        <v>0</v>
      </c>
      <c r="BK141" s="242">
        <f t="shared" si="484"/>
        <v>0</v>
      </c>
      <c r="BL141" s="242">
        <f t="shared" si="484"/>
        <v>0</v>
      </c>
      <c r="BM141" s="233"/>
      <c r="BN141" s="234"/>
      <c r="BO141" s="234"/>
      <c r="BP141" s="234"/>
      <c r="BQ141" s="234"/>
    </row>
    <row r="142" spans="1:69" ht="15.75" customHeight="1">
      <c r="A142" s="89"/>
      <c r="B142" s="89"/>
      <c r="C142" s="90" t="s">
        <v>388</v>
      </c>
      <c r="D142" s="122" t="s">
        <v>898</v>
      </c>
      <c r="E142" s="166"/>
      <c r="F142" s="166"/>
      <c r="G142" s="166"/>
      <c r="H142" s="147">
        <v>90000</v>
      </c>
      <c r="I142" s="96"/>
      <c r="J142" s="96"/>
      <c r="K142" s="96"/>
      <c r="L142" s="202"/>
      <c r="M142" s="97">
        <f t="shared" ref="M142:O142" si="485">Z142+AC142+AF142+AI142+AL142+AO142+AR142+AU142+AX142+BA142+BD142+BG142</f>
        <v>0</v>
      </c>
      <c r="N142" s="97">
        <f t="shared" si="485"/>
        <v>0</v>
      </c>
      <c r="O142" s="97">
        <f t="shared" si="485"/>
        <v>0</v>
      </c>
      <c r="P142" s="97">
        <f t="shared" ref="P142:R142" si="486">IF(BJ142=0,SUM(Z142+AC142+AF142+AI142+AL142+AO142+AR142+AU142+AX142+BA142+BD142+BG142),BJ142)</f>
        <v>0</v>
      </c>
      <c r="Q142" s="97">
        <f t="shared" si="486"/>
        <v>0</v>
      </c>
      <c r="R142" s="97">
        <f t="shared" si="486"/>
        <v>0</v>
      </c>
      <c r="S142" s="97">
        <f t="shared" ref="S142:T142" si="487">I142-M142</f>
        <v>0</v>
      </c>
      <c r="T142" s="97">
        <f t="shared" si="487"/>
        <v>0</v>
      </c>
      <c r="U142" s="97">
        <f t="shared" ref="U142:U144" si="488">L142-O142</f>
        <v>0</v>
      </c>
      <c r="V142" s="427" t="e">
        <f t="shared" si="221"/>
        <v>#DIV/0!</v>
      </c>
      <c r="W142" s="96">
        <f t="shared" si="474"/>
        <v>0</v>
      </c>
      <c r="X142" s="96">
        <f t="shared" si="470"/>
        <v>0</v>
      </c>
      <c r="Y142" s="428">
        <f t="shared" si="412"/>
        <v>0</v>
      </c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6"/>
      <c r="BM142" s="99"/>
      <c r="BN142" s="100"/>
      <c r="BO142" s="100"/>
      <c r="BP142" s="100"/>
      <c r="BQ142" s="100"/>
    </row>
    <row r="143" spans="1:69" ht="15.75" customHeight="1">
      <c r="A143" s="89"/>
      <c r="B143" s="89"/>
      <c r="C143" s="90" t="s">
        <v>385</v>
      </c>
      <c r="D143" s="91" t="s">
        <v>392</v>
      </c>
      <c r="E143" s="166"/>
      <c r="F143" s="166"/>
      <c r="G143" s="166"/>
      <c r="H143" s="166"/>
      <c r="I143" s="202"/>
      <c r="J143" s="96"/>
      <c r="K143" s="96"/>
      <c r="L143" s="202"/>
      <c r="M143" s="97">
        <f t="shared" ref="M143:O143" si="489">Z143+AC143+AF143+AI143+AL143+AO143+AR143+AU143+AX143+BA143+BD143+BG143</f>
        <v>0</v>
      </c>
      <c r="N143" s="97">
        <f t="shared" si="489"/>
        <v>0</v>
      </c>
      <c r="O143" s="97">
        <f t="shared" si="489"/>
        <v>0</v>
      </c>
      <c r="P143" s="97">
        <f t="shared" ref="P143:R143" si="490">IF(BJ143=0,SUM(Z143+AC143+AF143+AI143+AL143+AO143+AR143+AU143+AX143+BA143+BD143+BG143),BJ143)</f>
        <v>0</v>
      </c>
      <c r="Q143" s="97">
        <f t="shared" si="490"/>
        <v>0</v>
      </c>
      <c r="R143" s="97">
        <f t="shared" si="490"/>
        <v>0</v>
      </c>
      <c r="S143" s="97">
        <f t="shared" ref="S143:T143" si="491">I143-M143</f>
        <v>0</v>
      </c>
      <c r="T143" s="97">
        <f t="shared" si="491"/>
        <v>0</v>
      </c>
      <c r="U143" s="97">
        <f t="shared" si="488"/>
        <v>0</v>
      </c>
      <c r="V143" s="427" t="e">
        <f t="shared" si="221"/>
        <v>#DIV/0!</v>
      </c>
      <c r="W143" s="96">
        <f t="shared" si="474"/>
        <v>0</v>
      </c>
      <c r="X143" s="96">
        <f t="shared" si="470"/>
        <v>0</v>
      </c>
      <c r="Y143" s="428">
        <f t="shared" si="412"/>
        <v>0</v>
      </c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103">
        <v>0</v>
      </c>
      <c r="BG143" s="96"/>
      <c r="BH143" s="96"/>
      <c r="BI143" s="96"/>
      <c r="BJ143" s="96"/>
      <c r="BK143" s="96"/>
      <c r="BL143" s="96"/>
      <c r="BM143" s="99"/>
      <c r="BN143" s="100"/>
      <c r="BO143" s="100"/>
      <c r="BP143" s="100"/>
      <c r="BQ143" s="100"/>
    </row>
    <row r="144" spans="1:69" ht="15.75" customHeight="1">
      <c r="A144" s="89"/>
      <c r="B144" s="89"/>
      <c r="C144" s="90" t="s">
        <v>385</v>
      </c>
      <c r="D144" s="91" t="s">
        <v>393</v>
      </c>
      <c r="E144" s="166"/>
      <c r="F144" s="166"/>
      <c r="G144" s="166"/>
      <c r="H144" s="166"/>
      <c r="I144" s="96"/>
      <c r="J144" s="96"/>
      <c r="K144" s="96"/>
      <c r="L144" s="244"/>
      <c r="M144" s="97">
        <f t="shared" ref="M144:O144" si="492">Z144+AC144+AF144+AI144+AL144+AO144+AR144+AU144+AX144+BA144+BD144+BG144</f>
        <v>0</v>
      </c>
      <c r="N144" s="97">
        <f t="shared" si="492"/>
        <v>0</v>
      </c>
      <c r="O144" s="97">
        <f t="shared" si="492"/>
        <v>0</v>
      </c>
      <c r="P144" s="97">
        <f t="shared" ref="P144:R144" si="493">IF(BJ144=0,SUM(Z144+AC144+AF144+AI144+AL144+AO144+AR144+AU144+AX144+BA144+BD144+BG144),BJ144)</f>
        <v>0</v>
      </c>
      <c r="Q144" s="97">
        <f t="shared" si="493"/>
        <v>0</v>
      </c>
      <c r="R144" s="97">
        <f t="shared" si="493"/>
        <v>0</v>
      </c>
      <c r="S144" s="97">
        <f t="shared" ref="S144:T144" si="494">I144-M144</f>
        <v>0</v>
      </c>
      <c r="T144" s="97">
        <f t="shared" si="494"/>
        <v>0</v>
      </c>
      <c r="U144" s="97">
        <f t="shared" si="488"/>
        <v>0</v>
      </c>
      <c r="V144" s="427" t="e">
        <f t="shared" si="221"/>
        <v>#DIV/0!</v>
      </c>
      <c r="W144" s="96">
        <f t="shared" si="474"/>
        <v>0</v>
      </c>
      <c r="X144" s="96">
        <f t="shared" si="470"/>
        <v>0</v>
      </c>
      <c r="Y144" s="428">
        <f t="shared" si="412"/>
        <v>0</v>
      </c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6"/>
      <c r="BM144" s="99"/>
      <c r="BN144" s="100"/>
      <c r="BO144" s="100"/>
      <c r="BP144" s="100"/>
      <c r="BQ144" s="100"/>
    </row>
    <row r="145" spans="1:69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166"/>
      <c r="G145" s="166"/>
      <c r="H145" s="166"/>
      <c r="I145" s="96"/>
      <c r="J145" s="96">
        <v>4237.2</v>
      </c>
      <c r="K145" s="96"/>
      <c r="L145" s="244"/>
      <c r="M145" s="97"/>
      <c r="N145" s="97">
        <f t="shared" ref="N145:O145" si="495">AA145+AD145+AG145+AJ145+AM145+AP145+AS145+AV145+AY145+BB145+BE145+BH145</f>
        <v>4237.2</v>
      </c>
      <c r="O145" s="97">
        <f t="shared" si="495"/>
        <v>0</v>
      </c>
      <c r="P145" s="97">
        <f t="shared" ref="P145:Q145" si="496">IF(BJ145=0,SUM(Z145+AC145+AF145+AI145+AL145+AO145+AR145+AU145+AX145+BA145+BD145+BG145),BJ145)</f>
        <v>0</v>
      </c>
      <c r="Q145" s="97">
        <f t="shared" si="496"/>
        <v>4237.2</v>
      </c>
      <c r="R145" s="97"/>
      <c r="S145" s="97"/>
      <c r="T145" s="97"/>
      <c r="U145" s="97"/>
      <c r="V145" s="427" t="e">
        <f t="shared" si="221"/>
        <v>#DIV/0!</v>
      </c>
      <c r="W145" s="96">
        <f t="shared" si="474"/>
        <v>0</v>
      </c>
      <c r="X145" s="96">
        <f t="shared" si="470"/>
        <v>0</v>
      </c>
      <c r="Y145" s="428">
        <f t="shared" si="412"/>
        <v>0</v>
      </c>
      <c r="Z145" s="96"/>
      <c r="AA145" s="96"/>
      <c r="AB145" s="96"/>
      <c r="AC145" s="96"/>
      <c r="AD145" s="96"/>
      <c r="AE145" s="96"/>
      <c r="AF145" s="96"/>
      <c r="AG145" s="103">
        <f>3088+1149.2</f>
        <v>4237.2</v>
      </c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9"/>
      <c r="BN145" s="100"/>
      <c r="BO145" s="100"/>
      <c r="BP145" s="100"/>
      <c r="BQ145" s="100"/>
    </row>
    <row r="146" spans="1:69" ht="15.75" customHeight="1">
      <c r="A146" s="182"/>
      <c r="B146" s="182"/>
      <c r="C146" s="222"/>
      <c r="D146" s="224" t="s">
        <v>397</v>
      </c>
      <c r="E146" s="186">
        <f>SUM(E147:E150)</f>
        <v>0</v>
      </c>
      <c r="F146" s="186"/>
      <c r="G146" s="186"/>
      <c r="H146" s="186">
        <f t="shared" ref="H146:O146" si="497">SUM(H147:H150)</f>
        <v>0</v>
      </c>
      <c r="I146" s="186">
        <f t="shared" si="497"/>
        <v>0</v>
      </c>
      <c r="J146" s="186">
        <f t="shared" si="497"/>
        <v>500</v>
      </c>
      <c r="K146" s="186">
        <f t="shared" si="497"/>
        <v>0</v>
      </c>
      <c r="L146" s="186">
        <f t="shared" si="497"/>
        <v>0</v>
      </c>
      <c r="M146" s="186">
        <f t="shared" si="497"/>
        <v>0</v>
      </c>
      <c r="N146" s="186">
        <f t="shared" si="497"/>
        <v>500</v>
      </c>
      <c r="O146" s="186">
        <f t="shared" si="497"/>
        <v>0</v>
      </c>
      <c r="P146" s="245">
        <f t="shared" ref="P146:R146" si="498">IF(BJ146=0,SUM(Z146+AC146+AF146+AI146+AL146+AO146+AR146+AU146+AX146+BA146+BD146+BG146),BJ146)</f>
        <v>0</v>
      </c>
      <c r="Q146" s="245">
        <f t="shared" si="498"/>
        <v>500</v>
      </c>
      <c r="R146" s="245">
        <f t="shared" si="498"/>
        <v>0</v>
      </c>
      <c r="S146" s="186">
        <f t="shared" ref="S146:U146" si="499">SUM(S147:S150)</f>
        <v>0</v>
      </c>
      <c r="T146" s="186">
        <f t="shared" si="499"/>
        <v>0</v>
      </c>
      <c r="U146" s="186">
        <f t="shared" si="499"/>
        <v>0</v>
      </c>
      <c r="V146" s="427" t="e">
        <f t="shared" si="221"/>
        <v>#DIV/0!</v>
      </c>
      <c r="W146" s="96">
        <f t="shared" si="474"/>
        <v>0</v>
      </c>
      <c r="X146" s="96">
        <f t="shared" si="470"/>
        <v>0</v>
      </c>
      <c r="Y146" s="428">
        <f t="shared" si="412"/>
        <v>0</v>
      </c>
      <c r="Z146" s="186">
        <f t="shared" ref="Z146:BL146" si="500">SUM(Z147:Z150)</f>
        <v>0</v>
      </c>
      <c r="AA146" s="186">
        <f t="shared" si="500"/>
        <v>500</v>
      </c>
      <c r="AB146" s="186">
        <f t="shared" si="500"/>
        <v>0</v>
      </c>
      <c r="AC146" s="186">
        <f t="shared" si="500"/>
        <v>0</v>
      </c>
      <c r="AD146" s="186">
        <f t="shared" si="500"/>
        <v>0</v>
      </c>
      <c r="AE146" s="186">
        <f t="shared" si="500"/>
        <v>0</v>
      </c>
      <c r="AF146" s="186">
        <f t="shared" si="500"/>
        <v>0</v>
      </c>
      <c r="AG146" s="186">
        <f t="shared" si="500"/>
        <v>0</v>
      </c>
      <c r="AH146" s="186">
        <f t="shared" si="500"/>
        <v>0</v>
      </c>
      <c r="AI146" s="186">
        <f t="shared" si="500"/>
        <v>0</v>
      </c>
      <c r="AJ146" s="186">
        <f t="shared" si="500"/>
        <v>0</v>
      </c>
      <c r="AK146" s="186">
        <f t="shared" si="500"/>
        <v>0</v>
      </c>
      <c r="AL146" s="186">
        <f t="shared" si="500"/>
        <v>0</v>
      </c>
      <c r="AM146" s="186">
        <f t="shared" si="500"/>
        <v>0</v>
      </c>
      <c r="AN146" s="186">
        <f t="shared" si="500"/>
        <v>0</v>
      </c>
      <c r="AO146" s="186">
        <f t="shared" si="500"/>
        <v>0</v>
      </c>
      <c r="AP146" s="186">
        <f t="shared" si="500"/>
        <v>0</v>
      </c>
      <c r="AQ146" s="186">
        <f t="shared" si="500"/>
        <v>0</v>
      </c>
      <c r="AR146" s="186">
        <f t="shared" si="500"/>
        <v>0</v>
      </c>
      <c r="AS146" s="186">
        <f t="shared" si="500"/>
        <v>0</v>
      </c>
      <c r="AT146" s="186">
        <f t="shared" si="500"/>
        <v>0</v>
      </c>
      <c r="AU146" s="186">
        <f t="shared" si="500"/>
        <v>0</v>
      </c>
      <c r="AV146" s="186">
        <f t="shared" si="500"/>
        <v>0</v>
      </c>
      <c r="AW146" s="186">
        <f t="shared" si="500"/>
        <v>0</v>
      </c>
      <c r="AX146" s="186">
        <f t="shared" si="500"/>
        <v>0</v>
      </c>
      <c r="AY146" s="186">
        <f t="shared" si="500"/>
        <v>0</v>
      </c>
      <c r="AZ146" s="186">
        <f t="shared" si="500"/>
        <v>0</v>
      </c>
      <c r="BA146" s="186">
        <f t="shared" si="500"/>
        <v>0</v>
      </c>
      <c r="BB146" s="186">
        <f t="shared" si="500"/>
        <v>0</v>
      </c>
      <c r="BC146" s="186">
        <f t="shared" si="500"/>
        <v>0</v>
      </c>
      <c r="BD146" s="186">
        <f t="shared" si="500"/>
        <v>0</v>
      </c>
      <c r="BE146" s="186">
        <f t="shared" si="500"/>
        <v>0</v>
      </c>
      <c r="BF146" s="186">
        <f t="shared" si="500"/>
        <v>0</v>
      </c>
      <c r="BG146" s="186">
        <f t="shared" si="500"/>
        <v>0</v>
      </c>
      <c r="BH146" s="186">
        <f t="shared" si="500"/>
        <v>0</v>
      </c>
      <c r="BI146" s="186">
        <f t="shared" si="500"/>
        <v>0</v>
      </c>
      <c r="BJ146" s="186">
        <f t="shared" si="500"/>
        <v>0</v>
      </c>
      <c r="BK146" s="186">
        <f t="shared" si="500"/>
        <v>0</v>
      </c>
      <c r="BL146" s="186">
        <f t="shared" si="500"/>
        <v>0</v>
      </c>
      <c r="BM146" s="157"/>
      <c r="BN146" s="158"/>
      <c r="BO146" s="158"/>
      <c r="BP146" s="158"/>
      <c r="BQ146" s="158"/>
    </row>
    <row r="147" spans="1:69" ht="15.75" customHeight="1">
      <c r="A147" s="89"/>
      <c r="B147" s="89"/>
      <c r="C147" s="90" t="s">
        <v>318</v>
      </c>
      <c r="D147" s="91" t="s">
        <v>366</v>
      </c>
      <c r="E147" s="166"/>
      <c r="F147" s="166"/>
      <c r="G147" s="166"/>
      <c r="H147" s="166"/>
      <c r="I147" s="142"/>
      <c r="J147" s="96"/>
      <c r="K147" s="96"/>
      <c r="L147" s="202"/>
      <c r="M147" s="97">
        <f t="shared" ref="M147:O147" si="501">Z147+AC147+AF147+AI147+AL147+AO147+AR147+AU147+AX147+BA147+BD147+BG147</f>
        <v>0</v>
      </c>
      <c r="N147" s="97">
        <f t="shared" si="501"/>
        <v>0</v>
      </c>
      <c r="O147" s="97">
        <f t="shared" si="501"/>
        <v>0</v>
      </c>
      <c r="P147" s="97">
        <f t="shared" ref="P147:R147" si="502">IF(BJ147=0,SUM(Z147+AC147+AF147+AI147+AL147+AO147+AR147+AU147+AX147+BA147+BD147+BG147),BJ147)</f>
        <v>0</v>
      </c>
      <c r="Q147" s="97">
        <f t="shared" si="502"/>
        <v>0</v>
      </c>
      <c r="R147" s="97">
        <f t="shared" si="502"/>
        <v>0</v>
      </c>
      <c r="S147" s="97">
        <f t="shared" ref="S147:T147" si="503">I147-M147</f>
        <v>0</v>
      </c>
      <c r="T147" s="97">
        <f t="shared" si="503"/>
        <v>0</v>
      </c>
      <c r="U147" s="97">
        <f t="shared" ref="U147:U148" si="504">L147-O147</f>
        <v>0</v>
      </c>
      <c r="V147" s="427" t="e">
        <f t="shared" si="221"/>
        <v>#DIV/0!</v>
      </c>
      <c r="W147" s="96">
        <f t="shared" si="474"/>
        <v>0</v>
      </c>
      <c r="X147" s="96">
        <f t="shared" si="470"/>
        <v>0</v>
      </c>
      <c r="Y147" s="428">
        <f t="shared" si="412"/>
        <v>0</v>
      </c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6"/>
      <c r="BM147" s="99"/>
      <c r="BN147" s="100"/>
      <c r="BO147" s="100"/>
      <c r="BP147" s="100"/>
      <c r="BQ147" s="100"/>
    </row>
    <row r="148" spans="1:69" ht="15.75" customHeight="1">
      <c r="A148" s="89"/>
      <c r="B148" s="89"/>
      <c r="C148" s="90" t="s">
        <v>367</v>
      </c>
      <c r="D148" s="91" t="s">
        <v>398</v>
      </c>
      <c r="E148" s="166"/>
      <c r="F148" s="166"/>
      <c r="G148" s="166"/>
      <c r="H148" s="166"/>
      <c r="I148" s="119"/>
      <c r="J148" s="96"/>
      <c r="K148" s="96"/>
      <c r="L148" s="202"/>
      <c r="M148" s="97">
        <f t="shared" ref="M148:O148" si="505">Z148+AC148+AF148+AI148+AL148+AO148+AR148+AU148+AX148+BA148+BD148+BG148</f>
        <v>0</v>
      </c>
      <c r="N148" s="97">
        <f t="shared" si="505"/>
        <v>0</v>
      </c>
      <c r="O148" s="97">
        <f t="shared" si="505"/>
        <v>0</v>
      </c>
      <c r="P148" s="97">
        <f t="shared" ref="P148:R148" si="506">IF(BJ148=0,SUM(Z148+AC148+AF148+AI148+AL148+AO148+AR148+AU148+AX148+BA148+BD148+BG148),BJ148)</f>
        <v>0</v>
      </c>
      <c r="Q148" s="97">
        <f t="shared" si="506"/>
        <v>0</v>
      </c>
      <c r="R148" s="97">
        <f t="shared" si="506"/>
        <v>0</v>
      </c>
      <c r="S148" s="97">
        <f t="shared" ref="S148:T148" si="507">I148-M148</f>
        <v>0</v>
      </c>
      <c r="T148" s="97">
        <f t="shared" si="507"/>
        <v>0</v>
      </c>
      <c r="U148" s="97">
        <f t="shared" si="504"/>
        <v>0</v>
      </c>
      <c r="V148" s="427" t="e">
        <f t="shared" si="221"/>
        <v>#DIV/0!</v>
      </c>
      <c r="W148" s="96">
        <f t="shared" si="474"/>
        <v>0</v>
      </c>
      <c r="X148" s="96">
        <f t="shared" si="470"/>
        <v>0</v>
      </c>
      <c r="Y148" s="428">
        <f t="shared" si="412"/>
        <v>0</v>
      </c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6"/>
      <c r="BM148" s="99"/>
      <c r="BN148" s="100"/>
      <c r="BO148" s="100"/>
      <c r="BP148" s="100"/>
      <c r="BQ148" s="100"/>
    </row>
    <row r="149" spans="1:69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166"/>
      <c r="G149" s="166"/>
      <c r="H149" s="166"/>
      <c r="I149" s="119"/>
      <c r="J149" s="96">
        <v>500</v>
      </c>
      <c r="K149" s="96"/>
      <c r="L149" s="202"/>
      <c r="M149" s="97"/>
      <c r="N149" s="97">
        <f t="shared" ref="N149:O149" si="508">AA149+AD149+AG149+AJ149+AM149+AP149+AS149+AV149+AY149+BB149+BE149+BH149</f>
        <v>500</v>
      </c>
      <c r="O149" s="97">
        <f t="shared" si="508"/>
        <v>0</v>
      </c>
      <c r="P149" s="97">
        <f t="shared" ref="P149:R149" si="509">IF(BJ149=0,SUM(Z149+AC149+AF149+AI149+AL149+AO149+AR149+AU149+AX149+BA149+BD149+BG149),BJ149)</f>
        <v>0</v>
      </c>
      <c r="Q149" s="97">
        <f t="shared" si="509"/>
        <v>500</v>
      </c>
      <c r="R149" s="97">
        <f t="shared" si="509"/>
        <v>0</v>
      </c>
      <c r="S149" s="97"/>
      <c r="T149" s="97"/>
      <c r="U149" s="97"/>
      <c r="V149" s="427" t="e">
        <f t="shared" si="221"/>
        <v>#DIV/0!</v>
      </c>
      <c r="W149" s="96">
        <f t="shared" si="474"/>
        <v>0</v>
      </c>
      <c r="X149" s="96">
        <f t="shared" si="470"/>
        <v>0</v>
      </c>
      <c r="Y149" s="428">
        <f t="shared" si="412"/>
        <v>0</v>
      </c>
      <c r="Z149" s="96"/>
      <c r="AA149" s="103">
        <v>500</v>
      </c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6"/>
      <c r="BM149" s="99"/>
      <c r="BN149" s="100"/>
      <c r="BO149" s="100"/>
      <c r="BP149" s="100"/>
      <c r="BQ149" s="100"/>
    </row>
    <row r="150" spans="1:69" ht="15.75" customHeight="1">
      <c r="A150" s="89"/>
      <c r="B150" s="89"/>
      <c r="C150" s="90" t="s">
        <v>318</v>
      </c>
      <c r="D150" s="91" t="s">
        <v>400</v>
      </c>
      <c r="E150" s="166"/>
      <c r="F150" s="166"/>
      <c r="G150" s="166"/>
      <c r="H150" s="166"/>
      <c r="I150" s="96"/>
      <c r="J150" s="96"/>
      <c r="K150" s="96"/>
      <c r="L150" s="96"/>
      <c r="M150" s="97">
        <f t="shared" ref="M150:O150" si="510">Z150+AC150+AF150+AI150+AL150+AO150+AR150+AU150+AX150+BA150+BD150+BG150</f>
        <v>0</v>
      </c>
      <c r="N150" s="97">
        <f t="shared" si="510"/>
        <v>0</v>
      </c>
      <c r="O150" s="97">
        <f t="shared" si="510"/>
        <v>0</v>
      </c>
      <c r="P150" s="97">
        <f t="shared" ref="P150:R150" si="511">IF(BJ150=0,SUM(Z150+AC150+AF150+AI150+AL150+AO150+AR150+AU150+AX150+BA150+BD150+BG150),BJ150)</f>
        <v>0</v>
      </c>
      <c r="Q150" s="97">
        <f t="shared" si="511"/>
        <v>0</v>
      </c>
      <c r="R150" s="97">
        <f t="shared" si="511"/>
        <v>0</v>
      </c>
      <c r="S150" s="97">
        <f t="shared" ref="S150:T150" si="512">I150-M150</f>
        <v>0</v>
      </c>
      <c r="T150" s="97">
        <f t="shared" si="512"/>
        <v>0</v>
      </c>
      <c r="U150" s="97">
        <f>L150-O150</f>
        <v>0</v>
      </c>
      <c r="V150" s="427" t="e">
        <f t="shared" si="221"/>
        <v>#DIV/0!</v>
      </c>
      <c r="W150" s="96">
        <f t="shared" si="474"/>
        <v>0</v>
      </c>
      <c r="X150" s="96">
        <f t="shared" si="470"/>
        <v>0</v>
      </c>
      <c r="Y150" s="428">
        <f t="shared" si="412"/>
        <v>0</v>
      </c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6"/>
      <c r="BM150" s="99"/>
      <c r="BN150" s="100"/>
      <c r="BO150" s="100"/>
      <c r="BP150" s="100"/>
      <c r="BQ150" s="100"/>
    </row>
    <row r="151" spans="1:69" ht="15.75" customHeight="1">
      <c r="A151" s="246"/>
      <c r="B151" s="246"/>
      <c r="C151" s="247"/>
      <c r="D151" s="248" t="s">
        <v>401</v>
      </c>
      <c r="E151" s="249">
        <f>SUM(E152:E154)</f>
        <v>0</v>
      </c>
      <c r="F151" s="249"/>
      <c r="G151" s="249"/>
      <c r="H151" s="249">
        <f t="shared" ref="H151:O151" si="513">SUM(H152:H154)</f>
        <v>0</v>
      </c>
      <c r="I151" s="249">
        <f t="shared" si="513"/>
        <v>0</v>
      </c>
      <c r="J151" s="249">
        <f t="shared" si="513"/>
        <v>293.62</v>
      </c>
      <c r="K151" s="249">
        <f t="shared" si="513"/>
        <v>0</v>
      </c>
      <c r="L151" s="249">
        <f t="shared" si="513"/>
        <v>0</v>
      </c>
      <c r="M151" s="249">
        <f t="shared" si="513"/>
        <v>0</v>
      </c>
      <c r="N151" s="249">
        <f t="shared" si="513"/>
        <v>0</v>
      </c>
      <c r="O151" s="249">
        <f t="shared" si="513"/>
        <v>0</v>
      </c>
      <c r="P151" s="238">
        <f t="shared" ref="P151:R151" si="514">IF(BJ151=0,SUM(Z151+AC151+AF151+AI151+AL151+AO151+AR151+AU151+AX151+BA151+BD151+BG151),BJ151)</f>
        <v>0</v>
      </c>
      <c r="Q151" s="238">
        <f t="shared" si="514"/>
        <v>0</v>
      </c>
      <c r="R151" s="238">
        <f t="shared" si="514"/>
        <v>0</v>
      </c>
      <c r="S151" s="249">
        <f t="shared" ref="S151:U151" si="515">SUM(S152:S154)</f>
        <v>0</v>
      </c>
      <c r="T151" s="249">
        <f t="shared" si="515"/>
        <v>293.62</v>
      </c>
      <c r="U151" s="249">
        <f t="shared" si="515"/>
        <v>0</v>
      </c>
      <c r="V151" s="427" t="e">
        <f t="shared" si="221"/>
        <v>#DIV/0!</v>
      </c>
      <c r="W151" s="96">
        <f t="shared" si="474"/>
        <v>0</v>
      </c>
      <c r="X151" s="96"/>
      <c r="Y151" s="428">
        <f t="shared" si="412"/>
        <v>0</v>
      </c>
      <c r="Z151" s="249">
        <f t="shared" ref="Z151:BL151" si="516">SUM(Z152:Z154)</f>
        <v>0</v>
      </c>
      <c r="AA151" s="249">
        <f t="shared" si="516"/>
        <v>0</v>
      </c>
      <c r="AB151" s="249">
        <f t="shared" si="516"/>
        <v>0</v>
      </c>
      <c r="AC151" s="249">
        <f t="shared" si="516"/>
        <v>0</v>
      </c>
      <c r="AD151" s="249">
        <f t="shared" si="516"/>
        <v>0</v>
      </c>
      <c r="AE151" s="249">
        <f t="shared" si="516"/>
        <v>0</v>
      </c>
      <c r="AF151" s="249">
        <f t="shared" si="516"/>
        <v>0</v>
      </c>
      <c r="AG151" s="249">
        <f t="shared" si="516"/>
        <v>0</v>
      </c>
      <c r="AH151" s="249">
        <f t="shared" si="516"/>
        <v>0</v>
      </c>
      <c r="AI151" s="249">
        <f t="shared" si="516"/>
        <v>0</v>
      </c>
      <c r="AJ151" s="249">
        <f t="shared" si="516"/>
        <v>0</v>
      </c>
      <c r="AK151" s="249">
        <f t="shared" si="516"/>
        <v>0</v>
      </c>
      <c r="AL151" s="249">
        <f t="shared" si="516"/>
        <v>0</v>
      </c>
      <c r="AM151" s="249">
        <f t="shared" si="516"/>
        <v>0</v>
      </c>
      <c r="AN151" s="249">
        <f t="shared" si="516"/>
        <v>0</v>
      </c>
      <c r="AO151" s="249">
        <f t="shared" si="516"/>
        <v>0</v>
      </c>
      <c r="AP151" s="249">
        <f t="shared" si="516"/>
        <v>0</v>
      </c>
      <c r="AQ151" s="249">
        <f t="shared" si="516"/>
        <v>0</v>
      </c>
      <c r="AR151" s="249">
        <f t="shared" si="516"/>
        <v>0</v>
      </c>
      <c r="AS151" s="249">
        <f t="shared" si="516"/>
        <v>0</v>
      </c>
      <c r="AT151" s="249">
        <f t="shared" si="516"/>
        <v>0</v>
      </c>
      <c r="AU151" s="249">
        <f t="shared" si="516"/>
        <v>0</v>
      </c>
      <c r="AV151" s="249">
        <f t="shared" si="516"/>
        <v>0</v>
      </c>
      <c r="AW151" s="249">
        <f t="shared" si="516"/>
        <v>0</v>
      </c>
      <c r="AX151" s="249">
        <f t="shared" si="516"/>
        <v>0</v>
      </c>
      <c r="AY151" s="249">
        <f t="shared" si="516"/>
        <v>0</v>
      </c>
      <c r="AZ151" s="249">
        <f t="shared" si="516"/>
        <v>0</v>
      </c>
      <c r="BA151" s="249">
        <f t="shared" si="516"/>
        <v>0</v>
      </c>
      <c r="BB151" s="249">
        <f t="shared" si="516"/>
        <v>0</v>
      </c>
      <c r="BC151" s="249">
        <f t="shared" si="516"/>
        <v>0</v>
      </c>
      <c r="BD151" s="249">
        <f t="shared" si="516"/>
        <v>0</v>
      </c>
      <c r="BE151" s="249">
        <f t="shared" si="516"/>
        <v>0</v>
      </c>
      <c r="BF151" s="249">
        <f t="shared" si="516"/>
        <v>0</v>
      </c>
      <c r="BG151" s="249">
        <f t="shared" si="516"/>
        <v>0</v>
      </c>
      <c r="BH151" s="249">
        <f t="shared" si="516"/>
        <v>0</v>
      </c>
      <c r="BI151" s="249">
        <f t="shared" si="516"/>
        <v>0</v>
      </c>
      <c r="BJ151" s="249">
        <f t="shared" si="516"/>
        <v>0</v>
      </c>
      <c r="BK151" s="249">
        <f t="shared" si="516"/>
        <v>0</v>
      </c>
      <c r="BL151" s="249">
        <f t="shared" si="516"/>
        <v>0</v>
      </c>
      <c r="BM151" s="233"/>
      <c r="BN151" s="234"/>
      <c r="BO151" s="234"/>
      <c r="BP151" s="234"/>
      <c r="BQ151" s="234"/>
    </row>
    <row r="152" spans="1:69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166"/>
      <c r="G152" s="166"/>
      <c r="H152" s="166"/>
      <c r="I152" s="142"/>
      <c r="J152" s="131">
        <v>293.62</v>
      </c>
      <c r="K152" s="204"/>
      <c r="L152" s="202"/>
      <c r="M152" s="97">
        <f t="shared" ref="M152:O152" si="517">Z152+AC152+AF152+AI152+AL152+AO152+AR152+AU152+AX152+BA152+BD152+BG152</f>
        <v>0</v>
      </c>
      <c r="N152" s="97">
        <f t="shared" si="517"/>
        <v>0</v>
      </c>
      <c r="O152" s="97">
        <f t="shared" si="517"/>
        <v>0</v>
      </c>
      <c r="P152" s="97">
        <f t="shared" ref="P152:R152" si="518">IF(BJ152=0,SUM(Z152+AC152+AF152+AI152+AL152+AO152+AR152+AU152+AX152+BA152+BD152+BG152),BJ152)</f>
        <v>0</v>
      </c>
      <c r="Q152" s="97">
        <f t="shared" si="518"/>
        <v>0</v>
      </c>
      <c r="R152" s="97">
        <f t="shared" si="518"/>
        <v>0</v>
      </c>
      <c r="S152" s="97">
        <f t="shared" ref="S152:T152" si="519">I152-M152</f>
        <v>0</v>
      </c>
      <c r="T152" s="97">
        <f t="shared" si="519"/>
        <v>293.62</v>
      </c>
      <c r="U152" s="97">
        <f t="shared" ref="U152:U154" si="520">L152-O152</f>
        <v>0</v>
      </c>
      <c r="V152" s="427" t="e">
        <f t="shared" si="221"/>
        <v>#DIV/0!</v>
      </c>
      <c r="W152" s="96">
        <f t="shared" si="474"/>
        <v>0</v>
      </c>
      <c r="X152" s="96">
        <f t="shared" ref="X152:X154" si="521">W152-T152</f>
        <v>-293.62</v>
      </c>
      <c r="Y152" s="428">
        <f t="shared" si="412"/>
        <v>293.62</v>
      </c>
      <c r="Z152" s="96"/>
      <c r="AA152" s="96"/>
      <c r="AB152" s="96"/>
      <c r="AC152" s="96"/>
      <c r="AD152" s="103">
        <v>0</v>
      </c>
      <c r="AE152" s="96"/>
      <c r="AF152" s="96"/>
      <c r="AG152" s="103">
        <v>0</v>
      </c>
      <c r="AH152" s="96"/>
      <c r="AI152" s="96"/>
      <c r="AJ152" s="96"/>
      <c r="AK152" s="96"/>
      <c r="AL152" s="96"/>
      <c r="AM152" s="103">
        <v>0</v>
      </c>
      <c r="AN152" s="96"/>
      <c r="AO152" s="96"/>
      <c r="AP152" s="96"/>
      <c r="AQ152" s="96"/>
      <c r="AR152" s="96"/>
      <c r="AS152" s="103">
        <v>0</v>
      </c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9"/>
      <c r="BN152" s="100"/>
      <c r="BO152" s="100"/>
      <c r="BP152" s="100"/>
      <c r="BQ152" s="100"/>
    </row>
    <row r="153" spans="1:69" ht="15.75" customHeight="1">
      <c r="A153" s="89"/>
      <c r="B153" s="136"/>
      <c r="C153" s="90" t="s">
        <v>161</v>
      </c>
      <c r="D153" s="91" t="s">
        <v>405</v>
      </c>
      <c r="E153" s="166"/>
      <c r="F153" s="166"/>
      <c r="G153" s="166"/>
      <c r="H153" s="166"/>
      <c r="I153" s="142"/>
      <c r="J153" s="204"/>
      <c r="K153" s="204"/>
      <c r="L153" s="202"/>
      <c r="M153" s="97">
        <f t="shared" ref="M153:O153" si="522">Z153+AC153+AF153+AI153+AL153+AO153+AR153+AU153+AX153+BA153+BD153+BG153</f>
        <v>0</v>
      </c>
      <c r="N153" s="97">
        <f t="shared" si="522"/>
        <v>0</v>
      </c>
      <c r="O153" s="97">
        <f t="shared" si="522"/>
        <v>0</v>
      </c>
      <c r="P153" s="97">
        <f t="shared" ref="P153:R153" si="523">IF(BJ153=0,SUM(Z153+AC153+AF153+AI153+AL153+AO153+AR153+AU153+AX153+BA153+BD153+BG153),BJ153)</f>
        <v>0</v>
      </c>
      <c r="Q153" s="97">
        <f t="shared" si="523"/>
        <v>0</v>
      </c>
      <c r="R153" s="97">
        <f t="shared" si="523"/>
        <v>0</v>
      </c>
      <c r="S153" s="97">
        <f t="shared" ref="S153:T153" si="524">I153-M153</f>
        <v>0</v>
      </c>
      <c r="T153" s="97">
        <f t="shared" si="524"/>
        <v>0</v>
      </c>
      <c r="U153" s="97">
        <f t="shared" si="520"/>
        <v>0</v>
      </c>
      <c r="V153" s="427" t="e">
        <f t="shared" si="221"/>
        <v>#DIV/0!</v>
      </c>
      <c r="W153" s="96">
        <f t="shared" si="474"/>
        <v>0</v>
      </c>
      <c r="X153" s="96">
        <f t="shared" si="521"/>
        <v>0</v>
      </c>
      <c r="Y153" s="428">
        <f t="shared" si="412"/>
        <v>0</v>
      </c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103">
        <v>0</v>
      </c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6"/>
      <c r="BM153" s="99"/>
      <c r="BN153" s="100"/>
      <c r="BO153" s="100"/>
      <c r="BP153" s="100"/>
      <c r="BQ153" s="100"/>
    </row>
    <row r="154" spans="1:69" ht="15.75" customHeight="1">
      <c r="A154" s="89"/>
      <c r="B154" s="89"/>
      <c r="C154" s="90" t="s">
        <v>298</v>
      </c>
      <c r="D154" s="91" t="s">
        <v>406</v>
      </c>
      <c r="E154" s="166"/>
      <c r="F154" s="166"/>
      <c r="G154" s="166"/>
      <c r="H154" s="166"/>
      <c r="I154" s="96"/>
      <c r="J154" s="96"/>
      <c r="K154" s="96"/>
      <c r="L154" s="96"/>
      <c r="M154" s="97">
        <f t="shared" ref="M154:O154" si="525">Z154+AC154+AF154+AI154+AL154+AO154+AR154+AU154+AX154+BA154+BD154+BG154</f>
        <v>0</v>
      </c>
      <c r="N154" s="97">
        <f t="shared" si="525"/>
        <v>0</v>
      </c>
      <c r="O154" s="97">
        <f t="shared" si="525"/>
        <v>0</v>
      </c>
      <c r="P154" s="97">
        <f t="shared" ref="P154:R154" si="526">IF(BJ154=0,SUM(Z154+AC154+AF154+AI154+AL154+AO154+AR154+AU154+AX154+BA154+BD154+BG154),BJ154)</f>
        <v>0</v>
      </c>
      <c r="Q154" s="97">
        <f t="shared" si="526"/>
        <v>0</v>
      </c>
      <c r="R154" s="97">
        <f t="shared" si="526"/>
        <v>0</v>
      </c>
      <c r="S154" s="97">
        <f t="shared" ref="S154:T154" si="527">I154-M154</f>
        <v>0</v>
      </c>
      <c r="T154" s="97">
        <f t="shared" si="527"/>
        <v>0</v>
      </c>
      <c r="U154" s="97">
        <f t="shared" si="520"/>
        <v>0</v>
      </c>
      <c r="V154" s="427" t="e">
        <f t="shared" si="221"/>
        <v>#DIV/0!</v>
      </c>
      <c r="W154" s="96">
        <f t="shared" si="474"/>
        <v>0</v>
      </c>
      <c r="X154" s="96">
        <f t="shared" si="521"/>
        <v>0</v>
      </c>
      <c r="Y154" s="428">
        <f t="shared" si="412"/>
        <v>0</v>
      </c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6"/>
      <c r="BM154" s="99"/>
      <c r="BN154" s="100"/>
      <c r="BO154" s="100"/>
      <c r="BP154" s="100"/>
      <c r="BQ154" s="100"/>
    </row>
    <row r="155" spans="1:69" ht="15.75" customHeight="1">
      <c r="A155" s="246"/>
      <c r="B155" s="246"/>
      <c r="C155" s="247"/>
      <c r="D155" s="248" t="s">
        <v>407</v>
      </c>
      <c r="E155" s="249">
        <f>SUM(E156:E159)</f>
        <v>0</v>
      </c>
      <c r="F155" s="249"/>
      <c r="G155" s="249"/>
      <c r="H155" s="249">
        <f t="shared" ref="H155:O155" si="528">SUM(H156:H159)</f>
        <v>0</v>
      </c>
      <c r="I155" s="249">
        <f t="shared" si="528"/>
        <v>0</v>
      </c>
      <c r="J155" s="249">
        <f t="shared" si="528"/>
        <v>8700</v>
      </c>
      <c r="K155" s="249">
        <f t="shared" si="528"/>
        <v>0</v>
      </c>
      <c r="L155" s="249">
        <f t="shared" si="528"/>
        <v>0</v>
      </c>
      <c r="M155" s="249">
        <f t="shared" si="528"/>
        <v>0</v>
      </c>
      <c r="N155" s="249">
        <f t="shared" si="528"/>
        <v>0</v>
      </c>
      <c r="O155" s="249">
        <f t="shared" si="528"/>
        <v>0</v>
      </c>
      <c r="P155" s="238">
        <f t="shared" ref="P155:R155" si="529">IF(BJ155=0,SUM(Z155+AC155+AF155+AI155+AL155+AO155+AR155+AU155+AX155+BA155+BD155+BG155),BJ155)</f>
        <v>0</v>
      </c>
      <c r="Q155" s="238">
        <f t="shared" si="529"/>
        <v>0</v>
      </c>
      <c r="R155" s="238">
        <f t="shared" si="529"/>
        <v>0</v>
      </c>
      <c r="S155" s="249">
        <f t="shared" ref="S155:U155" si="530">SUM(S156:S159)</f>
        <v>0</v>
      </c>
      <c r="T155" s="249">
        <f t="shared" si="530"/>
        <v>8700</v>
      </c>
      <c r="U155" s="249">
        <f t="shared" si="530"/>
        <v>0</v>
      </c>
      <c r="V155" s="427" t="e">
        <f t="shared" si="221"/>
        <v>#DIV/0!</v>
      </c>
      <c r="W155" s="96">
        <f t="shared" si="474"/>
        <v>0</v>
      </c>
      <c r="X155" s="96"/>
      <c r="Y155" s="428">
        <f t="shared" si="412"/>
        <v>0</v>
      </c>
      <c r="Z155" s="249">
        <f t="shared" ref="Z155:BL155" si="531">SUM(Z156:Z159)</f>
        <v>0</v>
      </c>
      <c r="AA155" s="249">
        <f t="shared" si="531"/>
        <v>0</v>
      </c>
      <c r="AB155" s="249">
        <f t="shared" si="531"/>
        <v>0</v>
      </c>
      <c r="AC155" s="249">
        <f t="shared" si="531"/>
        <v>0</v>
      </c>
      <c r="AD155" s="249">
        <f t="shared" si="531"/>
        <v>0</v>
      </c>
      <c r="AE155" s="249">
        <f t="shared" si="531"/>
        <v>0</v>
      </c>
      <c r="AF155" s="249">
        <f t="shared" si="531"/>
        <v>0</v>
      </c>
      <c r="AG155" s="249">
        <f t="shared" si="531"/>
        <v>0</v>
      </c>
      <c r="AH155" s="249">
        <f t="shared" si="531"/>
        <v>0</v>
      </c>
      <c r="AI155" s="249">
        <f t="shared" si="531"/>
        <v>0</v>
      </c>
      <c r="AJ155" s="249">
        <f t="shared" si="531"/>
        <v>0</v>
      </c>
      <c r="AK155" s="249">
        <f t="shared" si="531"/>
        <v>0</v>
      </c>
      <c r="AL155" s="249">
        <f t="shared" si="531"/>
        <v>0</v>
      </c>
      <c r="AM155" s="249">
        <f t="shared" si="531"/>
        <v>0</v>
      </c>
      <c r="AN155" s="249">
        <f t="shared" si="531"/>
        <v>0</v>
      </c>
      <c r="AO155" s="249">
        <f t="shared" si="531"/>
        <v>0</v>
      </c>
      <c r="AP155" s="249">
        <f t="shared" si="531"/>
        <v>0</v>
      </c>
      <c r="AQ155" s="249">
        <f t="shared" si="531"/>
        <v>0</v>
      </c>
      <c r="AR155" s="249">
        <f t="shared" si="531"/>
        <v>0</v>
      </c>
      <c r="AS155" s="249">
        <f t="shared" si="531"/>
        <v>0</v>
      </c>
      <c r="AT155" s="249">
        <f t="shared" si="531"/>
        <v>0</v>
      </c>
      <c r="AU155" s="249">
        <f t="shared" si="531"/>
        <v>0</v>
      </c>
      <c r="AV155" s="249">
        <f t="shared" si="531"/>
        <v>0</v>
      </c>
      <c r="AW155" s="249">
        <f t="shared" si="531"/>
        <v>0</v>
      </c>
      <c r="AX155" s="249">
        <f t="shared" si="531"/>
        <v>0</v>
      </c>
      <c r="AY155" s="249">
        <f t="shared" si="531"/>
        <v>0</v>
      </c>
      <c r="AZ155" s="249">
        <f t="shared" si="531"/>
        <v>0</v>
      </c>
      <c r="BA155" s="249">
        <f t="shared" si="531"/>
        <v>0</v>
      </c>
      <c r="BB155" s="249">
        <f t="shared" si="531"/>
        <v>0</v>
      </c>
      <c r="BC155" s="249">
        <f t="shared" si="531"/>
        <v>0</v>
      </c>
      <c r="BD155" s="249">
        <f t="shared" si="531"/>
        <v>0</v>
      </c>
      <c r="BE155" s="249">
        <f t="shared" si="531"/>
        <v>0</v>
      </c>
      <c r="BF155" s="249">
        <f t="shared" si="531"/>
        <v>0</v>
      </c>
      <c r="BG155" s="249">
        <f t="shared" si="531"/>
        <v>0</v>
      </c>
      <c r="BH155" s="249">
        <f t="shared" si="531"/>
        <v>0</v>
      </c>
      <c r="BI155" s="249">
        <f t="shared" si="531"/>
        <v>0</v>
      </c>
      <c r="BJ155" s="249">
        <f t="shared" si="531"/>
        <v>0</v>
      </c>
      <c r="BK155" s="249">
        <f t="shared" si="531"/>
        <v>0</v>
      </c>
      <c r="BL155" s="249">
        <f t="shared" si="531"/>
        <v>0</v>
      </c>
      <c r="BM155" s="233"/>
      <c r="BN155" s="234"/>
      <c r="BO155" s="234"/>
      <c r="BP155" s="234"/>
      <c r="BQ155" s="234"/>
    </row>
    <row r="156" spans="1:69" ht="15.75" customHeight="1">
      <c r="A156" s="89"/>
      <c r="B156" s="89"/>
      <c r="C156" s="90" t="s">
        <v>161</v>
      </c>
      <c r="D156" s="91" t="s">
        <v>408</v>
      </c>
      <c r="E156" s="166"/>
      <c r="F156" s="166"/>
      <c r="G156" s="166"/>
      <c r="H156" s="251"/>
      <c r="I156" s="96"/>
      <c r="J156" s="96"/>
      <c r="K156" s="96"/>
      <c r="L156" s="95"/>
      <c r="M156" s="97">
        <f t="shared" ref="M156:O156" si="532">Z156+AC156+AF156+AI156+AL156+AO156+AR156+AU156+AX156+BA156+BD156+BG156</f>
        <v>0</v>
      </c>
      <c r="N156" s="97">
        <f t="shared" si="532"/>
        <v>0</v>
      </c>
      <c r="O156" s="97">
        <f t="shared" si="532"/>
        <v>0</v>
      </c>
      <c r="P156" s="97">
        <f t="shared" ref="P156:R156" si="533">IF(BJ156=0,SUM(Z156+AC156+AF156+AI156+AL156+AO156+AR156+AU156+AX156+BA156+BD156+BG156),BJ156)</f>
        <v>0</v>
      </c>
      <c r="Q156" s="97">
        <f t="shared" si="533"/>
        <v>0</v>
      </c>
      <c r="R156" s="97">
        <f t="shared" si="533"/>
        <v>0</v>
      </c>
      <c r="S156" s="97">
        <f t="shared" ref="S156:T156" si="534">I156-M156</f>
        <v>0</v>
      </c>
      <c r="T156" s="97">
        <f t="shared" si="534"/>
        <v>0</v>
      </c>
      <c r="U156" s="97">
        <f t="shared" ref="U156:U159" si="535">L156-O156</f>
        <v>0</v>
      </c>
      <c r="V156" s="427" t="e">
        <f t="shared" si="221"/>
        <v>#DIV/0!</v>
      </c>
      <c r="W156" s="96">
        <f t="shared" si="474"/>
        <v>0</v>
      </c>
      <c r="X156" s="96">
        <f t="shared" ref="X156:X159" si="536">W156-T156</f>
        <v>0</v>
      </c>
      <c r="Y156" s="428">
        <f t="shared" si="412"/>
        <v>0</v>
      </c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5"/>
      <c r="BH156" s="96"/>
      <c r="BI156" s="96"/>
      <c r="BJ156" s="95"/>
      <c r="BK156" s="96"/>
      <c r="BL156" s="96"/>
      <c r="BM156" s="99"/>
      <c r="BN156" s="100"/>
      <c r="BO156" s="100"/>
      <c r="BP156" s="100"/>
      <c r="BQ156" s="100"/>
    </row>
    <row r="157" spans="1:69" ht="15.75" customHeight="1">
      <c r="A157" s="89"/>
      <c r="B157" s="143" t="s">
        <v>409</v>
      </c>
      <c r="C157" s="90"/>
      <c r="D157" s="91" t="s">
        <v>410</v>
      </c>
      <c r="E157" s="166"/>
      <c r="F157" s="166"/>
      <c r="G157" s="166"/>
      <c r="H157" s="166"/>
      <c r="I157" s="96"/>
      <c r="J157" s="167">
        <v>8700</v>
      </c>
      <c r="K157" s="117"/>
      <c r="L157" s="95"/>
      <c r="M157" s="97">
        <f t="shared" ref="M157:O157" si="537">Z157+AC157+AF157+AI157+AL157+AO157+AR157+AU157+AX157+BA157+BD157+BG157</f>
        <v>0</v>
      </c>
      <c r="N157" s="97">
        <f t="shared" si="537"/>
        <v>0</v>
      </c>
      <c r="O157" s="97">
        <f t="shared" si="537"/>
        <v>0</v>
      </c>
      <c r="P157" s="97">
        <f t="shared" ref="P157:R157" si="538">IF(BJ157=0,SUM(Z157+AC157+AF157+AI157+AL157+AO157+AR157+AU157+AX157+BA157+BD157+BG157),BJ157)</f>
        <v>0</v>
      </c>
      <c r="Q157" s="97">
        <f t="shared" si="538"/>
        <v>0</v>
      </c>
      <c r="R157" s="97">
        <f t="shared" si="538"/>
        <v>0</v>
      </c>
      <c r="S157" s="97">
        <f t="shared" ref="S157:T157" si="539">I157-M157</f>
        <v>0</v>
      </c>
      <c r="T157" s="97">
        <f t="shared" si="539"/>
        <v>8700</v>
      </c>
      <c r="U157" s="97">
        <f t="shared" si="535"/>
        <v>0</v>
      </c>
      <c r="V157" s="427" t="e">
        <f t="shared" si="221"/>
        <v>#DIV/0!</v>
      </c>
      <c r="W157" s="96">
        <f t="shared" si="474"/>
        <v>0</v>
      </c>
      <c r="X157" s="96">
        <f t="shared" si="536"/>
        <v>-8700</v>
      </c>
      <c r="Y157" s="428">
        <f t="shared" si="412"/>
        <v>8700</v>
      </c>
      <c r="Z157" s="252"/>
      <c r="AA157" s="96"/>
      <c r="AB157" s="96"/>
      <c r="AC157" s="96"/>
      <c r="AD157" s="96"/>
      <c r="AE157" s="96"/>
      <c r="AF157" s="96"/>
      <c r="AG157" s="103">
        <v>0</v>
      </c>
      <c r="AH157" s="96"/>
      <c r="AI157" s="96"/>
      <c r="AJ157" s="103">
        <v>0</v>
      </c>
      <c r="AK157" s="96"/>
      <c r="AL157" s="96"/>
      <c r="AM157" s="96"/>
      <c r="AN157" s="96"/>
      <c r="AO157" s="96"/>
      <c r="AP157" s="96"/>
      <c r="AQ157" s="96"/>
      <c r="AR157" s="96"/>
      <c r="AS157" s="96"/>
      <c r="AT157" s="202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6"/>
      <c r="BM157" s="99"/>
      <c r="BN157" s="100"/>
      <c r="BO157" s="100"/>
      <c r="BP157" s="100"/>
      <c r="BQ157" s="100"/>
    </row>
    <row r="158" spans="1:69" ht="15.75" customHeight="1">
      <c r="A158" s="21"/>
      <c r="B158" s="136"/>
      <c r="C158" s="90"/>
      <c r="D158" s="91" t="s">
        <v>411</v>
      </c>
      <c r="E158" s="166"/>
      <c r="F158" s="439"/>
      <c r="G158" s="439"/>
      <c r="H158" s="21"/>
      <c r="I158" s="96"/>
      <c r="J158" s="117"/>
      <c r="K158" s="117"/>
      <c r="L158" s="95"/>
      <c r="M158" s="97">
        <f t="shared" ref="M158:O158" si="540">Z158+AC158+AF158+AI158+AL158+AO158+AR158+AU158+AX158+BA158+BD158+BG158</f>
        <v>0</v>
      </c>
      <c r="N158" s="97">
        <f t="shared" si="540"/>
        <v>0</v>
      </c>
      <c r="O158" s="97">
        <f t="shared" si="540"/>
        <v>0</v>
      </c>
      <c r="P158" s="97">
        <f t="shared" ref="P158:R158" si="541">IF(BJ158=0,SUM(Z158+AC158+AF158+AI158+AL158+AO158+AR158+AU158+AX158+BA158+BD158+BG158),BJ158)</f>
        <v>0</v>
      </c>
      <c r="Q158" s="97">
        <f t="shared" si="541"/>
        <v>0</v>
      </c>
      <c r="R158" s="97">
        <f t="shared" si="541"/>
        <v>0</v>
      </c>
      <c r="S158" s="97">
        <f t="shared" ref="S158:T158" si="542">I158-M158</f>
        <v>0</v>
      </c>
      <c r="T158" s="97">
        <f t="shared" si="542"/>
        <v>0</v>
      </c>
      <c r="U158" s="97">
        <f t="shared" si="535"/>
        <v>0</v>
      </c>
      <c r="V158" s="427" t="e">
        <f t="shared" si="221"/>
        <v>#DIV/0!</v>
      </c>
      <c r="W158" s="96">
        <f t="shared" si="474"/>
        <v>0</v>
      </c>
      <c r="X158" s="96">
        <f t="shared" si="536"/>
        <v>0</v>
      </c>
      <c r="Y158" s="428">
        <f t="shared" si="412"/>
        <v>0</v>
      </c>
      <c r="Z158" s="252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96"/>
      <c r="AT158" s="202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6"/>
      <c r="BM158" s="99"/>
      <c r="BN158" s="100"/>
      <c r="BO158" s="100"/>
      <c r="BP158" s="100"/>
      <c r="BQ158" s="100"/>
    </row>
    <row r="159" spans="1:69" ht="15.75" customHeight="1">
      <c r="A159" s="89"/>
      <c r="B159" s="89"/>
      <c r="C159" s="90" t="s">
        <v>165</v>
      </c>
      <c r="D159" s="207" t="s">
        <v>412</v>
      </c>
      <c r="E159" s="208"/>
      <c r="F159" s="208"/>
      <c r="G159" s="208"/>
      <c r="H159" s="208"/>
      <c r="I159" s="202"/>
      <c r="J159" s="204"/>
      <c r="K159" s="204"/>
      <c r="L159" s="202"/>
      <c r="M159" s="97">
        <f t="shared" ref="M159:N159" si="543">Z159+AC159+AF159+AI159+AL159+AO159+AR159+AU159+AX159+BA159+BD159+BG159</f>
        <v>0</v>
      </c>
      <c r="N159" s="97">
        <f t="shared" si="543"/>
        <v>0</v>
      </c>
      <c r="O159" s="97"/>
      <c r="P159" s="97">
        <f t="shared" ref="P159:Q159" si="544">IF(BJ159=0,SUM(Z159+AC159+AF159+AI159+AL159+AO159+AR159+AU159+AX159+BA159+BD159+BG159),BJ159)</f>
        <v>0</v>
      </c>
      <c r="Q159" s="97">
        <f t="shared" si="544"/>
        <v>0</v>
      </c>
      <c r="R159" s="97"/>
      <c r="S159" s="97">
        <f t="shared" ref="S159:T159" si="545">I159-M159</f>
        <v>0</v>
      </c>
      <c r="T159" s="97">
        <f t="shared" si="545"/>
        <v>0</v>
      </c>
      <c r="U159" s="97">
        <f t="shared" si="535"/>
        <v>0</v>
      </c>
      <c r="V159" s="427" t="e">
        <f t="shared" si="221"/>
        <v>#DIV/0!</v>
      </c>
      <c r="W159" s="96">
        <f t="shared" si="474"/>
        <v>0</v>
      </c>
      <c r="X159" s="96">
        <f t="shared" si="536"/>
        <v>0</v>
      </c>
      <c r="Y159" s="428">
        <f t="shared" si="412"/>
        <v>0</v>
      </c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/>
      <c r="BC159" s="204" t="s">
        <v>413</v>
      </c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99"/>
      <c r="BN159" s="100"/>
      <c r="BO159" s="100"/>
      <c r="BP159" s="100"/>
      <c r="BQ159" s="100"/>
    </row>
    <row r="160" spans="1:69" ht="15.75" customHeight="1">
      <c r="A160" s="86"/>
      <c r="B160" s="86"/>
      <c r="C160" s="86" t="s">
        <v>414</v>
      </c>
      <c r="D160" s="86"/>
      <c r="E160" s="87">
        <f t="shared" ref="E160:F160" si="546">E161+E169+E184</f>
        <v>121389.6</v>
      </c>
      <c r="F160" s="87">
        <f t="shared" si="546"/>
        <v>127172.1</v>
      </c>
      <c r="G160" s="87"/>
      <c r="H160" s="87">
        <f t="shared" ref="H160:O160" si="547">H161+H169+H184</f>
        <v>36000</v>
      </c>
      <c r="I160" s="87">
        <f t="shared" si="547"/>
        <v>1500</v>
      </c>
      <c r="J160" s="87">
        <f t="shared" si="547"/>
        <v>984.93000000000006</v>
      </c>
      <c r="K160" s="87">
        <f t="shared" si="547"/>
        <v>0</v>
      </c>
      <c r="L160" s="87">
        <f t="shared" si="547"/>
        <v>0</v>
      </c>
      <c r="M160" s="87">
        <f t="shared" si="547"/>
        <v>0</v>
      </c>
      <c r="N160" s="87">
        <f t="shared" si="547"/>
        <v>626.89</v>
      </c>
      <c r="O160" s="87">
        <f t="shared" si="547"/>
        <v>0</v>
      </c>
      <c r="P160" s="87">
        <f t="shared" ref="P160:R160" si="548">IF(BJ160=0,SUM(Z160+AC160+AF160+AI160+AL160+AO160+AR160+AU160+AX160+BA160+BD160+BG160),BJ160)</f>
        <v>0</v>
      </c>
      <c r="Q160" s="87">
        <f t="shared" si="548"/>
        <v>626.89</v>
      </c>
      <c r="R160" s="87">
        <f t="shared" si="548"/>
        <v>0</v>
      </c>
      <c r="S160" s="87">
        <f t="shared" ref="S160:U160" si="549">S161+S169+S184</f>
        <v>1500</v>
      </c>
      <c r="T160" s="87">
        <f t="shared" si="549"/>
        <v>358.04</v>
      </c>
      <c r="U160" s="87">
        <f t="shared" si="549"/>
        <v>0</v>
      </c>
      <c r="V160" s="427">
        <f t="shared" si="221"/>
        <v>0.94998540688264488</v>
      </c>
      <c r="W160" s="96"/>
      <c r="X160" s="96"/>
      <c r="Y160" s="428">
        <f t="shared" si="412"/>
        <v>121389.6</v>
      </c>
      <c r="Z160" s="87">
        <f t="shared" ref="Z160:BL160" si="550">Z161+Z169+Z184</f>
        <v>0</v>
      </c>
      <c r="AA160" s="87">
        <f t="shared" si="550"/>
        <v>250</v>
      </c>
      <c r="AB160" s="87">
        <f t="shared" si="550"/>
        <v>0</v>
      </c>
      <c r="AC160" s="87">
        <f t="shared" si="550"/>
        <v>0</v>
      </c>
      <c r="AD160" s="87">
        <f t="shared" si="550"/>
        <v>0</v>
      </c>
      <c r="AE160" s="87">
        <f t="shared" si="550"/>
        <v>0</v>
      </c>
      <c r="AF160" s="87">
        <f t="shared" si="550"/>
        <v>0</v>
      </c>
      <c r="AG160" s="87">
        <f t="shared" si="550"/>
        <v>0</v>
      </c>
      <c r="AH160" s="87">
        <f t="shared" si="550"/>
        <v>0</v>
      </c>
      <c r="AI160" s="87">
        <f t="shared" si="550"/>
        <v>0</v>
      </c>
      <c r="AJ160" s="87">
        <f t="shared" si="550"/>
        <v>376.89</v>
      </c>
      <c r="AK160" s="87">
        <f t="shared" si="550"/>
        <v>0</v>
      </c>
      <c r="AL160" s="87">
        <f t="shared" si="550"/>
        <v>0</v>
      </c>
      <c r="AM160" s="87">
        <f t="shared" si="550"/>
        <v>0</v>
      </c>
      <c r="AN160" s="87">
        <f t="shared" si="550"/>
        <v>0</v>
      </c>
      <c r="AO160" s="87">
        <f t="shared" si="550"/>
        <v>0</v>
      </c>
      <c r="AP160" s="87">
        <f t="shared" si="550"/>
        <v>0</v>
      </c>
      <c r="AQ160" s="87">
        <f t="shared" si="550"/>
        <v>0</v>
      </c>
      <c r="AR160" s="87">
        <f t="shared" si="550"/>
        <v>0</v>
      </c>
      <c r="AS160" s="87">
        <f t="shared" si="550"/>
        <v>0</v>
      </c>
      <c r="AT160" s="87">
        <f t="shared" si="550"/>
        <v>0</v>
      </c>
      <c r="AU160" s="87">
        <f t="shared" si="550"/>
        <v>0</v>
      </c>
      <c r="AV160" s="87">
        <f t="shared" si="550"/>
        <v>0</v>
      </c>
      <c r="AW160" s="87">
        <f t="shared" si="550"/>
        <v>0</v>
      </c>
      <c r="AX160" s="87">
        <f t="shared" si="550"/>
        <v>0</v>
      </c>
      <c r="AY160" s="87">
        <f t="shared" si="550"/>
        <v>0</v>
      </c>
      <c r="AZ160" s="87">
        <f t="shared" si="550"/>
        <v>0</v>
      </c>
      <c r="BA160" s="87">
        <f t="shared" si="550"/>
        <v>0</v>
      </c>
      <c r="BB160" s="87">
        <f t="shared" si="550"/>
        <v>0</v>
      </c>
      <c r="BC160" s="87">
        <f t="shared" si="550"/>
        <v>0</v>
      </c>
      <c r="BD160" s="87">
        <f t="shared" si="550"/>
        <v>0</v>
      </c>
      <c r="BE160" s="87">
        <f t="shared" si="550"/>
        <v>0</v>
      </c>
      <c r="BF160" s="87">
        <f t="shared" si="550"/>
        <v>0</v>
      </c>
      <c r="BG160" s="87">
        <f t="shared" si="550"/>
        <v>0</v>
      </c>
      <c r="BH160" s="87">
        <f t="shared" si="550"/>
        <v>0</v>
      </c>
      <c r="BI160" s="87">
        <f t="shared" si="550"/>
        <v>0</v>
      </c>
      <c r="BJ160" s="87">
        <f t="shared" si="550"/>
        <v>0</v>
      </c>
      <c r="BK160" s="87">
        <f t="shared" si="550"/>
        <v>0</v>
      </c>
      <c r="BL160" s="87">
        <f t="shared" si="550"/>
        <v>0</v>
      </c>
      <c r="BM160" s="149"/>
      <c r="BN160" s="150"/>
      <c r="BO160" s="150"/>
      <c r="BP160" s="150"/>
      <c r="BQ160" s="150"/>
    </row>
    <row r="161" spans="1:69" ht="15.75" customHeight="1">
      <c r="A161" s="253"/>
      <c r="B161" s="253"/>
      <c r="C161" s="183"/>
      <c r="D161" s="254" t="s">
        <v>415</v>
      </c>
      <c r="E161" s="255">
        <f t="shared" ref="E161:F161" si="551">E162+E166</f>
        <v>36444.800000000003</v>
      </c>
      <c r="F161" s="255">
        <f t="shared" si="551"/>
        <v>36227.300000000003</v>
      </c>
      <c r="G161" s="255"/>
      <c r="H161" s="255">
        <f t="shared" ref="H161:O161" si="552">H162+H166</f>
        <v>0</v>
      </c>
      <c r="I161" s="255">
        <f t="shared" si="552"/>
        <v>1500</v>
      </c>
      <c r="J161" s="255">
        <f t="shared" si="552"/>
        <v>0</v>
      </c>
      <c r="K161" s="255">
        <f t="shared" si="552"/>
        <v>0</v>
      </c>
      <c r="L161" s="255">
        <f t="shared" si="552"/>
        <v>0</v>
      </c>
      <c r="M161" s="255">
        <f t="shared" si="552"/>
        <v>0</v>
      </c>
      <c r="N161" s="255">
        <f t="shared" si="552"/>
        <v>0</v>
      </c>
      <c r="O161" s="255">
        <f t="shared" si="552"/>
        <v>0</v>
      </c>
      <c r="P161" s="245">
        <f t="shared" ref="P161:R161" si="553">IF(BJ161=0,SUM(Z161+AC161+AF161+AI161+AL161+AO161+AR161+AU161+AX161+BA161+BD161+BG161),BJ161)</f>
        <v>0</v>
      </c>
      <c r="Q161" s="245">
        <f t="shared" si="553"/>
        <v>0</v>
      </c>
      <c r="R161" s="245">
        <f t="shared" si="553"/>
        <v>0</v>
      </c>
      <c r="S161" s="255">
        <f t="shared" ref="S161:U161" si="554">S162+S166</f>
        <v>1500</v>
      </c>
      <c r="T161" s="255">
        <f t="shared" si="554"/>
        <v>0</v>
      </c>
      <c r="U161" s="255">
        <f t="shared" si="554"/>
        <v>0</v>
      </c>
      <c r="V161" s="427" t="e">
        <f t="shared" si="221"/>
        <v>#DIV/0!</v>
      </c>
      <c r="W161" s="96">
        <f t="shared" ref="W161:W183" si="555">AJ161*11</f>
        <v>0</v>
      </c>
      <c r="X161" s="96">
        <f t="shared" ref="X161:X183" si="556">W161-T161</f>
        <v>0</v>
      </c>
      <c r="Y161" s="428">
        <f t="shared" si="412"/>
        <v>36444.800000000003</v>
      </c>
      <c r="Z161" s="255">
        <f t="shared" ref="Z161:BL161" si="557">Z162+Z166</f>
        <v>0</v>
      </c>
      <c r="AA161" s="255">
        <f t="shared" si="557"/>
        <v>0</v>
      </c>
      <c r="AB161" s="255">
        <f t="shared" si="557"/>
        <v>0</v>
      </c>
      <c r="AC161" s="255">
        <f t="shared" si="557"/>
        <v>0</v>
      </c>
      <c r="AD161" s="255">
        <f t="shared" si="557"/>
        <v>0</v>
      </c>
      <c r="AE161" s="255">
        <f t="shared" si="557"/>
        <v>0</v>
      </c>
      <c r="AF161" s="255">
        <f t="shared" si="557"/>
        <v>0</v>
      </c>
      <c r="AG161" s="255">
        <f t="shared" si="557"/>
        <v>0</v>
      </c>
      <c r="AH161" s="255">
        <f t="shared" si="557"/>
        <v>0</v>
      </c>
      <c r="AI161" s="255">
        <f t="shared" si="557"/>
        <v>0</v>
      </c>
      <c r="AJ161" s="255">
        <f t="shared" si="557"/>
        <v>0</v>
      </c>
      <c r="AK161" s="255">
        <f t="shared" si="557"/>
        <v>0</v>
      </c>
      <c r="AL161" s="255">
        <f t="shared" si="557"/>
        <v>0</v>
      </c>
      <c r="AM161" s="255">
        <f t="shared" si="557"/>
        <v>0</v>
      </c>
      <c r="AN161" s="255">
        <f t="shared" si="557"/>
        <v>0</v>
      </c>
      <c r="AO161" s="255">
        <f t="shared" si="557"/>
        <v>0</v>
      </c>
      <c r="AP161" s="255">
        <f t="shared" si="557"/>
        <v>0</v>
      </c>
      <c r="AQ161" s="255">
        <f t="shared" si="557"/>
        <v>0</v>
      </c>
      <c r="AR161" s="255">
        <f t="shared" si="557"/>
        <v>0</v>
      </c>
      <c r="AS161" s="255">
        <f t="shared" si="557"/>
        <v>0</v>
      </c>
      <c r="AT161" s="255">
        <f t="shared" si="557"/>
        <v>0</v>
      </c>
      <c r="AU161" s="255">
        <f t="shared" si="557"/>
        <v>0</v>
      </c>
      <c r="AV161" s="255">
        <f t="shared" si="557"/>
        <v>0</v>
      </c>
      <c r="AW161" s="255">
        <f t="shared" si="557"/>
        <v>0</v>
      </c>
      <c r="AX161" s="255">
        <f t="shared" si="557"/>
        <v>0</v>
      </c>
      <c r="AY161" s="255">
        <f t="shared" si="557"/>
        <v>0</v>
      </c>
      <c r="AZ161" s="255">
        <f t="shared" si="557"/>
        <v>0</v>
      </c>
      <c r="BA161" s="255">
        <f t="shared" si="557"/>
        <v>0</v>
      </c>
      <c r="BB161" s="255">
        <f t="shared" si="557"/>
        <v>0</v>
      </c>
      <c r="BC161" s="255">
        <f t="shared" si="557"/>
        <v>0</v>
      </c>
      <c r="BD161" s="255">
        <f t="shared" si="557"/>
        <v>0</v>
      </c>
      <c r="BE161" s="255">
        <f t="shared" si="557"/>
        <v>0</v>
      </c>
      <c r="BF161" s="255">
        <f t="shared" si="557"/>
        <v>0</v>
      </c>
      <c r="BG161" s="255">
        <f t="shared" si="557"/>
        <v>0</v>
      </c>
      <c r="BH161" s="255">
        <f t="shared" si="557"/>
        <v>0</v>
      </c>
      <c r="BI161" s="255">
        <f t="shared" si="557"/>
        <v>0</v>
      </c>
      <c r="BJ161" s="255">
        <f t="shared" si="557"/>
        <v>0</v>
      </c>
      <c r="BK161" s="255">
        <f t="shared" si="557"/>
        <v>0</v>
      </c>
      <c r="BL161" s="255">
        <f t="shared" si="557"/>
        <v>0</v>
      </c>
      <c r="BM161" s="157"/>
      <c r="BN161" s="158"/>
      <c r="BO161" s="158"/>
      <c r="BP161" s="158"/>
      <c r="BQ161" s="158"/>
    </row>
    <row r="162" spans="1:69" ht="15.75" customHeight="1">
      <c r="A162" s="240"/>
      <c r="B162" s="240"/>
      <c r="C162" s="229"/>
      <c r="D162" s="257" t="s">
        <v>416</v>
      </c>
      <c r="E162" s="231">
        <f t="shared" ref="E162:F162" si="558">SUM(E163:E165)</f>
        <v>36444.800000000003</v>
      </c>
      <c r="F162" s="231">
        <f t="shared" si="558"/>
        <v>36227.300000000003</v>
      </c>
      <c r="G162" s="231"/>
      <c r="H162" s="231">
        <f t="shared" ref="H162:O162" si="559">SUM(H163:H165)</f>
        <v>0</v>
      </c>
      <c r="I162" s="231">
        <f t="shared" si="559"/>
        <v>1500</v>
      </c>
      <c r="J162" s="231">
        <f t="shared" si="559"/>
        <v>0</v>
      </c>
      <c r="K162" s="231">
        <f t="shared" si="559"/>
        <v>0</v>
      </c>
      <c r="L162" s="231">
        <f t="shared" si="559"/>
        <v>0</v>
      </c>
      <c r="M162" s="231">
        <f t="shared" si="559"/>
        <v>0</v>
      </c>
      <c r="N162" s="231">
        <f t="shared" si="559"/>
        <v>0</v>
      </c>
      <c r="O162" s="231">
        <f t="shared" si="559"/>
        <v>0</v>
      </c>
      <c r="P162" s="258">
        <f t="shared" ref="P162:R162" si="560">IF(BJ162=0,SUM(Z162+AC162+AF162+AI162+AL162+AO162+AR162+AU162+AX162+BA162+BD162+BG162),BJ162)</f>
        <v>0</v>
      </c>
      <c r="Q162" s="258">
        <f t="shared" si="560"/>
        <v>0</v>
      </c>
      <c r="R162" s="258">
        <f t="shared" si="560"/>
        <v>0</v>
      </c>
      <c r="S162" s="231">
        <f t="shared" ref="S162:U162" si="561">SUM(S163:S165)</f>
        <v>1500</v>
      </c>
      <c r="T162" s="231">
        <f t="shared" si="561"/>
        <v>0</v>
      </c>
      <c r="U162" s="231">
        <f t="shared" si="561"/>
        <v>0</v>
      </c>
      <c r="V162" s="427" t="e">
        <f t="shared" si="221"/>
        <v>#DIV/0!</v>
      </c>
      <c r="W162" s="96">
        <f t="shared" si="555"/>
        <v>0</v>
      </c>
      <c r="X162" s="96">
        <f t="shared" si="556"/>
        <v>0</v>
      </c>
      <c r="Y162" s="428">
        <f t="shared" si="412"/>
        <v>36444.800000000003</v>
      </c>
      <c r="Z162" s="231">
        <f t="shared" ref="Z162:BL162" si="562">SUM(Z163:Z165)</f>
        <v>0</v>
      </c>
      <c r="AA162" s="231">
        <f t="shared" si="562"/>
        <v>0</v>
      </c>
      <c r="AB162" s="231">
        <f t="shared" si="562"/>
        <v>0</v>
      </c>
      <c r="AC162" s="231">
        <f t="shared" si="562"/>
        <v>0</v>
      </c>
      <c r="AD162" s="231">
        <f t="shared" si="562"/>
        <v>0</v>
      </c>
      <c r="AE162" s="231">
        <f t="shared" si="562"/>
        <v>0</v>
      </c>
      <c r="AF162" s="231">
        <f t="shared" si="562"/>
        <v>0</v>
      </c>
      <c r="AG162" s="231">
        <f t="shared" si="562"/>
        <v>0</v>
      </c>
      <c r="AH162" s="231">
        <f t="shared" si="562"/>
        <v>0</v>
      </c>
      <c r="AI162" s="231">
        <f t="shared" si="562"/>
        <v>0</v>
      </c>
      <c r="AJ162" s="231">
        <f t="shared" si="562"/>
        <v>0</v>
      </c>
      <c r="AK162" s="231">
        <f t="shared" si="562"/>
        <v>0</v>
      </c>
      <c r="AL162" s="231">
        <f t="shared" si="562"/>
        <v>0</v>
      </c>
      <c r="AM162" s="231">
        <f t="shared" si="562"/>
        <v>0</v>
      </c>
      <c r="AN162" s="231">
        <f t="shared" si="562"/>
        <v>0</v>
      </c>
      <c r="AO162" s="231">
        <f t="shared" si="562"/>
        <v>0</v>
      </c>
      <c r="AP162" s="231">
        <f t="shared" si="562"/>
        <v>0</v>
      </c>
      <c r="AQ162" s="231">
        <f t="shared" si="562"/>
        <v>0</v>
      </c>
      <c r="AR162" s="231">
        <f t="shared" si="562"/>
        <v>0</v>
      </c>
      <c r="AS162" s="231">
        <f t="shared" si="562"/>
        <v>0</v>
      </c>
      <c r="AT162" s="231">
        <f t="shared" si="562"/>
        <v>0</v>
      </c>
      <c r="AU162" s="231">
        <f t="shared" si="562"/>
        <v>0</v>
      </c>
      <c r="AV162" s="231">
        <f t="shared" si="562"/>
        <v>0</v>
      </c>
      <c r="AW162" s="231">
        <f t="shared" si="562"/>
        <v>0</v>
      </c>
      <c r="AX162" s="231">
        <f t="shared" si="562"/>
        <v>0</v>
      </c>
      <c r="AY162" s="231">
        <f t="shared" si="562"/>
        <v>0</v>
      </c>
      <c r="AZ162" s="231">
        <f t="shared" si="562"/>
        <v>0</v>
      </c>
      <c r="BA162" s="231">
        <f t="shared" si="562"/>
        <v>0</v>
      </c>
      <c r="BB162" s="231">
        <f t="shared" si="562"/>
        <v>0</v>
      </c>
      <c r="BC162" s="231">
        <f t="shared" si="562"/>
        <v>0</v>
      </c>
      <c r="BD162" s="231">
        <f t="shared" si="562"/>
        <v>0</v>
      </c>
      <c r="BE162" s="231">
        <f t="shared" si="562"/>
        <v>0</v>
      </c>
      <c r="BF162" s="231">
        <f t="shared" si="562"/>
        <v>0</v>
      </c>
      <c r="BG162" s="231">
        <f t="shared" si="562"/>
        <v>0</v>
      </c>
      <c r="BH162" s="231">
        <f t="shared" si="562"/>
        <v>0</v>
      </c>
      <c r="BI162" s="231">
        <f t="shared" si="562"/>
        <v>0</v>
      </c>
      <c r="BJ162" s="231">
        <f t="shared" si="562"/>
        <v>0</v>
      </c>
      <c r="BK162" s="231">
        <f t="shared" si="562"/>
        <v>0</v>
      </c>
      <c r="BL162" s="231">
        <f t="shared" si="562"/>
        <v>0</v>
      </c>
      <c r="BM162" s="233"/>
      <c r="BN162" s="234"/>
      <c r="BO162" s="234"/>
      <c r="BP162" s="234"/>
      <c r="BQ162" s="234"/>
    </row>
    <row r="163" spans="1:69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162">
        <f>E163</f>
        <v>34944.800000000003</v>
      </c>
      <c r="G163" s="162"/>
      <c r="H163" s="166"/>
      <c r="I163" s="142">
        <v>0</v>
      </c>
      <c r="J163" s="96"/>
      <c r="K163" s="96"/>
      <c r="L163" s="96"/>
      <c r="M163" s="97">
        <f t="shared" ref="M163:O163" si="563">Z163+AC163+AF163+AI163+AL163+AO163+AR163+AU163+AX163+BA163+BD163+BG163</f>
        <v>0</v>
      </c>
      <c r="N163" s="97">
        <f t="shared" si="563"/>
        <v>0</v>
      </c>
      <c r="O163" s="97">
        <f t="shared" si="563"/>
        <v>0</v>
      </c>
      <c r="P163" s="97">
        <f t="shared" ref="P163:R163" si="564">IF(BJ163=0,SUM(Z163+AC163+AF163+AI163+AL163+AO163+AR163+AU163+AX163+BA163+BD163+BG163),BJ163)</f>
        <v>0</v>
      </c>
      <c r="Q163" s="97">
        <f t="shared" si="564"/>
        <v>0</v>
      </c>
      <c r="R163" s="97">
        <f t="shared" si="564"/>
        <v>0</v>
      </c>
      <c r="S163" s="138">
        <f t="shared" ref="S163:T163" si="565">I163-M163</f>
        <v>0</v>
      </c>
      <c r="T163" s="97">
        <f t="shared" si="565"/>
        <v>0</v>
      </c>
      <c r="U163" s="97">
        <f t="shared" ref="U163:U165" si="566">L163-O163</f>
        <v>0</v>
      </c>
      <c r="V163" s="427" t="e">
        <f t="shared" si="221"/>
        <v>#DIV/0!</v>
      </c>
      <c r="W163" s="96">
        <f t="shared" si="555"/>
        <v>0</v>
      </c>
      <c r="X163" s="96">
        <f t="shared" si="556"/>
        <v>0</v>
      </c>
      <c r="Y163" s="428">
        <f t="shared" si="412"/>
        <v>34944.800000000003</v>
      </c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260">
        <v>0</v>
      </c>
      <c r="BH163" s="96"/>
      <c r="BI163" s="96"/>
      <c r="BJ163" s="96"/>
      <c r="BK163" s="96"/>
      <c r="BL163" s="96"/>
      <c r="BM163" s="99"/>
      <c r="BN163" s="100"/>
      <c r="BO163" s="100"/>
      <c r="BP163" s="100"/>
      <c r="BQ163" s="100"/>
    </row>
    <row r="164" spans="1:69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162">
        <f t="shared" ref="F164:F165" si="567">-(E164*14.5%)+E164</f>
        <v>1282.5</v>
      </c>
      <c r="G164" s="162"/>
      <c r="H164" s="166"/>
      <c r="I164" s="95">
        <v>1500</v>
      </c>
      <c r="J164" s="96"/>
      <c r="K164" s="96"/>
      <c r="L164" s="261"/>
      <c r="M164" s="97">
        <f t="shared" ref="M164:O164" si="568">Z164+AC164+AF164+AI164+AL164+AO164+AR164+AU164+AX164+BA164+BD164+BG164</f>
        <v>0</v>
      </c>
      <c r="N164" s="97">
        <f t="shared" si="568"/>
        <v>0</v>
      </c>
      <c r="O164" s="97">
        <f t="shared" si="568"/>
        <v>0</v>
      </c>
      <c r="P164" s="97">
        <f t="shared" ref="P164:R164" si="569">IF(BJ164=0,SUM(Z164+AC164+AF164+AI164+AL164+AO164+AR164+AU164+AX164+BA164+BD164+BG164),BJ164)</f>
        <v>0</v>
      </c>
      <c r="Q164" s="97">
        <f t="shared" si="569"/>
        <v>0</v>
      </c>
      <c r="R164" s="97">
        <f t="shared" si="569"/>
        <v>0</v>
      </c>
      <c r="S164" s="97">
        <f t="shared" ref="S164:T164" si="570">I164-M164</f>
        <v>1500</v>
      </c>
      <c r="T164" s="97">
        <f t="shared" si="570"/>
        <v>0</v>
      </c>
      <c r="U164" s="97">
        <f t="shared" si="566"/>
        <v>0</v>
      </c>
      <c r="V164" s="427" t="e">
        <f t="shared" si="221"/>
        <v>#DIV/0!</v>
      </c>
      <c r="W164" s="96">
        <f t="shared" si="555"/>
        <v>0</v>
      </c>
      <c r="X164" s="96">
        <f t="shared" si="556"/>
        <v>0</v>
      </c>
      <c r="Y164" s="428">
        <f t="shared" si="412"/>
        <v>1500</v>
      </c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9"/>
      <c r="BN164" s="100"/>
      <c r="BO164" s="100"/>
      <c r="BP164" s="100"/>
      <c r="BQ164" s="100"/>
    </row>
    <row r="165" spans="1:69" ht="15.75" customHeight="1">
      <c r="A165" s="89"/>
      <c r="B165" s="89"/>
      <c r="C165" s="90" t="s">
        <v>213</v>
      </c>
      <c r="D165" s="91" t="s">
        <v>74</v>
      </c>
      <c r="E165" s="166"/>
      <c r="F165" s="162">
        <f t="shared" si="567"/>
        <v>0</v>
      </c>
      <c r="G165" s="162"/>
      <c r="H165" s="166"/>
      <c r="I165" s="95"/>
      <c r="J165" s="96"/>
      <c r="K165" s="96"/>
      <c r="L165" s="95"/>
      <c r="M165" s="97">
        <f t="shared" ref="M165:O165" si="571">Z165+AC165+AF165+AI165+AL165+AO165+AR165+AU165+AX165+BA165+BD165+BG165</f>
        <v>0</v>
      </c>
      <c r="N165" s="97">
        <f t="shared" si="571"/>
        <v>0</v>
      </c>
      <c r="O165" s="97">
        <f t="shared" si="571"/>
        <v>0</v>
      </c>
      <c r="P165" s="97">
        <f t="shared" ref="P165:R165" si="572">IF(BJ165=0,SUM(Z165+AC165+AF165+AI165+AL165+AO165+AR165+AU165+AX165+BA165+BD165+BG165),BJ165)</f>
        <v>0</v>
      </c>
      <c r="Q165" s="97">
        <f t="shared" si="572"/>
        <v>0</v>
      </c>
      <c r="R165" s="97">
        <f t="shared" si="572"/>
        <v>0</v>
      </c>
      <c r="S165" s="97">
        <f t="shared" ref="S165:T165" si="573">I165-M165</f>
        <v>0</v>
      </c>
      <c r="T165" s="97">
        <f t="shared" si="573"/>
        <v>0</v>
      </c>
      <c r="U165" s="97">
        <f t="shared" si="566"/>
        <v>0</v>
      </c>
      <c r="V165" s="427" t="e">
        <f t="shared" si="221"/>
        <v>#DIV/0!</v>
      </c>
      <c r="W165" s="96">
        <f t="shared" si="555"/>
        <v>0</v>
      </c>
      <c r="X165" s="96">
        <f t="shared" si="556"/>
        <v>0</v>
      </c>
      <c r="Y165" s="428">
        <f t="shared" si="412"/>
        <v>0</v>
      </c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6"/>
      <c r="BM165" s="99"/>
      <c r="BN165" s="100"/>
      <c r="BO165" s="100"/>
      <c r="BP165" s="100"/>
      <c r="BQ165" s="100"/>
    </row>
    <row r="166" spans="1:69" ht="15.75" customHeight="1">
      <c r="A166" s="240"/>
      <c r="B166" s="240"/>
      <c r="C166" s="229"/>
      <c r="D166" s="230" t="s">
        <v>418</v>
      </c>
      <c r="E166" s="231">
        <f>SUM(E167:E168)</f>
        <v>0</v>
      </c>
      <c r="F166" s="231"/>
      <c r="G166" s="231"/>
      <c r="H166" s="231">
        <f t="shared" ref="H166:O166" si="574">SUM(H167:H168)</f>
        <v>0</v>
      </c>
      <c r="I166" s="231">
        <f t="shared" si="574"/>
        <v>0</v>
      </c>
      <c r="J166" s="231">
        <f t="shared" si="574"/>
        <v>0</v>
      </c>
      <c r="K166" s="231">
        <f t="shared" si="574"/>
        <v>0</v>
      </c>
      <c r="L166" s="231">
        <f t="shared" si="574"/>
        <v>0</v>
      </c>
      <c r="M166" s="231">
        <f t="shared" si="574"/>
        <v>0</v>
      </c>
      <c r="N166" s="231">
        <f t="shared" si="574"/>
        <v>0</v>
      </c>
      <c r="O166" s="231">
        <f t="shared" si="574"/>
        <v>0</v>
      </c>
      <c r="P166" s="258">
        <f t="shared" ref="P166:R166" si="575">IF(BJ166=0,SUM(Z166+AC166+AF166+AI166+AL166+AO166+AR166+AU166+AX166+BA166+BD166+BG166),BJ166)</f>
        <v>0</v>
      </c>
      <c r="Q166" s="258">
        <f t="shared" si="575"/>
        <v>0</v>
      </c>
      <c r="R166" s="258">
        <f t="shared" si="575"/>
        <v>0</v>
      </c>
      <c r="S166" s="231">
        <f t="shared" ref="S166:U166" si="576">SUM(S167:S168)</f>
        <v>0</v>
      </c>
      <c r="T166" s="231">
        <f t="shared" si="576"/>
        <v>0</v>
      </c>
      <c r="U166" s="231">
        <f t="shared" si="576"/>
        <v>0</v>
      </c>
      <c r="V166" s="427" t="e">
        <f t="shared" si="221"/>
        <v>#DIV/0!</v>
      </c>
      <c r="W166" s="96">
        <f t="shared" si="555"/>
        <v>0</v>
      </c>
      <c r="X166" s="96">
        <f t="shared" si="556"/>
        <v>0</v>
      </c>
      <c r="Y166" s="428">
        <f t="shared" si="412"/>
        <v>0</v>
      </c>
      <c r="Z166" s="231">
        <f t="shared" ref="Z166:BL166" si="577">SUM(Z167:Z168)</f>
        <v>0</v>
      </c>
      <c r="AA166" s="231">
        <f t="shared" si="577"/>
        <v>0</v>
      </c>
      <c r="AB166" s="231">
        <f t="shared" si="577"/>
        <v>0</v>
      </c>
      <c r="AC166" s="231">
        <f t="shared" si="577"/>
        <v>0</v>
      </c>
      <c r="AD166" s="231">
        <f t="shared" si="577"/>
        <v>0</v>
      </c>
      <c r="AE166" s="231">
        <f t="shared" si="577"/>
        <v>0</v>
      </c>
      <c r="AF166" s="231">
        <f t="shared" si="577"/>
        <v>0</v>
      </c>
      <c r="AG166" s="231">
        <f t="shared" si="577"/>
        <v>0</v>
      </c>
      <c r="AH166" s="231">
        <f t="shared" si="577"/>
        <v>0</v>
      </c>
      <c r="AI166" s="231">
        <f t="shared" si="577"/>
        <v>0</v>
      </c>
      <c r="AJ166" s="231">
        <f t="shared" si="577"/>
        <v>0</v>
      </c>
      <c r="AK166" s="231">
        <f t="shared" si="577"/>
        <v>0</v>
      </c>
      <c r="AL166" s="231">
        <f t="shared" si="577"/>
        <v>0</v>
      </c>
      <c r="AM166" s="231">
        <f t="shared" si="577"/>
        <v>0</v>
      </c>
      <c r="AN166" s="231">
        <f t="shared" si="577"/>
        <v>0</v>
      </c>
      <c r="AO166" s="231">
        <f t="shared" si="577"/>
        <v>0</v>
      </c>
      <c r="AP166" s="231">
        <f t="shared" si="577"/>
        <v>0</v>
      </c>
      <c r="AQ166" s="231">
        <f t="shared" si="577"/>
        <v>0</v>
      </c>
      <c r="AR166" s="231">
        <f t="shared" si="577"/>
        <v>0</v>
      </c>
      <c r="AS166" s="231">
        <f t="shared" si="577"/>
        <v>0</v>
      </c>
      <c r="AT166" s="231">
        <f t="shared" si="577"/>
        <v>0</v>
      </c>
      <c r="AU166" s="231">
        <f t="shared" si="577"/>
        <v>0</v>
      </c>
      <c r="AV166" s="231">
        <f t="shared" si="577"/>
        <v>0</v>
      </c>
      <c r="AW166" s="231">
        <f t="shared" si="577"/>
        <v>0</v>
      </c>
      <c r="AX166" s="231">
        <f t="shared" si="577"/>
        <v>0</v>
      </c>
      <c r="AY166" s="231">
        <f t="shared" si="577"/>
        <v>0</v>
      </c>
      <c r="AZ166" s="231">
        <f t="shared" si="577"/>
        <v>0</v>
      </c>
      <c r="BA166" s="231">
        <f t="shared" si="577"/>
        <v>0</v>
      </c>
      <c r="BB166" s="231">
        <f t="shared" si="577"/>
        <v>0</v>
      </c>
      <c r="BC166" s="231">
        <f t="shared" si="577"/>
        <v>0</v>
      </c>
      <c r="BD166" s="231">
        <f t="shared" si="577"/>
        <v>0</v>
      </c>
      <c r="BE166" s="231">
        <f t="shared" si="577"/>
        <v>0</v>
      </c>
      <c r="BF166" s="231">
        <f t="shared" si="577"/>
        <v>0</v>
      </c>
      <c r="BG166" s="231">
        <f t="shared" si="577"/>
        <v>0</v>
      </c>
      <c r="BH166" s="231">
        <f t="shared" si="577"/>
        <v>0</v>
      </c>
      <c r="BI166" s="231">
        <f t="shared" si="577"/>
        <v>0</v>
      </c>
      <c r="BJ166" s="231">
        <f t="shared" si="577"/>
        <v>0</v>
      </c>
      <c r="BK166" s="231">
        <f t="shared" si="577"/>
        <v>0</v>
      </c>
      <c r="BL166" s="231">
        <f t="shared" si="577"/>
        <v>0</v>
      </c>
      <c r="BM166" s="233"/>
      <c r="BN166" s="234"/>
      <c r="BO166" s="234"/>
      <c r="BP166" s="234"/>
      <c r="BQ166" s="234"/>
    </row>
    <row r="167" spans="1:69" ht="15.75" customHeight="1">
      <c r="A167" s="89"/>
      <c r="B167" s="89"/>
      <c r="C167" s="90" t="s">
        <v>357</v>
      </c>
      <c r="D167" s="91" t="s">
        <v>419</v>
      </c>
      <c r="E167" s="166"/>
      <c r="F167" s="166"/>
      <c r="G167" s="166"/>
      <c r="H167" s="166"/>
      <c r="I167" s="95"/>
      <c r="J167" s="96"/>
      <c r="K167" s="96"/>
      <c r="L167" s="95"/>
      <c r="M167" s="97">
        <f t="shared" ref="M167:O167" si="578">Z167+AC167+AF167+AI167+AL167+AO167+AR167+AU167+AX167+BA167+BD167+BG167</f>
        <v>0</v>
      </c>
      <c r="N167" s="97">
        <f t="shared" si="578"/>
        <v>0</v>
      </c>
      <c r="O167" s="97">
        <f t="shared" si="578"/>
        <v>0</v>
      </c>
      <c r="P167" s="97">
        <f t="shared" ref="P167:R167" si="579">IF(BJ167=0,SUM(Z167+AC167+AF167+AI167+AL167+AO167+AR167+AU167+AX167+BA167+BD167+BG167),BJ167)</f>
        <v>0</v>
      </c>
      <c r="Q167" s="97">
        <f t="shared" si="579"/>
        <v>0</v>
      </c>
      <c r="R167" s="97">
        <f t="shared" si="579"/>
        <v>0</v>
      </c>
      <c r="S167" s="97">
        <f t="shared" ref="S167:T167" si="580">I167-M167</f>
        <v>0</v>
      </c>
      <c r="T167" s="97">
        <f t="shared" si="580"/>
        <v>0</v>
      </c>
      <c r="U167" s="97">
        <f t="shared" ref="U167:U168" si="581">L167-O167</f>
        <v>0</v>
      </c>
      <c r="V167" s="427" t="e">
        <f t="shared" si="221"/>
        <v>#DIV/0!</v>
      </c>
      <c r="W167" s="96">
        <f t="shared" si="555"/>
        <v>0</v>
      </c>
      <c r="X167" s="96">
        <f t="shared" si="556"/>
        <v>0</v>
      </c>
      <c r="Y167" s="428">
        <f t="shared" si="412"/>
        <v>0</v>
      </c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6"/>
      <c r="BM167" s="99"/>
      <c r="BN167" s="100"/>
      <c r="BO167" s="100"/>
      <c r="BP167" s="100"/>
      <c r="BQ167" s="100"/>
    </row>
    <row r="168" spans="1:69" ht="15.75" customHeight="1">
      <c r="A168" s="89"/>
      <c r="B168" s="89"/>
      <c r="C168" s="101"/>
      <c r="D168" s="91"/>
      <c r="E168" s="166"/>
      <c r="F168" s="166"/>
      <c r="G168" s="166"/>
      <c r="H168" s="262"/>
      <c r="I168" s="95"/>
      <c r="J168" s="96"/>
      <c r="K168" s="96"/>
      <c r="L168" s="95"/>
      <c r="M168" s="97"/>
      <c r="N168" s="97">
        <f t="shared" ref="N168:O168" si="582">AA168+AD168+AG168+AJ168+AM168+AP168+AS168+AV168+AY168+BB168+BE168+BH168</f>
        <v>0</v>
      </c>
      <c r="O168" s="97">
        <f t="shared" si="582"/>
        <v>0</v>
      </c>
      <c r="P168" s="97">
        <f t="shared" ref="P168:R168" si="583">IF(BJ168=0,SUM(Z168+AC168+AF168+AI168+AL168+AO168+AR168+AU168+AX168+BA168+BD168+BG168),BJ168)</f>
        <v>0</v>
      </c>
      <c r="Q168" s="97">
        <f t="shared" si="583"/>
        <v>0</v>
      </c>
      <c r="R168" s="97">
        <f t="shared" si="583"/>
        <v>0</v>
      </c>
      <c r="S168" s="97">
        <f t="shared" ref="S168:T168" si="584">I168-M168</f>
        <v>0</v>
      </c>
      <c r="T168" s="97">
        <f t="shared" si="584"/>
        <v>0</v>
      </c>
      <c r="U168" s="97">
        <f t="shared" si="581"/>
        <v>0</v>
      </c>
      <c r="V168" s="427" t="e">
        <f t="shared" si="221"/>
        <v>#DIV/0!</v>
      </c>
      <c r="W168" s="96">
        <f t="shared" si="555"/>
        <v>0</v>
      </c>
      <c r="X168" s="96">
        <f t="shared" si="556"/>
        <v>0</v>
      </c>
      <c r="Y168" s="428">
        <f t="shared" si="412"/>
        <v>0</v>
      </c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6"/>
      <c r="BM168" s="99"/>
      <c r="BN168" s="100"/>
      <c r="BO168" s="100"/>
      <c r="BP168" s="100"/>
      <c r="BQ168" s="100"/>
    </row>
    <row r="169" spans="1:69" ht="15.75" customHeight="1">
      <c r="A169" s="253"/>
      <c r="B169" s="253"/>
      <c r="C169" s="183"/>
      <c r="D169" s="254" t="s">
        <v>420</v>
      </c>
      <c r="E169" s="255">
        <f t="shared" ref="E169:F169" si="585">E170+E177</f>
        <v>84944.8</v>
      </c>
      <c r="F169" s="255">
        <f t="shared" si="585"/>
        <v>90944.8</v>
      </c>
      <c r="G169" s="255"/>
      <c r="H169" s="255">
        <f t="shared" ref="H169:O169" si="586">H170+H177</f>
        <v>36000</v>
      </c>
      <c r="I169" s="255">
        <f t="shared" si="586"/>
        <v>0</v>
      </c>
      <c r="J169" s="255">
        <f t="shared" si="586"/>
        <v>250</v>
      </c>
      <c r="K169" s="255">
        <f t="shared" si="586"/>
        <v>0</v>
      </c>
      <c r="L169" s="255">
        <f t="shared" si="586"/>
        <v>0</v>
      </c>
      <c r="M169" s="255">
        <f t="shared" si="586"/>
        <v>0</v>
      </c>
      <c r="N169" s="255">
        <f t="shared" si="586"/>
        <v>250</v>
      </c>
      <c r="O169" s="255">
        <f t="shared" si="586"/>
        <v>0</v>
      </c>
      <c r="P169" s="255">
        <f t="shared" ref="P169:R169" si="587">IF(BJ169=0,SUM(Z169+AC169+AF169+AI169+AL169+AO169+AR169+AU169+AX169+BA169+BD169+BG169),BJ169)</f>
        <v>0</v>
      </c>
      <c r="Q169" s="255">
        <f t="shared" si="587"/>
        <v>250</v>
      </c>
      <c r="R169" s="255">
        <f t="shared" si="587"/>
        <v>0</v>
      </c>
      <c r="S169" s="255">
        <f t="shared" ref="S169:U169" si="588">S170+S177</f>
        <v>0</v>
      </c>
      <c r="T169" s="255">
        <f t="shared" si="588"/>
        <v>0</v>
      </c>
      <c r="U169" s="255">
        <f t="shared" si="588"/>
        <v>0</v>
      </c>
      <c r="V169" s="427" t="e">
        <f t="shared" si="221"/>
        <v>#DIV/0!</v>
      </c>
      <c r="W169" s="96">
        <f t="shared" si="555"/>
        <v>0</v>
      </c>
      <c r="X169" s="96">
        <f t="shared" si="556"/>
        <v>0</v>
      </c>
      <c r="Y169" s="428">
        <f t="shared" si="412"/>
        <v>84944.8</v>
      </c>
      <c r="Z169" s="255">
        <f t="shared" ref="Z169:BL169" si="589">Z170+Z177</f>
        <v>0</v>
      </c>
      <c r="AA169" s="255">
        <f t="shared" si="589"/>
        <v>250</v>
      </c>
      <c r="AB169" s="255">
        <f t="shared" si="589"/>
        <v>0</v>
      </c>
      <c r="AC169" s="255">
        <f t="shared" si="589"/>
        <v>0</v>
      </c>
      <c r="AD169" s="255">
        <f t="shared" si="589"/>
        <v>0</v>
      </c>
      <c r="AE169" s="255">
        <f t="shared" si="589"/>
        <v>0</v>
      </c>
      <c r="AF169" s="255">
        <f t="shared" si="589"/>
        <v>0</v>
      </c>
      <c r="AG169" s="255">
        <f t="shared" si="589"/>
        <v>0</v>
      </c>
      <c r="AH169" s="255">
        <f t="shared" si="589"/>
        <v>0</v>
      </c>
      <c r="AI169" s="255">
        <f t="shared" si="589"/>
        <v>0</v>
      </c>
      <c r="AJ169" s="255">
        <f t="shared" si="589"/>
        <v>0</v>
      </c>
      <c r="AK169" s="255">
        <f t="shared" si="589"/>
        <v>0</v>
      </c>
      <c r="AL169" s="255">
        <f t="shared" si="589"/>
        <v>0</v>
      </c>
      <c r="AM169" s="255">
        <f t="shared" si="589"/>
        <v>0</v>
      </c>
      <c r="AN169" s="255">
        <f t="shared" si="589"/>
        <v>0</v>
      </c>
      <c r="AO169" s="255">
        <f t="shared" si="589"/>
        <v>0</v>
      </c>
      <c r="AP169" s="255">
        <f t="shared" si="589"/>
        <v>0</v>
      </c>
      <c r="AQ169" s="255">
        <f t="shared" si="589"/>
        <v>0</v>
      </c>
      <c r="AR169" s="255">
        <f t="shared" si="589"/>
        <v>0</v>
      </c>
      <c r="AS169" s="255">
        <f t="shared" si="589"/>
        <v>0</v>
      </c>
      <c r="AT169" s="255">
        <f t="shared" si="589"/>
        <v>0</v>
      </c>
      <c r="AU169" s="255">
        <f t="shared" si="589"/>
        <v>0</v>
      </c>
      <c r="AV169" s="255">
        <f t="shared" si="589"/>
        <v>0</v>
      </c>
      <c r="AW169" s="255">
        <f t="shared" si="589"/>
        <v>0</v>
      </c>
      <c r="AX169" s="255">
        <f t="shared" si="589"/>
        <v>0</v>
      </c>
      <c r="AY169" s="255">
        <f t="shared" si="589"/>
        <v>0</v>
      </c>
      <c r="AZ169" s="255">
        <f t="shared" si="589"/>
        <v>0</v>
      </c>
      <c r="BA169" s="255">
        <f t="shared" si="589"/>
        <v>0</v>
      </c>
      <c r="BB169" s="255">
        <f t="shared" si="589"/>
        <v>0</v>
      </c>
      <c r="BC169" s="255">
        <f t="shared" si="589"/>
        <v>0</v>
      </c>
      <c r="BD169" s="255">
        <f t="shared" si="589"/>
        <v>0</v>
      </c>
      <c r="BE169" s="255">
        <f t="shared" si="589"/>
        <v>0</v>
      </c>
      <c r="BF169" s="255">
        <f t="shared" si="589"/>
        <v>0</v>
      </c>
      <c r="BG169" s="255">
        <f t="shared" si="589"/>
        <v>0</v>
      </c>
      <c r="BH169" s="255">
        <f t="shared" si="589"/>
        <v>0</v>
      </c>
      <c r="BI169" s="255">
        <f t="shared" si="589"/>
        <v>0</v>
      </c>
      <c r="BJ169" s="255">
        <f t="shared" si="589"/>
        <v>0</v>
      </c>
      <c r="BK169" s="255">
        <f t="shared" si="589"/>
        <v>0</v>
      </c>
      <c r="BL169" s="255">
        <f t="shared" si="589"/>
        <v>0</v>
      </c>
      <c r="BM169" s="157"/>
      <c r="BN169" s="158"/>
      <c r="BO169" s="158"/>
      <c r="BP169" s="158"/>
      <c r="BQ169" s="158"/>
    </row>
    <row r="170" spans="1:69" ht="15.75" customHeight="1">
      <c r="A170" s="240"/>
      <c r="B170" s="240"/>
      <c r="C170" s="229"/>
      <c r="D170" s="230" t="s">
        <v>421</v>
      </c>
      <c r="E170" s="231">
        <f t="shared" ref="E170:F170" si="590">SUM(E171:E176)</f>
        <v>84944.8</v>
      </c>
      <c r="F170" s="231">
        <f t="shared" si="590"/>
        <v>90944.8</v>
      </c>
      <c r="G170" s="440" t="s">
        <v>899</v>
      </c>
      <c r="H170" s="231">
        <f>SUM(H171:H175)</f>
        <v>0</v>
      </c>
      <c r="I170" s="231">
        <f t="shared" ref="I170:K170" si="591">SUM(I171:I176)</f>
        <v>0</v>
      </c>
      <c r="J170" s="231">
        <f t="shared" si="591"/>
        <v>250</v>
      </c>
      <c r="K170" s="231">
        <f t="shared" si="591"/>
        <v>0</v>
      </c>
      <c r="L170" s="231">
        <f t="shared" ref="L170:M170" si="592">SUM(L171:L175)</f>
        <v>0</v>
      </c>
      <c r="M170" s="231">
        <f t="shared" si="592"/>
        <v>0</v>
      </c>
      <c r="N170" s="231">
        <f>SUM(N171:N176)</f>
        <v>250</v>
      </c>
      <c r="O170" s="231">
        <f>SUM(O171:O175)</f>
        <v>0</v>
      </c>
      <c r="P170" s="232">
        <f t="shared" ref="P170:R170" si="593">IF(BJ170=0,SUM(Z170+AC170+AF170+AI170+AL170+AO170+AR170+AU170+AX170+BA170+BD170+BG170),BJ170)</f>
        <v>0</v>
      </c>
      <c r="Q170" s="232">
        <f t="shared" si="593"/>
        <v>250</v>
      </c>
      <c r="R170" s="232">
        <f t="shared" si="593"/>
        <v>0</v>
      </c>
      <c r="S170" s="231">
        <f t="shared" ref="S170:T170" si="594">SUM(S171:S176)</f>
        <v>0</v>
      </c>
      <c r="T170" s="231">
        <f t="shared" si="594"/>
        <v>0</v>
      </c>
      <c r="U170" s="231">
        <f>SUM(U171:U175)</f>
        <v>0</v>
      </c>
      <c r="V170" s="427" t="e">
        <f t="shared" si="221"/>
        <v>#DIV/0!</v>
      </c>
      <c r="W170" s="96">
        <f t="shared" si="555"/>
        <v>0</v>
      </c>
      <c r="X170" s="96">
        <f t="shared" si="556"/>
        <v>0</v>
      </c>
      <c r="Y170" s="428">
        <f t="shared" si="412"/>
        <v>84944.8</v>
      </c>
      <c r="Z170" s="231">
        <f>SUM(Z171:Z175)</f>
        <v>0</v>
      </c>
      <c r="AA170" s="231">
        <f>SUM(AA171:AA176)</f>
        <v>250</v>
      </c>
      <c r="AB170" s="231">
        <f t="shared" ref="AB170:AF170" si="595">SUM(AB171:AB175)</f>
        <v>0</v>
      </c>
      <c r="AC170" s="231">
        <f t="shared" si="595"/>
        <v>0</v>
      </c>
      <c r="AD170" s="231">
        <f t="shared" si="595"/>
        <v>0</v>
      </c>
      <c r="AE170" s="231">
        <f t="shared" si="595"/>
        <v>0</v>
      </c>
      <c r="AF170" s="231">
        <f t="shared" si="595"/>
        <v>0</v>
      </c>
      <c r="AG170" s="231">
        <f>SUM(AG171:AG176)</f>
        <v>0</v>
      </c>
      <c r="AH170" s="231">
        <f t="shared" ref="AH170:BL170" si="596">SUM(AH171:AH175)</f>
        <v>0</v>
      </c>
      <c r="AI170" s="231">
        <f t="shared" si="596"/>
        <v>0</v>
      </c>
      <c r="AJ170" s="231">
        <f t="shared" si="596"/>
        <v>0</v>
      </c>
      <c r="AK170" s="231">
        <f t="shared" si="596"/>
        <v>0</v>
      </c>
      <c r="AL170" s="231">
        <f t="shared" si="596"/>
        <v>0</v>
      </c>
      <c r="AM170" s="231">
        <f t="shared" si="596"/>
        <v>0</v>
      </c>
      <c r="AN170" s="231">
        <f t="shared" si="596"/>
        <v>0</v>
      </c>
      <c r="AO170" s="231">
        <f t="shared" si="596"/>
        <v>0</v>
      </c>
      <c r="AP170" s="231">
        <f t="shared" si="596"/>
        <v>0</v>
      </c>
      <c r="AQ170" s="231">
        <f t="shared" si="596"/>
        <v>0</v>
      </c>
      <c r="AR170" s="231">
        <f t="shared" si="596"/>
        <v>0</v>
      </c>
      <c r="AS170" s="231">
        <f t="shared" si="596"/>
        <v>0</v>
      </c>
      <c r="AT170" s="231">
        <f t="shared" si="596"/>
        <v>0</v>
      </c>
      <c r="AU170" s="231">
        <f t="shared" si="596"/>
        <v>0</v>
      </c>
      <c r="AV170" s="231">
        <f t="shared" si="596"/>
        <v>0</v>
      </c>
      <c r="AW170" s="231">
        <f t="shared" si="596"/>
        <v>0</v>
      </c>
      <c r="AX170" s="231">
        <f t="shared" si="596"/>
        <v>0</v>
      </c>
      <c r="AY170" s="231">
        <f t="shared" si="596"/>
        <v>0</v>
      </c>
      <c r="AZ170" s="231">
        <f t="shared" si="596"/>
        <v>0</v>
      </c>
      <c r="BA170" s="231">
        <f t="shared" si="596"/>
        <v>0</v>
      </c>
      <c r="BB170" s="231">
        <f t="shared" si="596"/>
        <v>0</v>
      </c>
      <c r="BC170" s="231">
        <f t="shared" si="596"/>
        <v>0</v>
      </c>
      <c r="BD170" s="231">
        <f t="shared" si="596"/>
        <v>0</v>
      </c>
      <c r="BE170" s="231">
        <f t="shared" si="596"/>
        <v>0</v>
      </c>
      <c r="BF170" s="231">
        <f t="shared" si="596"/>
        <v>0</v>
      </c>
      <c r="BG170" s="231">
        <f t="shared" si="596"/>
        <v>0</v>
      </c>
      <c r="BH170" s="231">
        <f t="shared" si="596"/>
        <v>0</v>
      </c>
      <c r="BI170" s="231">
        <f t="shared" si="596"/>
        <v>0</v>
      </c>
      <c r="BJ170" s="231">
        <f t="shared" si="596"/>
        <v>0</v>
      </c>
      <c r="BK170" s="231">
        <f t="shared" si="596"/>
        <v>0</v>
      </c>
      <c r="BL170" s="231">
        <f t="shared" si="596"/>
        <v>0</v>
      </c>
      <c r="BM170" s="233"/>
      <c r="BN170" s="234"/>
      <c r="BO170" s="234"/>
      <c r="BP170" s="234"/>
      <c r="BQ170" s="234"/>
    </row>
    <row r="171" spans="1:69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432">
        <f t="shared" ref="F171:F172" si="597">E171</f>
        <v>14944.8</v>
      </c>
      <c r="G171" s="438">
        <v>6498.34</v>
      </c>
      <c r="H171" s="166"/>
      <c r="I171" s="95"/>
      <c r="J171" s="95"/>
      <c r="K171" s="95"/>
      <c r="L171" s="263"/>
      <c r="M171" s="97"/>
      <c r="N171" s="97">
        <f t="shared" ref="N171:N172" si="598">AA171+AD171+AG171+AJ171+AM171+AP171+AS171+AV171+AY171+BB171+BE171+BH171</f>
        <v>0</v>
      </c>
      <c r="O171" s="97"/>
      <c r="P171" s="82"/>
      <c r="Q171" s="82"/>
      <c r="R171" s="82"/>
      <c r="S171" s="97"/>
      <c r="T171" s="97"/>
      <c r="U171" s="97"/>
      <c r="V171" s="427" t="e">
        <f t="shared" si="221"/>
        <v>#DIV/0!</v>
      </c>
      <c r="W171" s="96">
        <f t="shared" si="555"/>
        <v>0</v>
      </c>
      <c r="X171" s="96">
        <f t="shared" si="556"/>
        <v>0</v>
      </c>
      <c r="Y171" s="428">
        <f t="shared" si="412"/>
        <v>14944.8</v>
      </c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6"/>
      <c r="BM171" s="99"/>
      <c r="BN171" s="100"/>
      <c r="BO171" s="100"/>
      <c r="BP171" s="100"/>
      <c r="BQ171" s="100"/>
    </row>
    <row r="172" spans="1:69" ht="15.75" customHeight="1">
      <c r="A172" s="89"/>
      <c r="B172" s="89"/>
      <c r="C172" s="90" t="s">
        <v>357</v>
      </c>
      <c r="D172" s="91" t="s">
        <v>423</v>
      </c>
      <c r="E172" s="166">
        <v>20000</v>
      </c>
      <c r="F172" s="432">
        <f t="shared" si="597"/>
        <v>20000</v>
      </c>
      <c r="G172" s="438">
        <v>16800</v>
      </c>
      <c r="H172" s="166"/>
      <c r="I172" s="95">
        <v>0</v>
      </c>
      <c r="J172" s="95"/>
      <c r="K172" s="95"/>
      <c r="L172" s="263"/>
      <c r="M172" s="97"/>
      <c r="N172" s="97">
        <f t="shared" si="598"/>
        <v>0</v>
      </c>
      <c r="O172" s="97"/>
      <c r="P172" s="82"/>
      <c r="Q172" s="82"/>
      <c r="R172" s="82"/>
      <c r="S172" s="97"/>
      <c r="T172" s="97"/>
      <c r="U172" s="97"/>
      <c r="V172" s="427" t="e">
        <f t="shared" si="221"/>
        <v>#DIV/0!</v>
      </c>
      <c r="W172" s="96">
        <f t="shared" si="555"/>
        <v>0</v>
      </c>
      <c r="X172" s="96">
        <f t="shared" si="556"/>
        <v>0</v>
      </c>
      <c r="Y172" s="428">
        <f t="shared" si="412"/>
        <v>20000</v>
      </c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9"/>
      <c r="BN172" s="100"/>
      <c r="BO172" s="100"/>
      <c r="BP172" s="100"/>
      <c r="BQ172" s="100"/>
    </row>
    <row r="173" spans="1:69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162">
        <f>-(E173*14.5%)+E173</f>
        <v>0</v>
      </c>
      <c r="G173" s="162"/>
      <c r="H173" s="166"/>
      <c r="I173" s="95"/>
      <c r="J173" s="95"/>
      <c r="K173" s="95"/>
      <c r="L173" s="202"/>
      <c r="M173" s="97">
        <f t="shared" ref="M173:O173" si="599">Z173+AC173+AF173+AI173+AL173+AO173+AR173+AU173+AX173+BA173+BD173+BG173</f>
        <v>0</v>
      </c>
      <c r="N173" s="97">
        <f t="shared" si="599"/>
        <v>0</v>
      </c>
      <c r="O173" s="97">
        <f t="shared" si="599"/>
        <v>0</v>
      </c>
      <c r="P173" s="97">
        <f t="shared" ref="P173:R173" si="600">IF(BJ173=0,SUM(Z173+AC173+AF173+AI173+AL173+AO173+AR173+AU173+AX173+BA173+BD173+BG173),BJ173)</f>
        <v>0</v>
      </c>
      <c r="Q173" s="97">
        <f t="shared" si="600"/>
        <v>0</v>
      </c>
      <c r="R173" s="97">
        <f t="shared" si="600"/>
        <v>0</v>
      </c>
      <c r="S173" s="97">
        <f t="shared" ref="S173:T173" si="601">I173-M173</f>
        <v>0</v>
      </c>
      <c r="T173" s="97">
        <f t="shared" si="601"/>
        <v>0</v>
      </c>
      <c r="U173" s="97">
        <f t="shared" ref="U173:U176" si="602">L173-O173</f>
        <v>0</v>
      </c>
      <c r="V173" s="427" t="e">
        <f t="shared" si="221"/>
        <v>#DIV/0!</v>
      </c>
      <c r="W173" s="96">
        <f t="shared" si="555"/>
        <v>0</v>
      </c>
      <c r="X173" s="96">
        <f t="shared" si="556"/>
        <v>0</v>
      </c>
      <c r="Y173" s="428">
        <f t="shared" si="412"/>
        <v>0</v>
      </c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103">
        <v>0</v>
      </c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6"/>
      <c r="BM173" s="99"/>
      <c r="BN173" s="100"/>
      <c r="BO173" s="100"/>
      <c r="BP173" s="100"/>
      <c r="BQ173" s="100"/>
    </row>
    <row r="174" spans="1:69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162">
        <f>E174</f>
        <v>44000</v>
      </c>
      <c r="G174" s="162"/>
      <c r="H174" s="166"/>
      <c r="I174" s="139">
        <v>0</v>
      </c>
      <c r="J174" s="95"/>
      <c r="K174" s="95"/>
      <c r="L174" s="202"/>
      <c r="M174" s="97">
        <f t="shared" ref="M174:O174" si="603">Z174+AC174+AF174+AI174+AL174+AO174+AR174+AU174+AX174+BA174+BD174+BG174</f>
        <v>0</v>
      </c>
      <c r="N174" s="97">
        <f t="shared" si="603"/>
        <v>0</v>
      </c>
      <c r="O174" s="97">
        <f t="shared" si="603"/>
        <v>0</v>
      </c>
      <c r="P174" s="97">
        <f t="shared" ref="P174:R174" si="604">IF(BJ174=0,SUM(Z174+AC174+AF174+AI174+AL174+AO174+AR174+AU174+AX174+BA174+BD174+BG174),BJ174)</f>
        <v>0</v>
      </c>
      <c r="Q174" s="97">
        <f t="shared" si="604"/>
        <v>0</v>
      </c>
      <c r="R174" s="97">
        <f t="shared" si="604"/>
        <v>0</v>
      </c>
      <c r="S174" s="138">
        <f t="shared" ref="S174:T174" si="605">I174-M174</f>
        <v>0</v>
      </c>
      <c r="T174" s="97">
        <f t="shared" si="605"/>
        <v>0</v>
      </c>
      <c r="U174" s="97">
        <f t="shared" si="602"/>
        <v>0</v>
      </c>
      <c r="V174" s="427" t="e">
        <f t="shared" si="221"/>
        <v>#DIV/0!</v>
      </c>
      <c r="W174" s="96">
        <f t="shared" si="555"/>
        <v>0</v>
      </c>
      <c r="X174" s="96">
        <f t="shared" si="556"/>
        <v>0</v>
      </c>
      <c r="Y174" s="428">
        <f t="shared" si="412"/>
        <v>44000</v>
      </c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264">
        <v>0</v>
      </c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129"/>
      <c r="BH174" s="96"/>
      <c r="BI174" s="96"/>
      <c r="BJ174" s="96"/>
      <c r="BK174" s="96"/>
      <c r="BL174" s="96"/>
      <c r="BM174" s="99"/>
      <c r="BN174" s="100"/>
      <c r="BO174" s="100"/>
      <c r="BP174" s="100"/>
      <c r="BQ174" s="100"/>
    </row>
    <row r="175" spans="1:69" ht="15.75" customHeight="1">
      <c r="A175" s="89"/>
      <c r="B175" s="89"/>
      <c r="C175" s="101" t="s">
        <v>359</v>
      </c>
      <c r="D175" s="91" t="s">
        <v>160</v>
      </c>
      <c r="E175" s="435">
        <v>6000</v>
      </c>
      <c r="F175" s="441">
        <v>12000</v>
      </c>
      <c r="G175" s="162"/>
      <c r="H175" s="166"/>
      <c r="I175" s="95">
        <v>0</v>
      </c>
      <c r="J175" s="95"/>
      <c r="K175" s="95"/>
      <c r="L175" s="202"/>
      <c r="M175" s="97">
        <f t="shared" ref="M175:O175" si="606">Z175+AC175+AF175+AI175+AL175+AO175+AR175+AU175+AX175+BA175+BD175+BG175</f>
        <v>0</v>
      </c>
      <c r="N175" s="97">
        <f t="shared" si="606"/>
        <v>0</v>
      </c>
      <c r="O175" s="97">
        <f t="shared" si="606"/>
        <v>0</v>
      </c>
      <c r="P175" s="97">
        <f t="shared" ref="P175:R175" si="607">IF(BJ175=0,SUM(Z175+AC175+AF175+AI175+AL175+AO175+AR175+AU175+AX175+BA175+BD175+BG175),BJ175)</f>
        <v>0</v>
      </c>
      <c r="Q175" s="97">
        <f t="shared" si="607"/>
        <v>0</v>
      </c>
      <c r="R175" s="97">
        <f t="shared" si="607"/>
        <v>0</v>
      </c>
      <c r="S175" s="97">
        <f t="shared" ref="S175:T175" si="608">I175-M175</f>
        <v>0</v>
      </c>
      <c r="T175" s="97">
        <f t="shared" si="608"/>
        <v>0</v>
      </c>
      <c r="U175" s="97">
        <f t="shared" si="602"/>
        <v>0</v>
      </c>
      <c r="V175" s="427" t="e">
        <f t="shared" si="221"/>
        <v>#DIV/0!</v>
      </c>
      <c r="W175" s="96">
        <f t="shared" si="555"/>
        <v>0</v>
      </c>
      <c r="X175" s="96">
        <f t="shared" si="556"/>
        <v>0</v>
      </c>
      <c r="Y175" s="428">
        <f t="shared" si="412"/>
        <v>6000</v>
      </c>
      <c r="Z175" s="96"/>
      <c r="AA175" s="96"/>
      <c r="AB175" s="96"/>
      <c r="AC175" s="103">
        <v>0</v>
      </c>
      <c r="AD175" s="96"/>
      <c r="AE175" s="96"/>
      <c r="AF175" s="96"/>
      <c r="AG175" s="96"/>
      <c r="AH175" s="96"/>
      <c r="AI175" s="103">
        <v>0</v>
      </c>
      <c r="AJ175" s="96"/>
      <c r="AK175" s="96"/>
      <c r="AL175" s="103">
        <v>0</v>
      </c>
      <c r="AM175" s="96"/>
      <c r="AN175" s="96"/>
      <c r="AO175" s="103">
        <v>0</v>
      </c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6"/>
      <c r="BM175" s="99"/>
      <c r="BN175" s="100"/>
      <c r="BO175" s="100"/>
      <c r="BP175" s="100"/>
      <c r="BQ175" s="100"/>
    </row>
    <row r="176" spans="1:69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162">
        <f>-(E176*14.5%)+E176</f>
        <v>0</v>
      </c>
      <c r="G176" s="162"/>
      <c r="H176" s="166"/>
      <c r="I176" s="95"/>
      <c r="J176" s="146">
        <v>250</v>
      </c>
      <c r="K176" s="146"/>
      <c r="L176" s="202"/>
      <c r="M176" s="97">
        <f t="shared" ref="M176:O176" si="609">Z176+AC176+AF176+AI176+AL176+AO176+AR176+AU176+AX176+BA176+BD176+BG176</f>
        <v>0</v>
      </c>
      <c r="N176" s="97">
        <f t="shared" si="609"/>
        <v>250</v>
      </c>
      <c r="O176" s="97">
        <f t="shared" si="609"/>
        <v>0</v>
      </c>
      <c r="P176" s="97">
        <f t="shared" ref="P176:R176" si="610">IF(BJ176=0,SUM(Z176+AC176+AF176+AI176+AL176+AO176+AR176+AU176+AX176+BA176+BD176+BG176),BJ176)</f>
        <v>0</v>
      </c>
      <c r="Q176" s="97">
        <f t="shared" si="610"/>
        <v>250</v>
      </c>
      <c r="R176" s="97">
        <f t="shared" si="610"/>
        <v>0</v>
      </c>
      <c r="S176" s="97">
        <f>I176-M176</f>
        <v>0</v>
      </c>
      <c r="T176" s="97">
        <f>J176-N176-K176</f>
        <v>0</v>
      </c>
      <c r="U176" s="97">
        <f t="shared" si="602"/>
        <v>0</v>
      </c>
      <c r="V176" s="427" t="e">
        <f t="shared" si="221"/>
        <v>#DIV/0!</v>
      </c>
      <c r="W176" s="96">
        <f t="shared" si="555"/>
        <v>0</v>
      </c>
      <c r="X176" s="96">
        <f t="shared" si="556"/>
        <v>0</v>
      </c>
      <c r="Y176" s="428">
        <f t="shared" si="412"/>
        <v>0</v>
      </c>
      <c r="Z176" s="96"/>
      <c r="AA176" s="103">
        <v>250</v>
      </c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6"/>
      <c r="BM176" s="99"/>
      <c r="BN176" s="100"/>
      <c r="BO176" s="100"/>
      <c r="BP176" s="100"/>
      <c r="BQ176" s="100"/>
    </row>
    <row r="177" spans="1:69" ht="15.75" customHeight="1">
      <c r="A177" s="240"/>
      <c r="B177" s="240"/>
      <c r="C177" s="229"/>
      <c r="D177" s="230" t="s">
        <v>427</v>
      </c>
      <c r="E177" s="231">
        <f>SUM(E178:E183)</f>
        <v>0</v>
      </c>
      <c r="F177" s="231"/>
      <c r="G177" s="231"/>
      <c r="H177" s="231">
        <f t="shared" ref="H177:O177" si="611">SUM(H178:H183)</f>
        <v>36000</v>
      </c>
      <c r="I177" s="231">
        <f t="shared" si="611"/>
        <v>0</v>
      </c>
      <c r="J177" s="231">
        <f t="shared" si="611"/>
        <v>0</v>
      </c>
      <c r="K177" s="231">
        <f t="shared" si="611"/>
        <v>0</v>
      </c>
      <c r="L177" s="231">
        <f t="shared" si="611"/>
        <v>0</v>
      </c>
      <c r="M177" s="231">
        <f t="shared" si="611"/>
        <v>0</v>
      </c>
      <c r="N177" s="231">
        <f t="shared" si="611"/>
        <v>0</v>
      </c>
      <c r="O177" s="231">
        <f t="shared" si="611"/>
        <v>0</v>
      </c>
      <c r="P177" s="258">
        <f t="shared" ref="P177:R177" si="612">IF(BJ177=0,SUM(Z177+AC177+AF177+AI177+AL177+AO177+AR177+AU177+AX177+BA177+BD177+BG177),BJ177)</f>
        <v>0</v>
      </c>
      <c r="Q177" s="258">
        <f t="shared" si="612"/>
        <v>0</v>
      </c>
      <c r="R177" s="258">
        <f t="shared" si="612"/>
        <v>0</v>
      </c>
      <c r="S177" s="231">
        <f t="shared" ref="S177:U177" si="613">SUM(S178:S183)</f>
        <v>0</v>
      </c>
      <c r="T177" s="231">
        <f t="shared" si="613"/>
        <v>0</v>
      </c>
      <c r="U177" s="231">
        <f t="shared" si="613"/>
        <v>0</v>
      </c>
      <c r="V177" s="427" t="e">
        <f t="shared" si="221"/>
        <v>#DIV/0!</v>
      </c>
      <c r="W177" s="96">
        <f t="shared" si="555"/>
        <v>0</v>
      </c>
      <c r="X177" s="96">
        <f t="shared" si="556"/>
        <v>0</v>
      </c>
      <c r="Y177" s="428">
        <f t="shared" si="412"/>
        <v>0</v>
      </c>
      <c r="Z177" s="231">
        <f t="shared" ref="Z177:BL177" si="614">SUM(Z178:Z183)</f>
        <v>0</v>
      </c>
      <c r="AA177" s="231">
        <f t="shared" si="614"/>
        <v>0</v>
      </c>
      <c r="AB177" s="231">
        <f t="shared" si="614"/>
        <v>0</v>
      </c>
      <c r="AC177" s="231">
        <f t="shared" si="614"/>
        <v>0</v>
      </c>
      <c r="AD177" s="231">
        <f t="shared" si="614"/>
        <v>0</v>
      </c>
      <c r="AE177" s="231">
        <f t="shared" si="614"/>
        <v>0</v>
      </c>
      <c r="AF177" s="231">
        <f t="shared" si="614"/>
        <v>0</v>
      </c>
      <c r="AG177" s="231">
        <f t="shared" si="614"/>
        <v>0</v>
      </c>
      <c r="AH177" s="231">
        <f t="shared" si="614"/>
        <v>0</v>
      </c>
      <c r="AI177" s="231">
        <f t="shared" si="614"/>
        <v>0</v>
      </c>
      <c r="AJ177" s="231">
        <f t="shared" si="614"/>
        <v>0</v>
      </c>
      <c r="AK177" s="231">
        <f t="shared" si="614"/>
        <v>0</v>
      </c>
      <c r="AL177" s="231">
        <f t="shared" si="614"/>
        <v>0</v>
      </c>
      <c r="AM177" s="231">
        <f t="shared" si="614"/>
        <v>0</v>
      </c>
      <c r="AN177" s="231">
        <f t="shared" si="614"/>
        <v>0</v>
      </c>
      <c r="AO177" s="231">
        <f t="shared" si="614"/>
        <v>0</v>
      </c>
      <c r="AP177" s="231">
        <f t="shared" si="614"/>
        <v>0</v>
      </c>
      <c r="AQ177" s="231">
        <f t="shared" si="614"/>
        <v>0</v>
      </c>
      <c r="AR177" s="231">
        <f t="shared" si="614"/>
        <v>0</v>
      </c>
      <c r="AS177" s="231">
        <f t="shared" si="614"/>
        <v>0</v>
      </c>
      <c r="AT177" s="231">
        <f t="shared" si="614"/>
        <v>0</v>
      </c>
      <c r="AU177" s="231">
        <f t="shared" si="614"/>
        <v>0</v>
      </c>
      <c r="AV177" s="231">
        <f t="shared" si="614"/>
        <v>0</v>
      </c>
      <c r="AW177" s="231">
        <f t="shared" si="614"/>
        <v>0</v>
      </c>
      <c r="AX177" s="231">
        <f t="shared" si="614"/>
        <v>0</v>
      </c>
      <c r="AY177" s="231">
        <f t="shared" si="614"/>
        <v>0</v>
      </c>
      <c r="AZ177" s="231">
        <f t="shared" si="614"/>
        <v>0</v>
      </c>
      <c r="BA177" s="231">
        <f t="shared" si="614"/>
        <v>0</v>
      </c>
      <c r="BB177" s="231">
        <f t="shared" si="614"/>
        <v>0</v>
      </c>
      <c r="BC177" s="231">
        <f t="shared" si="614"/>
        <v>0</v>
      </c>
      <c r="BD177" s="231">
        <f t="shared" si="614"/>
        <v>0</v>
      </c>
      <c r="BE177" s="231">
        <f t="shared" si="614"/>
        <v>0</v>
      </c>
      <c r="BF177" s="231">
        <f t="shared" si="614"/>
        <v>0</v>
      </c>
      <c r="BG177" s="231">
        <f t="shared" si="614"/>
        <v>0</v>
      </c>
      <c r="BH177" s="231">
        <f t="shared" si="614"/>
        <v>0</v>
      </c>
      <c r="BI177" s="231">
        <f t="shared" si="614"/>
        <v>0</v>
      </c>
      <c r="BJ177" s="231">
        <f t="shared" si="614"/>
        <v>0</v>
      </c>
      <c r="BK177" s="231">
        <f t="shared" si="614"/>
        <v>0</v>
      </c>
      <c r="BL177" s="231">
        <f t="shared" si="614"/>
        <v>0</v>
      </c>
      <c r="BM177" s="233"/>
      <c r="BN177" s="234"/>
      <c r="BO177" s="234"/>
      <c r="BP177" s="234"/>
      <c r="BQ177" s="234"/>
    </row>
    <row r="178" spans="1:69" ht="15.75" customHeight="1">
      <c r="A178" s="89"/>
      <c r="B178" s="136"/>
      <c r="C178" s="90" t="s">
        <v>165</v>
      </c>
      <c r="D178" s="144" t="s">
        <v>428</v>
      </c>
      <c r="E178" s="166"/>
      <c r="F178" s="166"/>
      <c r="G178" s="166"/>
      <c r="H178" s="166"/>
      <c r="I178" s="95"/>
      <c r="J178" s="146">
        <v>0</v>
      </c>
      <c r="K178" s="146"/>
      <c r="L178" s="202"/>
      <c r="M178" s="97">
        <f t="shared" ref="M178:O178" si="615">Z178+AC178+AF178+AI178+AL178+AO178+AR178+AU178+AX178+BA178+BD178+BG178</f>
        <v>0</v>
      </c>
      <c r="N178" s="97">
        <f t="shared" si="615"/>
        <v>0</v>
      </c>
      <c r="O178" s="97">
        <f t="shared" si="615"/>
        <v>0</v>
      </c>
      <c r="P178" s="97">
        <f t="shared" ref="P178:R178" si="616">IF(BJ178=0,SUM(Z178+AC178+AF178+AI178+AL178+AO178+AR178+AU178+AX178+BA178+BD178+BG178),BJ178)</f>
        <v>0</v>
      </c>
      <c r="Q178" s="97">
        <f t="shared" si="616"/>
        <v>0</v>
      </c>
      <c r="R178" s="97">
        <f t="shared" si="616"/>
        <v>0</v>
      </c>
      <c r="S178" s="97">
        <f t="shared" ref="S178:T178" si="617">I178-M178</f>
        <v>0</v>
      </c>
      <c r="T178" s="97">
        <f t="shared" si="617"/>
        <v>0</v>
      </c>
      <c r="U178" s="97">
        <f t="shared" ref="U178:U183" si="618">L178-O178</f>
        <v>0</v>
      </c>
      <c r="V178" s="427" t="e">
        <f t="shared" si="221"/>
        <v>#DIV/0!</v>
      </c>
      <c r="W178" s="96">
        <f t="shared" si="555"/>
        <v>0</v>
      </c>
      <c r="X178" s="96">
        <f t="shared" si="556"/>
        <v>0</v>
      </c>
      <c r="Y178" s="428">
        <f t="shared" si="412"/>
        <v>0</v>
      </c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103">
        <v>0</v>
      </c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9"/>
      <c r="BN178" s="100"/>
      <c r="BO178" s="100"/>
      <c r="BP178" s="100"/>
      <c r="BQ178" s="100"/>
    </row>
    <row r="179" spans="1:69" ht="15.75" customHeight="1">
      <c r="A179" s="89"/>
      <c r="B179" s="89"/>
      <c r="C179" s="90" t="s">
        <v>165</v>
      </c>
      <c r="D179" s="144" t="s">
        <v>429</v>
      </c>
      <c r="E179" s="166"/>
      <c r="F179" s="166"/>
      <c r="G179" s="166"/>
      <c r="H179" s="166"/>
      <c r="I179" s="95"/>
      <c r="J179" s="95"/>
      <c r="K179" s="95"/>
      <c r="L179" s="202"/>
      <c r="M179" s="97">
        <f t="shared" ref="M179:O179" si="619">Z179+AC179+AF179+AI179+AL179+AO179+AR179+AU179+AX179+BA179+BD179+BG179</f>
        <v>0</v>
      </c>
      <c r="N179" s="97">
        <f t="shared" si="619"/>
        <v>0</v>
      </c>
      <c r="O179" s="97">
        <f t="shared" si="619"/>
        <v>0</v>
      </c>
      <c r="P179" s="97">
        <f t="shared" ref="P179:R179" si="620">IF(BJ179=0,SUM(Z179+AC179+AF179+AI179+AL179+AO179+AR179+AU179+AX179+BA179+BD179+BG179),BJ179)</f>
        <v>0</v>
      </c>
      <c r="Q179" s="97">
        <f t="shared" si="620"/>
        <v>0</v>
      </c>
      <c r="R179" s="97">
        <f t="shared" si="620"/>
        <v>0</v>
      </c>
      <c r="S179" s="97">
        <f t="shared" ref="S179:T179" si="621">I179-M179</f>
        <v>0</v>
      </c>
      <c r="T179" s="97">
        <f t="shared" si="621"/>
        <v>0</v>
      </c>
      <c r="U179" s="97">
        <f t="shared" si="618"/>
        <v>0</v>
      </c>
      <c r="V179" s="427" t="e">
        <f t="shared" si="221"/>
        <v>#DIV/0!</v>
      </c>
      <c r="W179" s="96">
        <f t="shared" si="555"/>
        <v>0</v>
      </c>
      <c r="X179" s="96">
        <f t="shared" si="556"/>
        <v>0</v>
      </c>
      <c r="Y179" s="428">
        <f t="shared" si="412"/>
        <v>0</v>
      </c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9"/>
      <c r="BN179" s="100"/>
      <c r="BO179" s="100"/>
      <c r="BP179" s="100"/>
      <c r="BQ179" s="100"/>
    </row>
    <row r="180" spans="1:69" ht="15.75" customHeight="1">
      <c r="A180" s="89"/>
      <c r="B180" s="89"/>
      <c r="C180" s="101" t="s">
        <v>275</v>
      </c>
      <c r="D180" s="265" t="s">
        <v>430</v>
      </c>
      <c r="E180" s="166"/>
      <c r="F180" s="166"/>
      <c r="G180" s="166"/>
      <c r="H180" s="195">
        <v>1000</v>
      </c>
      <c r="I180" s="95"/>
      <c r="J180" s="95"/>
      <c r="K180" s="95"/>
      <c r="L180" s="202"/>
      <c r="M180" s="97">
        <f t="shared" ref="M180:O180" si="622">Z180+AC180+AF180+AI180+AL180+AO180+AR180+AU180+AX180+BA180+BD180+BG180</f>
        <v>0</v>
      </c>
      <c r="N180" s="97">
        <f t="shared" si="622"/>
        <v>0</v>
      </c>
      <c r="O180" s="97">
        <f t="shared" si="622"/>
        <v>0</v>
      </c>
      <c r="P180" s="97">
        <f t="shared" ref="P180:R180" si="623">IF(BJ180=0,SUM(Z180+AC180+AF180+AI180+AL180+AO180+AR180+AU180+AX180+BA180+BD180+BG180),BJ180)</f>
        <v>0</v>
      </c>
      <c r="Q180" s="97">
        <f t="shared" si="623"/>
        <v>0</v>
      </c>
      <c r="R180" s="97">
        <f t="shared" si="623"/>
        <v>0</v>
      </c>
      <c r="S180" s="97">
        <f t="shared" ref="S180:T180" si="624">I180-M180</f>
        <v>0</v>
      </c>
      <c r="T180" s="97">
        <f t="shared" si="624"/>
        <v>0</v>
      </c>
      <c r="U180" s="97">
        <f t="shared" si="618"/>
        <v>0</v>
      </c>
      <c r="V180" s="427" t="e">
        <f t="shared" si="221"/>
        <v>#DIV/0!</v>
      </c>
      <c r="W180" s="96">
        <f t="shared" si="555"/>
        <v>0</v>
      </c>
      <c r="X180" s="96">
        <f t="shared" si="556"/>
        <v>0</v>
      </c>
      <c r="Y180" s="428">
        <f t="shared" si="412"/>
        <v>0</v>
      </c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6"/>
      <c r="BM180" s="99"/>
      <c r="BN180" s="100"/>
      <c r="BO180" s="100"/>
      <c r="BP180" s="100"/>
      <c r="BQ180" s="100"/>
    </row>
    <row r="181" spans="1:69" ht="15.75" customHeight="1">
      <c r="A181" s="89"/>
      <c r="B181" s="89"/>
      <c r="C181" s="101" t="s">
        <v>431</v>
      </c>
      <c r="D181" s="265" t="s">
        <v>430</v>
      </c>
      <c r="E181" s="166"/>
      <c r="F181" s="166"/>
      <c r="G181" s="166"/>
      <c r="H181" s="195">
        <v>18000</v>
      </c>
      <c r="I181" s="95"/>
      <c r="J181" s="95"/>
      <c r="K181" s="95"/>
      <c r="L181" s="202"/>
      <c r="M181" s="97">
        <f t="shared" ref="M181:O181" si="625">Z181+AC181+AF181+AI181+AL181+AO181+AR181+AU181+AX181+BA181+BD181+BG181</f>
        <v>0</v>
      </c>
      <c r="N181" s="97">
        <f t="shared" si="625"/>
        <v>0</v>
      </c>
      <c r="O181" s="97">
        <f t="shared" si="625"/>
        <v>0</v>
      </c>
      <c r="P181" s="97">
        <f t="shared" ref="P181:R181" si="626">IF(BJ181=0,SUM(Z181+AC181+AF181+AI181+AL181+AO181+AR181+AU181+AX181+BA181+BD181+BG181),BJ181)</f>
        <v>0</v>
      </c>
      <c r="Q181" s="97">
        <f t="shared" si="626"/>
        <v>0</v>
      </c>
      <c r="R181" s="97">
        <f t="shared" si="626"/>
        <v>0</v>
      </c>
      <c r="S181" s="97">
        <f t="shared" ref="S181:T181" si="627">I181-M181</f>
        <v>0</v>
      </c>
      <c r="T181" s="97">
        <f t="shared" si="627"/>
        <v>0</v>
      </c>
      <c r="U181" s="97">
        <f t="shared" si="618"/>
        <v>0</v>
      </c>
      <c r="V181" s="427" t="e">
        <f t="shared" si="221"/>
        <v>#DIV/0!</v>
      </c>
      <c r="W181" s="96">
        <f t="shared" si="555"/>
        <v>0</v>
      </c>
      <c r="X181" s="96">
        <f t="shared" si="556"/>
        <v>0</v>
      </c>
      <c r="Y181" s="428">
        <f t="shared" si="412"/>
        <v>0</v>
      </c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6"/>
      <c r="BM181" s="99"/>
      <c r="BN181" s="100"/>
      <c r="BO181" s="100"/>
      <c r="BP181" s="100"/>
      <c r="BQ181" s="100"/>
    </row>
    <row r="182" spans="1:69" ht="15.75" customHeight="1">
      <c r="A182" s="89"/>
      <c r="B182" s="89"/>
      <c r="C182" s="101" t="s">
        <v>255</v>
      </c>
      <c r="D182" s="265" t="s">
        <v>430</v>
      </c>
      <c r="E182" s="166"/>
      <c r="F182" s="166"/>
      <c r="G182" s="166"/>
      <c r="H182" s="195">
        <v>17000</v>
      </c>
      <c r="I182" s="95"/>
      <c r="J182" s="95"/>
      <c r="K182" s="95"/>
      <c r="L182" s="202"/>
      <c r="M182" s="97">
        <f t="shared" ref="M182:O182" si="628">Z182+AC182+AF182+AI182+AL182+AO182+AR182+AU182+AX182+BA182+BD182+BG182</f>
        <v>0</v>
      </c>
      <c r="N182" s="97">
        <f t="shared" si="628"/>
        <v>0</v>
      </c>
      <c r="O182" s="97">
        <f t="shared" si="628"/>
        <v>0</v>
      </c>
      <c r="P182" s="97">
        <f t="shared" ref="P182:R182" si="629">IF(BJ182=0,SUM(Z182+AC182+AF182+AI182+AL182+AO182+AR182+AU182+AX182+BA182+BD182+BG182),BJ182)</f>
        <v>0</v>
      </c>
      <c r="Q182" s="97">
        <f t="shared" si="629"/>
        <v>0</v>
      </c>
      <c r="R182" s="97">
        <f t="shared" si="629"/>
        <v>0</v>
      </c>
      <c r="S182" s="97">
        <f t="shared" ref="S182:T182" si="630">I182-M182</f>
        <v>0</v>
      </c>
      <c r="T182" s="97">
        <f t="shared" si="630"/>
        <v>0</v>
      </c>
      <c r="U182" s="97">
        <f t="shared" si="618"/>
        <v>0</v>
      </c>
      <c r="V182" s="427" t="e">
        <f t="shared" si="221"/>
        <v>#DIV/0!</v>
      </c>
      <c r="W182" s="96">
        <f t="shared" si="555"/>
        <v>0</v>
      </c>
      <c r="X182" s="96">
        <f t="shared" si="556"/>
        <v>0</v>
      </c>
      <c r="Y182" s="428">
        <f t="shared" si="412"/>
        <v>0</v>
      </c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6"/>
      <c r="BM182" s="99"/>
      <c r="BN182" s="100"/>
      <c r="BO182" s="100"/>
      <c r="BP182" s="100"/>
      <c r="BQ182" s="100"/>
    </row>
    <row r="183" spans="1:69" ht="15.75" customHeight="1">
      <c r="A183" s="89"/>
      <c r="B183" s="89"/>
      <c r="C183" s="90" t="s">
        <v>298</v>
      </c>
      <c r="D183" s="91" t="s">
        <v>432</v>
      </c>
      <c r="E183" s="166"/>
      <c r="F183" s="166"/>
      <c r="G183" s="166"/>
      <c r="H183" s="166"/>
      <c r="I183" s="95"/>
      <c r="J183" s="95"/>
      <c r="K183" s="95"/>
      <c r="L183" s="266"/>
      <c r="M183" s="97">
        <f t="shared" ref="M183:O183" si="631">Z183+AC183+AF183+AI183+AL183+AO183+AR183+AU183+AX183+BA183+BD183+BG183</f>
        <v>0</v>
      </c>
      <c r="N183" s="97">
        <f t="shared" si="631"/>
        <v>0</v>
      </c>
      <c r="O183" s="97">
        <f t="shared" si="631"/>
        <v>0</v>
      </c>
      <c r="P183" s="97">
        <f t="shared" ref="P183:R183" si="632">IF(BJ183=0,SUM(Z183+AC183+AF183+AI183+AL183+AO183+AR183+AU183+AX183+BA183+BD183+BG183),BJ183)</f>
        <v>0</v>
      </c>
      <c r="Q183" s="97">
        <f t="shared" si="632"/>
        <v>0</v>
      </c>
      <c r="R183" s="97">
        <f t="shared" si="632"/>
        <v>0</v>
      </c>
      <c r="S183" s="97">
        <f t="shared" ref="S183:T183" si="633">I183-M183</f>
        <v>0</v>
      </c>
      <c r="T183" s="97">
        <f t="shared" si="633"/>
        <v>0</v>
      </c>
      <c r="U183" s="97">
        <f t="shared" si="618"/>
        <v>0</v>
      </c>
      <c r="V183" s="427" t="e">
        <f t="shared" si="221"/>
        <v>#DIV/0!</v>
      </c>
      <c r="W183" s="96">
        <f t="shared" si="555"/>
        <v>0</v>
      </c>
      <c r="X183" s="96">
        <f t="shared" si="556"/>
        <v>0</v>
      </c>
      <c r="Y183" s="428">
        <f t="shared" si="412"/>
        <v>0</v>
      </c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96"/>
      <c r="BC183" s="103">
        <v>0</v>
      </c>
      <c r="BD183" s="96"/>
      <c r="BE183" s="96"/>
      <c r="BF183" s="96"/>
      <c r="BG183" s="96"/>
      <c r="BH183" s="96"/>
      <c r="BI183" s="96"/>
      <c r="BJ183" s="96"/>
      <c r="BK183" s="96"/>
      <c r="BL183" s="96"/>
      <c r="BM183" s="99"/>
      <c r="BN183" s="100"/>
      <c r="BO183" s="100"/>
      <c r="BP183" s="100"/>
      <c r="BQ183" s="100"/>
    </row>
    <row r="184" spans="1:69" ht="15.75" customHeight="1">
      <c r="A184" s="267"/>
      <c r="B184" s="267"/>
      <c r="C184" s="268"/>
      <c r="D184" s="269" t="s">
        <v>433</v>
      </c>
      <c r="E184" s="270">
        <f>SUM(E185:E188)</f>
        <v>0</v>
      </c>
      <c r="F184" s="270"/>
      <c r="G184" s="270"/>
      <c r="H184" s="270">
        <f t="shared" ref="H184:O184" si="634">SUM(H185:H188)</f>
        <v>0</v>
      </c>
      <c r="I184" s="270">
        <f t="shared" si="634"/>
        <v>0</v>
      </c>
      <c r="J184" s="270">
        <f t="shared" si="634"/>
        <v>734.93000000000006</v>
      </c>
      <c r="K184" s="270">
        <f t="shared" si="634"/>
        <v>0</v>
      </c>
      <c r="L184" s="270">
        <f t="shared" si="634"/>
        <v>0</v>
      </c>
      <c r="M184" s="270">
        <f t="shared" si="634"/>
        <v>0</v>
      </c>
      <c r="N184" s="270">
        <f t="shared" si="634"/>
        <v>376.89</v>
      </c>
      <c r="O184" s="270">
        <f t="shared" si="634"/>
        <v>0</v>
      </c>
      <c r="P184" s="238">
        <f t="shared" ref="P184:R184" si="635">IF(BJ184=0,SUM(Z184+AC184+AF184+AI184+AL184+AO184+AR184+AU184+AX184+BA184+BD184+BG184),BJ184)</f>
        <v>0</v>
      </c>
      <c r="Q184" s="238">
        <f t="shared" si="635"/>
        <v>376.89</v>
      </c>
      <c r="R184" s="238">
        <f t="shared" si="635"/>
        <v>0</v>
      </c>
      <c r="S184" s="270">
        <f t="shared" ref="S184:U184" si="636">SUM(S185:S188)</f>
        <v>0</v>
      </c>
      <c r="T184" s="270">
        <f t="shared" si="636"/>
        <v>358.04</v>
      </c>
      <c r="U184" s="270">
        <f t="shared" si="636"/>
        <v>0</v>
      </c>
      <c r="V184" s="427">
        <f t="shared" si="221"/>
        <v>0.94998540688264488</v>
      </c>
      <c r="W184" s="96"/>
      <c r="X184" s="96"/>
      <c r="Y184" s="428">
        <f t="shared" si="412"/>
        <v>0</v>
      </c>
      <c r="Z184" s="270">
        <f t="shared" ref="Z184:BL184" si="637">SUM(Z185:Z188)</f>
        <v>0</v>
      </c>
      <c r="AA184" s="270">
        <f t="shared" si="637"/>
        <v>0</v>
      </c>
      <c r="AB184" s="270">
        <f t="shared" si="637"/>
        <v>0</v>
      </c>
      <c r="AC184" s="270">
        <f t="shared" si="637"/>
        <v>0</v>
      </c>
      <c r="AD184" s="270">
        <f t="shared" si="637"/>
        <v>0</v>
      </c>
      <c r="AE184" s="270">
        <f t="shared" si="637"/>
        <v>0</v>
      </c>
      <c r="AF184" s="270">
        <f t="shared" si="637"/>
        <v>0</v>
      </c>
      <c r="AG184" s="270">
        <f t="shared" si="637"/>
        <v>0</v>
      </c>
      <c r="AH184" s="270">
        <f t="shared" si="637"/>
        <v>0</v>
      </c>
      <c r="AI184" s="270">
        <f t="shared" si="637"/>
        <v>0</v>
      </c>
      <c r="AJ184" s="270">
        <f t="shared" si="637"/>
        <v>376.89</v>
      </c>
      <c r="AK184" s="270">
        <f t="shared" si="637"/>
        <v>0</v>
      </c>
      <c r="AL184" s="270">
        <f t="shared" si="637"/>
        <v>0</v>
      </c>
      <c r="AM184" s="270">
        <f t="shared" si="637"/>
        <v>0</v>
      </c>
      <c r="AN184" s="270">
        <f t="shared" si="637"/>
        <v>0</v>
      </c>
      <c r="AO184" s="270">
        <f t="shared" si="637"/>
        <v>0</v>
      </c>
      <c r="AP184" s="270">
        <f t="shared" si="637"/>
        <v>0</v>
      </c>
      <c r="AQ184" s="270">
        <f t="shared" si="637"/>
        <v>0</v>
      </c>
      <c r="AR184" s="270">
        <f t="shared" si="637"/>
        <v>0</v>
      </c>
      <c r="AS184" s="270">
        <f t="shared" si="637"/>
        <v>0</v>
      </c>
      <c r="AT184" s="270">
        <f t="shared" si="637"/>
        <v>0</v>
      </c>
      <c r="AU184" s="270">
        <f t="shared" si="637"/>
        <v>0</v>
      </c>
      <c r="AV184" s="270">
        <f t="shared" si="637"/>
        <v>0</v>
      </c>
      <c r="AW184" s="270">
        <f t="shared" si="637"/>
        <v>0</v>
      </c>
      <c r="AX184" s="270">
        <f t="shared" si="637"/>
        <v>0</v>
      </c>
      <c r="AY184" s="270">
        <f t="shared" si="637"/>
        <v>0</v>
      </c>
      <c r="AZ184" s="270">
        <f t="shared" si="637"/>
        <v>0</v>
      </c>
      <c r="BA184" s="270">
        <f t="shared" si="637"/>
        <v>0</v>
      </c>
      <c r="BB184" s="270">
        <f t="shared" si="637"/>
        <v>0</v>
      </c>
      <c r="BC184" s="270">
        <f t="shared" si="637"/>
        <v>0</v>
      </c>
      <c r="BD184" s="270">
        <f t="shared" si="637"/>
        <v>0</v>
      </c>
      <c r="BE184" s="270">
        <f t="shared" si="637"/>
        <v>0</v>
      </c>
      <c r="BF184" s="270">
        <f t="shared" si="637"/>
        <v>0</v>
      </c>
      <c r="BG184" s="270">
        <f t="shared" si="637"/>
        <v>0</v>
      </c>
      <c r="BH184" s="270">
        <f t="shared" si="637"/>
        <v>0</v>
      </c>
      <c r="BI184" s="270">
        <f t="shared" si="637"/>
        <v>0</v>
      </c>
      <c r="BJ184" s="270">
        <f t="shared" si="637"/>
        <v>0</v>
      </c>
      <c r="BK184" s="270">
        <f t="shared" si="637"/>
        <v>0</v>
      </c>
      <c r="BL184" s="270">
        <f t="shared" si="637"/>
        <v>0</v>
      </c>
      <c r="BM184" s="233"/>
      <c r="BN184" s="234"/>
      <c r="BO184" s="234"/>
      <c r="BP184" s="234"/>
      <c r="BQ184" s="234"/>
    </row>
    <row r="185" spans="1:69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166"/>
      <c r="G185" s="166"/>
      <c r="H185" s="166"/>
      <c r="I185" s="95"/>
      <c r="J185" s="146">
        <v>376.89</v>
      </c>
      <c r="K185" s="146"/>
      <c r="L185" s="272"/>
      <c r="M185" s="97">
        <f t="shared" ref="M185:O185" si="638">Z185+AC185+AF185+AI185+AL185+AO185+AR185+AU185+AX185+BA185+BD185+BG185</f>
        <v>0</v>
      </c>
      <c r="N185" s="97">
        <f t="shared" si="638"/>
        <v>376.89</v>
      </c>
      <c r="O185" s="97">
        <f t="shared" si="638"/>
        <v>0</v>
      </c>
      <c r="P185" s="97">
        <f t="shared" ref="P185:R185" si="639">IF(BJ185=0,SUM(Z185+AC185+AF185+AI185+AL185+AO185+AR185+AU185+AX185+BA185+BD185+BG185),BJ185)</f>
        <v>0</v>
      </c>
      <c r="Q185" s="97">
        <f t="shared" si="639"/>
        <v>376.89</v>
      </c>
      <c r="R185" s="97">
        <f t="shared" si="639"/>
        <v>0</v>
      </c>
      <c r="S185" s="97">
        <f t="shared" ref="S185:T185" si="640">I185-M185</f>
        <v>0</v>
      </c>
      <c r="T185" s="97">
        <f t="shared" si="640"/>
        <v>0</v>
      </c>
      <c r="U185" s="97">
        <f t="shared" ref="U185:U188" si="641">L185-O185</f>
        <v>0</v>
      </c>
      <c r="V185" s="427">
        <f t="shared" si="221"/>
        <v>0</v>
      </c>
      <c r="W185" s="96">
        <f t="shared" ref="W185:W188" si="642">AJ185*11</f>
        <v>4145.79</v>
      </c>
      <c r="X185" s="96">
        <f t="shared" ref="X185:X188" si="643">W185-T185</f>
        <v>4145.79</v>
      </c>
      <c r="Y185" s="428">
        <f t="shared" si="412"/>
        <v>-4145.79</v>
      </c>
      <c r="Z185" s="96"/>
      <c r="AA185" s="96"/>
      <c r="AB185" s="96"/>
      <c r="AC185" s="96"/>
      <c r="AD185" s="103">
        <v>0</v>
      </c>
      <c r="AE185" s="96"/>
      <c r="AF185" s="96"/>
      <c r="AG185" s="96"/>
      <c r="AH185" s="96"/>
      <c r="AI185" s="96"/>
      <c r="AJ185" s="103">
        <v>376.89</v>
      </c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6"/>
      <c r="BM185" s="99"/>
      <c r="BN185" s="100"/>
      <c r="BO185" s="100"/>
      <c r="BP185" s="100"/>
      <c r="BQ185" s="100"/>
    </row>
    <row r="186" spans="1:69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166"/>
      <c r="G186" s="166"/>
      <c r="H186" s="166"/>
      <c r="I186" s="95"/>
      <c r="J186" s="275">
        <v>358.04</v>
      </c>
      <c r="K186" s="95"/>
      <c r="L186" s="272"/>
      <c r="M186" s="97">
        <f t="shared" ref="M186:O186" si="644">Z186+AC186+AF186+AI186+AL186+AO186+AR186+AU186+AX186+BA186+BD186+BG186</f>
        <v>0</v>
      </c>
      <c r="N186" s="97">
        <f t="shared" si="644"/>
        <v>0</v>
      </c>
      <c r="O186" s="97">
        <f t="shared" si="644"/>
        <v>0</v>
      </c>
      <c r="P186" s="97">
        <f t="shared" ref="P186:R186" si="645">IF(BJ186=0,SUM(Z186+AC186+AF186+AI186+AL186+AO186+AR186+AU186+AX186+BA186+BD186+BG186),BJ186)</f>
        <v>0</v>
      </c>
      <c r="Q186" s="97">
        <f t="shared" si="645"/>
        <v>0</v>
      </c>
      <c r="R186" s="97">
        <f t="shared" si="645"/>
        <v>0</v>
      </c>
      <c r="S186" s="97">
        <f t="shared" ref="S186:T186" si="646">I186-M186</f>
        <v>0</v>
      </c>
      <c r="T186" s="97">
        <f t="shared" si="646"/>
        <v>358.04</v>
      </c>
      <c r="U186" s="97">
        <f t="shared" si="641"/>
        <v>0</v>
      </c>
      <c r="V186" s="427" t="e">
        <f t="shared" si="221"/>
        <v>#DIV/0!</v>
      </c>
      <c r="W186" s="96">
        <f t="shared" si="642"/>
        <v>0</v>
      </c>
      <c r="X186" s="96">
        <f t="shared" si="643"/>
        <v>-358.04</v>
      </c>
      <c r="Y186" s="428">
        <f t="shared" si="412"/>
        <v>358.04</v>
      </c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6"/>
      <c r="BM186" s="99"/>
      <c r="BN186" s="100"/>
      <c r="BO186" s="100"/>
      <c r="BP186" s="100"/>
      <c r="BQ186" s="100"/>
    </row>
    <row r="187" spans="1:69" ht="15.75" customHeight="1">
      <c r="A187" s="89"/>
      <c r="B187" s="89"/>
      <c r="C187" s="90" t="s">
        <v>318</v>
      </c>
      <c r="D187" s="91" t="s">
        <v>440</v>
      </c>
      <c r="E187" s="166"/>
      <c r="F187" s="166"/>
      <c r="G187" s="166"/>
      <c r="H187" s="166"/>
      <c r="I187" s="95"/>
      <c r="J187" s="95"/>
      <c r="K187" s="95"/>
      <c r="L187" s="272"/>
      <c r="M187" s="97">
        <f t="shared" ref="M187:O187" si="647">Z187+AC187+AF187+AI187+AL187+AO187+AR187+AU187+AX187+BA187+BD187+BG187</f>
        <v>0</v>
      </c>
      <c r="N187" s="97">
        <f t="shared" si="647"/>
        <v>0</v>
      </c>
      <c r="O187" s="97">
        <f t="shared" si="647"/>
        <v>0</v>
      </c>
      <c r="P187" s="97">
        <f t="shared" ref="P187:R187" si="648">IF(BJ187=0,SUM(Z187+AC187+AF187+AI187+AL187+AO187+AR187+AU187+AX187+BA187+BD187+BG187),BJ187)</f>
        <v>0</v>
      </c>
      <c r="Q187" s="97">
        <f t="shared" si="648"/>
        <v>0</v>
      </c>
      <c r="R187" s="97">
        <f t="shared" si="648"/>
        <v>0</v>
      </c>
      <c r="S187" s="97">
        <f t="shared" ref="S187:T187" si="649">I187-M187</f>
        <v>0</v>
      </c>
      <c r="T187" s="97">
        <f t="shared" si="649"/>
        <v>0</v>
      </c>
      <c r="U187" s="97">
        <f t="shared" si="641"/>
        <v>0</v>
      </c>
      <c r="V187" s="427" t="e">
        <f t="shared" si="221"/>
        <v>#DIV/0!</v>
      </c>
      <c r="W187" s="96">
        <f t="shared" si="642"/>
        <v>0</v>
      </c>
      <c r="X187" s="96">
        <f t="shared" si="643"/>
        <v>0</v>
      </c>
      <c r="Y187" s="428">
        <f t="shared" si="412"/>
        <v>0</v>
      </c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6"/>
      <c r="BM187" s="99"/>
      <c r="BN187" s="100"/>
      <c r="BO187" s="100"/>
      <c r="BP187" s="100"/>
      <c r="BQ187" s="100"/>
    </row>
    <row r="188" spans="1:69" ht="15.75" customHeight="1">
      <c r="A188" s="89"/>
      <c r="B188" s="89"/>
      <c r="C188" s="90" t="s">
        <v>357</v>
      </c>
      <c r="D188" s="91" t="s">
        <v>441</v>
      </c>
      <c r="E188" s="166"/>
      <c r="F188" s="166"/>
      <c r="G188" s="166"/>
      <c r="H188" s="166"/>
      <c r="I188" s="95"/>
      <c r="J188" s="95"/>
      <c r="K188" s="95"/>
      <c r="L188" s="276"/>
      <c r="M188" s="97">
        <f t="shared" ref="M188:O188" si="650">Z188+AC188+AF188+AI188+AL188+AO188+AR188+AU188+AX188+BA188+BD188+BG188</f>
        <v>0</v>
      </c>
      <c r="N188" s="97">
        <f t="shared" si="650"/>
        <v>0</v>
      </c>
      <c r="O188" s="97">
        <f t="shared" si="650"/>
        <v>0</v>
      </c>
      <c r="P188" s="97">
        <f t="shared" ref="P188:R188" si="651">IF(BJ188=0,SUM(Z188+AC188+AF188+AI188+AL188+AO188+AR188+AU188+AX188+BA188+BD188+BG188),BJ188)</f>
        <v>0</v>
      </c>
      <c r="Q188" s="97">
        <f t="shared" si="651"/>
        <v>0</v>
      </c>
      <c r="R188" s="97">
        <f t="shared" si="651"/>
        <v>0</v>
      </c>
      <c r="S188" s="97">
        <f t="shared" ref="S188:T188" si="652">I188-M188</f>
        <v>0</v>
      </c>
      <c r="T188" s="97">
        <f t="shared" si="652"/>
        <v>0</v>
      </c>
      <c r="U188" s="97">
        <f t="shared" si="641"/>
        <v>0</v>
      </c>
      <c r="V188" s="427" t="e">
        <f t="shared" si="221"/>
        <v>#DIV/0!</v>
      </c>
      <c r="W188" s="96">
        <f t="shared" si="642"/>
        <v>0</v>
      </c>
      <c r="X188" s="96">
        <f t="shared" si="643"/>
        <v>0</v>
      </c>
      <c r="Y188" s="428">
        <f t="shared" si="412"/>
        <v>0</v>
      </c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6"/>
      <c r="BM188" s="99"/>
      <c r="BN188" s="100"/>
      <c r="BO188" s="100"/>
      <c r="BP188" s="100"/>
      <c r="BQ188" s="100"/>
    </row>
    <row r="189" spans="1:69" ht="15.75" customHeight="1">
      <c r="A189" s="277"/>
      <c r="B189" s="277"/>
      <c r="C189" s="278"/>
      <c r="D189" s="279"/>
      <c r="E189" s="279"/>
      <c r="F189" s="279"/>
      <c r="G189" s="279"/>
      <c r="H189" s="279"/>
      <c r="I189" s="280"/>
      <c r="J189" s="280"/>
      <c r="K189" s="280"/>
      <c r="L189" s="280"/>
      <c r="M189" s="280"/>
      <c r="N189" s="280"/>
      <c r="O189" s="280"/>
      <c r="P189" s="281"/>
      <c r="Q189" s="281"/>
      <c r="R189" s="281"/>
      <c r="S189" s="280"/>
      <c r="T189" s="280"/>
      <c r="U189" s="280"/>
      <c r="V189" s="442"/>
      <c r="W189" s="280"/>
      <c r="X189" s="280"/>
      <c r="Y189" s="443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80"/>
      <c r="BM189" s="21"/>
      <c r="BN189" s="21"/>
      <c r="BO189" s="21"/>
      <c r="BP189" s="21"/>
      <c r="BQ189" s="21"/>
    </row>
    <row r="190" spans="1:69" ht="15.75" customHeight="1">
      <c r="A190" s="277"/>
      <c r="B190" s="277"/>
      <c r="C190" s="278"/>
      <c r="D190" s="283" t="s">
        <v>442</v>
      </c>
      <c r="E190" s="284" t="s">
        <v>62</v>
      </c>
      <c r="F190" s="284"/>
      <c r="G190" s="284"/>
      <c r="H190" s="284" t="s">
        <v>63</v>
      </c>
      <c r="I190" s="285" t="s">
        <v>62</v>
      </c>
      <c r="J190" s="285" t="s">
        <v>147</v>
      </c>
      <c r="K190" s="285"/>
      <c r="L190" s="285" t="s">
        <v>63</v>
      </c>
      <c r="M190" s="285" t="s">
        <v>62</v>
      </c>
      <c r="N190" s="285" t="s">
        <v>147</v>
      </c>
      <c r="O190" s="285" t="s">
        <v>63</v>
      </c>
      <c r="P190" s="285" t="s">
        <v>62</v>
      </c>
      <c r="Q190" s="285" t="s">
        <v>147</v>
      </c>
      <c r="R190" s="285" t="s">
        <v>63</v>
      </c>
      <c r="S190" s="286"/>
      <c r="T190" s="286"/>
      <c r="U190" s="286"/>
      <c r="V190" s="444"/>
      <c r="W190" s="445"/>
      <c r="X190" s="445"/>
      <c r="Y190" s="446"/>
      <c r="Z190" s="571" t="s">
        <v>444</v>
      </c>
      <c r="AA190" s="560"/>
      <c r="AB190" s="560"/>
      <c r="AC190" s="560"/>
      <c r="AD190" s="560"/>
      <c r="AE190" s="561"/>
      <c r="AF190" s="559" t="s">
        <v>445</v>
      </c>
      <c r="AG190" s="560"/>
      <c r="AH190" s="560"/>
      <c r="AI190" s="560"/>
      <c r="AJ190" s="560"/>
      <c r="AK190" s="561"/>
      <c r="AL190" s="559" t="s">
        <v>446</v>
      </c>
      <c r="AM190" s="560"/>
      <c r="AN190" s="560"/>
      <c r="AO190" s="560"/>
      <c r="AP190" s="560"/>
      <c r="AQ190" s="561"/>
      <c r="AR190" s="559" t="s">
        <v>447</v>
      </c>
      <c r="AS190" s="560"/>
      <c r="AT190" s="560"/>
      <c r="AU190" s="560"/>
      <c r="AV190" s="560"/>
      <c r="AW190" s="561"/>
      <c r="AX190" s="559" t="s">
        <v>448</v>
      </c>
      <c r="AY190" s="560"/>
      <c r="AZ190" s="560"/>
      <c r="BA190" s="560"/>
      <c r="BB190" s="560"/>
      <c r="BC190" s="561"/>
      <c r="BD190" s="280"/>
      <c r="BE190" s="280"/>
      <c r="BF190" s="280"/>
      <c r="BG190" s="280"/>
      <c r="BH190" s="280"/>
      <c r="BI190" s="280"/>
      <c r="BJ190" s="280"/>
      <c r="BK190" s="280"/>
      <c r="BL190" s="280"/>
    </row>
    <row r="191" spans="1:69" ht="15.75" customHeight="1">
      <c r="A191" s="288"/>
      <c r="B191" s="288"/>
      <c r="C191" s="289"/>
      <c r="D191" s="290" t="s">
        <v>449</v>
      </c>
      <c r="E191" s="291">
        <f>E5+E13+E68+E97+E160</f>
        <v>2379653.64</v>
      </c>
      <c r="F191" s="291"/>
      <c r="G191" s="291"/>
      <c r="H191" s="291">
        <f>H5+H13+H68+H97+H160</f>
        <v>4614392.4400000004</v>
      </c>
      <c r="I191" s="293"/>
      <c r="J191" s="290"/>
      <c r="K191" s="290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444"/>
      <c r="W191" s="447"/>
      <c r="X191" s="447"/>
      <c r="Y191" s="446"/>
      <c r="Z191" s="294" t="s">
        <v>174</v>
      </c>
      <c r="AA191" s="295" t="s">
        <v>175</v>
      </c>
      <c r="AB191" s="295" t="s">
        <v>176</v>
      </c>
      <c r="AC191" s="296" t="s">
        <v>177</v>
      </c>
      <c r="AD191" s="294" t="s">
        <v>178</v>
      </c>
      <c r="AE191" s="294" t="s">
        <v>179</v>
      </c>
      <c r="AF191" s="294" t="s">
        <v>174</v>
      </c>
      <c r="AG191" s="295" t="s">
        <v>175</v>
      </c>
      <c r="AH191" s="295" t="s">
        <v>176</v>
      </c>
      <c r="AI191" s="296" t="s">
        <v>177</v>
      </c>
      <c r="AJ191" s="294" t="s">
        <v>178</v>
      </c>
      <c r="AK191" s="294" t="s">
        <v>179</v>
      </c>
      <c r="AL191" s="294" t="s">
        <v>174</v>
      </c>
      <c r="AM191" s="295" t="s">
        <v>175</v>
      </c>
      <c r="AN191" s="295" t="s">
        <v>176</v>
      </c>
      <c r="AO191" s="296" t="s">
        <v>177</v>
      </c>
      <c r="AP191" s="294" t="s">
        <v>178</v>
      </c>
      <c r="AQ191" s="294" t="s">
        <v>179</v>
      </c>
      <c r="AR191" s="294" t="s">
        <v>174</v>
      </c>
      <c r="AS191" s="295" t="s">
        <v>175</v>
      </c>
      <c r="AT191" s="295" t="s">
        <v>176</v>
      </c>
      <c r="AU191" s="296" t="s">
        <v>177</v>
      </c>
      <c r="AV191" s="294" t="s">
        <v>178</v>
      </c>
      <c r="AW191" s="294" t="s">
        <v>179</v>
      </c>
      <c r="AX191" s="294" t="s">
        <v>174</v>
      </c>
      <c r="AY191" s="295" t="s">
        <v>175</v>
      </c>
      <c r="AZ191" s="295" t="s">
        <v>176</v>
      </c>
      <c r="BA191" s="296" t="s">
        <v>177</v>
      </c>
      <c r="BB191" s="294" t="s">
        <v>178</v>
      </c>
      <c r="BC191" s="294" t="s">
        <v>179</v>
      </c>
      <c r="BD191" s="280"/>
      <c r="BE191" s="280"/>
      <c r="BF191" s="280"/>
      <c r="BG191" s="280"/>
      <c r="BH191" s="280"/>
      <c r="BI191" s="280"/>
      <c r="BJ191" s="280"/>
      <c r="BK191" s="280"/>
      <c r="BL191" s="280"/>
    </row>
    <row r="192" spans="1:69" ht="15.75" customHeight="1">
      <c r="A192" s="297"/>
      <c r="B192" s="297"/>
      <c r="C192" s="298"/>
      <c r="D192" s="290" t="s">
        <v>450</v>
      </c>
      <c r="E192" s="299">
        <f>SUM(Z192:AE192)+SUM(Z194:AE194)</f>
        <v>396609</v>
      </c>
      <c r="F192" s="299"/>
      <c r="G192" s="299"/>
      <c r="H192" s="299">
        <f>SUM(AF192:BC192)+SUM(AF194:BC194)</f>
        <v>209032</v>
      </c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86"/>
      <c r="T192" s="286"/>
      <c r="U192" s="286"/>
      <c r="V192" s="442"/>
      <c r="W192" s="448"/>
      <c r="X192" s="448"/>
      <c r="Y192" s="443"/>
      <c r="Z192" s="301"/>
      <c r="AA192" s="351">
        <f>594913-198304</f>
        <v>396609</v>
      </c>
      <c r="AB192" s="302"/>
      <c r="AC192" s="303"/>
      <c r="AD192" s="303"/>
      <c r="AE192" s="303"/>
      <c r="AF192" s="301"/>
      <c r="AG192" s="351">
        <f>72000+53000</f>
        <v>125000</v>
      </c>
      <c r="AH192" s="302"/>
      <c r="AI192" s="303"/>
      <c r="AJ192" s="303"/>
      <c r="AK192" s="303"/>
      <c r="AL192" s="301"/>
      <c r="AM192" s="302">
        <f>1856+82176</f>
        <v>84032</v>
      </c>
      <c r="AN192" s="302"/>
      <c r="AO192" s="303"/>
      <c r="AP192" s="352"/>
      <c r="AQ192" s="303"/>
      <c r="AR192" s="301"/>
      <c r="AS192" s="302"/>
      <c r="AT192" s="302"/>
      <c r="AU192" s="303"/>
      <c r="AV192" s="303"/>
      <c r="AW192" s="303"/>
      <c r="AX192" s="301"/>
      <c r="AY192" s="302"/>
      <c r="AZ192" s="302"/>
      <c r="BA192" s="303"/>
      <c r="BB192" s="303"/>
      <c r="BC192" s="303"/>
      <c r="BD192" s="60"/>
      <c r="BE192" s="60"/>
      <c r="BF192" s="60"/>
      <c r="BG192" s="60"/>
      <c r="BH192" s="60"/>
      <c r="BI192" s="60"/>
      <c r="BJ192" s="60"/>
      <c r="BK192" s="60"/>
      <c r="BL192" s="60"/>
    </row>
    <row r="193" spans="1:69" ht="15.75" customHeight="1">
      <c r="A193" s="297"/>
      <c r="B193" s="297"/>
      <c r="C193" s="298"/>
      <c r="D193" s="290" t="s">
        <v>451</v>
      </c>
      <c r="E193" s="291">
        <f>I193</f>
        <v>230317.37</v>
      </c>
      <c r="F193" s="291"/>
      <c r="G193" s="291"/>
      <c r="H193" s="291">
        <f>L193</f>
        <v>0</v>
      </c>
      <c r="I193" s="304">
        <f t="shared" ref="I193:J193" si="653">I5+I13+I68+I97+I160</f>
        <v>230317.37</v>
      </c>
      <c r="J193" s="304">
        <f t="shared" si="653"/>
        <v>2466010.4700000002</v>
      </c>
      <c r="K193" s="304"/>
      <c r="L193" s="304">
        <f>L5+L13+L68+L97+L160</f>
        <v>0</v>
      </c>
      <c r="M193" s="304"/>
      <c r="N193" s="304"/>
      <c r="O193" s="304"/>
      <c r="P193" s="293"/>
      <c r="Q193" s="293"/>
      <c r="R193" s="293"/>
      <c r="S193" s="286"/>
      <c r="T193" s="286"/>
      <c r="U193" s="286"/>
      <c r="V193" s="444"/>
      <c r="W193" s="447"/>
      <c r="X193" s="447"/>
      <c r="Y193" s="446"/>
      <c r="Z193" s="294" t="s">
        <v>180</v>
      </c>
      <c r="AA193" s="305" t="s">
        <v>181</v>
      </c>
      <c r="AB193" s="305" t="s">
        <v>182</v>
      </c>
      <c r="AC193" s="306" t="s">
        <v>183</v>
      </c>
      <c r="AD193" s="307" t="s">
        <v>184</v>
      </c>
      <c r="AE193" s="307" t="s">
        <v>185</v>
      </c>
      <c r="AF193" s="294" t="s">
        <v>180</v>
      </c>
      <c r="AG193" s="305" t="s">
        <v>181</v>
      </c>
      <c r="AH193" s="305" t="s">
        <v>182</v>
      </c>
      <c r="AI193" s="306" t="s">
        <v>183</v>
      </c>
      <c r="AJ193" s="307" t="s">
        <v>184</v>
      </c>
      <c r="AK193" s="307" t="s">
        <v>185</v>
      </c>
      <c r="AL193" s="294" t="s">
        <v>180</v>
      </c>
      <c r="AM193" s="305" t="s">
        <v>181</v>
      </c>
      <c r="AN193" s="305" t="s">
        <v>182</v>
      </c>
      <c r="AO193" s="306" t="s">
        <v>183</v>
      </c>
      <c r="AP193" s="307" t="s">
        <v>184</v>
      </c>
      <c r="AQ193" s="307" t="s">
        <v>185</v>
      </c>
      <c r="AR193" s="294" t="s">
        <v>180</v>
      </c>
      <c r="AS193" s="305" t="s">
        <v>181</v>
      </c>
      <c r="AT193" s="305" t="s">
        <v>182</v>
      </c>
      <c r="AU193" s="306" t="s">
        <v>183</v>
      </c>
      <c r="AV193" s="307" t="s">
        <v>184</v>
      </c>
      <c r="AW193" s="307" t="s">
        <v>185</v>
      </c>
      <c r="AX193" s="294" t="s">
        <v>180</v>
      </c>
      <c r="AY193" s="305" t="s">
        <v>181</v>
      </c>
      <c r="AZ193" s="305" t="s">
        <v>182</v>
      </c>
      <c r="BA193" s="306" t="s">
        <v>183</v>
      </c>
      <c r="BB193" s="307" t="s">
        <v>184</v>
      </c>
      <c r="BC193" s="307" t="s">
        <v>185</v>
      </c>
      <c r="BD193" s="60"/>
      <c r="BE193" s="60"/>
      <c r="BF193" s="60"/>
      <c r="BG193" s="60"/>
      <c r="BH193" s="60"/>
      <c r="BI193" s="60"/>
      <c r="BJ193" s="60"/>
      <c r="BK193" s="60"/>
      <c r="BL193" s="60"/>
    </row>
    <row r="194" spans="1:69" ht="15.75" customHeight="1">
      <c r="A194" s="297"/>
      <c r="B194" s="297"/>
      <c r="C194" s="298"/>
      <c r="D194" s="290" t="s">
        <v>452</v>
      </c>
      <c r="E194" s="291">
        <f>M194</f>
        <v>20912.669999999998</v>
      </c>
      <c r="F194" s="291"/>
      <c r="G194" s="291"/>
      <c r="H194" s="291">
        <f>O194</f>
        <v>0</v>
      </c>
      <c r="I194" s="308"/>
      <c r="J194" s="308"/>
      <c r="K194" s="308"/>
      <c r="L194" s="308"/>
      <c r="M194" s="299">
        <f t="shared" ref="M194:O194" si="654">M5+M13+M68+M97+M160</f>
        <v>20912.669999999998</v>
      </c>
      <c r="N194" s="299">
        <f t="shared" si="654"/>
        <v>1030242.4400000001</v>
      </c>
      <c r="O194" s="299">
        <f t="shared" si="654"/>
        <v>0</v>
      </c>
      <c r="P194" s="293"/>
      <c r="Q194" s="293"/>
      <c r="R194" s="293"/>
      <c r="S194" s="286"/>
      <c r="T194" s="286"/>
      <c r="U194" s="286"/>
      <c r="V194" s="442"/>
      <c r="W194" s="448"/>
      <c r="X194" s="448"/>
      <c r="Y194" s="443"/>
      <c r="Z194" s="301"/>
      <c r="AA194" s="302"/>
      <c r="AB194" s="302"/>
      <c r="AC194" s="303"/>
      <c r="AD194" s="303"/>
      <c r="AE194" s="303"/>
      <c r="AF194" s="301"/>
      <c r="AG194" s="302"/>
      <c r="AH194" s="302"/>
      <c r="AI194" s="303"/>
      <c r="AJ194" s="303"/>
      <c r="AK194" s="303"/>
      <c r="AL194" s="301"/>
      <c r="AM194" s="302"/>
      <c r="AN194" s="302"/>
      <c r="AO194" s="303"/>
      <c r="AP194" s="303"/>
      <c r="AQ194" s="303"/>
      <c r="AR194" s="301"/>
      <c r="AS194" s="302"/>
      <c r="AT194" s="302"/>
      <c r="AU194" s="303"/>
      <c r="AV194" s="303"/>
      <c r="AW194" s="303"/>
      <c r="AX194" s="301"/>
      <c r="AY194" s="302"/>
      <c r="AZ194" s="302"/>
      <c r="BA194" s="303"/>
      <c r="BB194" s="303"/>
      <c r="BC194" s="303"/>
      <c r="BD194" s="60"/>
      <c r="BE194" s="60"/>
      <c r="BF194" s="60"/>
      <c r="BG194" s="60"/>
      <c r="BH194" s="60"/>
      <c r="BI194" s="60"/>
      <c r="BJ194" s="60"/>
      <c r="BK194" s="60"/>
      <c r="BL194" s="60"/>
    </row>
    <row r="195" spans="1:69" ht="15.75" customHeight="1">
      <c r="A195" s="297"/>
      <c r="B195" s="297"/>
      <c r="C195" s="309"/>
      <c r="D195" s="290" t="s">
        <v>453</v>
      </c>
      <c r="E195" s="291">
        <f>P195</f>
        <v>20912.669999999998</v>
      </c>
      <c r="F195" s="291"/>
      <c r="G195" s="291"/>
      <c r="H195" s="291">
        <f>R195</f>
        <v>0</v>
      </c>
      <c r="I195" s="308"/>
      <c r="J195" s="308"/>
      <c r="K195" s="308"/>
      <c r="L195" s="308"/>
      <c r="M195" s="308"/>
      <c r="N195" s="308"/>
      <c r="O195" s="308"/>
      <c r="P195" s="304">
        <f t="shared" ref="P195:R195" si="655">P5+P13+P68+P97+P160</f>
        <v>20912.669999999998</v>
      </c>
      <c r="Q195" s="304">
        <f t="shared" si="655"/>
        <v>1030242.4399999998</v>
      </c>
      <c r="R195" s="304">
        <f t="shared" si="655"/>
        <v>0</v>
      </c>
      <c r="S195" s="286"/>
      <c r="T195" s="286"/>
      <c r="U195" s="286"/>
      <c r="V195" s="449"/>
      <c r="W195" s="286"/>
      <c r="X195" s="286"/>
      <c r="Y195" s="450"/>
      <c r="Z195" s="286"/>
      <c r="AA195" s="310"/>
      <c r="AB195" s="310"/>
      <c r="AC195" s="311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</row>
    <row r="196" spans="1:69" ht="15.75" customHeight="1">
      <c r="A196" s="297"/>
      <c r="B196" s="297"/>
      <c r="C196" s="309"/>
      <c r="D196" s="312" t="s">
        <v>454</v>
      </c>
      <c r="E196" s="313">
        <f>E191-E192</f>
        <v>1983044.6400000001</v>
      </c>
      <c r="F196" s="313"/>
      <c r="G196" s="313"/>
      <c r="H196" s="313">
        <f>H191-H192</f>
        <v>4405360.4400000004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449"/>
      <c r="W196" s="286"/>
      <c r="X196" s="286"/>
      <c r="Y196" s="450"/>
      <c r="Z196" s="286"/>
      <c r="AA196" s="562"/>
      <c r="AB196" s="546"/>
      <c r="AC196" s="311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</row>
    <row r="197" spans="1:69" ht="15.75" customHeight="1">
      <c r="A197" s="297"/>
      <c r="B197" s="297"/>
      <c r="C197" s="309"/>
      <c r="D197" s="312" t="s">
        <v>455</v>
      </c>
      <c r="E197" s="315">
        <f>E192-I193</f>
        <v>166291.63</v>
      </c>
      <c r="F197" s="315"/>
      <c r="G197" s="315"/>
      <c r="H197" s="315">
        <f>H192-L193</f>
        <v>209032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449"/>
      <c r="W197" s="286"/>
      <c r="X197" s="286"/>
      <c r="Y197" s="450"/>
      <c r="Z197" s="286"/>
      <c r="AA197" s="316"/>
      <c r="AB197" s="310"/>
      <c r="AC197" s="311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</row>
    <row r="198" spans="1:69" ht="15.75" customHeight="1">
      <c r="A198" s="297"/>
      <c r="B198" s="297"/>
      <c r="C198" s="309"/>
      <c r="D198" s="312" t="s">
        <v>456</v>
      </c>
      <c r="E198" s="315">
        <f>I193-M194</f>
        <v>209404.7</v>
      </c>
      <c r="F198" s="315"/>
      <c r="G198" s="315"/>
      <c r="H198" s="315">
        <f>L193-O194</f>
        <v>0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449"/>
      <c r="W198" s="286"/>
      <c r="X198" s="286"/>
      <c r="Y198" s="450"/>
      <c r="Z198" s="286"/>
      <c r="AA198" s="310"/>
      <c r="AB198" s="310"/>
      <c r="AC198" s="311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</row>
    <row r="199" spans="1:69" ht="15.75" customHeight="1">
      <c r="A199" s="297"/>
      <c r="B199" s="297"/>
      <c r="C199" s="309"/>
      <c r="D199" s="312" t="s">
        <v>457</v>
      </c>
      <c r="E199" s="315">
        <f>M194-P195</f>
        <v>0</v>
      </c>
      <c r="F199" s="315"/>
      <c r="G199" s="315"/>
      <c r="H199" s="315">
        <f>O194-R195</f>
        <v>0</v>
      </c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449"/>
      <c r="W199" s="286"/>
      <c r="X199" s="286"/>
      <c r="Y199" s="450"/>
      <c r="Z199" s="286"/>
      <c r="AA199" s="310"/>
      <c r="AB199" s="310"/>
      <c r="AC199" s="311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</row>
    <row r="200" spans="1:69" ht="15.75" customHeight="1">
      <c r="A200" s="317"/>
      <c r="B200" s="317"/>
      <c r="C200" s="318"/>
      <c r="D200" s="319" t="s">
        <v>459</v>
      </c>
      <c r="E200" s="320">
        <f>J193-N194</f>
        <v>1435768.0300000003</v>
      </c>
      <c r="F200" s="320"/>
      <c r="G200" s="320"/>
      <c r="H200" s="321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451"/>
      <c r="W200" s="59"/>
      <c r="X200" s="59"/>
      <c r="Y200" s="452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</row>
    <row r="201" spans="1:69" ht="15.75" customHeight="1">
      <c r="A201" s="317"/>
      <c r="B201" s="317"/>
      <c r="C201" s="318"/>
      <c r="D201" s="59"/>
      <c r="E201" s="60"/>
      <c r="F201" s="60"/>
      <c r="G201" s="60"/>
      <c r="H201" s="60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451"/>
      <c r="W201" s="59"/>
      <c r="X201" s="59"/>
      <c r="Y201" s="452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</row>
    <row r="202" spans="1:69" ht="15.75" customHeight="1">
      <c r="A202" s="317"/>
      <c r="B202" s="317"/>
      <c r="C202" s="318"/>
      <c r="D202" s="59"/>
      <c r="E202" s="325"/>
      <c r="F202" s="325"/>
      <c r="G202" s="325"/>
      <c r="H202" s="326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451"/>
      <c r="W202" s="59"/>
      <c r="X202" s="59"/>
      <c r="Y202" s="452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</row>
    <row r="203" spans="1:69" ht="15.75" customHeight="1">
      <c r="A203" s="310"/>
      <c r="B203" s="310"/>
      <c r="C203" s="328"/>
      <c r="D203" s="57"/>
      <c r="E203" s="325"/>
      <c r="F203" s="325"/>
      <c r="G203" s="325"/>
      <c r="H203" s="326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451"/>
      <c r="W203" s="59"/>
      <c r="X203" s="59"/>
      <c r="Y203" s="452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</row>
    <row r="204" spans="1:69" ht="15.75" customHeight="1">
      <c r="A204" s="329"/>
      <c r="B204" s="329"/>
      <c r="C204" s="330"/>
      <c r="D204" s="57"/>
      <c r="E204" s="331"/>
      <c r="F204" s="325"/>
      <c r="G204" s="325"/>
      <c r="H204" s="326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453"/>
      <c r="Y204" s="454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</row>
    <row r="205" spans="1:69" ht="15.75" customHeight="1">
      <c r="A205" s="329"/>
      <c r="B205" s="329"/>
      <c r="C205" s="330"/>
      <c r="D205" s="9"/>
      <c r="E205" s="331"/>
      <c r="F205" s="331"/>
      <c r="G205" s="331"/>
      <c r="H205" s="332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451"/>
      <c r="W205" s="59"/>
      <c r="X205" s="59"/>
      <c r="Y205" s="452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</row>
    <row r="206" spans="1:69" ht="15.75" customHeight="1">
      <c r="A206" s="329"/>
      <c r="B206" s="329"/>
      <c r="C206" s="330"/>
      <c r="D206" s="9"/>
      <c r="E206" s="326"/>
      <c r="F206" s="326"/>
      <c r="G206" s="326"/>
      <c r="H206" s="326"/>
      <c r="I206" s="335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451"/>
      <c r="W206" s="59"/>
      <c r="X206" s="59"/>
      <c r="Y206" s="452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21"/>
      <c r="BN206" s="21"/>
      <c r="BO206" s="21"/>
      <c r="BP206" s="21"/>
      <c r="BQ206" s="21"/>
    </row>
    <row r="207" spans="1:69" ht="15.75" customHeight="1">
      <c r="A207" s="57"/>
      <c r="B207" s="57"/>
      <c r="C207" s="336"/>
      <c r="D207" s="9"/>
      <c r="E207" s="325"/>
      <c r="F207" s="325"/>
      <c r="G207" s="325"/>
      <c r="H207" s="326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451"/>
      <c r="W207" s="59"/>
      <c r="X207" s="59"/>
      <c r="Y207" s="452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</row>
    <row r="208" spans="1:69" ht="15.75" customHeight="1">
      <c r="A208" s="57"/>
      <c r="B208" s="57"/>
      <c r="C208" s="337"/>
      <c r="D208" s="9"/>
      <c r="E208" s="326"/>
      <c r="F208" s="326"/>
      <c r="G208" s="326"/>
      <c r="H208" s="326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451"/>
      <c r="W208" s="59"/>
      <c r="X208" s="59"/>
      <c r="Y208" s="452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</row>
    <row r="209" spans="1:64" ht="15.75" customHeight="1">
      <c r="A209" s="59"/>
      <c r="B209" s="59"/>
      <c r="C209" s="318"/>
      <c r="D209" s="59"/>
      <c r="E209" s="338"/>
      <c r="F209" s="338"/>
      <c r="G209" s="338"/>
      <c r="H209" s="332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451"/>
      <c r="W209" s="59"/>
      <c r="X209" s="59"/>
      <c r="Y209" s="452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</row>
    <row r="210" spans="1:64" ht="15.75" customHeight="1">
      <c r="A210" s="59"/>
      <c r="B210" s="59"/>
      <c r="C210" s="318"/>
      <c r="D210" s="59"/>
      <c r="E210" s="325"/>
      <c r="F210" s="325"/>
      <c r="G210" s="325"/>
      <c r="H210" s="326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451"/>
      <c r="W210" s="59"/>
      <c r="X210" s="59"/>
      <c r="Y210" s="452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</row>
    <row r="211" spans="1:64" ht="15.75" customHeight="1">
      <c r="A211" s="340"/>
      <c r="B211" s="340"/>
      <c r="C211" s="341"/>
      <c r="D211" s="340"/>
      <c r="E211" s="326"/>
      <c r="F211" s="326"/>
      <c r="G211" s="326"/>
      <c r="H211" s="326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451"/>
      <c r="W211" s="59"/>
      <c r="X211" s="59"/>
      <c r="Y211" s="452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</row>
    <row r="212" spans="1:64" ht="15.75" customHeight="1">
      <c r="A212" s="340"/>
      <c r="B212" s="340"/>
      <c r="C212" s="341"/>
      <c r="D212" s="340"/>
      <c r="E212" s="326"/>
      <c r="F212" s="326"/>
      <c r="G212" s="326"/>
      <c r="H212" s="326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451"/>
      <c r="W212" s="59"/>
      <c r="X212" s="59"/>
      <c r="Y212" s="452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</row>
    <row r="213" spans="1:64" ht="15.75" customHeight="1">
      <c r="A213" s="340"/>
      <c r="B213" s="340"/>
      <c r="C213" s="341"/>
      <c r="D213" s="340"/>
      <c r="E213" s="60"/>
      <c r="F213" s="60"/>
      <c r="G213" s="60"/>
      <c r="H213" s="60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451"/>
      <c r="W213" s="59"/>
      <c r="X213" s="59"/>
      <c r="Y213" s="452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</row>
    <row r="214" spans="1:64" ht="15.75" customHeight="1">
      <c r="A214" s="340"/>
      <c r="B214" s="340"/>
      <c r="C214" s="341"/>
      <c r="D214" s="340"/>
      <c r="E214" s="60"/>
      <c r="F214" s="60"/>
      <c r="G214" s="60"/>
      <c r="H214" s="60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451"/>
      <c r="W214" s="59"/>
      <c r="X214" s="59"/>
      <c r="Y214" s="452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</row>
    <row r="215" spans="1:64" ht="15.75" customHeight="1">
      <c r="A215" s="340"/>
      <c r="B215" s="340"/>
      <c r="C215" s="341"/>
      <c r="D215" s="340"/>
      <c r="E215" s="60"/>
      <c r="F215" s="60"/>
      <c r="G215" s="60"/>
      <c r="H215" s="60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451"/>
      <c r="W215" s="59"/>
      <c r="X215" s="59"/>
      <c r="Y215" s="452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</row>
    <row r="216" spans="1:64" ht="15.75" customHeight="1">
      <c r="A216" s="340"/>
      <c r="B216" s="340"/>
      <c r="C216" s="341"/>
      <c r="D216" s="340"/>
      <c r="E216" s="60"/>
      <c r="F216" s="60"/>
      <c r="G216" s="60"/>
      <c r="H216" s="60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451"/>
      <c r="W216" s="59"/>
      <c r="X216" s="59"/>
      <c r="Y216" s="452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</row>
    <row r="217" spans="1:64" ht="15.75" customHeight="1">
      <c r="A217" s="342"/>
      <c r="B217" s="342"/>
      <c r="C217" s="343"/>
      <c r="D217" s="342"/>
      <c r="E217" s="21"/>
      <c r="F217" s="21"/>
      <c r="G217" s="21"/>
      <c r="H217" s="21"/>
      <c r="K217" s="21"/>
      <c r="V217" s="453"/>
      <c r="Y217" s="454"/>
    </row>
    <row r="218" spans="1:64" ht="15.75" customHeight="1">
      <c r="A218" s="340"/>
      <c r="C218" s="345"/>
      <c r="E218" s="21"/>
      <c r="F218" s="21"/>
      <c r="G218" s="21"/>
      <c r="H218" s="21"/>
      <c r="K218" s="21"/>
      <c r="V218" s="453"/>
      <c r="Y218" s="454"/>
    </row>
    <row r="219" spans="1:64" ht="15.75" customHeight="1">
      <c r="A219" s="340"/>
      <c r="C219" s="345"/>
      <c r="E219" s="21"/>
      <c r="F219" s="21"/>
      <c r="G219" s="21"/>
      <c r="H219" s="21"/>
      <c r="K219" s="21"/>
      <c r="V219" s="453"/>
      <c r="Y219" s="454"/>
    </row>
    <row r="220" spans="1:64" ht="15.75" customHeight="1">
      <c r="C220" s="345"/>
      <c r="E220" s="21"/>
      <c r="F220" s="21"/>
      <c r="G220" s="21"/>
      <c r="H220" s="21"/>
      <c r="K220" s="21"/>
      <c r="V220" s="453"/>
      <c r="Y220" s="454"/>
    </row>
    <row r="221" spans="1:64" ht="15.75" customHeight="1">
      <c r="A221" s="340"/>
      <c r="C221" s="345"/>
      <c r="E221" s="21"/>
      <c r="F221" s="21"/>
      <c r="G221" s="21"/>
      <c r="H221" s="21"/>
      <c r="K221" s="21"/>
      <c r="V221" s="453"/>
      <c r="Y221" s="454"/>
    </row>
    <row r="222" spans="1:64" ht="15.75" customHeight="1">
      <c r="C222" s="345"/>
      <c r="E222" s="21"/>
      <c r="F222" s="21"/>
      <c r="G222" s="21"/>
      <c r="H222" s="21"/>
      <c r="K222" s="21"/>
      <c r="V222" s="453"/>
      <c r="Y222" s="454"/>
    </row>
    <row r="223" spans="1:64" ht="15.75" customHeight="1">
      <c r="C223" s="345"/>
      <c r="E223" s="21"/>
      <c r="F223" s="21"/>
      <c r="G223" s="21"/>
      <c r="H223" s="21"/>
      <c r="K223" s="21"/>
      <c r="V223" s="453"/>
      <c r="Y223" s="454"/>
    </row>
    <row r="224" spans="1:64" ht="15.75" customHeight="1">
      <c r="C224" s="345"/>
      <c r="E224" s="21"/>
      <c r="F224" s="21"/>
      <c r="G224" s="21"/>
      <c r="H224" s="21"/>
      <c r="K224" s="21"/>
      <c r="V224" s="453"/>
      <c r="Y224" s="454"/>
    </row>
    <row r="225" spans="3:25" ht="15.75" customHeight="1">
      <c r="C225" s="345"/>
      <c r="E225" s="21"/>
      <c r="F225" s="21"/>
      <c r="G225" s="21"/>
      <c r="H225" s="21"/>
      <c r="K225" s="21"/>
      <c r="V225" s="453"/>
      <c r="Y225" s="454"/>
    </row>
    <row r="226" spans="3:25" ht="15.75" customHeight="1">
      <c r="C226" s="345"/>
      <c r="E226" s="21"/>
      <c r="F226" s="21"/>
      <c r="G226" s="21"/>
      <c r="H226" s="21"/>
      <c r="K226" s="21"/>
      <c r="V226" s="453"/>
      <c r="Y226" s="454"/>
    </row>
    <row r="227" spans="3:25" ht="15.75" customHeight="1">
      <c r="C227" s="345"/>
      <c r="E227" s="21"/>
      <c r="F227" s="21"/>
      <c r="G227" s="21"/>
      <c r="H227" s="21"/>
      <c r="K227" s="21"/>
      <c r="V227" s="453"/>
      <c r="Y227" s="454"/>
    </row>
    <row r="228" spans="3:25" ht="15.75" customHeight="1">
      <c r="C228" s="345"/>
      <c r="E228" s="21"/>
      <c r="F228" s="21"/>
      <c r="G228" s="21"/>
      <c r="H228" s="21"/>
      <c r="K228" s="21"/>
      <c r="V228" s="453"/>
      <c r="Y228" s="454"/>
    </row>
    <row r="229" spans="3:25" ht="15.75" customHeight="1">
      <c r="C229" s="345"/>
      <c r="E229" s="21"/>
      <c r="F229" s="21"/>
      <c r="G229" s="21"/>
      <c r="H229" s="21"/>
      <c r="K229" s="21"/>
      <c r="V229" s="453"/>
      <c r="Y229" s="454"/>
    </row>
    <row r="230" spans="3:25" ht="15.75" customHeight="1">
      <c r="C230" s="345"/>
      <c r="E230" s="21"/>
      <c r="F230" s="21"/>
      <c r="G230" s="21"/>
      <c r="H230" s="21"/>
      <c r="K230" s="21"/>
      <c r="V230" s="453"/>
      <c r="Y230" s="454"/>
    </row>
    <row r="231" spans="3:25" ht="15.75" customHeight="1">
      <c r="C231" s="345"/>
      <c r="E231" s="21"/>
      <c r="F231" s="21"/>
      <c r="G231" s="21"/>
      <c r="H231" s="21"/>
      <c r="K231" s="21"/>
      <c r="V231" s="453"/>
      <c r="Y231" s="454"/>
    </row>
    <row r="232" spans="3:25" ht="15.75" customHeight="1">
      <c r="C232" s="345"/>
      <c r="E232" s="21"/>
      <c r="F232" s="21"/>
      <c r="G232" s="21"/>
      <c r="H232" s="21"/>
      <c r="K232" s="21"/>
      <c r="V232" s="453"/>
      <c r="Y232" s="454"/>
    </row>
    <row r="233" spans="3:25" ht="15.75" customHeight="1">
      <c r="C233" s="345"/>
      <c r="E233" s="21"/>
      <c r="F233" s="21"/>
      <c r="G233" s="21"/>
      <c r="H233" s="21"/>
      <c r="K233" s="21"/>
      <c r="V233" s="453"/>
      <c r="Y233" s="454"/>
    </row>
    <row r="234" spans="3:25" ht="15.75" customHeight="1">
      <c r="C234" s="345"/>
      <c r="E234" s="21"/>
      <c r="F234" s="21"/>
      <c r="G234" s="21"/>
      <c r="H234" s="21"/>
      <c r="K234" s="21"/>
      <c r="V234" s="453"/>
      <c r="Y234" s="454"/>
    </row>
    <row r="235" spans="3:25" ht="15.75" customHeight="1">
      <c r="C235" s="345"/>
      <c r="E235" s="21"/>
      <c r="F235" s="21"/>
      <c r="G235" s="21"/>
      <c r="H235" s="21"/>
      <c r="K235" s="21"/>
      <c r="V235" s="453"/>
      <c r="Y235" s="454"/>
    </row>
    <row r="236" spans="3:25" ht="15.75" customHeight="1">
      <c r="C236" s="345"/>
      <c r="E236" s="21"/>
      <c r="F236" s="21"/>
      <c r="G236" s="21"/>
      <c r="H236" s="21"/>
      <c r="K236" s="21"/>
      <c r="V236" s="453"/>
      <c r="Y236" s="454"/>
    </row>
    <row r="237" spans="3:25" ht="15.75" customHeight="1">
      <c r="C237" s="345"/>
      <c r="E237" s="21"/>
      <c r="F237" s="21"/>
      <c r="G237" s="21"/>
      <c r="H237" s="21"/>
      <c r="K237" s="21"/>
      <c r="V237" s="453"/>
      <c r="Y237" s="454"/>
    </row>
    <row r="238" spans="3:25" ht="15.75" customHeight="1">
      <c r="C238" s="345"/>
      <c r="E238" s="21"/>
      <c r="F238" s="21"/>
      <c r="G238" s="21"/>
      <c r="H238" s="21"/>
      <c r="K238" s="21"/>
      <c r="V238" s="453"/>
      <c r="Y238" s="454"/>
    </row>
    <row r="239" spans="3:25" ht="15.75" customHeight="1">
      <c r="C239" s="345"/>
      <c r="E239" s="21"/>
      <c r="F239" s="21"/>
      <c r="G239" s="21"/>
      <c r="H239" s="21"/>
      <c r="K239" s="21"/>
      <c r="V239" s="453"/>
      <c r="Y239" s="454"/>
    </row>
    <row r="240" spans="3:25" ht="15.75" customHeight="1">
      <c r="C240" s="345"/>
      <c r="E240" s="21"/>
      <c r="F240" s="21"/>
      <c r="G240" s="21"/>
      <c r="H240" s="21"/>
      <c r="K240" s="21"/>
      <c r="V240" s="453"/>
      <c r="Y240" s="454"/>
    </row>
    <row r="241" spans="3:25" ht="15.75" customHeight="1">
      <c r="C241" s="345"/>
      <c r="E241" s="21"/>
      <c r="F241" s="21"/>
      <c r="G241" s="21"/>
      <c r="H241" s="21"/>
      <c r="K241" s="21"/>
      <c r="V241" s="453"/>
      <c r="Y241" s="454"/>
    </row>
    <row r="242" spans="3:25" ht="15.75" customHeight="1">
      <c r="C242" s="345"/>
      <c r="E242" s="21"/>
      <c r="F242" s="21"/>
      <c r="G242" s="21"/>
      <c r="H242" s="21"/>
      <c r="K242" s="21"/>
      <c r="V242" s="453"/>
      <c r="Y242" s="454"/>
    </row>
    <row r="243" spans="3:25" ht="15.75" customHeight="1">
      <c r="C243" s="345"/>
      <c r="E243" s="21"/>
      <c r="F243" s="21"/>
      <c r="G243" s="21"/>
      <c r="H243" s="21"/>
      <c r="K243" s="21"/>
      <c r="V243" s="453"/>
      <c r="Y243" s="454"/>
    </row>
    <row r="244" spans="3:25" ht="15.75" customHeight="1">
      <c r="C244" s="345"/>
      <c r="E244" s="21"/>
      <c r="F244" s="21"/>
      <c r="G244" s="21"/>
      <c r="H244" s="21"/>
      <c r="K244" s="21"/>
      <c r="V244" s="453"/>
      <c r="Y244" s="454"/>
    </row>
    <row r="245" spans="3:25" ht="15.75" customHeight="1">
      <c r="C245" s="345"/>
      <c r="E245" s="21"/>
      <c r="F245" s="21"/>
      <c r="G245" s="21"/>
      <c r="H245" s="21"/>
      <c r="K245" s="21"/>
      <c r="V245" s="453"/>
      <c r="Y245" s="454"/>
    </row>
    <row r="246" spans="3:25" ht="15.75" customHeight="1">
      <c r="C246" s="345"/>
      <c r="E246" s="21"/>
      <c r="F246" s="21"/>
      <c r="G246" s="21"/>
      <c r="H246" s="21"/>
      <c r="K246" s="21"/>
      <c r="V246" s="453"/>
      <c r="Y246" s="454"/>
    </row>
    <row r="247" spans="3:25" ht="15.75" customHeight="1">
      <c r="C247" s="345"/>
      <c r="E247" s="21"/>
      <c r="F247" s="21"/>
      <c r="G247" s="21"/>
      <c r="H247" s="21"/>
      <c r="K247" s="21"/>
      <c r="V247" s="453"/>
      <c r="Y247" s="454"/>
    </row>
    <row r="248" spans="3:25" ht="15.75" customHeight="1">
      <c r="C248" s="345"/>
      <c r="E248" s="21"/>
      <c r="F248" s="21"/>
      <c r="G248" s="21"/>
      <c r="H248" s="21"/>
      <c r="K248" s="21"/>
      <c r="V248" s="453"/>
      <c r="Y248" s="454"/>
    </row>
    <row r="249" spans="3:25" ht="15.75" customHeight="1">
      <c r="C249" s="345"/>
      <c r="E249" s="21"/>
      <c r="F249" s="21"/>
      <c r="G249" s="21"/>
      <c r="H249" s="21"/>
      <c r="K249" s="21"/>
      <c r="V249" s="453"/>
      <c r="Y249" s="454"/>
    </row>
    <row r="250" spans="3:25" ht="15.75" customHeight="1">
      <c r="C250" s="345"/>
      <c r="E250" s="21"/>
      <c r="F250" s="21"/>
      <c r="G250" s="21"/>
      <c r="H250" s="21"/>
      <c r="K250" s="21"/>
      <c r="V250" s="453"/>
      <c r="Y250" s="454"/>
    </row>
    <row r="251" spans="3:25" ht="15.75" customHeight="1">
      <c r="C251" s="345"/>
      <c r="E251" s="21"/>
      <c r="F251" s="21"/>
      <c r="G251" s="21"/>
      <c r="H251" s="21"/>
      <c r="K251" s="21"/>
      <c r="V251" s="453"/>
      <c r="Y251" s="454"/>
    </row>
    <row r="252" spans="3:25" ht="15.75" customHeight="1">
      <c r="C252" s="345"/>
      <c r="E252" s="21"/>
      <c r="F252" s="21"/>
      <c r="G252" s="21"/>
      <c r="H252" s="21"/>
      <c r="K252" s="21"/>
      <c r="V252" s="453"/>
      <c r="Y252" s="454"/>
    </row>
    <row r="253" spans="3:25" ht="15.75" customHeight="1">
      <c r="C253" s="345"/>
      <c r="E253" s="21"/>
      <c r="F253" s="21"/>
      <c r="G253" s="21"/>
      <c r="H253" s="21"/>
      <c r="K253" s="21"/>
      <c r="V253" s="453"/>
      <c r="Y253" s="454"/>
    </row>
    <row r="254" spans="3:25" ht="15.75" customHeight="1">
      <c r="C254" s="345"/>
      <c r="E254" s="21"/>
      <c r="F254" s="21"/>
      <c r="G254" s="21"/>
      <c r="H254" s="21"/>
      <c r="K254" s="21"/>
      <c r="V254" s="453"/>
      <c r="Y254" s="454"/>
    </row>
    <row r="255" spans="3:25" ht="15.75" customHeight="1">
      <c r="C255" s="345"/>
      <c r="E255" s="21"/>
      <c r="F255" s="21"/>
      <c r="G255" s="21"/>
      <c r="H255" s="21"/>
      <c r="K255" s="21"/>
      <c r="V255" s="453"/>
      <c r="Y255" s="454"/>
    </row>
    <row r="256" spans="3:25" ht="15.75" customHeight="1">
      <c r="C256" s="345"/>
      <c r="E256" s="21"/>
      <c r="F256" s="21"/>
      <c r="G256" s="21"/>
      <c r="H256" s="21"/>
      <c r="K256" s="21"/>
      <c r="V256" s="453"/>
      <c r="Y256" s="454"/>
    </row>
    <row r="257" spans="3:25" ht="15.75" customHeight="1">
      <c r="C257" s="345"/>
      <c r="E257" s="21"/>
      <c r="F257" s="21"/>
      <c r="G257" s="21"/>
      <c r="H257" s="21"/>
      <c r="K257" s="21"/>
      <c r="V257" s="453"/>
      <c r="Y257" s="454"/>
    </row>
    <row r="258" spans="3:25" ht="15.75" customHeight="1">
      <c r="C258" s="345"/>
      <c r="E258" s="21"/>
      <c r="F258" s="21"/>
      <c r="G258" s="21"/>
      <c r="H258" s="21"/>
      <c r="K258" s="21"/>
      <c r="V258" s="453"/>
      <c r="Y258" s="454"/>
    </row>
    <row r="259" spans="3:25" ht="15.75" customHeight="1">
      <c r="C259" s="345"/>
      <c r="E259" s="21"/>
      <c r="F259" s="21"/>
      <c r="G259" s="21"/>
      <c r="H259" s="21"/>
      <c r="K259" s="21"/>
      <c r="V259" s="453"/>
      <c r="Y259" s="454"/>
    </row>
    <row r="260" spans="3:25" ht="15.75" customHeight="1">
      <c r="C260" s="345"/>
      <c r="E260" s="21"/>
      <c r="F260" s="21"/>
      <c r="G260" s="21"/>
      <c r="H260" s="21"/>
      <c r="K260" s="21"/>
      <c r="V260" s="453"/>
      <c r="Y260" s="454"/>
    </row>
    <row r="261" spans="3:25" ht="15.75" customHeight="1">
      <c r="C261" s="345"/>
      <c r="E261" s="21"/>
      <c r="F261" s="21"/>
      <c r="G261" s="21"/>
      <c r="H261" s="21"/>
      <c r="K261" s="21"/>
      <c r="V261" s="453"/>
      <c r="Y261" s="454"/>
    </row>
    <row r="262" spans="3:25" ht="15.75" customHeight="1">
      <c r="C262" s="345"/>
      <c r="E262" s="21"/>
      <c r="F262" s="21"/>
      <c r="G262" s="21"/>
      <c r="H262" s="21"/>
      <c r="K262" s="21"/>
      <c r="V262" s="453"/>
      <c r="Y262" s="454"/>
    </row>
    <row r="263" spans="3:25" ht="15.75" customHeight="1">
      <c r="C263" s="345"/>
      <c r="E263" s="21"/>
      <c r="F263" s="21"/>
      <c r="G263" s="21"/>
      <c r="H263" s="21"/>
      <c r="K263" s="21"/>
      <c r="V263" s="453"/>
      <c r="Y263" s="454"/>
    </row>
    <row r="264" spans="3:25" ht="15.75" customHeight="1">
      <c r="C264" s="345"/>
      <c r="E264" s="21"/>
      <c r="F264" s="21"/>
      <c r="G264" s="21"/>
      <c r="H264" s="21"/>
      <c r="K264" s="21"/>
      <c r="V264" s="453"/>
      <c r="Y264" s="454"/>
    </row>
    <row r="265" spans="3:25" ht="15.75" customHeight="1">
      <c r="C265" s="345"/>
      <c r="E265" s="21"/>
      <c r="F265" s="21"/>
      <c r="G265" s="21"/>
      <c r="H265" s="21"/>
      <c r="K265" s="21"/>
      <c r="V265" s="453"/>
      <c r="Y265" s="454"/>
    </row>
    <row r="266" spans="3:25" ht="15.75" customHeight="1">
      <c r="C266" s="345"/>
      <c r="E266" s="21"/>
      <c r="F266" s="21"/>
      <c r="G266" s="21"/>
      <c r="H266" s="21"/>
      <c r="K266" s="21"/>
      <c r="V266" s="453"/>
      <c r="Y266" s="454"/>
    </row>
    <row r="267" spans="3:25" ht="15.75" customHeight="1">
      <c r="C267" s="345"/>
      <c r="E267" s="21"/>
      <c r="F267" s="21"/>
      <c r="G267" s="21"/>
      <c r="H267" s="21"/>
      <c r="K267" s="21"/>
      <c r="V267" s="453"/>
      <c r="Y267" s="454"/>
    </row>
    <row r="268" spans="3:25" ht="15.75" customHeight="1">
      <c r="C268" s="345"/>
      <c r="E268" s="21"/>
      <c r="F268" s="21"/>
      <c r="G268" s="21"/>
      <c r="H268" s="21"/>
      <c r="K268" s="21"/>
      <c r="V268" s="453"/>
      <c r="Y268" s="454"/>
    </row>
    <row r="269" spans="3:25" ht="15.75" customHeight="1">
      <c r="C269" s="345"/>
      <c r="E269" s="21"/>
      <c r="F269" s="21"/>
      <c r="G269" s="21"/>
      <c r="H269" s="21"/>
      <c r="K269" s="21"/>
      <c r="V269" s="453"/>
      <c r="Y269" s="454"/>
    </row>
    <row r="270" spans="3:25" ht="15.75" customHeight="1">
      <c r="C270" s="345"/>
      <c r="E270" s="21"/>
      <c r="F270" s="21"/>
      <c r="G270" s="21"/>
      <c r="H270" s="21"/>
      <c r="K270" s="21"/>
      <c r="V270" s="453"/>
      <c r="Y270" s="454"/>
    </row>
    <row r="271" spans="3:25" ht="15.75" customHeight="1">
      <c r="C271" s="345"/>
      <c r="E271" s="21"/>
      <c r="F271" s="21"/>
      <c r="G271" s="21"/>
      <c r="H271" s="21"/>
      <c r="K271" s="21"/>
      <c r="V271" s="453"/>
      <c r="Y271" s="454"/>
    </row>
    <row r="272" spans="3:25" ht="15.75" customHeight="1">
      <c r="C272" s="345"/>
      <c r="E272" s="21"/>
      <c r="F272" s="21"/>
      <c r="G272" s="21"/>
      <c r="H272" s="21"/>
      <c r="K272" s="21"/>
      <c r="V272" s="453"/>
      <c r="Y272" s="454"/>
    </row>
    <row r="273" spans="3:25" ht="15.75" customHeight="1">
      <c r="C273" s="345"/>
      <c r="E273" s="21"/>
      <c r="F273" s="21"/>
      <c r="G273" s="21"/>
      <c r="H273" s="21"/>
      <c r="K273" s="21"/>
      <c r="V273" s="453"/>
      <c r="Y273" s="454"/>
    </row>
    <row r="274" spans="3:25" ht="15.75" customHeight="1">
      <c r="C274" s="345"/>
      <c r="E274" s="21"/>
      <c r="F274" s="21"/>
      <c r="G274" s="21"/>
      <c r="H274" s="21"/>
      <c r="K274" s="21"/>
      <c r="V274" s="453"/>
      <c r="Y274" s="454"/>
    </row>
    <row r="275" spans="3:25" ht="15.75" customHeight="1">
      <c r="C275" s="345"/>
      <c r="E275" s="21"/>
      <c r="F275" s="21"/>
      <c r="G275" s="21"/>
      <c r="H275" s="21"/>
      <c r="K275" s="21"/>
      <c r="V275" s="453"/>
      <c r="Y275" s="454"/>
    </row>
    <row r="276" spans="3:25" ht="15.75" customHeight="1">
      <c r="C276" s="345"/>
      <c r="E276" s="21"/>
      <c r="F276" s="21"/>
      <c r="G276" s="21"/>
      <c r="H276" s="21"/>
      <c r="K276" s="21"/>
      <c r="V276" s="453"/>
      <c r="Y276" s="454"/>
    </row>
    <row r="277" spans="3:25" ht="15.75" customHeight="1">
      <c r="C277" s="345"/>
      <c r="E277" s="21"/>
      <c r="F277" s="21"/>
      <c r="G277" s="21"/>
      <c r="H277" s="21"/>
      <c r="K277" s="21"/>
      <c r="V277" s="453"/>
      <c r="Y277" s="454"/>
    </row>
    <row r="278" spans="3:25" ht="15.75" customHeight="1">
      <c r="C278" s="345"/>
      <c r="E278" s="21"/>
      <c r="F278" s="21"/>
      <c r="G278" s="21"/>
      <c r="H278" s="21"/>
      <c r="K278" s="21"/>
      <c r="V278" s="453"/>
      <c r="Y278" s="454"/>
    </row>
    <row r="279" spans="3:25" ht="15.75" customHeight="1">
      <c r="C279" s="345"/>
      <c r="E279" s="21"/>
      <c r="F279" s="21"/>
      <c r="G279" s="21"/>
      <c r="H279" s="21"/>
      <c r="K279" s="21"/>
      <c r="V279" s="453"/>
      <c r="Y279" s="454"/>
    </row>
    <row r="280" spans="3:25" ht="15.75" customHeight="1">
      <c r="C280" s="345"/>
      <c r="E280" s="21"/>
      <c r="F280" s="21"/>
      <c r="G280" s="21"/>
      <c r="H280" s="21"/>
      <c r="K280" s="21"/>
      <c r="V280" s="453"/>
      <c r="Y280" s="454"/>
    </row>
    <row r="281" spans="3:25" ht="15.75" customHeight="1">
      <c r="C281" s="345"/>
      <c r="E281" s="21"/>
      <c r="F281" s="21"/>
      <c r="G281" s="21"/>
      <c r="H281" s="21"/>
      <c r="K281" s="21"/>
      <c r="V281" s="453"/>
      <c r="Y281" s="454"/>
    </row>
    <row r="282" spans="3:25" ht="15.75" customHeight="1">
      <c r="C282" s="345"/>
      <c r="E282" s="21"/>
      <c r="F282" s="21"/>
      <c r="G282" s="21"/>
      <c r="H282" s="21"/>
      <c r="K282" s="21"/>
      <c r="V282" s="453"/>
      <c r="Y282" s="454"/>
    </row>
    <row r="283" spans="3:25" ht="15.75" customHeight="1">
      <c r="C283" s="345"/>
      <c r="E283" s="21"/>
      <c r="F283" s="21"/>
      <c r="G283" s="21"/>
      <c r="H283" s="21"/>
      <c r="K283" s="21"/>
      <c r="V283" s="453"/>
      <c r="Y283" s="454"/>
    </row>
    <row r="284" spans="3:25" ht="15.75" customHeight="1">
      <c r="C284" s="345"/>
      <c r="E284" s="21"/>
      <c r="F284" s="21"/>
      <c r="G284" s="21"/>
      <c r="H284" s="21"/>
      <c r="K284" s="21"/>
      <c r="V284" s="453"/>
      <c r="Y284" s="454"/>
    </row>
    <row r="285" spans="3:25" ht="15.75" customHeight="1">
      <c r="C285" s="345"/>
      <c r="E285" s="21"/>
      <c r="F285" s="21"/>
      <c r="G285" s="21"/>
      <c r="H285" s="21"/>
      <c r="K285" s="21"/>
      <c r="V285" s="453"/>
      <c r="Y285" s="454"/>
    </row>
    <row r="286" spans="3:25" ht="15.75" customHeight="1">
      <c r="C286" s="345"/>
      <c r="E286" s="21"/>
      <c r="F286" s="21"/>
      <c r="G286" s="21"/>
      <c r="H286" s="21"/>
      <c r="K286" s="21"/>
      <c r="V286" s="453"/>
      <c r="Y286" s="454"/>
    </row>
    <row r="287" spans="3:25" ht="15.75" customHeight="1">
      <c r="C287" s="345"/>
      <c r="E287" s="21"/>
      <c r="F287" s="21"/>
      <c r="G287" s="21"/>
      <c r="H287" s="21"/>
      <c r="K287" s="21"/>
      <c r="V287" s="453"/>
      <c r="Y287" s="454"/>
    </row>
    <row r="288" spans="3:25" ht="15.75" customHeight="1">
      <c r="C288" s="345"/>
      <c r="E288" s="21"/>
      <c r="F288" s="21"/>
      <c r="G288" s="21"/>
      <c r="H288" s="21"/>
      <c r="K288" s="21"/>
      <c r="V288" s="453"/>
      <c r="Y288" s="454"/>
    </row>
    <row r="289" spans="3:25" ht="15.75" customHeight="1">
      <c r="C289" s="345"/>
      <c r="E289" s="21"/>
      <c r="F289" s="21"/>
      <c r="G289" s="21"/>
      <c r="H289" s="21"/>
      <c r="K289" s="21"/>
      <c r="V289" s="453"/>
      <c r="Y289" s="454"/>
    </row>
    <row r="290" spans="3:25" ht="15.75" customHeight="1">
      <c r="C290" s="345"/>
      <c r="E290" s="21"/>
      <c r="F290" s="21"/>
      <c r="G290" s="21"/>
      <c r="H290" s="21"/>
      <c r="K290" s="21"/>
      <c r="V290" s="453"/>
      <c r="Y290" s="454"/>
    </row>
    <row r="291" spans="3:25" ht="15.75" customHeight="1">
      <c r="C291" s="345"/>
      <c r="E291" s="21"/>
      <c r="F291" s="21"/>
      <c r="G291" s="21"/>
      <c r="H291" s="21"/>
      <c r="K291" s="21"/>
      <c r="V291" s="453"/>
      <c r="Y291" s="454"/>
    </row>
    <row r="292" spans="3:25" ht="15.75" customHeight="1">
      <c r="C292" s="345"/>
      <c r="E292" s="21"/>
      <c r="F292" s="21"/>
      <c r="G292" s="21"/>
      <c r="H292" s="21"/>
      <c r="K292" s="21"/>
      <c r="V292" s="453"/>
      <c r="Y292" s="454"/>
    </row>
    <row r="293" spans="3:25" ht="15.75" customHeight="1">
      <c r="C293" s="345"/>
      <c r="E293" s="21"/>
      <c r="F293" s="21"/>
      <c r="G293" s="21"/>
      <c r="H293" s="21"/>
      <c r="K293" s="21"/>
      <c r="V293" s="453"/>
      <c r="Y293" s="454"/>
    </row>
    <row r="294" spans="3:25" ht="15.75" customHeight="1">
      <c r="C294" s="345"/>
      <c r="E294" s="21"/>
      <c r="F294" s="21"/>
      <c r="G294" s="21"/>
      <c r="H294" s="21"/>
      <c r="K294" s="21"/>
      <c r="V294" s="453"/>
      <c r="Y294" s="454"/>
    </row>
    <row r="295" spans="3:25" ht="15.75" customHeight="1">
      <c r="C295" s="345"/>
      <c r="E295" s="21"/>
      <c r="F295" s="21"/>
      <c r="G295" s="21"/>
      <c r="H295" s="21"/>
      <c r="K295" s="21"/>
      <c r="V295" s="453"/>
      <c r="Y295" s="454"/>
    </row>
    <row r="296" spans="3:25" ht="15.75" customHeight="1">
      <c r="C296" s="345"/>
      <c r="E296" s="21"/>
      <c r="F296" s="21"/>
      <c r="G296" s="21"/>
      <c r="H296" s="21"/>
      <c r="K296" s="21"/>
      <c r="V296" s="453"/>
      <c r="Y296" s="454"/>
    </row>
    <row r="297" spans="3:25" ht="15.75" customHeight="1">
      <c r="C297" s="345"/>
      <c r="E297" s="21"/>
      <c r="F297" s="21"/>
      <c r="G297" s="21"/>
      <c r="H297" s="21"/>
      <c r="K297" s="21"/>
      <c r="V297" s="453"/>
      <c r="Y297" s="454"/>
    </row>
    <row r="298" spans="3:25" ht="15.75" customHeight="1">
      <c r="C298" s="345"/>
      <c r="E298" s="21"/>
      <c r="F298" s="21"/>
      <c r="G298" s="21"/>
      <c r="H298" s="21"/>
      <c r="K298" s="21"/>
      <c r="V298" s="453"/>
      <c r="Y298" s="454"/>
    </row>
    <row r="299" spans="3:25" ht="15.75" customHeight="1">
      <c r="C299" s="345"/>
      <c r="E299" s="21"/>
      <c r="F299" s="21"/>
      <c r="G299" s="21"/>
      <c r="H299" s="21"/>
      <c r="K299" s="21"/>
      <c r="V299" s="453"/>
      <c r="Y299" s="454"/>
    </row>
    <row r="300" spans="3:25" ht="15.75" customHeight="1">
      <c r="C300" s="345"/>
      <c r="E300" s="21"/>
      <c r="F300" s="21"/>
      <c r="G300" s="21"/>
      <c r="H300" s="21"/>
      <c r="K300" s="21"/>
      <c r="V300" s="453"/>
      <c r="Y300" s="454"/>
    </row>
    <row r="301" spans="3:25" ht="15.75" customHeight="1">
      <c r="C301" s="345"/>
      <c r="E301" s="21"/>
      <c r="F301" s="21"/>
      <c r="G301" s="21"/>
      <c r="H301" s="21"/>
      <c r="K301" s="21"/>
      <c r="V301" s="453"/>
      <c r="Y301" s="454"/>
    </row>
    <row r="302" spans="3:25" ht="15.75" customHeight="1">
      <c r="C302" s="345"/>
      <c r="E302" s="21"/>
      <c r="F302" s="21"/>
      <c r="G302" s="21"/>
      <c r="H302" s="21"/>
      <c r="K302" s="21"/>
      <c r="V302" s="453"/>
      <c r="Y302" s="454"/>
    </row>
    <row r="303" spans="3:25" ht="15.75" customHeight="1">
      <c r="C303" s="345"/>
      <c r="E303" s="21"/>
      <c r="F303" s="21"/>
      <c r="G303" s="21"/>
      <c r="H303" s="21"/>
      <c r="K303" s="21"/>
      <c r="V303" s="453"/>
      <c r="Y303" s="454"/>
    </row>
    <row r="304" spans="3:25" ht="15.75" customHeight="1">
      <c r="C304" s="345"/>
      <c r="E304" s="21"/>
      <c r="F304" s="21"/>
      <c r="G304" s="21"/>
      <c r="H304" s="21"/>
      <c r="K304" s="21"/>
      <c r="V304" s="453"/>
      <c r="Y304" s="454"/>
    </row>
    <row r="305" spans="3:25" ht="15.75" customHeight="1">
      <c r="C305" s="345"/>
      <c r="E305" s="21"/>
      <c r="F305" s="21"/>
      <c r="G305" s="21"/>
      <c r="H305" s="21"/>
      <c r="K305" s="21"/>
      <c r="V305" s="453"/>
      <c r="Y305" s="454"/>
    </row>
    <row r="306" spans="3:25" ht="15.75" customHeight="1">
      <c r="C306" s="345"/>
      <c r="E306" s="21"/>
      <c r="F306" s="21"/>
      <c r="G306" s="21"/>
      <c r="H306" s="21"/>
      <c r="K306" s="21"/>
      <c r="V306" s="453"/>
      <c r="Y306" s="454"/>
    </row>
    <row r="307" spans="3:25" ht="15.75" customHeight="1">
      <c r="C307" s="345"/>
      <c r="E307" s="21"/>
      <c r="F307" s="21"/>
      <c r="G307" s="21"/>
      <c r="H307" s="21"/>
      <c r="K307" s="21"/>
      <c r="V307" s="453"/>
      <c r="Y307" s="454"/>
    </row>
    <row r="308" spans="3:25" ht="15.75" customHeight="1">
      <c r="C308" s="345"/>
      <c r="E308" s="21"/>
      <c r="F308" s="21"/>
      <c r="G308" s="21"/>
      <c r="H308" s="21"/>
      <c r="K308" s="21"/>
      <c r="V308" s="453"/>
      <c r="Y308" s="454"/>
    </row>
    <row r="309" spans="3:25" ht="15.75" customHeight="1">
      <c r="C309" s="345"/>
      <c r="E309" s="21"/>
      <c r="F309" s="21"/>
      <c r="G309" s="21"/>
      <c r="H309" s="21"/>
      <c r="K309" s="21"/>
      <c r="V309" s="453"/>
      <c r="Y309" s="454"/>
    </row>
    <row r="310" spans="3:25" ht="15.75" customHeight="1">
      <c r="C310" s="345"/>
      <c r="E310" s="21"/>
      <c r="F310" s="21"/>
      <c r="G310" s="21"/>
      <c r="H310" s="21"/>
      <c r="K310" s="21"/>
      <c r="V310" s="453"/>
      <c r="Y310" s="454"/>
    </row>
    <row r="311" spans="3:25" ht="15.75" customHeight="1">
      <c r="C311" s="345"/>
      <c r="E311" s="21"/>
      <c r="F311" s="21"/>
      <c r="G311" s="21"/>
      <c r="H311" s="21"/>
      <c r="K311" s="21"/>
      <c r="V311" s="453"/>
      <c r="Y311" s="454"/>
    </row>
    <row r="312" spans="3:25" ht="15.75" customHeight="1">
      <c r="C312" s="345"/>
      <c r="E312" s="21"/>
      <c r="F312" s="21"/>
      <c r="G312" s="21"/>
      <c r="H312" s="21"/>
      <c r="K312" s="21"/>
      <c r="V312" s="453"/>
      <c r="Y312" s="454"/>
    </row>
    <row r="313" spans="3:25" ht="15.75" customHeight="1">
      <c r="C313" s="345"/>
      <c r="E313" s="21"/>
      <c r="F313" s="21"/>
      <c r="G313" s="21"/>
      <c r="H313" s="21"/>
      <c r="K313" s="21"/>
      <c r="V313" s="453"/>
      <c r="Y313" s="454"/>
    </row>
    <row r="314" spans="3:25" ht="15.75" customHeight="1">
      <c r="C314" s="345"/>
      <c r="E314" s="21"/>
      <c r="F314" s="21"/>
      <c r="G314" s="21"/>
      <c r="H314" s="21"/>
      <c r="K314" s="21"/>
      <c r="V314" s="453"/>
      <c r="Y314" s="454"/>
    </row>
    <row r="315" spans="3:25" ht="15.75" customHeight="1">
      <c r="C315" s="345"/>
      <c r="E315" s="21"/>
      <c r="F315" s="21"/>
      <c r="G315" s="21"/>
      <c r="H315" s="21"/>
      <c r="K315" s="21"/>
      <c r="V315" s="453"/>
      <c r="Y315" s="454"/>
    </row>
    <row r="316" spans="3:25" ht="15.75" customHeight="1">
      <c r="C316" s="345"/>
      <c r="E316" s="21"/>
      <c r="F316" s="21"/>
      <c r="G316" s="21"/>
      <c r="H316" s="21"/>
      <c r="K316" s="21"/>
      <c r="V316" s="453"/>
      <c r="Y316" s="454"/>
    </row>
    <row r="317" spans="3:25" ht="15.75" customHeight="1">
      <c r="C317" s="345"/>
      <c r="E317" s="21"/>
      <c r="F317" s="21"/>
      <c r="G317" s="21"/>
      <c r="H317" s="21"/>
      <c r="K317" s="21"/>
      <c r="V317" s="453"/>
      <c r="Y317" s="454"/>
    </row>
    <row r="318" spans="3:25" ht="15.75" customHeight="1">
      <c r="C318" s="345"/>
      <c r="E318" s="21"/>
      <c r="F318" s="21"/>
      <c r="G318" s="21"/>
      <c r="H318" s="21"/>
      <c r="K318" s="21"/>
      <c r="V318" s="453"/>
      <c r="Y318" s="454"/>
    </row>
    <row r="319" spans="3:25" ht="15.75" customHeight="1">
      <c r="C319" s="345"/>
      <c r="E319" s="21"/>
      <c r="F319" s="21"/>
      <c r="G319" s="21"/>
      <c r="H319" s="21"/>
      <c r="K319" s="21"/>
      <c r="V319" s="453"/>
      <c r="Y319" s="454"/>
    </row>
    <row r="320" spans="3:25" ht="15.75" customHeight="1">
      <c r="C320" s="345"/>
      <c r="E320" s="21"/>
      <c r="F320" s="21"/>
      <c r="G320" s="21"/>
      <c r="H320" s="21"/>
      <c r="K320" s="21"/>
      <c r="V320" s="453"/>
      <c r="Y320" s="454"/>
    </row>
    <row r="321" spans="3:25" ht="15.75" customHeight="1">
      <c r="C321" s="345"/>
      <c r="E321" s="21"/>
      <c r="F321" s="21"/>
      <c r="G321" s="21"/>
      <c r="H321" s="21"/>
      <c r="K321" s="21"/>
      <c r="V321" s="453"/>
      <c r="Y321" s="454"/>
    </row>
    <row r="322" spans="3:25" ht="15.75" customHeight="1">
      <c r="C322" s="345"/>
      <c r="E322" s="21"/>
      <c r="F322" s="21"/>
      <c r="G322" s="21"/>
      <c r="H322" s="21"/>
      <c r="K322" s="21"/>
      <c r="V322" s="453"/>
      <c r="Y322" s="454"/>
    </row>
    <row r="323" spans="3:25" ht="15.75" customHeight="1">
      <c r="C323" s="345"/>
      <c r="E323" s="21"/>
      <c r="F323" s="21"/>
      <c r="G323" s="21"/>
      <c r="H323" s="21"/>
      <c r="K323" s="21"/>
      <c r="V323" s="453"/>
      <c r="Y323" s="454"/>
    </row>
    <row r="324" spans="3:25" ht="15.75" customHeight="1">
      <c r="C324" s="345"/>
      <c r="E324" s="21"/>
      <c r="F324" s="21"/>
      <c r="G324" s="21"/>
      <c r="H324" s="21"/>
      <c r="K324" s="21"/>
      <c r="V324" s="453"/>
      <c r="Y324" s="454"/>
    </row>
    <row r="325" spans="3:25" ht="15.75" customHeight="1">
      <c r="C325" s="345"/>
      <c r="E325" s="21"/>
      <c r="F325" s="21"/>
      <c r="G325" s="21"/>
      <c r="H325" s="21"/>
      <c r="K325" s="21"/>
      <c r="V325" s="453"/>
      <c r="Y325" s="454"/>
    </row>
    <row r="326" spans="3:25" ht="15.75" customHeight="1">
      <c r="C326" s="345"/>
      <c r="E326" s="21"/>
      <c r="F326" s="21"/>
      <c r="G326" s="21"/>
      <c r="H326" s="21"/>
      <c r="K326" s="21"/>
      <c r="V326" s="453"/>
      <c r="Y326" s="454"/>
    </row>
    <row r="327" spans="3:25" ht="15.75" customHeight="1">
      <c r="C327" s="345"/>
      <c r="E327" s="21"/>
      <c r="F327" s="21"/>
      <c r="G327" s="21"/>
      <c r="H327" s="21"/>
      <c r="K327" s="21"/>
      <c r="V327" s="453"/>
      <c r="Y327" s="454"/>
    </row>
    <row r="328" spans="3:25" ht="15.75" customHeight="1">
      <c r="C328" s="345"/>
      <c r="E328" s="21"/>
      <c r="F328" s="21"/>
      <c r="G328" s="21"/>
      <c r="H328" s="21"/>
      <c r="K328" s="21"/>
      <c r="V328" s="453"/>
      <c r="Y328" s="454"/>
    </row>
    <row r="329" spans="3:25" ht="15.75" customHeight="1">
      <c r="C329" s="345"/>
      <c r="E329" s="21"/>
      <c r="F329" s="21"/>
      <c r="G329" s="21"/>
      <c r="H329" s="21"/>
      <c r="K329" s="21"/>
      <c r="V329" s="453"/>
      <c r="Y329" s="454"/>
    </row>
    <row r="330" spans="3:25" ht="15.75" customHeight="1">
      <c r="C330" s="345"/>
      <c r="E330" s="21"/>
      <c r="F330" s="21"/>
      <c r="G330" s="21"/>
      <c r="H330" s="21"/>
      <c r="K330" s="21"/>
      <c r="V330" s="453"/>
      <c r="Y330" s="454"/>
    </row>
    <row r="331" spans="3:25" ht="15.75" customHeight="1">
      <c r="C331" s="345"/>
      <c r="E331" s="21"/>
      <c r="F331" s="21"/>
      <c r="G331" s="21"/>
      <c r="H331" s="21"/>
      <c r="K331" s="21"/>
      <c r="V331" s="453"/>
      <c r="Y331" s="454"/>
    </row>
    <row r="332" spans="3:25" ht="15.75" customHeight="1">
      <c r="C332" s="345"/>
      <c r="E332" s="21"/>
      <c r="F332" s="21"/>
      <c r="G332" s="21"/>
      <c r="H332" s="21"/>
      <c r="K332" s="21"/>
      <c r="V332" s="453"/>
      <c r="Y332" s="454"/>
    </row>
    <row r="333" spans="3:25" ht="15.75" customHeight="1">
      <c r="C333" s="345"/>
      <c r="E333" s="21"/>
      <c r="F333" s="21"/>
      <c r="G333" s="21"/>
      <c r="H333" s="21"/>
      <c r="K333" s="21"/>
      <c r="V333" s="453"/>
      <c r="Y333" s="454"/>
    </row>
    <row r="334" spans="3:25" ht="15.75" customHeight="1">
      <c r="C334" s="345"/>
      <c r="E334" s="21"/>
      <c r="F334" s="21"/>
      <c r="G334" s="21"/>
      <c r="H334" s="21"/>
      <c r="K334" s="21"/>
      <c r="V334" s="453"/>
      <c r="Y334" s="454"/>
    </row>
    <row r="335" spans="3:25" ht="15.75" customHeight="1">
      <c r="C335" s="345"/>
      <c r="E335" s="21"/>
      <c r="F335" s="21"/>
      <c r="G335" s="21"/>
      <c r="H335" s="21"/>
      <c r="K335" s="21"/>
      <c r="V335" s="453"/>
      <c r="Y335" s="454"/>
    </row>
    <row r="336" spans="3:25" ht="15.75" customHeight="1">
      <c r="C336" s="345"/>
      <c r="E336" s="21"/>
      <c r="F336" s="21"/>
      <c r="G336" s="21"/>
      <c r="H336" s="21"/>
      <c r="K336" s="21"/>
      <c r="V336" s="453"/>
      <c r="Y336" s="454"/>
    </row>
    <row r="337" spans="3:25" ht="15.75" customHeight="1">
      <c r="C337" s="345"/>
      <c r="E337" s="21"/>
      <c r="F337" s="21"/>
      <c r="G337" s="21"/>
      <c r="H337" s="21"/>
      <c r="K337" s="21"/>
      <c r="V337" s="453"/>
      <c r="Y337" s="454"/>
    </row>
    <row r="338" spans="3:25" ht="15.75" customHeight="1">
      <c r="C338" s="345"/>
      <c r="E338" s="21"/>
      <c r="F338" s="21"/>
      <c r="G338" s="21"/>
      <c r="H338" s="21"/>
      <c r="K338" s="21"/>
      <c r="V338" s="453"/>
      <c r="Y338" s="454"/>
    </row>
    <row r="339" spans="3:25" ht="15.75" customHeight="1">
      <c r="C339" s="345"/>
      <c r="E339" s="21"/>
      <c r="F339" s="21"/>
      <c r="G339" s="21"/>
      <c r="H339" s="21"/>
      <c r="K339" s="21"/>
      <c r="V339" s="453"/>
      <c r="Y339" s="454"/>
    </row>
    <row r="340" spans="3:25" ht="15.75" customHeight="1">
      <c r="C340" s="345"/>
      <c r="E340" s="21"/>
      <c r="F340" s="21"/>
      <c r="G340" s="21"/>
      <c r="H340" s="21"/>
      <c r="K340" s="21"/>
      <c r="V340" s="453"/>
      <c r="Y340" s="454"/>
    </row>
    <row r="341" spans="3:25" ht="15.75" customHeight="1">
      <c r="C341" s="345"/>
      <c r="E341" s="21"/>
      <c r="F341" s="21"/>
      <c r="G341" s="21"/>
      <c r="H341" s="21"/>
      <c r="K341" s="21"/>
      <c r="V341" s="453"/>
      <c r="Y341" s="454"/>
    </row>
    <row r="342" spans="3:25" ht="15.75" customHeight="1">
      <c r="C342" s="345"/>
      <c r="E342" s="21"/>
      <c r="F342" s="21"/>
      <c r="G342" s="21"/>
      <c r="H342" s="21"/>
      <c r="K342" s="21"/>
      <c r="V342" s="453"/>
      <c r="Y342" s="454"/>
    </row>
    <row r="343" spans="3:25" ht="15.75" customHeight="1">
      <c r="C343" s="345"/>
      <c r="E343" s="21"/>
      <c r="F343" s="21"/>
      <c r="G343" s="21"/>
      <c r="H343" s="21"/>
      <c r="K343" s="21"/>
      <c r="V343" s="453"/>
      <c r="Y343" s="454"/>
    </row>
    <row r="344" spans="3:25" ht="15.75" customHeight="1">
      <c r="C344" s="345"/>
      <c r="E344" s="21"/>
      <c r="F344" s="21"/>
      <c r="G344" s="21"/>
      <c r="H344" s="21"/>
      <c r="K344" s="21"/>
      <c r="V344" s="453"/>
      <c r="Y344" s="454"/>
    </row>
    <row r="345" spans="3:25" ht="15.75" customHeight="1">
      <c r="C345" s="345"/>
      <c r="E345" s="21"/>
      <c r="F345" s="21"/>
      <c r="G345" s="21"/>
      <c r="H345" s="21"/>
      <c r="K345" s="21"/>
      <c r="V345" s="453"/>
      <c r="Y345" s="454"/>
    </row>
    <row r="346" spans="3:25" ht="15.75" customHeight="1">
      <c r="C346" s="345"/>
      <c r="E346" s="21"/>
      <c r="F346" s="21"/>
      <c r="G346" s="21"/>
      <c r="H346" s="21"/>
      <c r="K346" s="21"/>
      <c r="V346" s="453"/>
      <c r="Y346" s="454"/>
    </row>
    <row r="347" spans="3:25" ht="15.75" customHeight="1">
      <c r="C347" s="345"/>
      <c r="E347" s="21"/>
      <c r="F347" s="21"/>
      <c r="G347" s="21"/>
      <c r="H347" s="21"/>
      <c r="K347" s="21"/>
      <c r="V347" s="453"/>
      <c r="Y347" s="454"/>
    </row>
    <row r="348" spans="3:25" ht="15.75" customHeight="1">
      <c r="C348" s="345"/>
      <c r="E348" s="21"/>
      <c r="F348" s="21"/>
      <c r="G348" s="21"/>
      <c r="H348" s="21"/>
      <c r="K348" s="21"/>
      <c r="V348" s="453"/>
      <c r="Y348" s="454"/>
    </row>
    <row r="349" spans="3:25" ht="15.75" customHeight="1">
      <c r="C349" s="345"/>
      <c r="E349" s="21"/>
      <c r="F349" s="21"/>
      <c r="G349" s="21"/>
      <c r="H349" s="21"/>
      <c r="K349" s="21"/>
      <c r="V349" s="453"/>
      <c r="Y349" s="454"/>
    </row>
    <row r="350" spans="3:25" ht="15.75" customHeight="1">
      <c r="C350" s="345"/>
      <c r="E350" s="21"/>
      <c r="F350" s="21"/>
      <c r="G350" s="21"/>
      <c r="H350" s="21"/>
      <c r="K350" s="21"/>
      <c r="V350" s="453"/>
      <c r="Y350" s="454"/>
    </row>
    <row r="351" spans="3:25" ht="15.75" customHeight="1">
      <c r="C351" s="345"/>
      <c r="E351" s="21"/>
      <c r="F351" s="21"/>
      <c r="G351" s="21"/>
      <c r="H351" s="21"/>
      <c r="K351" s="21"/>
      <c r="V351" s="453"/>
      <c r="Y351" s="454"/>
    </row>
    <row r="352" spans="3:25" ht="15.75" customHeight="1">
      <c r="C352" s="345"/>
      <c r="E352" s="21"/>
      <c r="F352" s="21"/>
      <c r="G352" s="21"/>
      <c r="H352" s="21"/>
      <c r="K352" s="21"/>
      <c r="V352" s="453"/>
      <c r="Y352" s="454"/>
    </row>
    <row r="353" spans="3:25" ht="15.75" customHeight="1">
      <c r="C353" s="345"/>
      <c r="E353" s="21"/>
      <c r="F353" s="21"/>
      <c r="G353" s="21"/>
      <c r="H353" s="21"/>
      <c r="K353" s="21"/>
      <c r="V353" s="453"/>
      <c r="Y353" s="454"/>
    </row>
    <row r="354" spans="3:25" ht="15.75" customHeight="1">
      <c r="C354" s="345"/>
      <c r="E354" s="21"/>
      <c r="F354" s="21"/>
      <c r="G354" s="21"/>
      <c r="H354" s="21"/>
      <c r="K354" s="21"/>
      <c r="V354" s="453"/>
      <c r="Y354" s="454"/>
    </row>
    <row r="355" spans="3:25" ht="15.75" customHeight="1">
      <c r="C355" s="345"/>
      <c r="E355" s="21"/>
      <c r="F355" s="21"/>
      <c r="G355" s="21"/>
      <c r="H355" s="21"/>
      <c r="K355" s="21"/>
      <c r="V355" s="453"/>
      <c r="Y355" s="454"/>
    </row>
    <row r="356" spans="3:25" ht="15.75" customHeight="1">
      <c r="C356" s="345"/>
      <c r="E356" s="21"/>
      <c r="F356" s="21"/>
      <c r="G356" s="21"/>
      <c r="H356" s="21"/>
      <c r="K356" s="21"/>
      <c r="V356" s="453"/>
      <c r="Y356" s="454"/>
    </row>
    <row r="357" spans="3:25" ht="15.75" customHeight="1">
      <c r="C357" s="345"/>
      <c r="E357" s="21"/>
      <c r="F357" s="21"/>
      <c r="G357" s="21"/>
      <c r="H357" s="21"/>
      <c r="K357" s="21"/>
      <c r="V357" s="453"/>
      <c r="Y357" s="454"/>
    </row>
    <row r="358" spans="3:25" ht="15.75" customHeight="1">
      <c r="C358" s="345"/>
      <c r="E358" s="21"/>
      <c r="F358" s="21"/>
      <c r="G358" s="21"/>
      <c r="H358" s="21"/>
      <c r="K358" s="21"/>
      <c r="V358" s="453"/>
      <c r="Y358" s="454"/>
    </row>
    <row r="359" spans="3:25" ht="15.75" customHeight="1">
      <c r="C359" s="345"/>
      <c r="E359" s="21"/>
      <c r="F359" s="21"/>
      <c r="G359" s="21"/>
      <c r="H359" s="21"/>
      <c r="K359" s="21"/>
      <c r="V359" s="453"/>
      <c r="Y359" s="454"/>
    </row>
    <row r="360" spans="3:25" ht="15.75" customHeight="1">
      <c r="C360" s="345"/>
      <c r="E360" s="21"/>
      <c r="F360" s="21"/>
      <c r="G360" s="21"/>
      <c r="H360" s="21"/>
      <c r="K360" s="21"/>
      <c r="V360" s="453"/>
      <c r="Y360" s="454"/>
    </row>
    <row r="361" spans="3:25" ht="15.75" customHeight="1">
      <c r="C361" s="345"/>
      <c r="E361" s="21"/>
      <c r="F361" s="21"/>
      <c r="G361" s="21"/>
      <c r="H361" s="21"/>
      <c r="K361" s="21"/>
      <c r="V361" s="453"/>
      <c r="Y361" s="454"/>
    </row>
    <row r="362" spans="3:25" ht="15.75" customHeight="1">
      <c r="C362" s="345"/>
      <c r="E362" s="21"/>
      <c r="F362" s="21"/>
      <c r="G362" s="21"/>
      <c r="H362" s="21"/>
      <c r="K362" s="21"/>
      <c r="V362" s="453"/>
      <c r="Y362" s="454"/>
    </row>
    <row r="363" spans="3:25" ht="15.75" customHeight="1">
      <c r="C363" s="345"/>
      <c r="E363" s="21"/>
      <c r="F363" s="21"/>
      <c r="G363" s="21"/>
      <c r="H363" s="21"/>
      <c r="K363" s="21"/>
      <c r="V363" s="453"/>
      <c r="Y363" s="454"/>
    </row>
    <row r="364" spans="3:25" ht="15.75" customHeight="1">
      <c r="C364" s="345"/>
      <c r="E364" s="21"/>
      <c r="F364" s="21"/>
      <c r="G364" s="21"/>
      <c r="H364" s="21"/>
      <c r="K364" s="21"/>
      <c r="V364" s="453"/>
      <c r="Y364" s="454"/>
    </row>
    <row r="365" spans="3:25" ht="15.75" customHeight="1">
      <c r="C365" s="345"/>
      <c r="E365" s="21"/>
      <c r="F365" s="21"/>
      <c r="G365" s="21"/>
      <c r="H365" s="21"/>
      <c r="K365" s="21"/>
      <c r="V365" s="453"/>
      <c r="Y365" s="454"/>
    </row>
    <row r="366" spans="3:25" ht="15.75" customHeight="1">
      <c r="C366" s="345"/>
      <c r="E366" s="21"/>
      <c r="F366" s="21"/>
      <c r="G366" s="21"/>
      <c r="H366" s="21"/>
      <c r="K366" s="21"/>
      <c r="V366" s="453"/>
      <c r="Y366" s="454"/>
    </row>
    <row r="367" spans="3:25" ht="15.75" customHeight="1">
      <c r="C367" s="345"/>
      <c r="E367" s="21"/>
      <c r="F367" s="21"/>
      <c r="G367" s="21"/>
      <c r="H367" s="21"/>
      <c r="K367" s="21"/>
      <c r="V367" s="453"/>
      <c r="Y367" s="454"/>
    </row>
    <row r="368" spans="3:25" ht="15.75" customHeight="1">
      <c r="C368" s="345"/>
      <c r="E368" s="21"/>
      <c r="F368" s="21"/>
      <c r="G368" s="21"/>
      <c r="H368" s="21"/>
      <c r="K368" s="21"/>
      <c r="V368" s="453"/>
      <c r="Y368" s="454"/>
    </row>
    <row r="369" spans="3:25" ht="15.75" customHeight="1">
      <c r="C369" s="345"/>
      <c r="E369" s="21"/>
      <c r="F369" s="21"/>
      <c r="G369" s="21"/>
      <c r="H369" s="21"/>
      <c r="K369" s="21"/>
      <c r="V369" s="453"/>
      <c r="Y369" s="454"/>
    </row>
    <row r="370" spans="3:25" ht="15.75" customHeight="1">
      <c r="C370" s="345"/>
      <c r="E370" s="21"/>
      <c r="F370" s="21"/>
      <c r="G370" s="21"/>
      <c r="H370" s="21"/>
      <c r="K370" s="21"/>
      <c r="V370" s="453"/>
      <c r="Y370" s="454"/>
    </row>
    <row r="371" spans="3:25" ht="15.75" customHeight="1">
      <c r="C371" s="345"/>
      <c r="E371" s="21"/>
      <c r="F371" s="21"/>
      <c r="G371" s="21"/>
      <c r="H371" s="21"/>
      <c r="K371" s="21"/>
      <c r="V371" s="453"/>
      <c r="Y371" s="454"/>
    </row>
    <row r="372" spans="3:25" ht="15.75" customHeight="1">
      <c r="C372" s="345"/>
      <c r="E372" s="21"/>
      <c r="F372" s="21"/>
      <c r="G372" s="21"/>
      <c r="H372" s="21"/>
      <c r="K372" s="21"/>
      <c r="V372" s="453"/>
      <c r="Y372" s="454"/>
    </row>
    <row r="373" spans="3:25" ht="15.75" customHeight="1">
      <c r="C373" s="345"/>
      <c r="E373" s="21"/>
      <c r="F373" s="21"/>
      <c r="G373" s="21"/>
      <c r="H373" s="21"/>
      <c r="K373" s="21"/>
      <c r="V373" s="453"/>
      <c r="Y373" s="454"/>
    </row>
    <row r="374" spans="3:25" ht="15.75" customHeight="1">
      <c r="C374" s="345"/>
      <c r="E374" s="21"/>
      <c r="F374" s="21"/>
      <c r="G374" s="21"/>
      <c r="H374" s="21"/>
      <c r="K374" s="21"/>
      <c r="V374" s="453"/>
      <c r="Y374" s="454"/>
    </row>
    <row r="375" spans="3:25" ht="15.75" customHeight="1">
      <c r="C375" s="345"/>
      <c r="E375" s="21"/>
      <c r="F375" s="21"/>
      <c r="G375" s="21"/>
      <c r="H375" s="21"/>
      <c r="K375" s="21"/>
      <c r="V375" s="453"/>
      <c r="Y375" s="454"/>
    </row>
    <row r="376" spans="3:25" ht="15.75" customHeight="1">
      <c r="C376" s="345"/>
      <c r="E376" s="21"/>
      <c r="F376" s="21"/>
      <c r="G376" s="21"/>
      <c r="H376" s="21"/>
      <c r="K376" s="21"/>
      <c r="V376" s="453"/>
      <c r="Y376" s="454"/>
    </row>
    <row r="377" spans="3:25">
      <c r="V377" s="453"/>
      <c r="Y377" s="454"/>
    </row>
    <row r="378" spans="3:25">
      <c r="V378" s="453"/>
      <c r="Y378" s="454"/>
    </row>
    <row r="379" spans="3:25">
      <c r="V379" s="453"/>
      <c r="Y379" s="454"/>
    </row>
    <row r="380" spans="3:25">
      <c r="V380" s="453"/>
      <c r="Y380" s="454"/>
    </row>
    <row r="381" spans="3:25">
      <c r="V381" s="453"/>
      <c r="Y381" s="454"/>
    </row>
    <row r="382" spans="3:25">
      <c r="V382" s="453"/>
      <c r="Y382" s="454"/>
    </row>
    <row r="383" spans="3:25">
      <c r="V383" s="453"/>
      <c r="Y383" s="454"/>
    </row>
    <row r="384" spans="3:25">
      <c r="V384" s="453"/>
      <c r="Y384" s="454"/>
    </row>
    <row r="385" spans="22:25">
      <c r="V385" s="453"/>
      <c r="Y385" s="454"/>
    </row>
    <row r="386" spans="22:25">
      <c r="V386" s="453"/>
      <c r="Y386" s="454"/>
    </row>
    <row r="387" spans="22:25">
      <c r="V387" s="453"/>
      <c r="Y387" s="454"/>
    </row>
    <row r="388" spans="22:25">
      <c r="V388" s="453"/>
      <c r="Y388" s="454"/>
    </row>
    <row r="389" spans="22:25">
      <c r="V389" s="453"/>
      <c r="Y389" s="454"/>
    </row>
    <row r="390" spans="22:25">
      <c r="V390" s="453"/>
      <c r="Y390" s="454"/>
    </row>
    <row r="391" spans="22:25">
      <c r="V391" s="453"/>
      <c r="Y391" s="454"/>
    </row>
    <row r="392" spans="22:25">
      <c r="V392" s="453"/>
      <c r="Y392" s="454"/>
    </row>
    <row r="393" spans="22:25">
      <c r="V393" s="453"/>
      <c r="Y393" s="454"/>
    </row>
    <row r="394" spans="22:25">
      <c r="V394" s="453"/>
      <c r="Y394" s="454"/>
    </row>
    <row r="395" spans="22:25">
      <c r="V395" s="453"/>
      <c r="Y395" s="454"/>
    </row>
    <row r="396" spans="22:25">
      <c r="V396" s="453"/>
      <c r="Y396" s="454"/>
    </row>
    <row r="397" spans="22:25">
      <c r="V397" s="453"/>
      <c r="Y397" s="454"/>
    </row>
    <row r="398" spans="22:25">
      <c r="V398" s="453"/>
      <c r="Y398" s="454"/>
    </row>
    <row r="399" spans="22:25">
      <c r="V399" s="453"/>
      <c r="Y399" s="454"/>
    </row>
    <row r="400" spans="22:25">
      <c r="V400" s="453"/>
      <c r="Y400" s="454"/>
    </row>
    <row r="401" spans="22:25">
      <c r="V401" s="453"/>
      <c r="Y401" s="454"/>
    </row>
    <row r="402" spans="22:25">
      <c r="V402" s="453"/>
      <c r="Y402" s="454"/>
    </row>
    <row r="403" spans="22:25">
      <c r="V403" s="453"/>
      <c r="Y403" s="454"/>
    </row>
    <row r="404" spans="22:25">
      <c r="V404" s="453"/>
      <c r="Y404" s="454"/>
    </row>
    <row r="405" spans="22:25">
      <c r="V405" s="453"/>
      <c r="Y405" s="454"/>
    </row>
    <row r="406" spans="22:25">
      <c r="V406" s="453"/>
      <c r="Y406" s="454"/>
    </row>
    <row r="407" spans="22:25">
      <c r="V407" s="453"/>
      <c r="Y407" s="454"/>
    </row>
    <row r="408" spans="22:25">
      <c r="V408" s="453"/>
      <c r="Y408" s="454"/>
    </row>
    <row r="409" spans="22:25">
      <c r="V409" s="453"/>
      <c r="Y409" s="454"/>
    </row>
    <row r="410" spans="22:25">
      <c r="V410" s="453"/>
      <c r="Y410" s="454"/>
    </row>
    <row r="411" spans="22:25">
      <c r="V411" s="453"/>
      <c r="Y411" s="454"/>
    </row>
    <row r="412" spans="22:25">
      <c r="V412" s="453"/>
      <c r="Y412" s="454"/>
    </row>
    <row r="413" spans="22:25">
      <c r="V413" s="453"/>
      <c r="Y413" s="454"/>
    </row>
    <row r="414" spans="22:25">
      <c r="V414" s="453"/>
      <c r="Y414" s="454"/>
    </row>
    <row r="415" spans="22:25">
      <c r="V415" s="453"/>
      <c r="Y415" s="454"/>
    </row>
    <row r="416" spans="22:25">
      <c r="V416" s="453"/>
      <c r="Y416" s="454"/>
    </row>
    <row r="417" spans="22:25">
      <c r="V417" s="453"/>
      <c r="Y417" s="454"/>
    </row>
    <row r="418" spans="22:25">
      <c r="V418" s="453"/>
      <c r="Y418" s="454"/>
    </row>
    <row r="419" spans="22:25">
      <c r="V419" s="453"/>
      <c r="Y419" s="454"/>
    </row>
    <row r="420" spans="22:25">
      <c r="V420" s="453"/>
      <c r="Y420" s="454"/>
    </row>
    <row r="421" spans="22:25">
      <c r="V421" s="453"/>
      <c r="Y421" s="454"/>
    </row>
    <row r="422" spans="22:25">
      <c r="V422" s="453"/>
      <c r="Y422" s="454"/>
    </row>
    <row r="423" spans="22:25">
      <c r="V423" s="453"/>
      <c r="Y423" s="454"/>
    </row>
    <row r="424" spans="22:25">
      <c r="V424" s="453"/>
      <c r="Y424" s="454"/>
    </row>
    <row r="425" spans="22:25">
      <c r="V425" s="453"/>
      <c r="Y425" s="454"/>
    </row>
    <row r="426" spans="22:25">
      <c r="V426" s="453"/>
      <c r="Y426" s="454"/>
    </row>
    <row r="427" spans="22:25">
      <c r="V427" s="453"/>
      <c r="Y427" s="454"/>
    </row>
    <row r="428" spans="22:25">
      <c r="V428" s="453"/>
      <c r="Y428" s="454"/>
    </row>
    <row r="429" spans="22:25">
      <c r="V429" s="453"/>
      <c r="Y429" s="454"/>
    </row>
    <row r="430" spans="22:25">
      <c r="V430" s="453"/>
      <c r="Y430" s="454"/>
    </row>
    <row r="431" spans="22:25">
      <c r="V431" s="453"/>
      <c r="Y431" s="454"/>
    </row>
    <row r="432" spans="22:25">
      <c r="V432" s="453"/>
      <c r="Y432" s="454"/>
    </row>
    <row r="433" spans="22:25">
      <c r="V433" s="453"/>
      <c r="Y433" s="454"/>
    </row>
    <row r="434" spans="22:25">
      <c r="V434" s="453"/>
      <c r="Y434" s="454"/>
    </row>
    <row r="435" spans="22:25">
      <c r="V435" s="453"/>
      <c r="Y435" s="454"/>
    </row>
    <row r="436" spans="22:25">
      <c r="V436" s="453"/>
      <c r="Y436" s="454"/>
    </row>
    <row r="437" spans="22:25">
      <c r="V437" s="453"/>
      <c r="Y437" s="454"/>
    </row>
    <row r="438" spans="22:25">
      <c r="V438" s="453"/>
      <c r="Y438" s="454"/>
    </row>
    <row r="439" spans="22:25">
      <c r="V439" s="453"/>
      <c r="Y439" s="454"/>
    </row>
    <row r="440" spans="22:25">
      <c r="V440" s="453"/>
      <c r="Y440" s="454"/>
    </row>
    <row r="441" spans="22:25">
      <c r="V441" s="453"/>
      <c r="Y441" s="454"/>
    </row>
    <row r="442" spans="22:25">
      <c r="V442" s="453"/>
      <c r="Y442" s="454"/>
    </row>
    <row r="443" spans="22:25">
      <c r="V443" s="453"/>
      <c r="Y443" s="454"/>
    </row>
    <row r="444" spans="22:25">
      <c r="V444" s="453"/>
      <c r="Y444" s="454"/>
    </row>
    <row r="445" spans="22:25">
      <c r="V445" s="453"/>
      <c r="Y445" s="454"/>
    </row>
    <row r="446" spans="22:25">
      <c r="V446" s="453"/>
      <c r="Y446" s="454"/>
    </row>
    <row r="447" spans="22:25">
      <c r="V447" s="453"/>
      <c r="Y447" s="454"/>
    </row>
    <row r="448" spans="22:25">
      <c r="V448" s="453"/>
      <c r="Y448" s="454"/>
    </row>
    <row r="449" spans="22:25">
      <c r="V449" s="453"/>
      <c r="Y449" s="454"/>
    </row>
    <row r="450" spans="22:25">
      <c r="V450" s="453"/>
      <c r="Y450" s="454"/>
    </row>
    <row r="451" spans="22:25">
      <c r="V451" s="453"/>
      <c r="Y451" s="454"/>
    </row>
    <row r="452" spans="22:25">
      <c r="V452" s="453"/>
      <c r="Y452" s="454"/>
    </row>
    <row r="453" spans="22:25">
      <c r="V453" s="453"/>
      <c r="Y453" s="454"/>
    </row>
    <row r="454" spans="22:25">
      <c r="V454" s="453"/>
      <c r="Y454" s="454"/>
    </row>
    <row r="455" spans="22:25">
      <c r="V455" s="453"/>
      <c r="Y455" s="454"/>
    </row>
    <row r="456" spans="22:25">
      <c r="V456" s="453"/>
      <c r="Y456" s="454"/>
    </row>
    <row r="457" spans="22:25">
      <c r="V457" s="453"/>
      <c r="Y457" s="454"/>
    </row>
    <row r="458" spans="22:25">
      <c r="V458" s="453"/>
      <c r="Y458" s="454"/>
    </row>
    <row r="459" spans="22:25">
      <c r="V459" s="453"/>
      <c r="Y459" s="454"/>
    </row>
    <row r="460" spans="22:25">
      <c r="V460" s="453"/>
      <c r="Y460" s="454"/>
    </row>
    <row r="461" spans="22:25">
      <c r="V461" s="453"/>
      <c r="Y461" s="454"/>
    </row>
    <row r="462" spans="22:25">
      <c r="V462" s="453"/>
      <c r="Y462" s="454"/>
    </row>
    <row r="463" spans="22:25">
      <c r="V463" s="453"/>
      <c r="Y463" s="454"/>
    </row>
    <row r="464" spans="22:25">
      <c r="V464" s="453"/>
      <c r="Y464" s="454"/>
    </row>
    <row r="465" spans="22:25">
      <c r="V465" s="453"/>
      <c r="Y465" s="454"/>
    </row>
    <row r="466" spans="22:25">
      <c r="V466" s="453"/>
      <c r="Y466" s="454"/>
    </row>
    <row r="467" spans="22:25">
      <c r="V467" s="453"/>
      <c r="Y467" s="454"/>
    </row>
    <row r="468" spans="22:25">
      <c r="V468" s="453"/>
      <c r="Y468" s="454"/>
    </row>
    <row r="469" spans="22:25">
      <c r="V469" s="453"/>
      <c r="Y469" s="454"/>
    </row>
    <row r="470" spans="22:25">
      <c r="V470" s="453"/>
      <c r="Y470" s="454"/>
    </row>
    <row r="471" spans="22:25">
      <c r="V471" s="453"/>
      <c r="Y471" s="454"/>
    </row>
    <row r="472" spans="22:25">
      <c r="V472" s="453"/>
      <c r="Y472" s="454"/>
    </row>
    <row r="473" spans="22:25">
      <c r="V473" s="453"/>
      <c r="Y473" s="454"/>
    </row>
    <row r="474" spans="22:25">
      <c r="V474" s="453"/>
      <c r="Y474" s="454"/>
    </row>
    <row r="475" spans="22:25">
      <c r="V475" s="453"/>
      <c r="Y475" s="454"/>
    </row>
    <row r="476" spans="22:25">
      <c r="V476" s="453"/>
      <c r="Y476" s="454"/>
    </row>
    <row r="477" spans="22:25">
      <c r="V477" s="453"/>
      <c r="Y477" s="454"/>
    </row>
    <row r="478" spans="22:25">
      <c r="V478" s="453"/>
      <c r="Y478" s="454"/>
    </row>
    <row r="479" spans="22:25">
      <c r="V479" s="453"/>
      <c r="Y479" s="454"/>
    </row>
    <row r="480" spans="22:25">
      <c r="V480" s="453"/>
      <c r="Y480" s="454"/>
    </row>
    <row r="481" spans="22:25">
      <c r="V481" s="453"/>
      <c r="Y481" s="454"/>
    </row>
    <row r="482" spans="22:25">
      <c r="V482" s="453"/>
      <c r="Y482" s="454"/>
    </row>
    <row r="483" spans="22:25">
      <c r="V483" s="453"/>
      <c r="Y483" s="454"/>
    </row>
    <row r="484" spans="22:25">
      <c r="V484" s="453"/>
      <c r="Y484" s="454"/>
    </row>
    <row r="485" spans="22:25">
      <c r="V485" s="453"/>
      <c r="Y485" s="454"/>
    </row>
    <row r="486" spans="22:25">
      <c r="V486" s="453"/>
      <c r="Y486" s="454"/>
    </row>
    <row r="487" spans="22:25">
      <c r="V487" s="453"/>
      <c r="Y487" s="454"/>
    </row>
    <row r="488" spans="22:25">
      <c r="V488" s="453"/>
      <c r="Y488" s="454"/>
    </row>
    <row r="489" spans="22:25">
      <c r="V489" s="453"/>
      <c r="Y489" s="454"/>
    </row>
    <row r="490" spans="22:25">
      <c r="V490" s="453"/>
      <c r="Y490" s="454"/>
    </row>
  </sheetData>
  <mergeCells count="25">
    <mergeCell ref="C1:D1"/>
    <mergeCell ref="E1:H1"/>
    <mergeCell ref="I1:L1"/>
    <mergeCell ref="M1:O1"/>
    <mergeCell ref="P1:R1"/>
    <mergeCell ref="S1:U1"/>
    <mergeCell ref="Z1:AB1"/>
    <mergeCell ref="AX1:AZ1"/>
    <mergeCell ref="BA1:BC1"/>
    <mergeCell ref="BD1:BF1"/>
    <mergeCell ref="BG1:BI1"/>
    <mergeCell ref="BJ1:BL1"/>
    <mergeCell ref="Z190:AE190"/>
    <mergeCell ref="AF190:AK190"/>
    <mergeCell ref="AL190:AQ190"/>
    <mergeCell ref="AR190:AW190"/>
    <mergeCell ref="AX190:BC190"/>
    <mergeCell ref="AO1:AQ1"/>
    <mergeCell ref="AR1:AT1"/>
    <mergeCell ref="AU1:AW1"/>
    <mergeCell ref="AA196:AB196"/>
    <mergeCell ref="AC1:AE1"/>
    <mergeCell ref="AF1:AH1"/>
    <mergeCell ref="AI1:AK1"/>
    <mergeCell ref="AL1:AN1"/>
  </mergeCells>
  <pageMargins left="0.511811024" right="0.511811024" top="0.78740157499999996" bottom="0.78740157499999996" header="0.31496062000000002" footer="0.31496062000000002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0"/>
  <sheetViews>
    <sheetView showGridLines="0" workbookViewId="0"/>
  </sheetViews>
  <sheetFormatPr defaultColWidth="14.42578125" defaultRowHeight="15" customHeight="1"/>
  <cols>
    <col min="1" max="1" width="7.28515625" customWidth="1"/>
    <col min="2" max="2" width="62.140625" customWidth="1"/>
    <col min="3" max="3" width="24.85546875" customWidth="1"/>
    <col min="4" max="4" width="23.5703125" customWidth="1"/>
    <col min="5" max="5" width="22.42578125" customWidth="1"/>
    <col min="6" max="6" width="5.85546875" customWidth="1"/>
    <col min="7" max="7" width="57.28515625" customWidth="1"/>
    <col min="8" max="8" width="17.28515625" customWidth="1"/>
    <col min="9" max="9" width="5.85546875" customWidth="1"/>
    <col min="10" max="10" width="63.28515625" customWidth="1"/>
    <col min="11" max="11" width="20.42578125" customWidth="1"/>
    <col min="12" max="12" width="5.85546875" customWidth="1"/>
    <col min="13" max="13" width="56.140625" customWidth="1"/>
    <col min="14" max="14" width="24" customWidth="1"/>
    <col min="15" max="15" width="39.85546875" customWidth="1"/>
    <col min="16" max="16" width="58.85546875" customWidth="1"/>
    <col min="17" max="17" width="16" customWidth="1"/>
    <col min="18" max="18" width="9" customWidth="1"/>
    <col min="19" max="19" width="57.7109375" customWidth="1"/>
    <col min="20" max="20" width="16.5703125" customWidth="1"/>
    <col min="21" max="21" width="16" customWidth="1"/>
    <col min="22" max="22" width="5.5703125" customWidth="1"/>
    <col min="23" max="23" width="4.28515625" customWidth="1"/>
    <col min="24" max="24" width="57.7109375" customWidth="1"/>
    <col min="25" max="25" width="16.5703125" customWidth="1"/>
    <col min="26" max="26" width="16" customWidth="1"/>
    <col min="27" max="27" width="6.140625" customWidth="1"/>
    <col min="28" max="28" width="5.28515625" customWidth="1"/>
    <col min="29" max="29" width="71.28515625" customWidth="1"/>
    <col min="30" max="30" width="20.85546875" customWidth="1"/>
  </cols>
  <sheetData>
    <row r="1" spans="1:30" ht="15" customHeight="1">
      <c r="B1" s="455"/>
      <c r="C1" s="455"/>
      <c r="D1" s="455"/>
      <c r="E1" s="455"/>
      <c r="T1" s="21"/>
      <c r="V1" s="456"/>
      <c r="AA1" s="456"/>
    </row>
    <row r="2" spans="1:30" ht="15" customHeight="1">
      <c r="B2" s="457"/>
      <c r="C2" s="457"/>
      <c r="D2" s="457"/>
      <c r="E2" s="457"/>
      <c r="T2" s="21"/>
      <c r="V2" s="456"/>
      <c r="AA2" s="456"/>
    </row>
    <row r="3" spans="1:30" ht="20.25" customHeight="1">
      <c r="B3" s="457" t="s">
        <v>900</v>
      </c>
      <c r="C3" s="457"/>
      <c r="D3" s="457"/>
      <c r="E3" s="457"/>
      <c r="G3" s="588" t="s">
        <v>901</v>
      </c>
      <c r="H3" s="546"/>
      <c r="J3" s="581" t="s">
        <v>902</v>
      </c>
      <c r="K3" s="546"/>
      <c r="M3" s="581" t="s">
        <v>903</v>
      </c>
      <c r="N3" s="546"/>
      <c r="P3" s="581" t="s">
        <v>904</v>
      </c>
      <c r="Q3" s="546"/>
      <c r="S3" s="586" t="s">
        <v>905</v>
      </c>
      <c r="T3" s="545"/>
      <c r="U3" s="545"/>
      <c r="V3" s="546"/>
      <c r="X3" s="586" t="s">
        <v>906</v>
      </c>
      <c r="Y3" s="545"/>
      <c r="Z3" s="545"/>
      <c r="AA3" s="546"/>
      <c r="AC3" s="581" t="s">
        <v>451</v>
      </c>
      <c r="AD3" s="546"/>
    </row>
    <row r="4" spans="1:30" ht="18.75">
      <c r="B4" s="458"/>
      <c r="C4" s="459" t="s">
        <v>907</v>
      </c>
      <c r="D4" s="459" t="s">
        <v>908</v>
      </c>
      <c r="E4" s="459" t="s">
        <v>909</v>
      </c>
      <c r="G4" s="460" t="s">
        <v>910</v>
      </c>
      <c r="H4" s="461">
        <f>'Jan2022'!E3-(SUM(H5:H14))</f>
        <v>2013409.06</v>
      </c>
      <c r="J4" s="460" t="str">
        <f>'Jan2022'!D120</f>
        <v xml:space="preserve">5% CUSTEIO DO CAMPUS </v>
      </c>
      <c r="K4" s="461">
        <f>'Jan2022'!E120</f>
        <v>152177.47999999998</v>
      </c>
      <c r="L4" s="462">
        <f>K4/K9</f>
        <v>0.18099613535095627</v>
      </c>
      <c r="M4" s="463" t="s">
        <v>911</v>
      </c>
      <c r="N4" s="464">
        <f>'Jan2022'!J46</f>
        <v>22098.39</v>
      </c>
      <c r="P4" s="463" t="s">
        <v>911</v>
      </c>
      <c r="Q4" s="464">
        <f>'Jan2022'!J47</f>
        <v>92272</v>
      </c>
      <c r="S4" s="465"/>
      <c r="T4" s="466" t="s">
        <v>912</v>
      </c>
      <c r="U4" s="466" t="s">
        <v>908</v>
      </c>
      <c r="V4" s="466" t="s">
        <v>913</v>
      </c>
      <c r="X4" s="465"/>
      <c r="Y4" s="466" t="s">
        <v>912</v>
      </c>
      <c r="Z4" s="466" t="s">
        <v>908</v>
      </c>
      <c r="AA4" s="466" t="s">
        <v>913</v>
      </c>
      <c r="AC4" s="467"/>
      <c r="AD4" s="468">
        <f>SUM(AD5:AD30)</f>
        <v>0</v>
      </c>
    </row>
    <row r="5" spans="1:30" ht="18.75">
      <c r="B5" s="469" t="str">
        <f>'Jan2022'!E2</f>
        <v>MATRIZ ORÇAMENTÁRIA</v>
      </c>
      <c r="C5" s="470">
        <f>'Jan2022'!E3</f>
        <v>2379653.64</v>
      </c>
      <c r="D5" s="470">
        <f>C5-134</f>
        <v>2379519.64</v>
      </c>
      <c r="E5" s="470">
        <f t="shared" ref="E5:E12" si="0">C5-D5</f>
        <v>134</v>
      </c>
      <c r="G5" s="471" t="str">
        <f>'Jan2022'!D75</f>
        <v>PIIQP (reserva institucional  1%=23.296,54)</v>
      </c>
      <c r="H5" s="461">
        <f>'Jan2022'!E75</f>
        <v>23296.54</v>
      </c>
      <c r="J5" s="471" t="s">
        <v>914</v>
      </c>
      <c r="K5" s="461">
        <v>142873.54999999999</v>
      </c>
      <c r="L5" s="462">
        <f>K5/K9</f>
        <v>0.16993027085132187</v>
      </c>
      <c r="M5" s="472" t="s">
        <v>915</v>
      </c>
      <c r="N5" s="464">
        <f>'Jan2022'!N46</f>
        <v>0</v>
      </c>
      <c r="O5" s="462">
        <f>N5/N4</f>
        <v>0</v>
      </c>
      <c r="P5" s="472" t="s">
        <v>915</v>
      </c>
      <c r="Q5" s="464">
        <f>'Jan2022'!N47</f>
        <v>49298.9</v>
      </c>
      <c r="R5" s="473">
        <f>Q5/Q4</f>
        <v>0.5342780041616092</v>
      </c>
      <c r="S5" s="474" t="str">
        <f>'Jan2022'!D13</f>
        <v>Diárias a servidores</v>
      </c>
      <c r="T5" s="475">
        <f>'Jan2022'!E13</f>
        <v>1500</v>
      </c>
      <c r="U5" s="475">
        <f>'Jan2022'!I13</f>
        <v>0</v>
      </c>
      <c r="V5" s="476">
        <f t="shared" ref="V5:V7" si="1">U5/T5</f>
        <v>0</v>
      </c>
      <c r="X5" s="474" t="str">
        <f>'Jan2022'!D103</f>
        <v>Locação de software</v>
      </c>
      <c r="Y5" s="475">
        <f>'Jan2022'!E103</f>
        <v>800</v>
      </c>
      <c r="Z5" s="475">
        <f>'Jan2022'!N13</f>
        <v>0</v>
      </c>
      <c r="AA5" s="476">
        <f t="shared" ref="AA5:AA7" si="2">Z5/Y5</f>
        <v>0</v>
      </c>
      <c r="AC5" s="477" t="str">
        <f>'Jan2022'!D13</f>
        <v>Diárias a servidores</v>
      </c>
      <c r="AD5" s="478">
        <f>'Jan2022'!I13</f>
        <v>0</v>
      </c>
    </row>
    <row r="6" spans="1:30" ht="18.75">
      <c r="B6" s="479" t="str">
        <f>'Jan2022'!A238</f>
        <v>ASSISTÊNCIA ESTUDANTIL</v>
      </c>
      <c r="C6" s="470">
        <f>'Jan2022'!C238</f>
        <v>598600.03</v>
      </c>
      <c r="D6" s="470">
        <f>C6-160</f>
        <v>598440.03</v>
      </c>
      <c r="E6" s="470">
        <f t="shared" si="0"/>
        <v>160</v>
      </c>
      <c r="G6" s="471" t="str">
        <f>'Jan2022'!D76</f>
        <v>PIIQPPE (reserva institucional  1%=23.296,54)</v>
      </c>
      <c r="H6" s="461">
        <f>'Jan2022'!E76</f>
        <v>23296.54</v>
      </c>
      <c r="J6" s="471" t="s">
        <v>916</v>
      </c>
      <c r="K6" s="461">
        <v>455726.48</v>
      </c>
      <c r="L6" s="462">
        <f>K6/K9</f>
        <v>0.54202981713913823</v>
      </c>
      <c r="M6" s="472" t="s">
        <v>917</v>
      </c>
      <c r="N6" s="464">
        <f>N4-N5</f>
        <v>22098.39</v>
      </c>
      <c r="O6" s="462">
        <f>N6/N4</f>
        <v>1</v>
      </c>
      <c r="P6" s="472" t="s">
        <v>917</v>
      </c>
      <c r="Q6" s="464">
        <f>Q4-Q5</f>
        <v>42973.1</v>
      </c>
      <c r="R6" s="473">
        <f>Q6/Q4</f>
        <v>0.4657219958383908</v>
      </c>
      <c r="S6" s="474" t="str">
        <f>'Jan2022'!D14</f>
        <v>Reembolso de Passagens (terrestres, aéreas, ...)</v>
      </c>
      <c r="T6" s="475">
        <f>'Jan2022'!E14</f>
        <v>2000</v>
      </c>
      <c r="U6" s="475">
        <f>'Jan2022'!I14</f>
        <v>0</v>
      </c>
      <c r="V6" s="476">
        <f t="shared" si="1"/>
        <v>0</v>
      </c>
      <c r="X6" s="474" t="str">
        <f>'Jan2022'!D105</f>
        <v>Seguro de vida estudantes</v>
      </c>
      <c r="Y6" s="475">
        <f>'Jan2022'!E105</f>
        <v>15000</v>
      </c>
      <c r="Z6" s="475">
        <f>'Jan2022'!N6</f>
        <v>0</v>
      </c>
      <c r="AA6" s="476">
        <f t="shared" si="2"/>
        <v>0</v>
      </c>
      <c r="AC6" s="477" t="str">
        <f>'Jan2022'!D15</f>
        <v xml:space="preserve">Energia elétrica - RGE </v>
      </c>
      <c r="AD6" s="478">
        <f>'Jan2022'!I15</f>
        <v>0</v>
      </c>
    </row>
    <row r="7" spans="1:30" ht="18.75">
      <c r="B7" s="479" t="str">
        <f>'Jan2022'!A233</f>
        <v>ALIMENTAÇÃO ESCOLAR - PNAE - FNDE</v>
      </c>
      <c r="C7" s="470">
        <f>'Jan2022'!F140</f>
        <v>90000</v>
      </c>
      <c r="D7" s="470">
        <v>92788.93</v>
      </c>
      <c r="E7" s="470">
        <f t="shared" si="0"/>
        <v>-2788.929999999993</v>
      </c>
      <c r="G7" s="471" t="str">
        <f>'Jan2022'!D90</f>
        <v xml:space="preserve">FUNDO DE TI (reserva instit. 2,5%= 59.491,34) </v>
      </c>
      <c r="H7" s="461">
        <f>'Jan2022'!E89</f>
        <v>69491.34</v>
      </c>
      <c r="J7" s="471" t="str">
        <f>'Jan2022'!D140</f>
        <v>FNDE</v>
      </c>
      <c r="K7" s="461">
        <f>'Jan2022'!F140</f>
        <v>90000</v>
      </c>
      <c r="L7" s="462">
        <f>K7/K9</f>
        <v>0.10704377665858356</v>
      </c>
      <c r="M7" s="480" t="s">
        <v>918</v>
      </c>
      <c r="N7" s="481">
        <v>90737.45</v>
      </c>
      <c r="O7" s="462"/>
      <c r="P7" s="480" t="s">
        <v>918</v>
      </c>
      <c r="Q7" s="481">
        <v>37013.93</v>
      </c>
      <c r="S7" s="474" t="str">
        <f>'Jan2022'!D6</f>
        <v>Aluguel de Sala</v>
      </c>
      <c r="T7" s="475">
        <f>'Jan2022'!E6</f>
        <v>4202</v>
      </c>
      <c r="U7" s="475">
        <f>'Jan2022'!I6</f>
        <v>0</v>
      </c>
      <c r="V7" s="476">
        <f t="shared" si="1"/>
        <v>0</v>
      </c>
      <c r="X7" s="474" t="str">
        <f>'Jan2022'!D106</f>
        <v>Ações inclusivas - (cuidadores,...)</v>
      </c>
      <c r="Y7" s="475">
        <f>'Jan2022'!E106</f>
        <v>70000</v>
      </c>
      <c r="Z7" s="475">
        <f>'Jan2022'!J106</f>
        <v>0</v>
      </c>
      <c r="AA7" s="476">
        <f t="shared" si="2"/>
        <v>0</v>
      </c>
      <c r="AC7" s="477" t="str">
        <f>'Jan2022'!D17</f>
        <v>Vigilância Predial (4 postos de trabalho)-PORTALSUL SEGURANÇA</v>
      </c>
      <c r="AD7" s="478">
        <f>'Jan2022'!I17</f>
        <v>0</v>
      </c>
    </row>
    <row r="8" spans="1:30" ht="18.75">
      <c r="A8" s="21"/>
      <c r="B8" s="479" t="str">
        <f>'Jan2022'!A234</f>
        <v>TED SETEC-REEQUELÍBRIO E ADITIVO PRÉDIO D</v>
      </c>
      <c r="C8" s="470">
        <f>'Jan2022'!C234</f>
        <v>249261.22</v>
      </c>
      <c r="D8" s="470">
        <f t="shared" ref="D8:D9" si="3">C8</f>
        <v>249261.22</v>
      </c>
      <c r="E8" s="470">
        <f t="shared" si="0"/>
        <v>0</v>
      </c>
      <c r="F8" s="21"/>
      <c r="G8" s="471"/>
      <c r="H8" s="461"/>
      <c r="I8" s="21"/>
      <c r="J8" s="471"/>
      <c r="K8" s="461"/>
      <c r="L8" s="462"/>
      <c r="M8" s="480"/>
      <c r="N8" s="481"/>
      <c r="O8" s="462"/>
      <c r="P8" s="480"/>
      <c r="Q8" s="481"/>
      <c r="R8" s="21"/>
      <c r="S8" s="474"/>
      <c r="T8" s="475"/>
      <c r="U8" s="475"/>
      <c r="V8" s="476"/>
      <c r="W8" s="21"/>
      <c r="X8" s="474"/>
      <c r="Y8" s="475"/>
      <c r="Z8" s="475"/>
      <c r="AA8" s="476"/>
      <c r="AB8" s="21"/>
      <c r="AC8" s="477"/>
      <c r="AD8" s="478"/>
    </row>
    <row r="9" spans="1:30" ht="18.75">
      <c r="B9" s="479" t="str">
        <f>'Jan2022'!A235</f>
        <v>EXTRA REITORIA-REEQUELÍBRIO REFEITÓRIO</v>
      </c>
      <c r="C9" s="470">
        <f>'Jan2022'!C235</f>
        <v>37013.43</v>
      </c>
      <c r="D9" s="470">
        <f t="shared" si="3"/>
        <v>37013.43</v>
      </c>
      <c r="E9" s="470">
        <f t="shared" si="0"/>
        <v>0</v>
      </c>
      <c r="G9" s="471" t="str">
        <f>'Jan2022'!D77</f>
        <v>PID (reserva Institucional 1%= R$ 23.296,54)</v>
      </c>
      <c r="H9" s="461">
        <f>'Jan2022'!E77</f>
        <v>23296.54</v>
      </c>
      <c r="J9" s="482" t="s">
        <v>198</v>
      </c>
      <c r="K9" s="483">
        <f>SUM(K4:K7)</f>
        <v>840777.51</v>
      </c>
      <c r="M9" s="480" t="s">
        <v>919</v>
      </c>
      <c r="N9" s="481">
        <v>158523.76999999999</v>
      </c>
      <c r="P9" s="480" t="s">
        <v>919</v>
      </c>
      <c r="Q9" s="481">
        <v>83705.490000000005</v>
      </c>
      <c r="S9" s="474" t="str">
        <f>'Jan2022'!D7</f>
        <v>Sonorização</v>
      </c>
      <c r="T9" s="475">
        <f>'Jan2022'!E7</f>
        <v>1680.8</v>
      </c>
      <c r="U9" s="475">
        <f>'Jan2022'!I7</f>
        <v>0</v>
      </c>
      <c r="V9" s="476">
        <f t="shared" ref="V9:V10" si="4">U9/T9</f>
        <v>0</v>
      </c>
      <c r="X9" s="474" t="str">
        <f>'Jan2022'!D107</f>
        <v>Pagamento horas a palestrantes</v>
      </c>
      <c r="Y9" s="475">
        <f>'Jan2022'!E107</f>
        <v>2000</v>
      </c>
      <c r="Z9" s="475">
        <f>'Jan2022'!N8</f>
        <v>0</v>
      </c>
      <c r="AA9" s="476">
        <f t="shared" ref="AA9:AA13" si="5">Z9/Y9</f>
        <v>0</v>
      </c>
      <c r="AC9" s="477" t="str">
        <f>'Jan2022'!D19</f>
        <v>Limpeza (10 postos de trabalhos) 6 meses 5 postos - LIMPADORA (até dez/21)</v>
      </c>
      <c r="AD9" s="478">
        <f>'Jan2022'!I19</f>
        <v>0</v>
      </c>
    </row>
    <row r="10" spans="1:30" ht="18.75">
      <c r="B10" s="479" t="str">
        <f>'Jan2022'!A231</f>
        <v>EMENDA DEPUTADO BOHN GASS - CUSTEIO</v>
      </c>
      <c r="C10" s="470">
        <f>'Jan2022'!C231</f>
        <v>70000</v>
      </c>
      <c r="D10" s="470">
        <f>C10-6.6</f>
        <v>69993.399999999994</v>
      </c>
      <c r="E10" s="470">
        <f t="shared" si="0"/>
        <v>6.6000000000058208</v>
      </c>
      <c r="G10" s="460" t="str">
        <f>'Jan2022'!D114</f>
        <v>PROJETOS DE ENSINO (reserva institucional 1%=23.296,54)</v>
      </c>
      <c r="H10" s="461">
        <f>'Jan2022'!E114</f>
        <v>23296.54</v>
      </c>
      <c r="J10" s="484" t="s">
        <v>920</v>
      </c>
      <c r="K10" s="484"/>
      <c r="M10" s="460" t="s">
        <v>921</v>
      </c>
      <c r="N10" s="485">
        <f>N7+N9</f>
        <v>249261.21999999997</v>
      </c>
      <c r="P10" s="460" t="s">
        <v>921</v>
      </c>
      <c r="Q10" s="485">
        <f>Q7+Q9</f>
        <v>120719.42000000001</v>
      </c>
      <c r="S10" s="474" t="str">
        <f>'Jan2022'!D8</f>
        <v>Confecções, instalações e locações de bens imóveis - CIRANGELO</v>
      </c>
      <c r="T10" s="475">
        <f>'Jan2022'!E8</f>
        <v>15127.2</v>
      </c>
      <c r="U10" s="475">
        <f>'Jan2022'!I8</f>
        <v>0</v>
      </c>
      <c r="V10" s="476">
        <f t="shared" si="4"/>
        <v>0</v>
      </c>
      <c r="X10" s="474" t="str">
        <f>'Jan2022'!D114</f>
        <v>PROJETOS DE ENSINO (reserva institucional 1%=23.296,54)</v>
      </c>
      <c r="Y10" s="475">
        <f>'Jan2022'!E114</f>
        <v>23296.54</v>
      </c>
      <c r="Z10" s="475">
        <f>'Jan2022'!I114</f>
        <v>0</v>
      </c>
      <c r="AA10" s="476">
        <f t="shared" si="5"/>
        <v>0</v>
      </c>
      <c r="AC10" s="477" t="str">
        <f>'Jan2022'!D20</f>
        <v>Jardinagem (1 posto de trabalho)-LIMPADORA</v>
      </c>
      <c r="AD10" s="478">
        <f>'Jan2022'!I20</f>
        <v>0</v>
      </c>
    </row>
    <row r="11" spans="1:30" ht="20.25" customHeight="1">
      <c r="B11" s="479" t="str">
        <f>'Jan2022'!A232</f>
        <v>EMENDA PARLAMENTAR  DA BANCADA GAÚCHA - EQUIPAMENTOS</v>
      </c>
      <c r="C11" s="470">
        <f>'Jan2022'!C232</f>
        <v>109295.41</v>
      </c>
      <c r="D11" s="470">
        <f>C11-1111.55</f>
        <v>108183.86</v>
      </c>
      <c r="E11" s="470">
        <f t="shared" si="0"/>
        <v>1111.5500000000029</v>
      </c>
      <c r="G11" s="460" t="str">
        <f>'Jan2022'!D119</f>
        <v>ASSISTÊNCIA ESTUDANTIL</v>
      </c>
      <c r="H11" s="461">
        <f>'Jan2022'!E120</f>
        <v>152177.47999999998</v>
      </c>
      <c r="J11" s="484" t="s">
        <v>922</v>
      </c>
      <c r="K11" s="486"/>
      <c r="M11" s="460"/>
      <c r="N11" s="461"/>
      <c r="P11" s="460"/>
      <c r="Q11" s="461"/>
      <c r="S11" s="474" t="str">
        <f>'Jan2022'!D9</f>
        <v>Fornecimento de coofebreak em eventos</v>
      </c>
      <c r="T11" s="475">
        <f>'Jan2022'!E9</f>
        <v>8029.07</v>
      </c>
      <c r="U11" s="475">
        <f>'Jan2022'!I9</f>
        <v>0</v>
      </c>
      <c r="V11" s="476"/>
      <c r="X11" s="474" t="str">
        <f>'Jan2022'!D119</f>
        <v>ASSISTÊNCIA ESTUDANTIL</v>
      </c>
      <c r="Y11" s="475">
        <f>'Jan2022'!E119</f>
        <v>152177.47999999998</v>
      </c>
      <c r="Z11" s="475">
        <f>'Jan2022'!I119</f>
        <v>0</v>
      </c>
      <c r="AA11" s="476">
        <f t="shared" si="5"/>
        <v>0</v>
      </c>
      <c r="AC11" s="477" t="str">
        <f>'Jan2022'!D21</f>
        <v>Coleta de Resíduos - ABORGAMA</v>
      </c>
      <c r="AD11" s="478">
        <f>'Jan2022'!I21</f>
        <v>0</v>
      </c>
    </row>
    <row r="12" spans="1:30" ht="18.75">
      <c r="B12" s="479" t="str">
        <f>'Jan2022'!A237</f>
        <v>EXECUÇÃO E ADEQUAÇÃO PPCI</v>
      </c>
      <c r="C12" s="470">
        <f>'Jan2022'!C237</f>
        <v>572638.71999999997</v>
      </c>
      <c r="D12" s="470">
        <f>C12</f>
        <v>572638.71999999997</v>
      </c>
      <c r="E12" s="470">
        <f t="shared" si="0"/>
        <v>0</v>
      </c>
      <c r="G12" s="460" t="str">
        <f>'Jan2022'!D145</f>
        <v xml:space="preserve">AÇÕES INCLUSIVAS </v>
      </c>
      <c r="H12" s="461">
        <f>'Jan2022'!E145</f>
        <v>0</v>
      </c>
      <c r="J12" s="460"/>
      <c r="K12" s="461"/>
      <c r="M12" s="460"/>
      <c r="N12" s="461"/>
      <c r="P12" s="460"/>
      <c r="Q12" s="461"/>
      <c r="S12" s="474" t="str">
        <f>'Jan2022'!D10</f>
        <v>Contratação de servições gráficos</v>
      </c>
      <c r="T12" s="475">
        <f>'Jan2022'!E10</f>
        <v>13866.6</v>
      </c>
      <c r="U12" s="475">
        <f>'Jan2022'!I10</f>
        <v>0</v>
      </c>
      <c r="V12" s="476">
        <f>U12/T12</f>
        <v>0</v>
      </c>
      <c r="X12" s="474" t="str">
        <f>'Jan2022'!D145</f>
        <v xml:space="preserve">AÇÕES INCLUSIVAS </v>
      </c>
      <c r="Y12" s="475">
        <f>'Jan2022'!E145</f>
        <v>0</v>
      </c>
      <c r="Z12" s="475">
        <f>'Jan2022'!N11</f>
        <v>0</v>
      </c>
      <c r="AA12" s="476" t="e">
        <f t="shared" si="5"/>
        <v>#DIV/0!</v>
      </c>
      <c r="AC12" s="477" t="str">
        <f>'Jan2022'!D22</f>
        <v>Manutenção predial Infra (1 posto de trabalho)-DIONÉIA</v>
      </c>
      <c r="AD12" s="478">
        <f>'Jan2022'!I22</f>
        <v>0</v>
      </c>
    </row>
    <row r="13" spans="1:30" ht="18.75">
      <c r="B13" s="458"/>
      <c r="C13" s="487">
        <f t="shared" ref="C13:E13" si="6">SUM(C5:C12)</f>
        <v>4106462.45</v>
      </c>
      <c r="D13" s="487">
        <f t="shared" si="6"/>
        <v>4107839.2300000004</v>
      </c>
      <c r="E13" s="487">
        <f t="shared" si="6"/>
        <v>-1376.7799999999843</v>
      </c>
      <c r="G13" s="460" t="str">
        <f>'Jan2022'!D161</f>
        <v>PROJETOS DE PESQUISA (reserva 1,5% = 34.944,80)</v>
      </c>
      <c r="H13" s="461">
        <f>'Jan2022'!E161</f>
        <v>36444.800000000003</v>
      </c>
      <c r="J13" s="460"/>
      <c r="K13" s="461"/>
      <c r="M13" s="460"/>
      <c r="N13" s="461"/>
      <c r="P13" s="460"/>
      <c r="Q13" s="461"/>
      <c r="S13" s="474" t="str">
        <f>'Jan2022'!D11</f>
        <v>Participação em feiras e eventos</v>
      </c>
      <c r="T13" s="475">
        <f>'Jan2022'!E11</f>
        <v>4202</v>
      </c>
      <c r="U13" s="475">
        <f>'Jan2022'!I11</f>
        <v>0</v>
      </c>
      <c r="V13" s="476"/>
      <c r="X13" s="474" t="str">
        <f>'Jan2022'!D150</f>
        <v>BIBLIOTECA</v>
      </c>
      <c r="Y13" s="475">
        <f>'Jan2022'!E150</f>
        <v>0</v>
      </c>
      <c r="Z13" s="475" t="e">
        <f>'[1]2022'!#REF!</f>
        <v>#REF!</v>
      </c>
      <c r="AA13" s="476" t="e">
        <f t="shared" si="5"/>
        <v>#REF!</v>
      </c>
      <c r="AC13" s="477" t="str">
        <f>'Jan2022'!D23</f>
        <v>Manutenção Agropecuária (1 posto de trabalho) - FRAC</v>
      </c>
      <c r="AD13" s="478">
        <f>'Jan2022'!I23</f>
        <v>0</v>
      </c>
    </row>
    <row r="14" spans="1:30" ht="18.75">
      <c r="B14" s="457"/>
      <c r="C14" s="457"/>
      <c r="D14" s="457"/>
      <c r="E14" s="457"/>
      <c r="G14" s="460" t="str">
        <f>'Jan2022'!D169</f>
        <v>PROJETOS DE EXTENSÃO</v>
      </c>
      <c r="H14" s="461">
        <f>'Jan2022'!E170</f>
        <v>14944.8</v>
      </c>
      <c r="J14" s="460"/>
      <c r="K14" s="461"/>
      <c r="M14" s="460"/>
      <c r="N14" s="461"/>
      <c r="P14" s="460"/>
      <c r="Q14" s="461"/>
      <c r="S14" s="457"/>
      <c r="T14" s="457"/>
      <c r="U14" s="488"/>
      <c r="V14" s="489"/>
      <c r="X14" s="457"/>
      <c r="Y14" s="457"/>
      <c r="Z14" s="488"/>
      <c r="AA14" s="489"/>
      <c r="AC14" s="477" t="str">
        <f>'Jan2022'!D26</f>
        <v>Manutenção elétrica - ALFALOG</v>
      </c>
      <c r="AD14" s="478">
        <f>'Jan2022'!I26</f>
        <v>0</v>
      </c>
    </row>
    <row r="15" spans="1:30" ht="18.75">
      <c r="B15" s="457"/>
      <c r="C15" s="457"/>
      <c r="D15" s="457"/>
      <c r="E15" s="457"/>
      <c r="G15" s="457"/>
      <c r="H15" s="457"/>
      <c r="J15" s="457"/>
      <c r="K15" s="457"/>
      <c r="M15" s="457"/>
      <c r="N15" s="457"/>
      <c r="P15" s="457"/>
      <c r="Q15" s="457"/>
      <c r="S15" s="457"/>
      <c r="T15" s="457"/>
      <c r="U15" s="488"/>
      <c r="V15" s="489"/>
      <c r="X15" s="457"/>
      <c r="Y15" s="457"/>
      <c r="Z15" s="488"/>
      <c r="AA15" s="489"/>
      <c r="AC15" s="477" t="str">
        <f>'Jan2022'!D30</f>
        <v>Manutenção de equipamentos de laboratório - MEGA</v>
      </c>
      <c r="AD15" s="478">
        <f>'Jan2022'!I30</f>
        <v>0</v>
      </c>
    </row>
    <row r="16" spans="1:30" ht="18.75">
      <c r="B16" s="457"/>
      <c r="C16" s="457"/>
      <c r="D16" s="457"/>
      <c r="E16" s="457"/>
      <c r="G16" s="457"/>
      <c r="H16" s="457"/>
      <c r="J16" s="457"/>
      <c r="K16" s="457"/>
      <c r="M16" s="457"/>
      <c r="N16" s="457"/>
      <c r="P16" s="457"/>
      <c r="Q16" s="457"/>
      <c r="S16" s="457"/>
      <c r="T16" s="457"/>
      <c r="U16" s="488"/>
      <c r="V16" s="489"/>
      <c r="X16" s="457"/>
      <c r="Y16" s="457"/>
      <c r="Z16" s="488"/>
      <c r="AA16" s="489"/>
      <c r="AC16" s="477" t="str">
        <f>'Jan2022'!D37</f>
        <v>Manutenção de frotas - Combustível</v>
      </c>
      <c r="AD16" s="478">
        <f>'Jan2022'!I37</f>
        <v>0</v>
      </c>
    </row>
    <row r="17" spans="2:30" ht="18.75">
      <c r="B17" s="457"/>
      <c r="C17" s="457"/>
      <c r="D17" s="457"/>
      <c r="E17" s="457"/>
      <c r="G17" s="457"/>
      <c r="H17" s="457"/>
      <c r="J17" s="457"/>
      <c r="K17" s="457"/>
      <c r="M17" s="457"/>
      <c r="N17" s="457"/>
      <c r="P17" s="457"/>
      <c r="Q17" s="457"/>
      <c r="S17" s="457"/>
      <c r="T17" s="457"/>
      <c r="U17" s="488"/>
      <c r="V17" s="489"/>
      <c r="X17" s="457"/>
      <c r="Y17" s="457"/>
      <c r="Z17" s="488"/>
      <c r="AA17" s="489"/>
      <c r="AC17" s="477" t="str">
        <f>'Jan2022'!D39</f>
        <v>Publicidade legal em jornais -GIBBOR</v>
      </c>
      <c r="AD17" s="478">
        <f>'Jan2022'!I39</f>
        <v>0</v>
      </c>
    </row>
    <row r="18" spans="2:30" ht="18.75">
      <c r="B18" s="457"/>
      <c r="C18" s="457"/>
      <c r="D18" s="457"/>
      <c r="E18" s="457"/>
      <c r="G18" s="457"/>
      <c r="H18" s="457"/>
      <c r="J18" s="457"/>
      <c r="K18" s="457"/>
      <c r="M18" s="457"/>
      <c r="N18" s="457"/>
      <c r="P18" s="457"/>
      <c r="Q18" s="457"/>
      <c r="S18" s="457"/>
      <c r="T18" s="457"/>
      <c r="U18" s="488"/>
      <c r="V18" s="489"/>
      <c r="X18" s="457"/>
      <c r="Y18" s="457"/>
      <c r="Z18" s="488"/>
      <c r="AA18" s="489"/>
      <c r="AC18" s="477" t="str">
        <f>'Jan2022'!D41</f>
        <v>Seguro veicular e IPVA - Seguradora</v>
      </c>
      <c r="AD18" s="478">
        <f>'Jan2022'!I41</f>
        <v>0</v>
      </c>
    </row>
    <row r="19" spans="2:30" ht="18.75">
      <c r="B19" s="457"/>
      <c r="C19" s="457"/>
      <c r="D19" s="457"/>
      <c r="E19" s="457"/>
      <c r="G19" s="457"/>
      <c r="H19" s="457"/>
      <c r="J19" s="457"/>
      <c r="K19" s="457"/>
      <c r="M19" s="457"/>
      <c r="N19" s="457"/>
      <c r="P19" s="457"/>
      <c r="Q19" s="457"/>
      <c r="S19" s="457"/>
      <c r="T19" s="457"/>
      <c r="U19" s="488"/>
      <c r="V19" s="489"/>
      <c r="X19" s="457"/>
      <c r="Y19" s="457"/>
      <c r="Z19" s="488"/>
      <c r="AA19" s="489"/>
      <c r="AC19" s="477" t="str">
        <f>'Jan2022'!D44</f>
        <v>Material consumo LEPEPs  Produção</v>
      </c>
      <c r="AD19" s="478">
        <f>'Jan2022'!I44</f>
        <v>0</v>
      </c>
    </row>
    <row r="20" spans="2:30" ht="18.75">
      <c r="B20" s="457"/>
      <c r="C20" s="457"/>
      <c r="D20" s="457"/>
      <c r="E20" s="457"/>
      <c r="G20" s="457"/>
      <c r="H20" s="457"/>
      <c r="J20" s="457"/>
      <c r="K20" s="457"/>
      <c r="M20" s="457"/>
      <c r="N20" s="457"/>
      <c r="P20" s="457"/>
      <c r="Q20" s="457"/>
      <c r="S20" s="457"/>
      <c r="T20" s="457"/>
      <c r="U20" s="488"/>
      <c r="V20" s="489"/>
      <c r="X20" s="457"/>
      <c r="Y20" s="457"/>
      <c r="Z20" s="488"/>
      <c r="AA20" s="489"/>
      <c r="AC20" s="477" t="str">
        <f>'Jan2022'!D65</f>
        <v>Sala Motoristas</v>
      </c>
      <c r="AD20" s="478">
        <f>'Jan2022'!I65</f>
        <v>0</v>
      </c>
    </row>
    <row r="21" spans="2:30" ht="15.75" customHeight="1">
      <c r="B21" s="457"/>
      <c r="C21" s="457"/>
      <c r="D21" s="457"/>
      <c r="E21" s="457"/>
      <c r="G21" s="457"/>
      <c r="H21" s="457"/>
      <c r="J21" s="457"/>
      <c r="K21" s="457"/>
      <c r="M21" s="457"/>
      <c r="N21" s="457"/>
      <c r="P21" s="457"/>
      <c r="Q21" s="457"/>
      <c r="S21" s="457"/>
      <c r="T21" s="457"/>
      <c r="U21" s="488"/>
      <c r="V21" s="489"/>
      <c r="X21" s="457"/>
      <c r="Y21" s="457"/>
      <c r="Z21" s="488"/>
      <c r="AA21" s="489"/>
      <c r="AC21" s="477" t="str">
        <f>'Jan2022'!D66</f>
        <v>Calçamento</v>
      </c>
      <c r="AD21" s="478">
        <f>'Jan2022'!I66</f>
        <v>0</v>
      </c>
    </row>
    <row r="22" spans="2:30" ht="15.75" customHeight="1">
      <c r="B22" s="457"/>
      <c r="C22" s="457"/>
      <c r="D22" s="457"/>
      <c r="E22" s="457"/>
      <c r="G22" s="457"/>
      <c r="H22" s="457"/>
      <c r="J22" s="457"/>
      <c r="K22" s="457"/>
      <c r="M22" s="457"/>
      <c r="N22" s="457"/>
      <c r="P22" s="457"/>
      <c r="Q22" s="457"/>
      <c r="S22" s="457"/>
      <c r="T22" s="457"/>
      <c r="U22" s="488"/>
      <c r="V22" s="489"/>
      <c r="X22" s="457"/>
      <c r="Y22" s="457"/>
      <c r="Z22" s="488"/>
      <c r="AA22" s="489"/>
      <c r="AC22" s="477" t="str">
        <f>'Jan2022'!D70</f>
        <v>Telefonia e Internet - Telefonia Fixa -OI</v>
      </c>
      <c r="AD22" s="478">
        <f>'Jan2022'!I70</f>
        <v>0</v>
      </c>
    </row>
    <row r="23" spans="2:30" ht="15.75" customHeight="1">
      <c r="B23" s="457"/>
      <c r="C23" s="457"/>
      <c r="D23" s="457"/>
      <c r="E23" s="457"/>
      <c r="G23" s="457"/>
      <c r="H23" s="457"/>
      <c r="J23" s="457"/>
      <c r="K23" s="457"/>
      <c r="M23" s="457"/>
      <c r="N23" s="457"/>
      <c r="P23" s="457"/>
      <c r="Q23" s="457"/>
      <c r="S23" s="457"/>
      <c r="T23" s="457"/>
      <c r="U23" s="488"/>
      <c r="V23" s="489"/>
      <c r="X23" s="457"/>
      <c r="Y23" s="457"/>
      <c r="Z23" s="488"/>
      <c r="AA23" s="489"/>
      <c r="AC23" s="477" t="str">
        <f>'Jan2022'!D71</f>
        <v>Telefonia e Internet - Link Internet Tche Turbo</v>
      </c>
      <c r="AD23" s="478">
        <f>'Jan2022'!I71</f>
        <v>0</v>
      </c>
    </row>
    <row r="24" spans="2:30" ht="15.75" customHeight="1">
      <c r="B24" s="457"/>
      <c r="C24" s="457"/>
      <c r="D24" s="457"/>
      <c r="E24" s="457"/>
      <c r="G24" s="457"/>
      <c r="H24" s="457"/>
      <c r="J24" s="457"/>
      <c r="K24" s="457"/>
      <c r="M24" s="457"/>
      <c r="N24" s="457"/>
      <c r="P24" s="457"/>
      <c r="Q24" s="457"/>
      <c r="S24" s="457"/>
      <c r="T24" s="457"/>
      <c r="U24" s="488"/>
      <c r="V24" s="489"/>
      <c r="X24" s="457"/>
      <c r="Y24" s="457"/>
      <c r="Z24" s="488"/>
      <c r="AA24" s="489"/>
      <c r="AC24" s="477" t="str">
        <f>'Jan2022'!D72</f>
        <v>Telefonia e Internet - Manutenção central telefônica- FG</v>
      </c>
      <c r="AD24" s="478">
        <f>'Jan2022'!I72</f>
        <v>0</v>
      </c>
    </row>
    <row r="25" spans="2:30" ht="15.75" customHeight="1">
      <c r="B25" s="457"/>
      <c r="C25" s="457"/>
      <c r="D25" s="457"/>
      <c r="E25" s="457"/>
      <c r="G25" s="457"/>
      <c r="H25" s="457"/>
      <c r="J25" s="457"/>
      <c r="K25" s="457"/>
      <c r="M25" s="457"/>
      <c r="N25" s="457"/>
      <c r="P25" s="457"/>
      <c r="Q25" s="457"/>
      <c r="S25" s="457"/>
      <c r="T25" s="457"/>
      <c r="U25" s="488"/>
      <c r="V25" s="489"/>
      <c r="X25" s="457"/>
      <c r="Y25" s="457"/>
      <c r="Z25" s="488"/>
      <c r="AA25" s="489"/>
      <c r="AC25" s="477" t="str">
        <f>'Jan2022'!D75</f>
        <v>PIIQP (reserva institucional  1%=23.296,54)</v>
      </c>
      <c r="AD25" s="478">
        <f>'Jan2022'!I75</f>
        <v>0</v>
      </c>
    </row>
    <row r="26" spans="2:30" ht="15.75" customHeight="1">
      <c r="B26" s="457"/>
      <c r="C26" s="457"/>
      <c r="D26" s="457"/>
      <c r="E26" s="457"/>
      <c r="G26" s="457"/>
      <c r="H26" s="457"/>
      <c r="J26" s="457"/>
      <c r="K26" s="457"/>
      <c r="M26" s="479"/>
      <c r="N26" s="457"/>
      <c r="P26" s="457"/>
      <c r="Q26" s="457"/>
      <c r="S26" s="457"/>
      <c r="T26" s="457"/>
      <c r="U26" s="488"/>
      <c r="V26" s="489"/>
      <c r="X26" s="457"/>
      <c r="Y26" s="457"/>
      <c r="Z26" s="488"/>
      <c r="AA26" s="489"/>
      <c r="AC26" s="477" t="str">
        <f>'Jan2022'!D77</f>
        <v>PID (reserva Institucional 1%= R$ 23.296,54)</v>
      </c>
      <c r="AD26" s="478">
        <f>'Jan2022'!I77</f>
        <v>0</v>
      </c>
    </row>
    <row r="27" spans="2:30" ht="15.75" customHeight="1">
      <c r="B27" s="457"/>
      <c r="C27" s="457"/>
      <c r="D27" s="457"/>
      <c r="E27" s="457"/>
      <c r="G27" s="457"/>
      <c r="H27" s="457"/>
      <c r="J27" s="457"/>
      <c r="K27" s="457"/>
      <c r="M27" s="479"/>
      <c r="N27" s="457"/>
      <c r="P27" s="457"/>
      <c r="Q27" s="457"/>
      <c r="S27" s="457"/>
      <c r="T27" s="457"/>
      <c r="U27" s="488"/>
      <c r="V27" s="489"/>
      <c r="X27" s="457"/>
      <c r="Y27" s="457"/>
      <c r="Z27" s="488"/>
      <c r="AA27" s="489"/>
      <c r="AC27" s="477" t="str">
        <f>'Jan2022'!D87</f>
        <v>EBC</v>
      </c>
      <c r="AD27" s="478">
        <f>'Jan2022'!I87</f>
        <v>0</v>
      </c>
    </row>
    <row r="28" spans="2:30" ht="15.75" customHeight="1">
      <c r="B28" s="457"/>
      <c r="C28" s="457"/>
      <c r="D28" s="457"/>
      <c r="E28" s="457"/>
      <c r="G28" s="457"/>
      <c r="H28" s="457"/>
      <c r="J28" s="457"/>
      <c r="K28" s="457"/>
      <c r="M28" s="457"/>
      <c r="N28" s="457"/>
      <c r="P28" s="457"/>
      <c r="Q28" s="457"/>
      <c r="S28" s="457"/>
      <c r="T28" s="457"/>
      <c r="U28" s="488"/>
      <c r="V28" s="489"/>
      <c r="X28" s="457"/>
      <c r="Y28" s="457"/>
      <c r="Z28" s="488"/>
      <c r="AA28" s="489"/>
      <c r="AC28" s="477" t="str">
        <f>'Jan2022'!D114</f>
        <v>PROJETOS DE ENSINO (reserva institucional 1%=23.296,54)</v>
      </c>
      <c r="AD28" s="478">
        <f>'Jan2022'!I115</f>
        <v>0</v>
      </c>
    </row>
    <row r="29" spans="2:30" ht="15.75" customHeight="1">
      <c r="B29" s="457"/>
      <c r="C29" s="457"/>
      <c r="D29" s="457"/>
      <c r="E29" s="457"/>
      <c r="G29" s="457"/>
      <c r="H29" s="457"/>
      <c r="J29" s="457"/>
      <c r="K29" s="457"/>
      <c r="M29" s="457"/>
      <c r="N29" s="457"/>
      <c r="P29" s="457"/>
      <c r="Q29" s="457"/>
      <c r="S29" s="457"/>
      <c r="T29" s="457"/>
      <c r="U29" s="488"/>
      <c r="V29" s="489"/>
      <c r="X29" s="457"/>
      <c r="Y29" s="457"/>
      <c r="Z29" s="488"/>
      <c r="AA29" s="489"/>
      <c r="AC29" s="477" t="str">
        <f>'Jan2022'!D173</f>
        <v xml:space="preserve">Estagiários </v>
      </c>
      <c r="AD29" s="478">
        <f>'Jan2022'!I173</f>
        <v>0</v>
      </c>
    </row>
    <row r="30" spans="2:30" ht="15.75" customHeight="1">
      <c r="B30" s="457"/>
      <c r="C30" s="457"/>
      <c r="D30" s="457"/>
      <c r="E30" s="457"/>
      <c r="G30" s="457"/>
      <c r="H30" s="457"/>
      <c r="J30" s="457"/>
      <c r="K30" s="457"/>
      <c r="M30" s="457"/>
      <c r="N30" s="457"/>
      <c r="P30" s="457"/>
      <c r="Q30" s="457"/>
      <c r="S30" s="457"/>
      <c r="T30" s="457"/>
      <c r="U30" s="488"/>
      <c r="V30" s="489"/>
      <c r="AA30" s="456"/>
      <c r="AC30" s="477" t="str">
        <f>'Jan2022'!D174</f>
        <v>Bolsa Coordenação Pós</v>
      </c>
      <c r="AD30" s="478">
        <f>'Jan2022'!I174</f>
        <v>0</v>
      </c>
    </row>
    <row r="31" spans="2:30" ht="15" customHeight="1">
      <c r="B31" s="457"/>
      <c r="C31" s="457"/>
      <c r="D31" s="457"/>
      <c r="E31" s="457"/>
      <c r="T31" s="21"/>
      <c r="V31" s="456"/>
      <c r="AA31" s="456"/>
      <c r="AC31" s="490"/>
      <c r="AD31" s="491"/>
    </row>
    <row r="32" spans="2:30" ht="15" customHeight="1">
      <c r="B32" s="457"/>
      <c r="C32" s="457"/>
      <c r="D32" s="457"/>
      <c r="E32" s="457"/>
      <c r="T32" s="21"/>
      <c r="V32" s="456"/>
      <c r="AA32" s="456"/>
    </row>
    <row r="33" spans="2:27" ht="15.75" customHeight="1">
      <c r="B33" s="457"/>
      <c r="C33" s="457"/>
      <c r="D33" s="457"/>
      <c r="E33" s="457"/>
      <c r="G33" s="588" t="s">
        <v>923</v>
      </c>
      <c r="H33" s="546"/>
      <c r="J33" s="588" t="s">
        <v>924</v>
      </c>
      <c r="K33" s="546"/>
      <c r="M33" s="588" t="s">
        <v>925</v>
      </c>
      <c r="N33" s="545"/>
      <c r="O33" s="546"/>
      <c r="P33" s="581"/>
      <c r="Q33" s="546"/>
      <c r="S33" s="586" t="s">
        <v>926</v>
      </c>
      <c r="T33" s="545"/>
      <c r="U33" s="545"/>
      <c r="V33" s="546"/>
      <c r="X33" s="586" t="s">
        <v>927</v>
      </c>
      <c r="Y33" s="545"/>
      <c r="Z33" s="545"/>
      <c r="AA33" s="546"/>
    </row>
    <row r="34" spans="2:27" ht="15.75" customHeight="1">
      <c r="D34" s="21"/>
      <c r="E34" s="21"/>
      <c r="G34" s="457"/>
      <c r="H34" s="457"/>
      <c r="J34" s="457"/>
      <c r="K34" s="457"/>
      <c r="M34" s="492" t="s">
        <v>928</v>
      </c>
      <c r="N34" s="493" t="s">
        <v>912</v>
      </c>
      <c r="O34" s="493" t="s">
        <v>929</v>
      </c>
      <c r="P34" s="457"/>
      <c r="Q34" s="488"/>
      <c r="S34" s="465"/>
      <c r="T34" s="466" t="s">
        <v>912</v>
      </c>
      <c r="U34" s="466" t="s">
        <v>908</v>
      </c>
      <c r="V34" s="466" t="s">
        <v>913</v>
      </c>
      <c r="X34" s="465"/>
      <c r="Y34" s="466" t="s">
        <v>912</v>
      </c>
      <c r="Z34" s="466" t="s">
        <v>908</v>
      </c>
      <c r="AA34" s="466" t="s">
        <v>913</v>
      </c>
    </row>
    <row r="35" spans="2:27" ht="15.75" customHeight="1">
      <c r="D35" s="21"/>
      <c r="E35" s="21"/>
      <c r="G35" s="460">
        <f>'Jan2022'!B4</f>
        <v>0</v>
      </c>
      <c r="H35" s="494">
        <f>'Jan2022'!I4</f>
        <v>0</v>
      </c>
      <c r="J35" s="460">
        <f>'Jan2022'!B4</f>
        <v>0</v>
      </c>
      <c r="K35" s="494">
        <f>'Jan2022'!M4</f>
        <v>0</v>
      </c>
      <c r="M35" s="492" t="s">
        <v>174</v>
      </c>
      <c r="N35" s="495">
        <f>'Jan2022'!$E$190/12</f>
        <v>198304.47</v>
      </c>
      <c r="O35" s="496">
        <f>'Jan2022'!Y191</f>
        <v>0</v>
      </c>
      <c r="P35" s="460"/>
      <c r="Q35" s="494"/>
      <c r="S35" s="474" t="str">
        <f>'Jan2022'!D15</f>
        <v xml:space="preserve">Energia elétrica - RGE </v>
      </c>
      <c r="T35" s="475">
        <f>'Jan2022'!E15</f>
        <v>280175</v>
      </c>
      <c r="U35" s="475">
        <f>'Jan2022'!I15</f>
        <v>0</v>
      </c>
      <c r="V35" s="476">
        <f t="shared" ref="V35:V62" si="7">U35/T35</f>
        <v>0</v>
      </c>
      <c r="X35" s="474" t="str">
        <f>'Jan2022'!D161</f>
        <v>PROJETOS DE PESQUISA (reserva 1,5% = 34.944,80)</v>
      </c>
      <c r="Y35" s="475">
        <f>'Jan2022'!E161</f>
        <v>36444.800000000003</v>
      </c>
      <c r="Z35" s="475">
        <f>'Jan2022'!I161</f>
        <v>0</v>
      </c>
      <c r="AA35" s="476">
        <f t="shared" ref="AA35:AA36" si="8">Z35/Y35</f>
        <v>0</v>
      </c>
    </row>
    <row r="36" spans="2:27" ht="15.75" customHeight="1">
      <c r="B36" s="497" t="s">
        <v>930</v>
      </c>
      <c r="C36" s="498"/>
      <c r="D36" s="498"/>
      <c r="E36" s="498"/>
      <c r="F36" s="462">
        <f>C39/C43</f>
        <v>0.70143157052048977</v>
      </c>
      <c r="G36" s="499">
        <f>'Jan2022'!B12</f>
        <v>0</v>
      </c>
      <c r="H36" s="499">
        <f>'Jan2022'!I12</f>
        <v>0</v>
      </c>
      <c r="J36" s="499">
        <f>'Jan2022'!B12</f>
        <v>0</v>
      </c>
      <c r="K36" s="499">
        <f>'Jan2022'!M12</f>
        <v>0</v>
      </c>
      <c r="M36" s="492" t="s">
        <v>175</v>
      </c>
      <c r="N36" s="495">
        <f>'Jan2022'!$E$190/12</f>
        <v>198304.47</v>
      </c>
      <c r="O36" s="496">
        <f>'Jan2022'!Z191</f>
        <v>0</v>
      </c>
      <c r="P36" s="460"/>
      <c r="Q36" s="494"/>
      <c r="S36" s="474" t="str">
        <f>'Jan2022'!D16</f>
        <v>Serviços postais, Correios - CORREIO</v>
      </c>
      <c r="T36" s="475">
        <f>'Jan2022'!E16</f>
        <v>2000</v>
      </c>
      <c r="U36" s="475">
        <f>'Jan2022'!I16</f>
        <v>0</v>
      </c>
      <c r="V36" s="476">
        <f t="shared" si="7"/>
        <v>0</v>
      </c>
      <c r="X36" s="474" t="str">
        <f>'Jan2022'!D169</f>
        <v>PROJETOS DE EXTENSÃO</v>
      </c>
      <c r="Y36" s="475">
        <f>'Jan2022'!E169</f>
        <v>84944.8</v>
      </c>
      <c r="Z36" s="475">
        <f>'Jan2022'!I169</f>
        <v>0</v>
      </c>
      <c r="AA36" s="476">
        <f t="shared" si="8"/>
        <v>0</v>
      </c>
    </row>
    <row r="37" spans="2:27" ht="15.75" customHeight="1">
      <c r="B37" s="457"/>
      <c r="C37" s="457"/>
      <c r="D37" s="457"/>
      <c r="E37" s="457"/>
      <c r="G37" s="460">
        <f>'Jan2022'!B67</f>
        <v>0</v>
      </c>
      <c r="H37" s="494">
        <f>'Jan2022'!I67</f>
        <v>0</v>
      </c>
      <c r="J37" s="460">
        <f>'Jan2022'!B67</f>
        <v>0</v>
      </c>
      <c r="K37" s="494">
        <f>'Jan2022'!M67</f>
        <v>0</v>
      </c>
      <c r="M37" s="492" t="s">
        <v>176</v>
      </c>
      <c r="N37" s="495">
        <f>'Jan2022'!$E$190/12</f>
        <v>198304.47</v>
      </c>
      <c r="O37" s="496">
        <f>'Jan2022'!AA191</f>
        <v>0</v>
      </c>
      <c r="P37" s="460"/>
      <c r="Q37" s="494"/>
      <c r="S37" s="474" t="str">
        <f>'Jan2022'!D17</f>
        <v>Vigilância Predial (4 postos de trabalho)-PORTALSUL SEGURANÇA</v>
      </c>
      <c r="T37" s="475">
        <f>'Jan2022'!E17</f>
        <v>0</v>
      </c>
      <c r="U37" s="475">
        <f>'Jan2022'!I17</f>
        <v>0</v>
      </c>
      <c r="V37" s="476" t="e">
        <f t="shared" si="7"/>
        <v>#DIV/0!</v>
      </c>
      <c r="X37" s="474"/>
      <c r="Y37" s="475"/>
      <c r="Z37" s="475"/>
      <c r="AA37" s="476"/>
    </row>
    <row r="38" spans="2:27" ht="15.75" customHeight="1">
      <c r="B38" s="463">
        <f>'Jan2022'!B4</f>
        <v>0</v>
      </c>
      <c r="C38" s="500">
        <f>'Jan2022'!E4</f>
        <v>48607.67</v>
      </c>
      <c r="D38" s="500"/>
      <c r="E38" s="500"/>
      <c r="G38" s="460">
        <f>'Jan2022'!B96</f>
        <v>0</v>
      </c>
      <c r="H38" s="494">
        <f>'Jan2022'!I96</f>
        <v>0</v>
      </c>
      <c r="J38" s="460">
        <f>'Jan2022'!B96</f>
        <v>0</v>
      </c>
      <c r="K38" s="494">
        <f>'Jan2022'!M96</f>
        <v>0</v>
      </c>
      <c r="M38" s="492" t="s">
        <v>177</v>
      </c>
      <c r="N38" s="495">
        <f>'Jan2022'!$E$190/12</f>
        <v>198304.47</v>
      </c>
      <c r="O38" s="501">
        <f>'Jan2022'!AB191</f>
        <v>0</v>
      </c>
      <c r="P38" s="460"/>
      <c r="Q38" s="494"/>
      <c r="S38" s="474" t="str">
        <f>'Jan2022'!D19</f>
        <v>Limpeza (10 postos de trabalhos) 6 meses 5 postos - LIMPADORA (até dez/21)</v>
      </c>
      <c r="T38" s="475">
        <f>'Jan2022'!E19</f>
        <v>610000</v>
      </c>
      <c r="U38" s="475">
        <f>'Jan2022'!I19</f>
        <v>0</v>
      </c>
      <c r="V38" s="476">
        <f t="shared" si="7"/>
        <v>0</v>
      </c>
      <c r="X38" s="474"/>
      <c r="Y38" s="475"/>
      <c r="Z38" s="475"/>
      <c r="AA38" s="476"/>
    </row>
    <row r="39" spans="2:27" ht="15.75" customHeight="1">
      <c r="B39" s="502">
        <f>'Jan2022'!B12</f>
        <v>0</v>
      </c>
      <c r="C39" s="502">
        <f>'Jan2022'!E12</f>
        <v>1669164.1900000002</v>
      </c>
      <c r="D39" s="502"/>
      <c r="E39" s="502"/>
      <c r="G39" s="460">
        <f>'Jan2022'!B159</f>
        <v>0</v>
      </c>
      <c r="H39" s="494">
        <f>'Jan2022'!I159</f>
        <v>0</v>
      </c>
      <c r="J39" s="460">
        <f>'Jan2022'!B159</f>
        <v>0</v>
      </c>
      <c r="K39" s="494">
        <f>'Jan2022'!M159</f>
        <v>0</v>
      </c>
      <c r="M39" s="492" t="s">
        <v>178</v>
      </c>
      <c r="N39" s="495">
        <f>'Jan2022'!$E$190/12</f>
        <v>198304.47</v>
      </c>
      <c r="O39" s="501">
        <f>'Jan2022'!AC191</f>
        <v>0</v>
      </c>
      <c r="P39" s="460"/>
      <c r="Q39" s="494"/>
      <c r="S39" s="474" t="str">
        <f>'Jan2022'!D20</f>
        <v>Jardinagem (1 posto de trabalho)-LIMPADORA</v>
      </c>
      <c r="T39" s="475">
        <f>'Jan2022'!E20</f>
        <v>43000</v>
      </c>
      <c r="U39" s="475">
        <f>'Jan2022'!I20</f>
        <v>0</v>
      </c>
      <c r="V39" s="476">
        <f t="shared" si="7"/>
        <v>0</v>
      </c>
      <c r="X39" s="474"/>
      <c r="Y39" s="475"/>
      <c r="Z39" s="475"/>
      <c r="AA39" s="476"/>
    </row>
    <row r="40" spans="2:27" ht="15.75" customHeight="1">
      <c r="B40" s="463">
        <f>'Jan2022'!B67</f>
        <v>0</v>
      </c>
      <c r="C40" s="500">
        <f>'Jan2022'!E67</f>
        <v>267218.16000000003</v>
      </c>
      <c r="D40" s="500"/>
      <c r="E40" s="500"/>
      <c r="G40" s="457"/>
      <c r="H40" s="503">
        <f>SUM(H35:H39)</f>
        <v>0</v>
      </c>
      <c r="J40" s="457"/>
      <c r="K40" s="503">
        <f>SUM(K35:K39)</f>
        <v>0</v>
      </c>
      <c r="M40" s="492" t="s">
        <v>179</v>
      </c>
      <c r="N40" s="495">
        <f>'Jan2022'!$E$190/12</f>
        <v>198304.47</v>
      </c>
      <c r="O40" s="501">
        <f>'Jan2022'!AD191</f>
        <v>0</v>
      </c>
      <c r="P40" s="460"/>
      <c r="Q40" s="494"/>
      <c r="S40" s="474" t="str">
        <f>'Jan2022'!D21</f>
        <v>Coleta de Resíduos - ABORGAMA</v>
      </c>
      <c r="T40" s="475">
        <f>'Jan2022'!E21</f>
        <v>2000</v>
      </c>
      <c r="U40" s="475">
        <f>'Jan2022'!I21</f>
        <v>0</v>
      </c>
      <c r="V40" s="476">
        <f t="shared" si="7"/>
        <v>0</v>
      </c>
      <c r="X40" s="474"/>
      <c r="Y40" s="475"/>
      <c r="Z40" s="475"/>
      <c r="AA40" s="476"/>
    </row>
    <row r="41" spans="2:27" ht="15.75" customHeight="1">
      <c r="B41" s="463">
        <f>'Jan2022'!B96</f>
        <v>0</v>
      </c>
      <c r="C41" s="500">
        <f>'Jan2022'!E96</f>
        <v>273274.02</v>
      </c>
      <c r="D41" s="500"/>
      <c r="E41" s="500"/>
      <c r="G41" s="457"/>
      <c r="H41" s="457"/>
      <c r="J41" s="457"/>
      <c r="K41" s="457"/>
      <c r="M41" s="492" t="s">
        <v>180</v>
      </c>
      <c r="N41" s="495">
        <f>'Jan2022'!$E$190/12</f>
        <v>198304.47</v>
      </c>
      <c r="O41" s="496">
        <f>'Jan2022'!Y193</f>
        <v>0</v>
      </c>
      <c r="P41" s="460"/>
      <c r="Q41" s="494"/>
      <c r="S41" s="474" t="str">
        <f>'Jan2022'!D22</f>
        <v>Manutenção predial Infra (1 posto de trabalho)-DIONÉIA</v>
      </c>
      <c r="T41" s="475">
        <f>'Jan2022'!E22</f>
        <v>45000</v>
      </c>
      <c r="U41" s="475">
        <f>'Jan2022'!I22</f>
        <v>0</v>
      </c>
      <c r="V41" s="476">
        <f t="shared" si="7"/>
        <v>0</v>
      </c>
      <c r="X41" s="474"/>
      <c r="Y41" s="475"/>
      <c r="Z41" s="475"/>
      <c r="AA41" s="476"/>
    </row>
    <row r="42" spans="2:27" ht="15.75" customHeight="1">
      <c r="B42" s="463">
        <f>'Jan2022'!B159</f>
        <v>0</v>
      </c>
      <c r="C42" s="500">
        <f>'Jan2022'!E159</f>
        <v>121389.6</v>
      </c>
      <c r="D42" s="500"/>
      <c r="E42" s="500"/>
      <c r="G42" s="457"/>
      <c r="H42" s="457"/>
      <c r="J42" s="457"/>
      <c r="K42" s="457"/>
      <c r="M42" s="492" t="s">
        <v>181</v>
      </c>
      <c r="N42" s="495">
        <f>'Jan2022'!$E$190/12</f>
        <v>198304.47</v>
      </c>
      <c r="O42" s="496">
        <f>'Jan2022'!Z193</f>
        <v>0</v>
      </c>
      <c r="P42" s="460"/>
      <c r="Q42" s="494"/>
      <c r="S42" s="474" t="str">
        <f>'Jan2022'!D23</f>
        <v>Manutenção Agropecuária (1 posto de trabalho) - FRAC</v>
      </c>
      <c r="T42" s="475">
        <f>'Jan2022'!E23</f>
        <v>43000</v>
      </c>
      <c r="U42" s="475">
        <f>'Jan2022'!I23</f>
        <v>0</v>
      </c>
      <c r="V42" s="476">
        <f t="shared" si="7"/>
        <v>0</v>
      </c>
      <c r="X42" s="474"/>
      <c r="Y42" s="475"/>
      <c r="Z42" s="475"/>
      <c r="AA42" s="476"/>
    </row>
    <row r="43" spans="2:27" ht="15.75" customHeight="1">
      <c r="B43" s="457"/>
      <c r="C43" s="504">
        <f>SUM(C38:C42)</f>
        <v>2379653.64</v>
      </c>
      <c r="D43" s="504"/>
      <c r="E43" s="504"/>
      <c r="G43" s="457"/>
      <c r="H43" s="457"/>
      <c r="J43" s="457"/>
      <c r="K43" s="457"/>
      <c r="M43" s="492" t="s">
        <v>182</v>
      </c>
      <c r="N43" s="495">
        <f>'Jan2022'!$E$190/12</f>
        <v>198304.47</v>
      </c>
      <c r="O43" s="496">
        <f>'Jan2022'!AA193</f>
        <v>0</v>
      </c>
      <c r="P43" s="460"/>
      <c r="Q43" s="494"/>
      <c r="S43" s="474" t="str">
        <f>'Jan2022'!D25</f>
        <v>Manutenção extintores e mangueiras - ELIANE RESTA</v>
      </c>
      <c r="T43" s="475">
        <f>'Jan2022'!E25</f>
        <v>7000</v>
      </c>
      <c r="U43" s="475">
        <f>'Jan2022'!I25</f>
        <v>0</v>
      </c>
      <c r="V43" s="476">
        <f t="shared" si="7"/>
        <v>0</v>
      </c>
      <c r="X43" s="457"/>
      <c r="Y43" s="457"/>
      <c r="Z43" s="488"/>
      <c r="AA43" s="489"/>
    </row>
    <row r="44" spans="2:27" ht="15.75" customHeight="1">
      <c r="B44" s="457"/>
      <c r="C44" s="457"/>
      <c r="D44" s="457"/>
      <c r="E44" s="457"/>
      <c r="G44" s="457"/>
      <c r="H44" s="457"/>
      <c r="J44" s="457"/>
      <c r="K44" s="457"/>
      <c r="M44" s="492" t="s">
        <v>183</v>
      </c>
      <c r="N44" s="495">
        <f>'Jan2022'!$E$190/12</f>
        <v>198304.47</v>
      </c>
      <c r="O44" s="501">
        <f>'Jan2022'!AB193</f>
        <v>0</v>
      </c>
      <c r="P44" s="460"/>
      <c r="Q44" s="457"/>
      <c r="S44" s="474" t="str">
        <f>'Jan2022'!D26</f>
        <v>Manutenção elétrica - ALFALOG</v>
      </c>
      <c r="T44" s="475">
        <f>'Jan2022'!E26</f>
        <v>8404</v>
      </c>
      <c r="U44" s="475">
        <f>'Jan2022'!I26</f>
        <v>0</v>
      </c>
      <c r="V44" s="476">
        <f t="shared" si="7"/>
        <v>0</v>
      </c>
      <c r="X44" s="457"/>
      <c r="Y44" s="457"/>
      <c r="Z44" s="488"/>
      <c r="AA44" s="489"/>
    </row>
    <row r="45" spans="2:27" ht="15.75" customHeight="1">
      <c r="B45" s="457"/>
      <c r="C45" s="457"/>
      <c r="D45" s="457"/>
      <c r="E45" s="457"/>
      <c r="G45" s="457"/>
      <c r="H45" s="457"/>
      <c r="J45" s="457"/>
      <c r="K45" s="457"/>
      <c r="M45" s="492" t="s">
        <v>184</v>
      </c>
      <c r="N45" s="495">
        <f>'Jan2022'!$E$190/12</f>
        <v>198304.47</v>
      </c>
      <c r="O45" s="501">
        <f>'Jan2022'!AC193</f>
        <v>0</v>
      </c>
      <c r="P45" s="460"/>
      <c r="Q45" s="457"/>
      <c r="S45" s="474" t="str">
        <f>'Jan2022'!D27</f>
        <v>Manutenção persianas e cortinas</v>
      </c>
      <c r="T45" s="475">
        <f>'Jan2022'!E27</f>
        <v>10000</v>
      </c>
      <c r="U45" s="475">
        <f>'Jan2022'!I27</f>
        <v>0</v>
      </c>
      <c r="V45" s="476">
        <f t="shared" si="7"/>
        <v>0</v>
      </c>
      <c r="X45" s="457"/>
      <c r="Y45" s="457"/>
      <c r="Z45" s="488"/>
      <c r="AA45" s="489"/>
    </row>
    <row r="46" spans="2:27" ht="15.75" customHeight="1">
      <c r="B46" s="457"/>
      <c r="C46" s="457"/>
      <c r="D46" s="457"/>
      <c r="E46" s="457"/>
      <c r="G46" s="457"/>
      <c r="H46" s="457"/>
      <c r="J46" s="457"/>
      <c r="K46" s="457"/>
      <c r="M46" s="492" t="s">
        <v>185</v>
      </c>
      <c r="N46" s="495">
        <f>'Jan2022'!$E$190/12</f>
        <v>198304.47</v>
      </c>
      <c r="O46" s="501">
        <f>'Jan2022'!AD193</f>
        <v>0</v>
      </c>
      <c r="P46" s="460"/>
      <c r="Q46" s="457"/>
      <c r="S46" s="474" t="str">
        <f>'Jan2022'!D28</f>
        <v>Manutenção de ar condicionado</v>
      </c>
      <c r="T46" s="475">
        <f>'Jan2022'!E28</f>
        <v>4202</v>
      </c>
      <c r="U46" s="475">
        <f>'Jan2022'!I28</f>
        <v>0</v>
      </c>
      <c r="V46" s="476">
        <f t="shared" si="7"/>
        <v>0</v>
      </c>
      <c r="X46" s="457"/>
      <c r="Y46" s="457"/>
      <c r="Z46" s="488"/>
      <c r="AA46" s="489"/>
    </row>
    <row r="47" spans="2:27" ht="15.75" customHeight="1">
      <c r="B47" s="457"/>
      <c r="C47" s="457"/>
      <c r="D47" s="457"/>
      <c r="E47" s="457"/>
      <c r="G47" s="457"/>
      <c r="H47" s="457"/>
      <c r="J47" s="457"/>
      <c r="K47" s="457"/>
      <c r="M47" s="492"/>
      <c r="N47" s="492"/>
      <c r="O47" s="492"/>
      <c r="P47" s="457"/>
      <c r="Q47" s="457"/>
      <c r="S47" s="474" t="str">
        <f>'Jan2022'!D29</f>
        <v>Manutenção e conservação de bens móveis- hidráulica-reparos</v>
      </c>
      <c r="T47" s="475">
        <f>'Jan2022'!E29</f>
        <v>4202</v>
      </c>
      <c r="U47" s="475">
        <f>'Jan2022'!I29</f>
        <v>0</v>
      </c>
      <c r="V47" s="476">
        <f t="shared" si="7"/>
        <v>0</v>
      </c>
      <c r="X47" s="457"/>
      <c r="Y47" s="457"/>
      <c r="Z47" s="488"/>
      <c r="AA47" s="489"/>
    </row>
    <row r="48" spans="2:27" ht="15.75" customHeight="1">
      <c r="B48" s="457"/>
      <c r="C48" s="457"/>
      <c r="D48" s="457"/>
      <c r="E48" s="457"/>
      <c r="G48" s="457"/>
      <c r="H48" s="457"/>
      <c r="J48" s="457"/>
      <c r="K48" s="457"/>
      <c r="M48" s="492"/>
      <c r="N48" s="492"/>
      <c r="O48" s="492"/>
      <c r="P48" s="457"/>
      <c r="Q48" s="457"/>
      <c r="S48" s="474" t="str">
        <f>'Jan2022'!D30</f>
        <v>Manutenção de equipamentos de laboratório - MEGA</v>
      </c>
      <c r="T48" s="475">
        <f>'Jan2022'!E30</f>
        <v>18404</v>
      </c>
      <c r="U48" s="475">
        <f>'Jan2022'!I30</f>
        <v>0</v>
      </c>
      <c r="V48" s="476">
        <f t="shared" si="7"/>
        <v>0</v>
      </c>
      <c r="X48" s="457"/>
      <c r="Y48" s="457"/>
      <c r="Z48" s="488"/>
      <c r="AA48" s="489"/>
    </row>
    <row r="49" spans="2:27" ht="15.75" customHeight="1">
      <c r="B49" s="457"/>
      <c r="C49" s="457"/>
      <c r="D49" s="457"/>
      <c r="E49" s="457"/>
      <c r="G49" s="457"/>
      <c r="H49" s="457"/>
      <c r="J49" s="457"/>
      <c r="K49" s="457"/>
      <c r="M49" s="492"/>
      <c r="N49" s="492"/>
      <c r="O49" s="492"/>
      <c r="P49" s="457"/>
      <c r="Q49" s="457"/>
      <c r="S49" s="474" t="str">
        <f>'Jan2022'!D32</f>
        <v>Manutenção de maquinários agrícolas- HM</v>
      </c>
      <c r="T49" s="475">
        <f>'Jan2022'!E32</f>
        <v>20000</v>
      </c>
      <c r="U49" s="475">
        <f>'Jan2022'!I32</f>
        <v>0</v>
      </c>
      <c r="V49" s="476">
        <f t="shared" si="7"/>
        <v>0</v>
      </c>
      <c r="X49" s="457"/>
      <c r="Y49" s="457"/>
      <c r="Z49" s="488"/>
      <c r="AA49" s="489"/>
    </row>
    <row r="50" spans="2:27" ht="15.75" customHeight="1">
      <c r="B50" s="457"/>
      <c r="C50" s="457"/>
      <c r="D50" s="457"/>
      <c r="E50" s="457"/>
      <c r="G50" s="457"/>
      <c r="H50" s="457"/>
      <c r="J50" s="457"/>
      <c r="K50" s="457"/>
      <c r="M50" s="492"/>
      <c r="N50" s="492"/>
      <c r="O50" s="492"/>
      <c r="P50" s="457"/>
      <c r="Q50" s="457"/>
      <c r="S50" s="474" t="str">
        <f>'Jan2022'!D33</f>
        <v>Manutenção do serviço de detetização</v>
      </c>
      <c r="T50" s="475">
        <f>'Jan2022'!E33</f>
        <v>2025.37</v>
      </c>
      <c r="U50" s="475">
        <f>'Jan2022'!I33</f>
        <v>0</v>
      </c>
      <c r="V50" s="476">
        <f t="shared" si="7"/>
        <v>0</v>
      </c>
      <c r="X50" s="457"/>
      <c r="Y50" s="457"/>
      <c r="Z50" s="488"/>
      <c r="AA50" s="489"/>
    </row>
    <row r="51" spans="2:27" ht="15.75" customHeight="1">
      <c r="B51" s="457"/>
      <c r="C51" s="457"/>
      <c r="D51" s="457"/>
      <c r="E51" s="457"/>
      <c r="G51" s="457"/>
      <c r="H51" s="457"/>
      <c r="J51" s="457"/>
      <c r="K51" s="457"/>
      <c r="M51" s="492"/>
      <c r="N51" s="492"/>
      <c r="O51" s="492"/>
      <c r="P51" s="457"/>
      <c r="Q51" s="457"/>
      <c r="S51" s="474" t="str">
        <f>'Jan2022'!D34</f>
        <v>Aquisição de equipamentos de uso geral</v>
      </c>
      <c r="T51" s="475">
        <f>'Jan2022'!E34</f>
        <v>30000</v>
      </c>
      <c r="U51" s="475">
        <f>'Jan2022'!I34</f>
        <v>0</v>
      </c>
      <c r="V51" s="476">
        <f t="shared" si="7"/>
        <v>0</v>
      </c>
      <c r="X51" s="457"/>
      <c r="Y51" s="457"/>
      <c r="Z51" s="488"/>
      <c r="AA51" s="489"/>
    </row>
    <row r="52" spans="2:27" ht="15.75" customHeight="1">
      <c r="B52" s="457"/>
      <c r="C52" s="457"/>
      <c r="D52" s="457"/>
      <c r="E52" s="457"/>
      <c r="G52" s="457"/>
      <c r="H52" s="457"/>
      <c r="J52" s="457"/>
      <c r="K52" s="457"/>
      <c r="M52" s="492"/>
      <c r="N52" s="492"/>
      <c r="O52" s="492"/>
      <c r="P52" s="457"/>
      <c r="Q52" s="457"/>
      <c r="S52" s="474" t="str">
        <f>'Jan2022'!D35</f>
        <v>Aquisição de mobiliário</v>
      </c>
      <c r="T52" s="475">
        <f>'Jan2022'!E35</f>
        <v>10000</v>
      </c>
      <c r="U52" s="475">
        <f>'Jan2022'!I35</f>
        <v>0</v>
      </c>
      <c r="V52" s="476">
        <f t="shared" si="7"/>
        <v>0</v>
      </c>
      <c r="X52" s="457"/>
      <c r="Y52" s="457"/>
      <c r="Z52" s="488"/>
      <c r="AA52" s="489"/>
    </row>
    <row r="53" spans="2:27" ht="15.75" customHeight="1">
      <c r="B53" s="457"/>
      <c r="C53" s="457"/>
      <c r="D53" s="457"/>
      <c r="E53" s="457"/>
      <c r="G53" s="457"/>
      <c r="H53" s="457"/>
      <c r="J53" s="457"/>
      <c r="K53" s="457"/>
      <c r="M53" s="492"/>
      <c r="N53" s="492"/>
      <c r="O53" s="492"/>
      <c r="P53" s="457"/>
      <c r="Q53" s="457"/>
      <c r="S53" s="474" t="str">
        <f>'Jan2022'!D37</f>
        <v>Manutenção de frotas - Combustível</v>
      </c>
      <c r="T53" s="475">
        <f>'Jan2022'!E37</f>
        <v>19200</v>
      </c>
      <c r="U53" s="475">
        <f>'Jan2022'!I37</f>
        <v>0</v>
      </c>
      <c r="V53" s="476">
        <f t="shared" si="7"/>
        <v>0</v>
      </c>
      <c r="X53" s="457"/>
      <c r="Y53" s="457"/>
      <c r="Z53" s="488"/>
      <c r="AA53" s="489"/>
    </row>
    <row r="54" spans="2:27" ht="15.75" customHeight="1">
      <c r="B54" s="457"/>
      <c r="C54" s="457"/>
      <c r="D54" s="457"/>
      <c r="E54" s="457"/>
      <c r="G54" s="457"/>
      <c r="H54" s="457"/>
      <c r="J54" s="457"/>
      <c r="K54" s="457"/>
      <c r="M54" s="492"/>
      <c r="N54" s="492"/>
      <c r="O54" s="492"/>
      <c r="P54" s="457"/>
      <c r="Q54" s="457"/>
      <c r="S54" s="474" t="str">
        <f>'Jan2022'!D38</f>
        <v>Manutenção frota prestação de serviços</v>
      </c>
      <c r="T54" s="475">
        <f>'Jan2022'!E38</f>
        <v>20000</v>
      </c>
      <c r="U54" s="475">
        <f>'Jan2022'!I38</f>
        <v>0</v>
      </c>
      <c r="V54" s="476">
        <f t="shared" si="7"/>
        <v>0</v>
      </c>
      <c r="X54" s="457"/>
      <c r="Y54" s="457"/>
      <c r="Z54" s="488"/>
      <c r="AA54" s="489"/>
    </row>
    <row r="55" spans="2:27" ht="15.75" customHeight="1">
      <c r="B55" s="457"/>
      <c r="C55" s="457"/>
      <c r="D55" s="457"/>
      <c r="E55" s="457"/>
      <c r="G55" s="457"/>
      <c r="H55" s="457"/>
      <c r="J55" s="457"/>
      <c r="K55" s="457"/>
      <c r="M55" s="492"/>
      <c r="N55" s="492"/>
      <c r="O55" s="492"/>
      <c r="P55" s="457"/>
      <c r="Q55" s="457"/>
      <c r="S55" s="474" t="str">
        <f>'Jan2022'!D39</f>
        <v>Publicidade legal em jornais -GIBBOR</v>
      </c>
      <c r="T55" s="475">
        <f>'Jan2022'!E39</f>
        <v>2344.5</v>
      </c>
      <c r="U55" s="475">
        <f>'Jan2022'!I39</f>
        <v>0</v>
      </c>
      <c r="V55" s="476">
        <f t="shared" si="7"/>
        <v>0</v>
      </c>
      <c r="X55" s="457"/>
      <c r="Y55" s="457"/>
      <c r="Z55" s="488"/>
      <c r="AA55" s="489"/>
    </row>
    <row r="56" spans="2:27" ht="15.75" customHeight="1">
      <c r="B56" s="457"/>
      <c r="C56" s="457"/>
      <c r="D56" s="457"/>
      <c r="E56" s="457"/>
      <c r="G56" s="457"/>
      <c r="H56" s="457"/>
      <c r="J56" s="457"/>
      <c r="K56" s="457"/>
      <c r="M56" s="492"/>
      <c r="N56" s="492"/>
      <c r="O56" s="492"/>
      <c r="P56" s="457"/>
      <c r="Q56" s="457"/>
      <c r="S56" s="474" t="str">
        <f>'Jan2022'!D40</f>
        <v>Obrigações tributárias (PIS)</v>
      </c>
      <c r="T56" s="475">
        <f>'Jan2022'!E40</f>
        <v>2000</v>
      </c>
      <c r="U56" s="475">
        <f>'Jan2022'!I40</f>
        <v>0</v>
      </c>
      <c r="V56" s="476">
        <f t="shared" si="7"/>
        <v>0</v>
      </c>
      <c r="X56" s="457"/>
      <c r="Y56" s="457"/>
      <c r="Z56" s="488"/>
      <c r="AA56" s="489"/>
    </row>
    <row r="57" spans="2:27" ht="15.75" customHeight="1">
      <c r="B57" s="457"/>
      <c r="C57" s="457"/>
      <c r="D57" s="457"/>
      <c r="E57" s="457"/>
      <c r="G57" s="457"/>
      <c r="H57" s="457"/>
      <c r="J57" s="457"/>
      <c r="K57" s="457"/>
      <c r="M57" s="492"/>
      <c r="N57" s="492"/>
      <c r="O57" s="492"/>
      <c r="P57" s="457"/>
      <c r="Q57" s="457"/>
      <c r="S57" s="474" t="str">
        <f>'Jan2022'!D41</f>
        <v>Seguro veicular e IPVA - Seguradora</v>
      </c>
      <c r="T57" s="475">
        <f>'Jan2022'!E41</f>
        <v>6000</v>
      </c>
      <c r="U57" s="475">
        <f>'Jan2022'!I41</f>
        <v>0</v>
      </c>
      <c r="V57" s="476">
        <f t="shared" si="7"/>
        <v>0</v>
      </c>
      <c r="X57" s="457"/>
      <c r="Y57" s="457"/>
      <c r="Z57" s="488"/>
      <c r="AA57" s="489"/>
    </row>
    <row r="58" spans="2:27" ht="15.75" customHeight="1">
      <c r="B58" s="457"/>
      <c r="C58" s="457"/>
      <c r="D58" s="457"/>
      <c r="E58" s="457"/>
      <c r="G58" s="457"/>
      <c r="H58" s="457"/>
      <c r="J58" s="457"/>
      <c r="K58" s="457"/>
      <c r="M58" s="492"/>
      <c r="N58" s="492"/>
      <c r="O58" s="492"/>
      <c r="P58" s="457"/>
      <c r="Q58" s="457"/>
      <c r="S58" s="474" t="str">
        <f>'Jan2022'!D42</f>
        <v xml:space="preserve">Material de Consumo conservação INFRAESTRUTURA </v>
      </c>
      <c r="T58" s="475">
        <f>'Jan2022'!E42</f>
        <v>30000</v>
      </c>
      <c r="U58" s="475">
        <f>'Jan2022'!I42</f>
        <v>0</v>
      </c>
      <c r="V58" s="476">
        <f t="shared" si="7"/>
        <v>0</v>
      </c>
      <c r="X58" s="457"/>
      <c r="Y58" s="457"/>
      <c r="Z58" s="488"/>
      <c r="AA58" s="489"/>
    </row>
    <row r="59" spans="2:27" ht="15.75" customHeight="1">
      <c r="B59" s="457"/>
      <c r="C59" s="457"/>
      <c r="D59" s="457"/>
      <c r="E59" s="457"/>
      <c r="G59" s="457"/>
      <c r="H59" s="457"/>
      <c r="J59" s="457"/>
      <c r="K59" s="457"/>
      <c r="M59" s="492"/>
      <c r="N59" s="492"/>
      <c r="O59" s="492"/>
      <c r="P59" s="457"/>
      <c r="Q59" s="457"/>
      <c r="S59" s="474" t="str">
        <f>'Jan2022'!D43</f>
        <v>Material consumo LEPEPs Ensino</v>
      </c>
      <c r="T59" s="475">
        <f>'Jan2022'!E43</f>
        <v>20000</v>
      </c>
      <c r="U59" s="475">
        <f>'Jan2022'!I43</f>
        <v>0</v>
      </c>
      <c r="V59" s="476">
        <f t="shared" si="7"/>
        <v>0</v>
      </c>
      <c r="AA59" s="456"/>
    </row>
    <row r="60" spans="2:27" ht="15" customHeight="1">
      <c r="B60" s="457"/>
      <c r="C60" s="457"/>
      <c r="D60" s="457"/>
      <c r="E60" s="457"/>
      <c r="S60" s="474" t="str">
        <f>'Jan2022'!D44</f>
        <v>Material consumo LEPEPs  Produção</v>
      </c>
      <c r="T60" s="475">
        <f>'Jan2022'!E44</f>
        <v>60000</v>
      </c>
      <c r="U60" s="475">
        <f>'Jan2022'!I44</f>
        <v>0</v>
      </c>
      <c r="V60" s="476">
        <f t="shared" si="7"/>
        <v>0</v>
      </c>
      <c r="AA60" s="456"/>
    </row>
    <row r="61" spans="2:27" ht="28.5" customHeight="1">
      <c r="B61" s="457"/>
      <c r="C61" s="457"/>
      <c r="D61" s="457"/>
      <c r="E61" s="457"/>
      <c r="S61" s="474" t="e">
        <f>'[1]2022'!#REF!</f>
        <v>#REF!</v>
      </c>
      <c r="T61" s="475" t="e">
        <f>'[1]2022'!#REF!</f>
        <v>#REF!</v>
      </c>
      <c r="U61" s="475" t="e">
        <f>'[1]2022'!#REF!</f>
        <v>#REF!</v>
      </c>
      <c r="V61" s="476" t="e">
        <f t="shared" si="7"/>
        <v>#REF!</v>
      </c>
      <c r="AA61" s="456"/>
    </row>
    <row r="62" spans="2:27" ht="24" customHeight="1">
      <c r="B62" s="457"/>
      <c r="C62" s="457"/>
      <c r="D62" s="457"/>
      <c r="E62" s="457"/>
      <c r="G62" s="583" t="s">
        <v>931</v>
      </c>
      <c r="H62" s="576"/>
      <c r="J62" s="579" t="s">
        <v>932</v>
      </c>
      <c r="K62" s="546"/>
      <c r="S62" s="474" t="str">
        <f>'Jan2022'!D45</f>
        <v>Material de expediente</v>
      </c>
      <c r="T62" s="475">
        <f>'Jan2022'!E45</f>
        <v>13000</v>
      </c>
      <c r="U62" s="475">
        <f>'Jan2022'!I45</f>
        <v>0</v>
      </c>
      <c r="V62" s="476">
        <f t="shared" si="7"/>
        <v>0</v>
      </c>
      <c r="AA62" s="456"/>
    </row>
    <row r="63" spans="2:27" ht="15.75" customHeight="1">
      <c r="D63" s="21"/>
      <c r="E63" s="21"/>
      <c r="G63" s="584"/>
      <c r="H63" s="585"/>
      <c r="J63" s="580"/>
      <c r="K63" s="546"/>
      <c r="T63" s="21"/>
      <c r="V63" s="456"/>
      <c r="AA63" s="456"/>
    </row>
    <row r="64" spans="2:27" ht="15.75" customHeight="1">
      <c r="D64" s="21"/>
      <c r="E64" s="21"/>
      <c r="G64" s="505" t="str">
        <f>'Jan2022'!D191</f>
        <v>ORÇAMENTO LIBERADO</v>
      </c>
      <c r="H64" s="506">
        <f>'Jan2022'!E191</f>
        <v>0</v>
      </c>
      <c r="J64" s="505" t="s">
        <v>933</v>
      </c>
      <c r="K64" s="506">
        <f>'Jan2022'!J192</f>
        <v>2466010.4700000002</v>
      </c>
      <c r="S64" s="586" t="s">
        <v>934</v>
      </c>
      <c r="T64" s="545"/>
      <c r="U64" s="545"/>
      <c r="V64" s="546"/>
      <c r="AA64" s="456"/>
    </row>
    <row r="65" spans="2:27" ht="15.75" customHeight="1">
      <c r="B65" s="581" t="s">
        <v>935</v>
      </c>
      <c r="C65" s="546"/>
      <c r="D65" s="467"/>
      <c r="E65" s="467"/>
      <c r="G65" s="505" t="str">
        <f>'Jan2022'!D192</f>
        <v>ORÇAMENTO EMPENHADO</v>
      </c>
      <c r="H65" s="507">
        <f>'Jan2022'!E192</f>
        <v>0</v>
      </c>
      <c r="I65" s="462" t="e">
        <f t="shared" ref="I65:I66" si="9">H65/H64</f>
        <v>#DIV/0!</v>
      </c>
      <c r="J65" s="505" t="s">
        <v>936</v>
      </c>
      <c r="K65" s="506">
        <f>'Jan2022'!N193</f>
        <v>219216.24</v>
      </c>
      <c r="L65" s="462">
        <f>K65/K64</f>
        <v>8.8895097026899475E-2</v>
      </c>
      <c r="S65" s="465"/>
      <c r="T65" s="466" t="s">
        <v>912</v>
      </c>
      <c r="U65" s="466" t="s">
        <v>908</v>
      </c>
      <c r="V65" s="466" t="s">
        <v>913</v>
      </c>
      <c r="AA65" s="456"/>
    </row>
    <row r="66" spans="2:27" ht="15.75" customHeight="1">
      <c r="B66" s="508" t="s">
        <v>937</v>
      </c>
      <c r="C66" s="509">
        <v>2212981</v>
      </c>
      <c r="D66" s="470"/>
      <c r="E66" s="470"/>
      <c r="F66" s="462">
        <f>C72/C68</f>
        <v>0</v>
      </c>
      <c r="G66" s="505" t="str">
        <f>'Jan2022'!D193</f>
        <v>ORÇAMENTO EXECUTADO</v>
      </c>
      <c r="H66" s="507">
        <f>'Jan2022'!E193</f>
        <v>0</v>
      </c>
      <c r="I66" s="462" t="e">
        <f t="shared" si="9"/>
        <v>#DIV/0!</v>
      </c>
      <c r="J66" s="505" t="s">
        <v>938</v>
      </c>
      <c r="K66" s="506">
        <f>'Jan2022'!E199</f>
        <v>2246794.2300000004</v>
      </c>
      <c r="L66" s="462">
        <f>K66/K64</f>
        <v>0.91110490297310065</v>
      </c>
      <c r="S66" s="474" t="str">
        <f>'Jan2022'!D70</f>
        <v>Telefonia e Internet - Telefonia Fixa -OI</v>
      </c>
      <c r="T66" s="475">
        <f>'Jan2022'!E70</f>
        <v>10000</v>
      </c>
      <c r="U66" s="475">
        <f>'Jan2022'!I70</f>
        <v>0</v>
      </c>
      <c r="V66" s="476">
        <f t="shared" ref="V66:V77" si="10">U66/T66</f>
        <v>0</v>
      </c>
      <c r="AA66" s="456"/>
    </row>
    <row r="67" spans="2:27" ht="15.75" customHeight="1">
      <c r="B67" s="510" t="s">
        <v>939</v>
      </c>
      <c r="C67" s="511">
        <v>44188.800000000003</v>
      </c>
      <c r="D67" s="512"/>
      <c r="E67" s="512"/>
      <c r="G67" s="505" t="str">
        <f>'Jan2022'!D194</f>
        <v>ORÇAMENTO PAGO</v>
      </c>
      <c r="H67" s="507">
        <f>'Jan2022'!E194</f>
        <v>0</v>
      </c>
      <c r="I67" s="462" t="e">
        <f>H67/H65</f>
        <v>#DIV/0!</v>
      </c>
      <c r="J67" s="7"/>
      <c r="K67" s="7"/>
      <c r="S67" s="474" t="str">
        <f>'Jan2022'!D71</f>
        <v>Telefonia e Internet - Link Internet Tche Turbo</v>
      </c>
      <c r="T67" s="475">
        <f>'Jan2022'!E71</f>
        <v>30000</v>
      </c>
      <c r="U67" s="475">
        <f>'Jan2022'!I71</f>
        <v>0</v>
      </c>
      <c r="V67" s="476">
        <f t="shared" si="10"/>
        <v>0</v>
      </c>
      <c r="AA67" s="456"/>
    </row>
    <row r="68" spans="2:27" ht="15.75" customHeight="1">
      <c r="B68" s="508" t="str">
        <f>'Jan2022'!D190</f>
        <v>ORÇAMENTO PLANEJADO</v>
      </c>
      <c r="C68" s="509">
        <f>'Jan2022'!E190</f>
        <v>2379653.64</v>
      </c>
      <c r="D68" s="470"/>
      <c r="E68" s="470"/>
      <c r="G68" s="7"/>
      <c r="H68" s="7"/>
      <c r="J68" s="7"/>
      <c r="K68" s="7"/>
      <c r="S68" s="474" t="str">
        <f>'Jan2022'!D72</f>
        <v>Telefonia e Internet - Manutenção central telefônica- FG</v>
      </c>
      <c r="T68" s="475">
        <f>'Jan2022'!E72</f>
        <v>5200</v>
      </c>
      <c r="U68" s="475">
        <f>'Jan2022'!I72</f>
        <v>0</v>
      </c>
      <c r="V68" s="476">
        <f t="shared" si="10"/>
        <v>0</v>
      </c>
      <c r="AA68" s="456"/>
    </row>
    <row r="69" spans="2:27" ht="15.75" customHeight="1">
      <c r="B69" s="508" t="str">
        <f>'Jan2022'!D191</f>
        <v>ORÇAMENTO LIBERADO</v>
      </c>
      <c r="C69" s="509">
        <v>2168792.13</v>
      </c>
      <c r="D69" s="470"/>
      <c r="E69" s="470"/>
      <c r="G69" s="7"/>
      <c r="H69" s="7"/>
      <c r="J69" s="7"/>
      <c r="K69" s="7"/>
      <c r="S69" s="474" t="str">
        <f>'Jan2022'!D73</f>
        <v>Manutenção de Hardware</v>
      </c>
      <c r="T69" s="475">
        <f>'Jan2022'!E73</f>
        <v>5000</v>
      </c>
      <c r="U69" s="475">
        <f>'Jan2022'!I73</f>
        <v>0</v>
      </c>
      <c r="V69" s="476">
        <f t="shared" si="10"/>
        <v>0</v>
      </c>
      <c r="AA69" s="456"/>
    </row>
    <row r="70" spans="2:27" ht="15.75" customHeight="1">
      <c r="B70" s="508" t="str">
        <f>'Jan2022'!D192</f>
        <v>ORÇAMENTO EMPENHADO</v>
      </c>
      <c r="C70" s="509">
        <f>2168792.13-134.04</f>
        <v>2168658.09</v>
      </c>
      <c r="D70" s="470"/>
      <c r="E70" s="470"/>
      <c r="G70" s="7"/>
      <c r="H70" s="7"/>
      <c r="J70" s="7"/>
      <c r="K70" s="7"/>
      <c r="S70" s="474" t="str">
        <f>'Jan2022'!D74</f>
        <v>Manutenção de Impressoras/Outsourcing de Impressão</v>
      </c>
      <c r="T70" s="475">
        <f>'Jan2022'!E74</f>
        <v>30000</v>
      </c>
      <c r="U70" s="475">
        <f>'Jan2022'!I74</f>
        <v>0</v>
      </c>
      <c r="V70" s="476">
        <f t="shared" si="10"/>
        <v>0</v>
      </c>
      <c r="AA70" s="456"/>
    </row>
    <row r="71" spans="2:27" ht="15.75" customHeight="1">
      <c r="B71" s="508" t="s">
        <v>940</v>
      </c>
      <c r="C71" s="509">
        <v>134.04</v>
      </c>
      <c r="D71" s="470"/>
      <c r="E71" s="470"/>
      <c r="G71" s="7"/>
      <c r="H71" s="7"/>
      <c r="J71" s="7"/>
      <c r="K71" s="7"/>
      <c r="S71" s="474" t="str">
        <f>'Jan2022'!D75</f>
        <v>PIIQP (reserva institucional  1%=23.296,54)</v>
      </c>
      <c r="T71" s="475">
        <f>'Jan2022'!E75</f>
        <v>23296.54</v>
      </c>
      <c r="U71" s="475">
        <f>'Jan2022'!I75</f>
        <v>0</v>
      </c>
      <c r="V71" s="476">
        <f t="shared" si="10"/>
        <v>0</v>
      </c>
      <c r="AA71" s="456"/>
    </row>
    <row r="72" spans="2:27" ht="15.75" customHeight="1">
      <c r="B72" s="508" t="str">
        <f>'Jan2022'!D193</f>
        <v>ORÇAMENTO EXECUTADO</v>
      </c>
      <c r="C72" s="509">
        <f>'Jan2022'!E193</f>
        <v>0</v>
      </c>
      <c r="D72" s="470"/>
      <c r="E72" s="470"/>
      <c r="G72" s="7"/>
      <c r="H72" s="7"/>
      <c r="J72" s="7"/>
      <c r="K72" s="7"/>
      <c r="S72" s="474" t="str">
        <f>'Jan2022'!D76</f>
        <v>PIIQPPE (reserva institucional  1%=23.296,54)</v>
      </c>
      <c r="T72" s="475">
        <f>'Jan2022'!E76</f>
        <v>23296.54</v>
      </c>
      <c r="U72" s="475">
        <f>'Jan2022'!I76</f>
        <v>0</v>
      </c>
      <c r="V72" s="476">
        <f t="shared" si="10"/>
        <v>0</v>
      </c>
      <c r="AA72" s="456"/>
    </row>
    <row r="73" spans="2:27" ht="15.75" customHeight="1">
      <c r="B73" s="457"/>
      <c r="C73" s="457"/>
      <c r="D73" s="457"/>
      <c r="E73" s="457"/>
      <c r="G73" s="7"/>
      <c r="H73" s="7"/>
      <c r="J73" s="7"/>
      <c r="K73" s="7"/>
      <c r="S73" s="474" t="str">
        <f>'Jan2022'!D77</f>
        <v>PID (reserva Institucional 1%= R$ 23.296,54)</v>
      </c>
      <c r="T73" s="475">
        <f>'Jan2022'!E77</f>
        <v>23296.54</v>
      </c>
      <c r="U73" s="475">
        <f>'Jan2022'!I77</f>
        <v>0</v>
      </c>
      <c r="V73" s="476">
        <f t="shared" si="10"/>
        <v>0</v>
      </c>
      <c r="AA73" s="456"/>
    </row>
    <row r="74" spans="2:27" ht="15.75" customHeight="1">
      <c r="B74" s="457"/>
      <c r="C74" s="457"/>
      <c r="D74" s="457"/>
      <c r="E74" s="457"/>
      <c r="G74" s="7"/>
      <c r="H74" s="7"/>
      <c r="J74" s="7"/>
      <c r="K74" s="7"/>
      <c r="S74" s="474" t="str">
        <f>'Jan2022'!D80</f>
        <v>CAPACITAÇÃO DE SERVIDORES</v>
      </c>
      <c r="T74" s="475">
        <f>'Jan2022'!E80</f>
        <v>13808</v>
      </c>
      <c r="U74" s="475">
        <f>'Jan2022'!F80</f>
        <v>0</v>
      </c>
      <c r="V74" s="476">
        <f t="shared" si="10"/>
        <v>0</v>
      </c>
      <c r="AA74" s="456"/>
    </row>
    <row r="75" spans="2:27" ht="15.75" customHeight="1">
      <c r="B75" s="457"/>
      <c r="C75" s="457"/>
      <c r="D75" s="457"/>
      <c r="E75" s="457"/>
      <c r="G75" s="7"/>
      <c r="H75" s="7"/>
      <c r="J75" s="7"/>
      <c r="K75" s="7"/>
      <c r="S75" s="474" t="str">
        <f>'Jan2022'!D84</f>
        <v>PROCESSO SELETIVO</v>
      </c>
      <c r="T75" s="475">
        <f>'Jan2022'!E84</f>
        <v>32329.200000000001</v>
      </c>
      <c r="U75" s="475">
        <f>'Jan2022'!I84</f>
        <v>0</v>
      </c>
      <c r="V75" s="476">
        <f t="shared" si="10"/>
        <v>0</v>
      </c>
      <c r="AA75" s="456"/>
    </row>
    <row r="76" spans="2:27" ht="15.75" customHeight="1">
      <c r="B76" s="457"/>
      <c r="C76" s="457"/>
      <c r="D76" s="457"/>
      <c r="E76" s="457"/>
      <c r="G76" s="7"/>
      <c r="H76" s="7"/>
      <c r="J76" s="7"/>
      <c r="K76" s="7"/>
      <c r="S76" s="474" t="str">
        <f>'Jan2022'!D90</f>
        <v xml:space="preserve">FUNDO DE TI (reserva instit. 2,5%= 59.491,34) </v>
      </c>
      <c r="T76" s="475">
        <f>'Jan2022'!E90</f>
        <v>59491.34</v>
      </c>
      <c r="U76" s="475">
        <f>'Jan2022'!I89</f>
        <v>0</v>
      </c>
      <c r="V76" s="476">
        <f t="shared" si="10"/>
        <v>0</v>
      </c>
      <c r="AA76" s="456"/>
    </row>
    <row r="77" spans="2:27" ht="15.75" customHeight="1">
      <c r="B77" s="457"/>
      <c r="C77" s="457"/>
      <c r="D77" s="457"/>
      <c r="E77" s="457"/>
      <c r="G77" s="7"/>
      <c r="H77" s="7"/>
      <c r="J77" s="7"/>
      <c r="K77" s="7"/>
      <c r="S77" s="474" t="str">
        <f>'Jan2022'!D91</f>
        <v>Equipamentos e Material Permanente (Despesa de capital)</v>
      </c>
      <c r="T77" s="475">
        <f>'Jan2022'!E91</f>
        <v>10000</v>
      </c>
      <c r="U77" s="475">
        <f>'Jan2022'!I91</f>
        <v>0</v>
      </c>
      <c r="V77" s="476">
        <f t="shared" si="10"/>
        <v>0</v>
      </c>
      <c r="AA77" s="456"/>
    </row>
    <row r="78" spans="2:27" ht="15.75" customHeight="1">
      <c r="B78" s="457"/>
      <c r="C78" s="457"/>
      <c r="D78" s="457"/>
      <c r="E78" s="457"/>
      <c r="G78" s="7"/>
      <c r="H78" s="7"/>
      <c r="J78" s="7"/>
      <c r="K78" s="7"/>
      <c r="S78" s="513"/>
      <c r="T78" s="514"/>
      <c r="U78" s="514"/>
      <c r="V78" s="515"/>
      <c r="AA78" s="456"/>
    </row>
    <row r="79" spans="2:27" ht="15.75" customHeight="1">
      <c r="B79" s="457"/>
      <c r="C79" s="457"/>
      <c r="D79" s="457"/>
      <c r="E79" s="457"/>
      <c r="G79" s="7"/>
      <c r="H79" s="7"/>
      <c r="J79" s="7"/>
      <c r="K79" s="7"/>
      <c r="S79" s="513"/>
      <c r="T79" s="514"/>
      <c r="U79" s="514"/>
      <c r="V79" s="515"/>
      <c r="AA79" s="456"/>
    </row>
    <row r="80" spans="2:27" ht="15.75" customHeight="1">
      <c r="B80" s="457"/>
      <c r="C80" s="457"/>
      <c r="D80" s="457"/>
      <c r="E80" s="457"/>
      <c r="G80" s="7"/>
      <c r="H80" s="7"/>
      <c r="J80" s="7"/>
      <c r="K80" s="7"/>
      <c r="S80" s="513"/>
      <c r="T80" s="514"/>
      <c r="U80" s="514"/>
      <c r="V80" s="515"/>
      <c r="AA80" s="456"/>
    </row>
    <row r="81" spans="2:27" ht="15.75" customHeight="1">
      <c r="B81" s="457"/>
      <c r="C81" s="457"/>
      <c r="D81" s="457"/>
      <c r="E81" s="457"/>
      <c r="G81" s="7"/>
      <c r="H81" s="7"/>
      <c r="J81" s="7"/>
      <c r="K81" s="7"/>
      <c r="S81" s="513"/>
      <c r="T81" s="514"/>
      <c r="U81" s="514"/>
      <c r="V81" s="515"/>
      <c r="AA81" s="456"/>
    </row>
    <row r="82" spans="2:27" ht="15.75" customHeight="1">
      <c r="B82" s="457"/>
      <c r="C82" s="457"/>
      <c r="D82" s="457"/>
      <c r="E82" s="457"/>
      <c r="G82" s="7"/>
      <c r="H82" s="7"/>
      <c r="J82" s="7"/>
      <c r="K82" s="7"/>
      <c r="S82" s="513"/>
      <c r="T82" s="514"/>
      <c r="U82" s="514"/>
      <c r="V82" s="515"/>
      <c r="AA82" s="456"/>
    </row>
    <row r="83" spans="2:27" ht="15.75" customHeight="1">
      <c r="B83" s="457"/>
      <c r="C83" s="457"/>
      <c r="D83" s="457"/>
      <c r="E83" s="457"/>
      <c r="G83" s="7"/>
      <c r="H83" s="7"/>
      <c r="J83" s="7"/>
      <c r="K83" s="7"/>
      <c r="S83" s="513"/>
      <c r="T83" s="514"/>
      <c r="U83" s="514"/>
      <c r="V83" s="515"/>
      <c r="AA83" s="456"/>
    </row>
    <row r="84" spans="2:27" ht="15.75" customHeight="1">
      <c r="B84" s="457"/>
      <c r="C84" s="457"/>
      <c r="D84" s="457"/>
      <c r="E84" s="457"/>
      <c r="G84" s="7"/>
      <c r="H84" s="7"/>
      <c r="J84" s="7"/>
      <c r="K84" s="7"/>
      <c r="S84" s="513"/>
      <c r="T84" s="514"/>
      <c r="U84" s="514"/>
      <c r="V84" s="515"/>
      <c r="AA84" s="456"/>
    </row>
    <row r="85" spans="2:27" ht="15.75" customHeight="1">
      <c r="B85" s="457"/>
      <c r="C85" s="457"/>
      <c r="D85" s="457"/>
      <c r="E85" s="457"/>
      <c r="G85" s="7"/>
      <c r="H85" s="7"/>
      <c r="J85" s="7"/>
      <c r="K85" s="7"/>
      <c r="S85" s="513"/>
      <c r="T85" s="514"/>
      <c r="U85" s="514"/>
      <c r="V85" s="515"/>
      <c r="AA85" s="456"/>
    </row>
    <row r="86" spans="2:27" ht="15.75" customHeight="1">
      <c r="B86" s="457"/>
      <c r="C86" s="457"/>
      <c r="D86" s="457"/>
      <c r="E86" s="457"/>
      <c r="G86" s="7"/>
      <c r="H86" s="7"/>
      <c r="J86" s="7"/>
      <c r="K86" s="7"/>
      <c r="S86" s="513"/>
      <c r="T86" s="514"/>
      <c r="U86" s="514"/>
      <c r="V86" s="515"/>
      <c r="AA86" s="456"/>
    </row>
    <row r="87" spans="2:27" ht="15" customHeight="1">
      <c r="B87" s="457"/>
      <c r="C87" s="457"/>
      <c r="D87" s="457"/>
      <c r="E87" s="457"/>
      <c r="S87" s="513"/>
      <c r="T87" s="514"/>
      <c r="U87" s="514"/>
      <c r="V87" s="515"/>
      <c r="AA87" s="456"/>
    </row>
    <row r="88" spans="2:27" ht="15" customHeight="1">
      <c r="B88" s="457"/>
      <c r="C88" s="457"/>
      <c r="D88" s="457"/>
      <c r="E88" s="457"/>
      <c r="S88" s="513"/>
      <c r="T88" s="514"/>
      <c r="U88" s="514"/>
      <c r="V88" s="515"/>
      <c r="AA88" s="456"/>
    </row>
    <row r="89" spans="2:27" ht="15" customHeight="1">
      <c r="B89" s="457"/>
      <c r="C89" s="457"/>
      <c r="D89" s="457"/>
      <c r="E89" s="457"/>
      <c r="S89" s="513"/>
      <c r="T89" s="514"/>
      <c r="U89" s="514"/>
      <c r="V89" s="515"/>
      <c r="AA89" s="456"/>
    </row>
    <row r="90" spans="2:27" ht="15" customHeight="1">
      <c r="B90" s="457"/>
      <c r="C90" s="457"/>
      <c r="D90" s="457"/>
      <c r="E90" s="457"/>
      <c r="S90" s="513"/>
      <c r="T90" s="514"/>
      <c r="U90" s="514"/>
      <c r="V90" s="515"/>
      <c r="AA90" s="456"/>
    </row>
    <row r="91" spans="2:27" ht="15" customHeight="1">
      <c r="B91" s="457"/>
      <c r="C91" s="457"/>
      <c r="D91" s="457"/>
      <c r="E91" s="457"/>
      <c r="T91" s="21"/>
      <c r="V91" s="456"/>
      <c r="AA91" s="456"/>
    </row>
    <row r="92" spans="2:27" ht="15" customHeight="1">
      <c r="B92" s="457"/>
      <c r="C92" s="457"/>
      <c r="D92" s="457"/>
      <c r="E92" s="457"/>
      <c r="J92" s="582" t="s">
        <v>941</v>
      </c>
      <c r="K92" s="576"/>
      <c r="M92" s="575" t="s">
        <v>942</v>
      </c>
      <c r="N92" s="576"/>
      <c r="O92" s="516"/>
      <c r="T92" s="21"/>
      <c r="V92" s="456"/>
      <c r="AA92" s="456"/>
    </row>
    <row r="93" spans="2:27" ht="15" customHeight="1">
      <c r="D93" s="21"/>
      <c r="E93" s="21"/>
      <c r="J93" s="577"/>
      <c r="K93" s="578"/>
      <c r="M93" s="577"/>
      <c r="N93" s="578"/>
      <c r="O93" s="516"/>
      <c r="T93" s="21"/>
      <c r="V93" s="456"/>
      <c r="AA93" s="456"/>
    </row>
    <row r="94" spans="2:27" ht="21.75" customHeight="1">
      <c r="D94" s="21"/>
      <c r="E94" s="21"/>
      <c r="J94" s="517" t="s">
        <v>943</v>
      </c>
      <c r="K94" s="518">
        <f>92788.93-K95</f>
        <v>88551.43</v>
      </c>
      <c r="M94" s="519"/>
      <c r="N94" s="520" t="s">
        <v>908</v>
      </c>
      <c r="O94" s="520" t="s">
        <v>944</v>
      </c>
      <c r="P94" s="21"/>
      <c r="T94" s="21"/>
      <c r="V94" s="456"/>
      <c r="AA94" s="456"/>
    </row>
    <row r="95" spans="2:27" ht="19.5" customHeight="1">
      <c r="D95" s="21"/>
      <c r="E95" s="21"/>
      <c r="J95" s="517" t="s">
        <v>945</v>
      </c>
      <c r="K95" s="518">
        <v>4237.5</v>
      </c>
      <c r="M95" s="521" t="s">
        <v>946</v>
      </c>
      <c r="N95" s="522">
        <v>823388.88</v>
      </c>
      <c r="O95" s="523" t="s">
        <v>947</v>
      </c>
      <c r="T95" s="21"/>
      <c r="V95" s="456"/>
      <c r="AA95" s="456"/>
    </row>
    <row r="96" spans="2:27" ht="21.75" customHeight="1">
      <c r="B96" s="581" t="s">
        <v>935</v>
      </c>
      <c r="C96" s="546"/>
      <c r="D96" s="467"/>
      <c r="E96" s="467"/>
      <c r="J96" s="524"/>
      <c r="K96" s="525">
        <f>SUM(K94:K95)</f>
        <v>92788.93</v>
      </c>
      <c r="M96" s="521" t="s">
        <v>948</v>
      </c>
      <c r="N96" s="522">
        <v>90737.45</v>
      </c>
      <c r="O96" s="523" t="s">
        <v>949</v>
      </c>
      <c r="T96" s="21"/>
      <c r="V96" s="456"/>
      <c r="AA96" s="456"/>
    </row>
    <row r="97" spans="1:30" ht="23.25" customHeight="1">
      <c r="A97" s="21"/>
      <c r="B97" s="467"/>
      <c r="C97" s="467"/>
      <c r="D97" s="467"/>
      <c r="E97" s="467"/>
      <c r="F97" s="21"/>
      <c r="G97" s="21"/>
      <c r="H97" s="21"/>
      <c r="I97" s="21"/>
      <c r="J97" s="524"/>
      <c r="K97" s="457"/>
      <c r="L97" s="21"/>
      <c r="M97" s="521" t="s">
        <v>950</v>
      </c>
      <c r="N97" s="522">
        <v>158523.76999999999</v>
      </c>
      <c r="O97" s="523" t="s">
        <v>949</v>
      </c>
      <c r="P97" s="21"/>
      <c r="Q97" s="21"/>
      <c r="R97" s="21"/>
      <c r="S97" s="21"/>
      <c r="T97" s="21"/>
      <c r="U97" s="21"/>
      <c r="V97" s="456"/>
      <c r="W97" s="21"/>
      <c r="X97" s="21"/>
      <c r="Y97" s="21"/>
      <c r="Z97" s="21"/>
      <c r="AA97" s="456"/>
      <c r="AB97" s="21"/>
      <c r="AC97" s="21"/>
      <c r="AD97" s="21"/>
    </row>
    <row r="98" spans="1:30" ht="27" customHeight="1">
      <c r="B98" s="508" t="s">
        <v>450</v>
      </c>
      <c r="C98" s="509">
        <v>2168792.13</v>
      </c>
      <c r="D98" s="470"/>
      <c r="E98" s="470"/>
      <c r="J98" s="524" t="s">
        <v>951</v>
      </c>
      <c r="K98" s="516"/>
      <c r="M98" s="521" t="s">
        <v>950</v>
      </c>
      <c r="N98" s="522">
        <v>62808.480000000003</v>
      </c>
      <c r="O98" s="523" t="s">
        <v>935</v>
      </c>
      <c r="T98" s="21"/>
      <c r="V98" s="456"/>
      <c r="AA98" s="456"/>
    </row>
    <row r="99" spans="1:30" ht="25.5" customHeight="1">
      <c r="B99" s="508" t="s">
        <v>952</v>
      </c>
      <c r="C99" s="509">
        <f>155000</f>
        <v>155000</v>
      </c>
      <c r="D99" s="470"/>
      <c r="E99" s="470"/>
      <c r="J99" s="471"/>
      <c r="K99" s="516"/>
      <c r="M99" s="526"/>
      <c r="N99" s="527">
        <f>SUM(N95:N98)</f>
        <v>1135458.5799999998</v>
      </c>
      <c r="O99" s="528"/>
      <c r="T99" s="21"/>
      <c r="V99" s="456"/>
      <c r="AA99" s="456"/>
    </row>
    <row r="100" spans="1:30" ht="15" customHeight="1">
      <c r="B100" s="508" t="s">
        <v>953</v>
      </c>
      <c r="C100" s="509">
        <v>83705.490000000005</v>
      </c>
      <c r="D100" s="470"/>
      <c r="E100" s="470"/>
      <c r="J100" s="524"/>
      <c r="K100" s="457"/>
      <c r="M100" s="471"/>
      <c r="N100" s="516"/>
      <c r="O100" s="516"/>
      <c r="T100" s="21"/>
      <c r="V100" s="456"/>
      <c r="AA100" s="456"/>
    </row>
    <row r="101" spans="1:30" ht="15" customHeight="1">
      <c r="B101" s="508"/>
      <c r="C101" s="509"/>
      <c r="D101" s="470"/>
      <c r="E101" s="470"/>
      <c r="J101" s="457"/>
      <c r="K101" s="457"/>
      <c r="M101" s="524"/>
      <c r="N101" s="457"/>
      <c r="O101" s="457"/>
      <c r="T101" s="21"/>
      <c r="V101" s="456"/>
      <c r="AA101" s="456"/>
    </row>
    <row r="102" spans="1:30" ht="15" customHeight="1">
      <c r="B102" s="508"/>
      <c r="C102" s="509"/>
      <c r="D102" s="470"/>
      <c r="E102" s="470"/>
      <c r="J102" s="457"/>
      <c r="K102" s="457"/>
      <c r="M102" s="457"/>
      <c r="N102" s="457"/>
      <c r="O102" s="457"/>
      <c r="T102" s="21"/>
      <c r="V102" s="456"/>
      <c r="AA102" s="456"/>
    </row>
    <row r="103" spans="1:30" ht="15" customHeight="1">
      <c r="B103" s="508"/>
      <c r="C103" s="509"/>
      <c r="D103" s="470"/>
      <c r="E103" s="470"/>
      <c r="J103" s="460"/>
      <c r="K103" s="461"/>
      <c r="M103" s="457"/>
      <c r="N103" s="457"/>
      <c r="O103" s="457"/>
      <c r="T103" s="21"/>
      <c r="V103" s="456"/>
      <c r="AA103" s="456"/>
    </row>
    <row r="104" spans="1:30" ht="15" customHeight="1">
      <c r="B104" s="457"/>
      <c r="C104" s="457"/>
      <c r="D104" s="457"/>
      <c r="E104" s="457"/>
      <c r="J104" s="460"/>
      <c r="K104" s="461"/>
      <c r="M104" s="460"/>
      <c r="N104" s="461"/>
      <c r="T104" s="21"/>
      <c r="V104" s="456"/>
      <c r="AA104" s="456"/>
    </row>
    <row r="105" spans="1:30" ht="15" customHeight="1">
      <c r="B105" s="457"/>
      <c r="C105" s="457"/>
      <c r="D105" s="457"/>
      <c r="E105" s="457"/>
      <c r="J105" s="460"/>
      <c r="K105" s="461"/>
      <c r="M105" s="575" t="s">
        <v>954</v>
      </c>
      <c r="N105" s="576"/>
      <c r="O105" s="516"/>
      <c r="T105" s="21"/>
      <c r="V105" s="456"/>
      <c r="AA105" s="456"/>
    </row>
    <row r="106" spans="1:30" ht="15" customHeight="1">
      <c r="B106" s="457"/>
      <c r="C106" s="457"/>
      <c r="D106" s="457"/>
      <c r="E106" s="457"/>
      <c r="J106" s="457"/>
      <c r="K106" s="457"/>
      <c r="M106" s="577"/>
      <c r="N106" s="578"/>
      <c r="O106" s="516"/>
      <c r="T106" s="21"/>
      <c r="V106" s="456"/>
      <c r="AA106" s="456"/>
    </row>
    <row r="107" spans="1:30" ht="23.25" customHeight="1">
      <c r="B107" s="457"/>
      <c r="C107" s="457"/>
      <c r="D107" s="457"/>
      <c r="E107" s="457"/>
      <c r="J107" s="457"/>
      <c r="K107" s="457"/>
      <c r="M107" s="519"/>
      <c r="N107" s="520" t="s">
        <v>908</v>
      </c>
      <c r="O107" s="520" t="s">
        <v>944</v>
      </c>
      <c r="T107" s="21"/>
      <c r="V107" s="456"/>
      <c r="AA107" s="456"/>
    </row>
    <row r="108" spans="1:30" ht="19.5" customHeight="1">
      <c r="B108" s="457"/>
      <c r="C108" s="457"/>
      <c r="D108" s="457"/>
      <c r="E108" s="457"/>
      <c r="J108" s="457"/>
      <c r="K108" s="457"/>
      <c r="M108" s="521" t="s">
        <v>955</v>
      </c>
      <c r="N108" s="522">
        <v>476983.69</v>
      </c>
      <c r="O108" s="523" t="s">
        <v>947</v>
      </c>
      <c r="T108" s="21"/>
      <c r="V108" s="456"/>
      <c r="AA108" s="456"/>
    </row>
    <row r="109" spans="1:30" ht="19.5" customHeight="1">
      <c r="B109" s="457"/>
      <c r="C109" s="457"/>
      <c r="D109" s="457"/>
      <c r="E109" s="457"/>
      <c r="J109" s="457"/>
      <c r="K109" s="457"/>
      <c r="M109" s="521" t="s">
        <v>948</v>
      </c>
      <c r="N109" s="522">
        <v>37013.93</v>
      </c>
      <c r="O109" s="523" t="s">
        <v>956</v>
      </c>
      <c r="T109" s="21"/>
      <c r="V109" s="456"/>
      <c r="AA109" s="456"/>
    </row>
    <row r="110" spans="1:30" ht="21" customHeight="1">
      <c r="B110" s="457"/>
      <c r="C110" s="457"/>
      <c r="D110" s="457"/>
      <c r="E110" s="457"/>
      <c r="J110" s="457"/>
      <c r="K110" s="457"/>
      <c r="M110" s="521" t="s">
        <v>950</v>
      </c>
      <c r="N110" s="522">
        <v>90487.8</v>
      </c>
      <c r="O110" s="523" t="s">
        <v>935</v>
      </c>
      <c r="T110" s="21"/>
      <c r="V110" s="456"/>
      <c r="AA110" s="456"/>
    </row>
    <row r="111" spans="1:30" ht="23.25" customHeight="1">
      <c r="B111" s="457"/>
      <c r="C111" s="457"/>
      <c r="D111" s="457"/>
      <c r="E111" s="457"/>
      <c r="J111" s="457"/>
      <c r="K111" s="457"/>
      <c r="M111" s="521"/>
      <c r="N111" s="527">
        <f>SUM(N108:N110)</f>
        <v>604485.42000000004</v>
      </c>
      <c r="O111" s="523"/>
      <c r="T111" s="21"/>
      <c r="V111" s="456"/>
      <c r="AA111" s="456"/>
    </row>
    <row r="112" spans="1:30" ht="15" customHeight="1">
      <c r="B112" s="457"/>
      <c r="C112" s="457"/>
      <c r="D112" s="457"/>
      <c r="E112" s="457"/>
      <c r="J112" s="457"/>
      <c r="K112" s="457"/>
      <c r="M112" s="526"/>
      <c r="O112" s="528"/>
      <c r="T112" s="21"/>
      <c r="V112" s="456"/>
      <c r="AA112" s="456"/>
    </row>
    <row r="113" spans="2:27" ht="15" customHeight="1">
      <c r="B113" s="457"/>
      <c r="C113" s="457"/>
      <c r="D113" s="457"/>
      <c r="E113" s="457"/>
      <c r="J113" s="457"/>
      <c r="K113" s="457"/>
      <c r="T113" s="21"/>
      <c r="V113" s="456"/>
      <c r="AA113" s="456"/>
    </row>
    <row r="114" spans="2:27" ht="15" customHeight="1">
      <c r="B114" s="457"/>
      <c r="C114" s="457"/>
      <c r="D114" s="457"/>
      <c r="E114" s="457"/>
      <c r="J114" s="457"/>
      <c r="K114" s="457"/>
      <c r="M114" s="575" t="s">
        <v>957</v>
      </c>
      <c r="N114" s="576"/>
      <c r="O114" s="516"/>
      <c r="T114" s="21"/>
      <c r="V114" s="456"/>
      <c r="AA114" s="456"/>
    </row>
    <row r="115" spans="2:27" ht="15" customHeight="1">
      <c r="B115" s="457"/>
      <c r="C115" s="457"/>
      <c r="D115" s="457"/>
      <c r="E115" s="457"/>
      <c r="J115" s="457"/>
      <c r="K115" s="457"/>
      <c r="M115" s="577"/>
      <c r="N115" s="578"/>
      <c r="O115" s="516"/>
      <c r="T115" s="21"/>
      <c r="V115" s="456"/>
      <c r="AA115" s="456"/>
    </row>
    <row r="116" spans="2:27" ht="24.75" customHeight="1">
      <c r="B116" s="457"/>
      <c r="C116" s="457"/>
      <c r="D116" s="457"/>
      <c r="E116" s="457"/>
      <c r="J116" s="457"/>
      <c r="K116" s="457"/>
      <c r="M116" s="519"/>
      <c r="N116" s="520" t="s">
        <v>908</v>
      </c>
      <c r="O116" s="520" t="s">
        <v>944</v>
      </c>
      <c r="T116" s="21"/>
      <c r="V116" s="456"/>
      <c r="AA116" s="456"/>
    </row>
    <row r="117" spans="2:27" ht="28.5" customHeight="1">
      <c r="B117" s="457"/>
      <c r="C117" s="457"/>
      <c r="D117" s="457"/>
      <c r="E117" s="457"/>
      <c r="J117" s="457"/>
      <c r="K117" s="457"/>
      <c r="M117" s="521" t="s">
        <v>958</v>
      </c>
      <c r="N117" s="529">
        <v>452770.49</v>
      </c>
      <c r="O117" s="523" t="s">
        <v>363</v>
      </c>
      <c r="T117" s="21"/>
      <c r="V117" s="456"/>
      <c r="AA117" s="456"/>
    </row>
    <row r="118" spans="2:27" ht="15" customHeight="1">
      <c r="B118" s="457"/>
      <c r="C118" s="457"/>
      <c r="D118" s="457"/>
      <c r="E118" s="457"/>
      <c r="J118" s="457"/>
      <c r="K118" s="457"/>
      <c r="M118" s="521"/>
      <c r="N118" s="522"/>
      <c r="O118" s="523"/>
      <c r="T118" s="21"/>
      <c r="V118" s="456"/>
      <c r="AA118" s="456"/>
    </row>
    <row r="119" spans="2:27" ht="15" customHeight="1">
      <c r="B119" s="457"/>
      <c r="C119" s="457"/>
      <c r="D119" s="457"/>
      <c r="E119" s="457"/>
      <c r="J119" s="457"/>
      <c r="K119" s="457"/>
      <c r="M119" s="521"/>
      <c r="N119" s="522"/>
      <c r="O119" s="523"/>
      <c r="T119" s="21"/>
      <c r="V119" s="456"/>
      <c r="AA119" s="456"/>
    </row>
    <row r="120" spans="2:27" ht="15" customHeight="1">
      <c r="B120" s="457"/>
      <c r="C120" s="457"/>
      <c r="D120" s="457"/>
      <c r="E120" s="457"/>
      <c r="J120" s="457"/>
      <c r="K120" s="457"/>
      <c r="M120" s="521"/>
      <c r="N120" s="527">
        <f>SUM(N117:N119)</f>
        <v>452770.49</v>
      </c>
      <c r="O120" s="523"/>
      <c r="T120" s="21"/>
      <c r="V120" s="456"/>
      <c r="AA120" s="456"/>
    </row>
    <row r="121" spans="2:27" ht="15" customHeight="1">
      <c r="B121" s="457"/>
      <c r="C121" s="457"/>
      <c r="D121" s="457"/>
      <c r="E121" s="457"/>
      <c r="J121" s="457"/>
      <c r="K121" s="457"/>
      <c r="T121" s="21"/>
      <c r="V121" s="456"/>
      <c r="AA121" s="456"/>
    </row>
    <row r="122" spans="2:27" ht="15" customHeight="1">
      <c r="B122" s="457"/>
      <c r="C122" s="457"/>
      <c r="D122" s="457"/>
      <c r="E122" s="457"/>
      <c r="T122" s="21"/>
      <c r="V122" s="456"/>
      <c r="AA122" s="456"/>
    </row>
    <row r="123" spans="2:27" ht="15" customHeight="1">
      <c r="B123" s="457"/>
      <c r="C123" s="457"/>
      <c r="D123" s="457"/>
      <c r="E123" s="457"/>
      <c r="M123" s="575" t="s">
        <v>959</v>
      </c>
      <c r="N123" s="576"/>
      <c r="O123" s="516"/>
      <c r="T123" s="21"/>
      <c r="V123" s="456"/>
      <c r="AA123" s="456"/>
    </row>
    <row r="124" spans="2:27" ht="15" customHeight="1">
      <c r="D124" s="21"/>
      <c r="E124" s="21"/>
      <c r="M124" s="577"/>
      <c r="N124" s="578"/>
      <c r="O124" s="516"/>
      <c r="T124" s="21"/>
      <c r="V124" s="456"/>
      <c r="AA124" s="456"/>
    </row>
    <row r="125" spans="2:27" ht="20.25" customHeight="1">
      <c r="D125" s="21"/>
      <c r="E125" s="21"/>
      <c r="M125" s="519"/>
      <c r="N125" s="520" t="s">
        <v>908</v>
      </c>
      <c r="O125" s="520" t="s">
        <v>944</v>
      </c>
      <c r="T125" s="21"/>
      <c r="V125" s="456"/>
      <c r="AA125" s="456"/>
    </row>
    <row r="126" spans="2:27" ht="22.5" customHeight="1">
      <c r="D126" s="21"/>
      <c r="E126" s="21"/>
      <c r="M126" s="521" t="s">
        <v>960</v>
      </c>
      <c r="N126" s="522">
        <v>572638.78</v>
      </c>
      <c r="O126" s="523" t="s">
        <v>961</v>
      </c>
      <c r="T126" s="21"/>
      <c r="V126" s="456"/>
      <c r="AA126" s="456"/>
    </row>
    <row r="127" spans="2:27" ht="21.75" customHeight="1">
      <c r="B127" s="587"/>
      <c r="C127" s="546"/>
      <c r="D127" s="530"/>
      <c r="E127" s="530"/>
      <c r="M127" s="521"/>
      <c r="N127" s="522">
        <v>46434.84</v>
      </c>
      <c r="O127" s="523" t="s">
        <v>188</v>
      </c>
      <c r="T127" s="21"/>
      <c r="V127" s="456"/>
      <c r="AA127" s="456"/>
    </row>
    <row r="128" spans="2:27" ht="24" customHeight="1">
      <c r="B128" s="479"/>
      <c r="C128" s="459" t="s">
        <v>908</v>
      </c>
      <c r="D128" s="459" t="s">
        <v>962</v>
      </c>
      <c r="E128" s="467"/>
      <c r="M128" s="521"/>
      <c r="N128" s="527">
        <f>N126+N127</f>
        <v>619073.62</v>
      </c>
      <c r="O128" s="523"/>
      <c r="T128" s="21"/>
      <c r="V128" s="456"/>
      <c r="AA128" s="456"/>
    </row>
    <row r="129" spans="1:30" ht="21" customHeight="1">
      <c r="B129" s="508" t="s">
        <v>963</v>
      </c>
      <c r="C129" s="509">
        <f>105000+50000+83705.49</f>
        <v>238705.49</v>
      </c>
      <c r="D129" s="509">
        <f>C129-62808.48</f>
        <v>175897.00999999998</v>
      </c>
      <c r="E129" s="470"/>
      <c r="M129" s="521"/>
      <c r="O129" s="523"/>
      <c r="T129" s="21"/>
      <c r="V129" s="456"/>
      <c r="AA129" s="456"/>
    </row>
    <row r="130" spans="1:30" ht="15" customHeight="1">
      <c r="B130" s="508" t="s">
        <v>964</v>
      </c>
      <c r="C130" s="509">
        <f>'Jan2022'!I15</f>
        <v>0</v>
      </c>
      <c r="D130" s="509">
        <f>'Jan2022'!S15</f>
        <v>0</v>
      </c>
      <c r="E130" s="470"/>
      <c r="T130" s="21"/>
      <c r="V130" s="456"/>
      <c r="AA130" s="456"/>
    </row>
    <row r="131" spans="1:30" ht="15" customHeight="1">
      <c r="B131" s="508" t="s">
        <v>965</v>
      </c>
      <c r="C131" s="509">
        <v>30000</v>
      </c>
      <c r="D131" s="509" t="e">
        <f>'[1]2022'!#REF!</f>
        <v>#REF!</v>
      </c>
      <c r="E131" s="470"/>
      <c r="T131" s="21"/>
      <c r="V131" s="456"/>
      <c r="AA131" s="456"/>
    </row>
    <row r="132" spans="1:30" ht="15" customHeight="1">
      <c r="B132" s="508" t="s">
        <v>966</v>
      </c>
      <c r="C132" s="509" t="e">
        <f>'[1]2022'!#REF!</f>
        <v>#REF!</v>
      </c>
      <c r="D132" s="509">
        <f>'Jan2022'!S37</f>
        <v>0</v>
      </c>
      <c r="E132" s="470"/>
      <c r="T132" s="21"/>
      <c r="V132" s="456"/>
      <c r="AA132" s="456"/>
    </row>
    <row r="133" spans="1:30" ht="15" customHeight="1">
      <c r="B133" s="508" t="s">
        <v>967</v>
      </c>
      <c r="C133" s="509">
        <f>'Jan2022'!I84</f>
        <v>0</v>
      </c>
      <c r="D133" s="509">
        <f>'Jan2022'!S87</f>
        <v>0</v>
      </c>
      <c r="E133" s="470"/>
      <c r="T133" s="21"/>
      <c r="V133" s="456"/>
      <c r="AA133" s="456"/>
    </row>
    <row r="134" spans="1:30" ht="15" customHeight="1">
      <c r="B134" s="508" t="s">
        <v>968</v>
      </c>
      <c r="C134" s="509">
        <f>'Jan2022'!I42</f>
        <v>0</v>
      </c>
      <c r="D134" s="509">
        <f>'Jan2022'!S42</f>
        <v>0</v>
      </c>
      <c r="E134" s="470"/>
      <c r="T134" s="21"/>
      <c r="V134" s="456"/>
      <c r="AA134" s="456"/>
    </row>
    <row r="135" spans="1:30" ht="15" customHeight="1">
      <c r="B135" s="508" t="s">
        <v>969</v>
      </c>
      <c r="C135" s="509">
        <f>'Jan2022'!I17+'Jan2022'!I19+'Jan2022'!I20+'Jan2022'!I22+'Jan2022'!I23</f>
        <v>0</v>
      </c>
      <c r="D135" s="509">
        <f>'Jan2022'!S17+'Jan2022'!S19+'Jan2022'!S20+'Jan2022'!S22+'Jan2022'!S23</f>
        <v>0</v>
      </c>
      <c r="E135" s="470"/>
      <c r="T135" s="21"/>
      <c r="V135" s="456"/>
      <c r="AA135" s="456"/>
    </row>
    <row r="136" spans="1:30" ht="15" customHeight="1">
      <c r="B136" s="508" t="s">
        <v>970</v>
      </c>
      <c r="C136" s="509">
        <f>'Jan2022'!I137</f>
        <v>0</v>
      </c>
      <c r="D136" s="509">
        <f>'Jan2022'!S137</f>
        <v>0</v>
      </c>
      <c r="E136" s="470"/>
      <c r="M136" s="575" t="s">
        <v>147</v>
      </c>
      <c r="N136" s="576"/>
      <c r="O136" s="516"/>
      <c r="T136" s="21"/>
      <c r="V136" s="456"/>
      <c r="AA136" s="456"/>
    </row>
    <row r="137" spans="1:30" ht="15" customHeight="1">
      <c r="A137" s="21"/>
      <c r="B137" s="508" t="s">
        <v>971</v>
      </c>
      <c r="C137" s="509">
        <f>'Jan2022'!I171+'Jan2022'!I162+'Jan2022'!I115</f>
        <v>0</v>
      </c>
      <c r="D137" s="509">
        <v>0</v>
      </c>
      <c r="E137" s="470"/>
      <c r="F137" s="21"/>
      <c r="G137" s="21"/>
      <c r="H137" s="21"/>
      <c r="I137" s="21"/>
      <c r="L137" s="21"/>
      <c r="M137" s="577"/>
      <c r="N137" s="578"/>
      <c r="O137" s="516"/>
      <c r="P137" s="21"/>
      <c r="Q137" s="21"/>
      <c r="R137" s="21"/>
      <c r="S137" s="21"/>
      <c r="T137" s="21"/>
      <c r="U137" s="21"/>
      <c r="V137" s="456"/>
      <c r="W137" s="21"/>
      <c r="X137" s="21"/>
      <c r="Y137" s="21"/>
      <c r="Z137" s="21"/>
      <c r="AA137" s="456"/>
      <c r="AB137" s="21"/>
      <c r="AC137" s="21"/>
      <c r="AD137" s="21"/>
    </row>
    <row r="138" spans="1:30" ht="15" customHeight="1">
      <c r="A138" s="21"/>
      <c r="B138" s="508" t="s">
        <v>972</v>
      </c>
      <c r="C138" s="509">
        <f>'Jan2022'!I112</f>
        <v>0</v>
      </c>
      <c r="D138" s="509">
        <f>'Jan2022'!S112</f>
        <v>0</v>
      </c>
      <c r="E138" s="470"/>
      <c r="F138" s="21"/>
      <c r="G138" s="21"/>
      <c r="H138" s="21"/>
      <c r="I138" s="21"/>
      <c r="J138" s="21"/>
      <c r="K138" s="21"/>
      <c r="L138" s="21"/>
      <c r="M138" s="519"/>
      <c r="N138" s="520" t="s">
        <v>908</v>
      </c>
      <c r="O138" s="520" t="s">
        <v>944</v>
      </c>
      <c r="P138" s="21"/>
      <c r="Q138" s="21"/>
      <c r="R138" s="21"/>
      <c r="S138" s="21"/>
      <c r="T138" s="21"/>
      <c r="U138" s="21"/>
      <c r="V138" s="456"/>
      <c r="W138" s="21"/>
      <c r="X138" s="21"/>
      <c r="Y138" s="21"/>
      <c r="Z138" s="21"/>
      <c r="AA138" s="456"/>
      <c r="AB138" s="21"/>
      <c r="AC138" s="21"/>
      <c r="AD138" s="21"/>
    </row>
    <row r="139" spans="1:30" ht="15" customHeight="1">
      <c r="A139" s="21"/>
      <c r="B139" s="508" t="s">
        <v>973</v>
      </c>
      <c r="C139" s="509">
        <f>'Jan2022'!I44</f>
        <v>0</v>
      </c>
      <c r="D139" s="509">
        <f>'Jan2022'!S44</f>
        <v>0</v>
      </c>
      <c r="E139" s="470"/>
      <c r="F139" s="21"/>
      <c r="G139" s="21"/>
      <c r="H139" s="21"/>
      <c r="I139" s="21"/>
      <c r="J139" s="21"/>
      <c r="K139" s="21"/>
      <c r="L139" s="21"/>
      <c r="M139" s="521" t="s">
        <v>974</v>
      </c>
      <c r="N139" s="522">
        <v>572638.78</v>
      </c>
      <c r="O139" s="523" t="s">
        <v>961</v>
      </c>
      <c r="P139" s="21"/>
      <c r="Q139" s="21"/>
      <c r="R139" s="21"/>
      <c r="S139" s="21"/>
      <c r="T139" s="21"/>
      <c r="U139" s="21"/>
      <c r="V139" s="456"/>
      <c r="W139" s="21"/>
      <c r="X139" s="21"/>
      <c r="Y139" s="21"/>
      <c r="Z139" s="21"/>
      <c r="AA139" s="456"/>
      <c r="AB139" s="21"/>
      <c r="AC139" s="21"/>
      <c r="AD139" s="21"/>
    </row>
    <row r="140" spans="1:30" ht="15" customHeight="1">
      <c r="B140" s="508" t="s">
        <v>975</v>
      </c>
      <c r="C140" s="509" t="e">
        <f>D5-C129-C130-C131-C132-C133-C134-C135-C136-C137-C138-C139</f>
        <v>#REF!</v>
      </c>
      <c r="D140" s="509">
        <f>77649.59-24069.12</f>
        <v>53580.47</v>
      </c>
      <c r="E140" s="457"/>
      <c r="J140" s="21"/>
      <c r="K140" s="21"/>
      <c r="M140" s="521" t="s">
        <v>976</v>
      </c>
      <c r="N140" s="522">
        <v>46434.84</v>
      </c>
      <c r="O140" s="523" t="s">
        <v>188</v>
      </c>
      <c r="T140" s="21"/>
      <c r="V140" s="456"/>
      <c r="AA140" s="456"/>
    </row>
    <row r="141" spans="1:30" ht="24" customHeight="1">
      <c r="B141" s="479"/>
      <c r="C141" s="487" t="e">
        <f>SUM(C129:C140)</f>
        <v>#REF!</v>
      </c>
      <c r="D141" s="487">
        <v>1258499.6299999999</v>
      </c>
      <c r="E141" s="457"/>
      <c r="M141" s="521" t="s">
        <v>977</v>
      </c>
      <c r="N141" s="527">
        <f>N139+N140</f>
        <v>619073.62</v>
      </c>
      <c r="O141" s="523"/>
      <c r="T141" s="21"/>
      <c r="V141" s="456"/>
      <c r="AA141" s="456"/>
    </row>
    <row r="142" spans="1:30" ht="15" customHeight="1">
      <c r="B142" s="457"/>
      <c r="C142" s="457"/>
      <c r="D142" s="457"/>
      <c r="E142" s="457"/>
      <c r="M142" s="521"/>
      <c r="N142" s="21"/>
      <c r="O142" s="523"/>
      <c r="T142" s="21"/>
      <c r="V142" s="456"/>
      <c r="AA142" s="456"/>
    </row>
    <row r="143" spans="1:30" ht="15" customHeight="1">
      <c r="B143" s="457" t="s">
        <v>978</v>
      </c>
      <c r="C143" s="457"/>
      <c r="D143" s="509">
        <v>572638.78</v>
      </c>
      <c r="E143" s="457"/>
      <c r="T143" s="21"/>
      <c r="V143" s="456"/>
      <c r="AA143" s="456"/>
    </row>
    <row r="144" spans="1:30" ht="15" customHeight="1">
      <c r="B144" s="457" t="s">
        <v>979</v>
      </c>
      <c r="C144" s="457"/>
      <c r="D144" s="509">
        <v>452770.49</v>
      </c>
      <c r="E144" s="457"/>
      <c r="T144" s="21"/>
      <c r="V144" s="456"/>
      <c r="AA144" s="456"/>
    </row>
    <row r="145" spans="1:30" ht="15" customHeight="1">
      <c r="B145" s="457" t="s">
        <v>980</v>
      </c>
      <c r="C145" s="457"/>
      <c r="D145" s="509">
        <v>2955.21</v>
      </c>
      <c r="E145" s="457"/>
      <c r="T145" s="21"/>
      <c r="V145" s="456"/>
      <c r="AA145" s="456"/>
    </row>
    <row r="146" spans="1:30" ht="15" customHeight="1">
      <c r="B146" s="457" t="s">
        <v>981</v>
      </c>
      <c r="C146" s="457"/>
      <c r="D146" s="509">
        <v>65300</v>
      </c>
      <c r="E146" s="457"/>
      <c r="T146" s="21"/>
      <c r="V146" s="456"/>
      <c r="AA146" s="456"/>
    </row>
    <row r="147" spans="1:30" ht="15" customHeight="1">
      <c r="B147" s="457" t="s">
        <v>982</v>
      </c>
      <c r="C147" s="457"/>
      <c r="D147" s="509">
        <v>500</v>
      </c>
      <c r="E147" s="457"/>
      <c r="T147" s="21"/>
      <c r="V147" s="456"/>
      <c r="AA147" s="456"/>
    </row>
    <row r="148" spans="1:30" ht="15" customHeight="1">
      <c r="B148" s="457" t="s">
        <v>983</v>
      </c>
      <c r="C148" s="457"/>
      <c r="D148" s="509">
        <v>4237.2</v>
      </c>
      <c r="E148" s="457"/>
      <c r="T148" s="21"/>
      <c r="V148" s="456"/>
      <c r="AA148" s="456"/>
    </row>
    <row r="149" spans="1:30" ht="15" customHeight="1">
      <c r="A149" s="21"/>
      <c r="B149" s="457" t="s">
        <v>984</v>
      </c>
      <c r="C149" s="457"/>
      <c r="D149" s="470">
        <f>10474.1+11840</f>
        <v>22314.1</v>
      </c>
      <c r="E149" s="457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456"/>
      <c r="W149" s="21"/>
      <c r="X149" s="21"/>
      <c r="Y149" s="21"/>
      <c r="Z149" s="21"/>
      <c r="AA149" s="456"/>
      <c r="AB149" s="21"/>
      <c r="AC149" s="21"/>
      <c r="AD149" s="21"/>
    </row>
    <row r="150" spans="1:30" ht="15" customHeight="1">
      <c r="B150" s="457"/>
      <c r="C150" s="457"/>
      <c r="D150" s="487">
        <f>SUM(D143:D149)</f>
        <v>1120715.78</v>
      </c>
      <c r="E150" s="457"/>
      <c r="T150" s="21"/>
      <c r="V150" s="456"/>
      <c r="AA150" s="456"/>
    </row>
    <row r="151" spans="1:30" ht="15" customHeight="1">
      <c r="B151" s="457"/>
      <c r="C151" s="457"/>
      <c r="D151" s="488"/>
      <c r="E151" s="457"/>
      <c r="T151" s="21"/>
      <c r="V151" s="456"/>
      <c r="AA151" s="456"/>
    </row>
    <row r="152" spans="1:30" ht="15" customHeight="1">
      <c r="B152" s="457"/>
      <c r="C152" s="457"/>
      <c r="D152" s="488">
        <f>D141+D150</f>
        <v>2379215.41</v>
      </c>
      <c r="E152" s="457"/>
      <c r="T152" s="21"/>
      <c r="V152" s="456"/>
      <c r="AA152" s="456"/>
    </row>
    <row r="153" spans="1:30" ht="15" customHeight="1">
      <c r="B153" s="457"/>
      <c r="C153" s="457"/>
      <c r="D153" s="457"/>
      <c r="E153" s="457"/>
      <c r="T153" s="21"/>
      <c r="V153" s="456"/>
      <c r="AA153" s="456"/>
    </row>
    <row r="154" spans="1:30" ht="15" customHeight="1">
      <c r="B154" s="457"/>
      <c r="C154" s="457"/>
      <c r="D154" s="488">
        <v>2332832.19</v>
      </c>
      <c r="E154" s="457"/>
      <c r="T154" s="21"/>
      <c r="V154" s="456"/>
      <c r="AA154" s="456"/>
    </row>
    <row r="155" spans="1:30" ht="15" customHeight="1">
      <c r="B155" s="457"/>
      <c r="C155" s="457"/>
      <c r="D155" s="488">
        <f>D152-D154</f>
        <v>46383.220000000205</v>
      </c>
      <c r="E155" s="457"/>
      <c r="T155" s="21"/>
      <c r="V155" s="456"/>
      <c r="AA155" s="456"/>
    </row>
    <row r="156" spans="1:30" ht="15" customHeight="1">
      <c r="B156" s="457"/>
      <c r="C156" s="457"/>
      <c r="D156" s="457"/>
      <c r="E156" s="457"/>
      <c r="T156" s="21"/>
      <c r="V156" s="456"/>
      <c r="AA156" s="456"/>
    </row>
    <row r="157" spans="1:30" ht="15" customHeight="1">
      <c r="B157" s="457"/>
      <c r="C157" s="457"/>
      <c r="D157" s="457"/>
      <c r="E157" s="457"/>
      <c r="T157" s="21"/>
      <c r="V157" s="456"/>
      <c r="AA157" s="456"/>
    </row>
    <row r="158" spans="1:30" ht="15" customHeight="1">
      <c r="B158" s="457"/>
      <c r="C158" s="457"/>
      <c r="D158" s="457"/>
      <c r="E158" s="457"/>
      <c r="T158" s="21"/>
      <c r="V158" s="456"/>
      <c r="AA158" s="456"/>
    </row>
    <row r="159" spans="1:30" ht="15" customHeight="1">
      <c r="B159" s="457"/>
      <c r="C159" s="457"/>
      <c r="D159" s="457"/>
      <c r="E159" s="457"/>
      <c r="T159" s="21"/>
      <c r="V159" s="456"/>
      <c r="AA159" s="456"/>
    </row>
    <row r="160" spans="1:30" ht="15" customHeight="1">
      <c r="B160" s="457"/>
      <c r="C160" s="457"/>
      <c r="D160" s="457"/>
      <c r="E160" s="457"/>
      <c r="T160" s="21"/>
      <c r="V160" s="456"/>
      <c r="AA160" s="456"/>
    </row>
    <row r="161" spans="2:27" ht="15" customHeight="1">
      <c r="B161" s="457"/>
      <c r="C161" s="457"/>
      <c r="D161" s="457"/>
      <c r="E161" s="457"/>
      <c r="T161" s="21"/>
      <c r="V161" s="456"/>
      <c r="AA161" s="456"/>
    </row>
    <row r="162" spans="2:27" ht="15" customHeight="1">
      <c r="B162" s="457"/>
      <c r="C162" s="457"/>
      <c r="D162" s="21"/>
      <c r="E162" s="21"/>
      <c r="T162" s="21"/>
      <c r="V162" s="456"/>
      <c r="AA162" s="456"/>
    </row>
    <row r="163" spans="2:27" ht="15.75" customHeight="1">
      <c r="D163" s="21"/>
      <c r="E163" s="21"/>
      <c r="T163" s="21"/>
      <c r="V163" s="456"/>
      <c r="AA163" s="456"/>
    </row>
    <row r="164" spans="2:27" ht="15.75" customHeight="1">
      <c r="D164" s="21"/>
      <c r="E164" s="21"/>
      <c r="T164" s="21"/>
      <c r="V164" s="456"/>
      <c r="AA164" s="456"/>
    </row>
    <row r="165" spans="2:27" ht="15" customHeight="1">
      <c r="B165" s="21"/>
      <c r="D165" s="21"/>
      <c r="E165" s="21"/>
      <c r="T165" s="21"/>
      <c r="V165" s="456"/>
      <c r="AA165" s="456"/>
    </row>
    <row r="166" spans="2:27" ht="15.75" customHeight="1">
      <c r="D166" s="21"/>
      <c r="E166" s="21"/>
      <c r="T166" s="21"/>
      <c r="V166" s="456"/>
      <c r="AA166" s="456"/>
    </row>
    <row r="167" spans="2:27" ht="15.75" customHeight="1">
      <c r="D167" s="21"/>
      <c r="E167" s="21"/>
      <c r="T167" s="21"/>
      <c r="V167" s="456"/>
      <c r="AA167" s="456"/>
    </row>
    <row r="168" spans="2:27" ht="15.75" customHeight="1">
      <c r="D168" s="21"/>
      <c r="E168" s="21"/>
      <c r="T168" s="21"/>
      <c r="V168" s="456"/>
      <c r="AA168" s="456"/>
    </row>
    <row r="169" spans="2:27" ht="15.75" customHeight="1">
      <c r="D169" s="21"/>
      <c r="E169" s="21"/>
      <c r="T169" s="21"/>
      <c r="V169" s="456"/>
      <c r="AA169" s="456"/>
    </row>
    <row r="170" spans="2:27" ht="15.75" customHeight="1">
      <c r="D170" s="21"/>
      <c r="E170" s="21"/>
      <c r="T170" s="21"/>
      <c r="V170" s="456"/>
      <c r="AA170" s="456"/>
    </row>
    <row r="171" spans="2:27" ht="15.75" customHeight="1">
      <c r="D171" s="21"/>
      <c r="E171" s="21"/>
      <c r="T171" s="21"/>
      <c r="V171" s="456"/>
      <c r="AA171" s="456"/>
    </row>
    <row r="172" spans="2:27" ht="15.75" customHeight="1">
      <c r="D172" s="21"/>
      <c r="E172" s="21"/>
      <c r="T172" s="21"/>
      <c r="V172" s="456"/>
      <c r="AA172" s="456"/>
    </row>
    <row r="173" spans="2:27" ht="15.75" customHeight="1">
      <c r="D173" s="21"/>
      <c r="E173" s="21"/>
      <c r="T173" s="21"/>
      <c r="V173" s="456"/>
      <c r="AA173" s="456"/>
    </row>
    <row r="174" spans="2:27" ht="15.75" customHeight="1">
      <c r="D174" s="21"/>
      <c r="E174" s="21"/>
      <c r="T174" s="21"/>
      <c r="V174" s="456"/>
      <c r="AA174" s="456"/>
    </row>
    <row r="175" spans="2:27" ht="15.75" customHeight="1">
      <c r="D175" s="21"/>
      <c r="E175" s="21"/>
      <c r="T175" s="21"/>
      <c r="V175" s="456"/>
      <c r="AA175" s="456"/>
    </row>
    <row r="176" spans="2:27" ht="15.75" customHeight="1">
      <c r="D176" s="21"/>
      <c r="E176" s="21"/>
      <c r="T176" s="21"/>
      <c r="V176" s="456"/>
      <c r="AA176" s="456"/>
    </row>
    <row r="177" spans="4:27" ht="15.75" customHeight="1">
      <c r="D177" s="21"/>
      <c r="E177" s="21"/>
      <c r="T177" s="21"/>
      <c r="V177" s="456"/>
      <c r="AA177" s="456"/>
    </row>
    <row r="178" spans="4:27" ht="15.75" customHeight="1">
      <c r="D178" s="21"/>
      <c r="E178" s="21"/>
      <c r="T178" s="21"/>
      <c r="V178" s="456"/>
      <c r="AA178" s="456"/>
    </row>
    <row r="179" spans="4:27" ht="15.75" customHeight="1">
      <c r="D179" s="21"/>
      <c r="E179" s="21"/>
      <c r="T179" s="21"/>
      <c r="V179" s="456"/>
      <c r="AA179" s="456"/>
    </row>
    <row r="180" spans="4:27" ht="15.75" customHeight="1">
      <c r="D180" s="21"/>
      <c r="E180" s="21"/>
      <c r="T180" s="21"/>
      <c r="V180" s="456"/>
      <c r="AA180" s="456"/>
    </row>
    <row r="181" spans="4:27" ht="15.75" customHeight="1">
      <c r="D181" s="21"/>
      <c r="E181" s="21"/>
      <c r="T181" s="21"/>
      <c r="V181" s="456"/>
      <c r="AA181" s="456"/>
    </row>
    <row r="182" spans="4:27" ht="15.75" customHeight="1">
      <c r="D182" s="21"/>
      <c r="E182" s="21"/>
      <c r="T182" s="21"/>
      <c r="V182" s="456"/>
      <c r="AA182" s="456"/>
    </row>
    <row r="183" spans="4:27" ht="15.75" customHeight="1">
      <c r="D183" s="21"/>
      <c r="E183" s="21"/>
      <c r="T183" s="21"/>
      <c r="V183" s="456"/>
      <c r="AA183" s="456"/>
    </row>
    <row r="184" spans="4:27" ht="15.75" customHeight="1">
      <c r="D184" s="21"/>
      <c r="E184" s="21"/>
      <c r="T184" s="21"/>
      <c r="V184" s="456"/>
      <c r="AA184" s="456"/>
    </row>
    <row r="185" spans="4:27" ht="15.75" customHeight="1">
      <c r="D185" s="21"/>
      <c r="E185" s="21"/>
      <c r="T185" s="21"/>
      <c r="V185" s="456"/>
      <c r="AA185" s="456"/>
    </row>
    <row r="186" spans="4:27" ht="15.75" customHeight="1">
      <c r="D186" s="21"/>
      <c r="E186" s="21"/>
      <c r="T186" s="21"/>
      <c r="V186" s="456"/>
      <c r="AA186" s="456"/>
    </row>
    <row r="187" spans="4:27" ht="15.75" customHeight="1">
      <c r="D187" s="21"/>
      <c r="E187" s="21"/>
      <c r="T187" s="21"/>
      <c r="V187" s="456"/>
      <c r="AA187" s="456"/>
    </row>
    <row r="188" spans="4:27" ht="15.75" customHeight="1">
      <c r="D188" s="21"/>
      <c r="E188" s="21"/>
      <c r="T188" s="21"/>
      <c r="V188" s="456"/>
      <c r="AA188" s="456"/>
    </row>
    <row r="189" spans="4:27" ht="15.75" customHeight="1">
      <c r="D189" s="21"/>
      <c r="E189" s="21"/>
      <c r="T189" s="21"/>
      <c r="V189" s="456"/>
      <c r="AA189" s="456"/>
    </row>
    <row r="190" spans="4:27" ht="15.75" customHeight="1">
      <c r="D190" s="21"/>
      <c r="E190" s="21"/>
      <c r="T190" s="21"/>
      <c r="V190" s="456"/>
      <c r="AA190" s="456"/>
    </row>
    <row r="191" spans="4:27" ht="15.75" customHeight="1">
      <c r="D191" s="21"/>
      <c r="E191" s="21"/>
      <c r="T191" s="21"/>
      <c r="V191" s="456"/>
      <c r="AA191" s="456"/>
    </row>
    <row r="192" spans="4:27" ht="15.75" customHeight="1">
      <c r="D192" s="21"/>
      <c r="E192" s="21"/>
      <c r="T192" s="21"/>
      <c r="V192" s="456"/>
      <c r="AA192" s="456"/>
    </row>
    <row r="193" spans="4:27" ht="15.75" customHeight="1">
      <c r="D193" s="21"/>
      <c r="E193" s="21"/>
      <c r="T193" s="21"/>
      <c r="V193" s="456"/>
      <c r="AA193" s="456"/>
    </row>
    <row r="194" spans="4:27" ht="15.75" customHeight="1">
      <c r="D194" s="21"/>
      <c r="E194" s="21"/>
      <c r="T194" s="21"/>
      <c r="V194" s="456"/>
      <c r="AA194" s="456"/>
    </row>
    <row r="195" spans="4:27" ht="15.75" customHeight="1">
      <c r="D195" s="21"/>
      <c r="E195" s="21"/>
      <c r="T195" s="21"/>
      <c r="V195" s="456"/>
      <c r="AA195" s="456"/>
    </row>
    <row r="196" spans="4:27" ht="15.75" customHeight="1">
      <c r="D196" s="21"/>
      <c r="E196" s="21"/>
      <c r="T196" s="21"/>
      <c r="V196" s="456"/>
      <c r="AA196" s="456"/>
    </row>
    <row r="197" spans="4:27" ht="15.75" customHeight="1">
      <c r="D197" s="21"/>
      <c r="E197" s="21"/>
      <c r="T197" s="21"/>
      <c r="V197" s="456"/>
      <c r="AA197" s="456"/>
    </row>
    <row r="198" spans="4:27" ht="15.75" customHeight="1">
      <c r="D198" s="21"/>
      <c r="E198" s="21"/>
      <c r="T198" s="21"/>
      <c r="V198" s="456"/>
      <c r="AA198" s="456"/>
    </row>
    <row r="199" spans="4:27" ht="15.75" customHeight="1">
      <c r="D199" s="21"/>
      <c r="E199" s="21"/>
      <c r="T199" s="21"/>
      <c r="V199" s="456"/>
      <c r="AA199" s="456"/>
    </row>
    <row r="200" spans="4:27" ht="15.75" customHeight="1">
      <c r="D200" s="21"/>
      <c r="E200" s="21"/>
      <c r="T200" s="21"/>
      <c r="V200" s="456"/>
      <c r="AA200" s="456"/>
    </row>
    <row r="201" spans="4:27" ht="15.75" customHeight="1">
      <c r="D201" s="21"/>
      <c r="E201" s="21"/>
      <c r="T201" s="21"/>
      <c r="V201" s="456"/>
      <c r="AA201" s="456"/>
    </row>
    <row r="202" spans="4:27" ht="15.75" customHeight="1">
      <c r="D202" s="21"/>
      <c r="E202" s="21"/>
      <c r="T202" s="21"/>
      <c r="V202" s="456"/>
      <c r="AA202" s="456"/>
    </row>
    <row r="203" spans="4:27" ht="15.75" customHeight="1">
      <c r="D203" s="21"/>
      <c r="E203" s="21"/>
      <c r="T203" s="21"/>
      <c r="V203" s="456"/>
      <c r="AA203" s="456"/>
    </row>
    <row r="204" spans="4:27" ht="15.75" customHeight="1">
      <c r="D204" s="21"/>
      <c r="E204" s="21"/>
      <c r="T204" s="21"/>
      <c r="V204" s="456"/>
      <c r="AA204" s="456"/>
    </row>
    <row r="205" spans="4:27" ht="15.75" customHeight="1">
      <c r="D205" s="21"/>
      <c r="E205" s="21"/>
      <c r="T205" s="21"/>
      <c r="V205" s="456"/>
      <c r="AA205" s="456"/>
    </row>
    <row r="206" spans="4:27" ht="15.75" customHeight="1">
      <c r="D206" s="21"/>
      <c r="E206" s="21"/>
      <c r="T206" s="21"/>
      <c r="V206" s="456"/>
      <c r="AA206" s="456"/>
    </row>
    <row r="207" spans="4:27" ht="15.75" customHeight="1">
      <c r="D207" s="21"/>
      <c r="E207" s="21"/>
      <c r="T207" s="21"/>
      <c r="V207" s="456"/>
      <c r="AA207" s="456"/>
    </row>
    <row r="208" spans="4:27" ht="15.75" customHeight="1">
      <c r="D208" s="21"/>
      <c r="E208" s="21"/>
      <c r="T208" s="21"/>
      <c r="V208" s="456"/>
      <c r="AA208" s="456"/>
    </row>
    <row r="209" spans="4:27" ht="15.75" customHeight="1">
      <c r="D209" s="21"/>
      <c r="E209" s="21"/>
      <c r="T209" s="21"/>
      <c r="V209" s="456"/>
      <c r="AA209" s="456"/>
    </row>
    <row r="210" spans="4:27" ht="15.75" customHeight="1">
      <c r="D210" s="21"/>
      <c r="E210" s="21"/>
      <c r="T210" s="21"/>
      <c r="V210" s="456"/>
      <c r="AA210" s="456"/>
    </row>
    <row r="211" spans="4:27" ht="15.75" customHeight="1">
      <c r="D211" s="21"/>
      <c r="E211" s="21"/>
      <c r="T211" s="21"/>
      <c r="V211" s="456"/>
      <c r="AA211" s="456"/>
    </row>
    <row r="212" spans="4:27" ht="15.75" customHeight="1">
      <c r="D212" s="21"/>
      <c r="E212" s="21"/>
      <c r="T212" s="21"/>
      <c r="V212" s="456"/>
      <c r="AA212" s="456"/>
    </row>
    <row r="213" spans="4:27" ht="15.75" customHeight="1">
      <c r="D213" s="21"/>
      <c r="E213" s="21"/>
      <c r="T213" s="21"/>
      <c r="V213" s="456"/>
      <c r="AA213" s="456"/>
    </row>
    <row r="214" spans="4:27" ht="15.75" customHeight="1">
      <c r="D214" s="21"/>
      <c r="E214" s="21"/>
      <c r="T214" s="21"/>
      <c r="V214" s="456"/>
      <c r="AA214" s="456"/>
    </row>
    <row r="215" spans="4:27" ht="15.75" customHeight="1">
      <c r="D215" s="21"/>
      <c r="E215" s="21"/>
      <c r="T215" s="21"/>
      <c r="V215" s="456"/>
      <c r="AA215" s="456"/>
    </row>
    <row r="216" spans="4:27" ht="15.75" customHeight="1">
      <c r="D216" s="21"/>
      <c r="E216" s="21"/>
      <c r="T216" s="21"/>
      <c r="V216" s="456"/>
      <c r="AA216" s="456"/>
    </row>
    <row r="217" spans="4:27" ht="15.75" customHeight="1">
      <c r="D217" s="21"/>
      <c r="E217" s="21"/>
      <c r="T217" s="21"/>
      <c r="V217" s="456"/>
      <c r="AA217" s="456"/>
    </row>
    <row r="218" spans="4:27" ht="15.75" customHeight="1">
      <c r="D218" s="21"/>
      <c r="E218" s="21"/>
      <c r="T218" s="21"/>
      <c r="V218" s="456"/>
      <c r="AA218" s="456"/>
    </row>
    <row r="219" spans="4:27" ht="15.75" customHeight="1">
      <c r="D219" s="21"/>
      <c r="E219" s="21"/>
      <c r="T219" s="21"/>
      <c r="V219" s="456"/>
      <c r="AA219" s="456"/>
    </row>
    <row r="220" spans="4:27" ht="15.75" customHeight="1">
      <c r="D220" s="21"/>
      <c r="E220" s="21"/>
      <c r="T220" s="21"/>
      <c r="V220" s="456"/>
      <c r="AA220" s="456"/>
    </row>
    <row r="221" spans="4:27" ht="15.75" customHeight="1">
      <c r="D221" s="21"/>
      <c r="E221" s="21"/>
      <c r="T221" s="21"/>
      <c r="V221" s="456"/>
      <c r="AA221" s="456"/>
    </row>
    <row r="222" spans="4:27" ht="15.75" customHeight="1">
      <c r="D222" s="21"/>
      <c r="E222" s="21"/>
      <c r="T222" s="21"/>
      <c r="V222" s="456"/>
      <c r="AA222" s="456"/>
    </row>
    <row r="223" spans="4:27" ht="15.75" customHeight="1">
      <c r="D223" s="21"/>
      <c r="E223" s="21"/>
      <c r="T223" s="21"/>
      <c r="V223" s="456"/>
      <c r="AA223" s="456"/>
    </row>
    <row r="224" spans="4:27" ht="15.75" customHeight="1">
      <c r="D224" s="21"/>
      <c r="E224" s="21"/>
      <c r="T224" s="21"/>
      <c r="V224" s="456"/>
      <c r="AA224" s="456"/>
    </row>
    <row r="225" spans="4:27" ht="15.75" customHeight="1">
      <c r="D225" s="21"/>
      <c r="E225" s="21"/>
      <c r="T225" s="21"/>
      <c r="V225" s="456"/>
      <c r="AA225" s="456"/>
    </row>
    <row r="226" spans="4:27" ht="15.75" customHeight="1">
      <c r="D226" s="21"/>
      <c r="E226" s="21"/>
      <c r="T226" s="21"/>
      <c r="V226" s="456"/>
      <c r="AA226" s="456"/>
    </row>
    <row r="227" spans="4:27" ht="15.75" customHeight="1">
      <c r="D227" s="21"/>
      <c r="E227" s="21"/>
      <c r="T227" s="21"/>
      <c r="V227" s="456"/>
      <c r="AA227" s="456"/>
    </row>
    <row r="228" spans="4:27" ht="15.75" customHeight="1">
      <c r="D228" s="21"/>
      <c r="E228" s="21"/>
      <c r="T228" s="21"/>
      <c r="V228" s="456"/>
      <c r="AA228" s="456"/>
    </row>
    <row r="229" spans="4:27" ht="15.75" customHeight="1">
      <c r="D229" s="21"/>
      <c r="E229" s="21"/>
      <c r="T229" s="21"/>
      <c r="V229" s="456"/>
      <c r="AA229" s="456"/>
    </row>
    <row r="230" spans="4:27" ht="15.75" customHeight="1">
      <c r="D230" s="21"/>
      <c r="E230" s="21"/>
      <c r="T230" s="21"/>
      <c r="V230" s="456"/>
      <c r="AA230" s="456"/>
    </row>
    <row r="231" spans="4:27" ht="15.75" customHeight="1">
      <c r="D231" s="21"/>
      <c r="E231" s="21"/>
      <c r="T231" s="21"/>
      <c r="V231" s="456"/>
      <c r="AA231" s="456"/>
    </row>
    <row r="232" spans="4:27" ht="15.75" customHeight="1">
      <c r="D232" s="21"/>
      <c r="E232" s="21"/>
      <c r="T232" s="21"/>
      <c r="V232" s="456"/>
      <c r="AA232" s="456"/>
    </row>
    <row r="233" spans="4:27" ht="15.75" customHeight="1">
      <c r="D233" s="21"/>
      <c r="E233" s="21"/>
      <c r="T233" s="21"/>
      <c r="V233" s="456"/>
      <c r="AA233" s="456"/>
    </row>
    <row r="234" spans="4:27" ht="15.75" customHeight="1">
      <c r="D234" s="21"/>
      <c r="E234" s="21"/>
      <c r="T234" s="21"/>
      <c r="V234" s="456"/>
      <c r="AA234" s="456"/>
    </row>
    <row r="235" spans="4:27" ht="15.75" customHeight="1">
      <c r="D235" s="21"/>
      <c r="E235" s="21"/>
      <c r="T235" s="21"/>
      <c r="V235" s="456"/>
      <c r="AA235" s="456"/>
    </row>
    <row r="236" spans="4:27" ht="15.75" customHeight="1">
      <c r="D236" s="21"/>
      <c r="E236" s="21"/>
      <c r="T236" s="21"/>
      <c r="V236" s="456"/>
      <c r="AA236" s="456"/>
    </row>
    <row r="237" spans="4:27" ht="15.75" customHeight="1">
      <c r="D237" s="21"/>
      <c r="E237" s="21"/>
      <c r="T237" s="21"/>
      <c r="V237" s="456"/>
      <c r="AA237" s="456"/>
    </row>
    <row r="238" spans="4:27" ht="15.75" customHeight="1">
      <c r="D238" s="21"/>
      <c r="E238" s="21"/>
      <c r="T238" s="21"/>
      <c r="V238" s="456"/>
      <c r="AA238" s="456"/>
    </row>
    <row r="239" spans="4:27" ht="15.75" customHeight="1">
      <c r="D239" s="21"/>
      <c r="E239" s="21"/>
      <c r="T239" s="21"/>
      <c r="V239" s="456"/>
      <c r="AA239" s="456"/>
    </row>
    <row r="240" spans="4:27" ht="15.75" customHeight="1">
      <c r="D240" s="21"/>
      <c r="E240" s="21"/>
      <c r="T240" s="21"/>
      <c r="V240" s="456"/>
      <c r="AA240" s="456"/>
    </row>
    <row r="241" spans="4:27" ht="15.75" customHeight="1">
      <c r="D241" s="21"/>
      <c r="E241" s="21"/>
      <c r="T241" s="21"/>
      <c r="V241" s="456"/>
      <c r="AA241" s="456"/>
    </row>
    <row r="242" spans="4:27" ht="15.75" customHeight="1">
      <c r="D242" s="21"/>
      <c r="E242" s="21"/>
      <c r="T242" s="21"/>
      <c r="V242" s="456"/>
      <c r="AA242" s="456"/>
    </row>
    <row r="243" spans="4:27" ht="15.75" customHeight="1">
      <c r="D243" s="21"/>
      <c r="E243" s="21"/>
      <c r="T243" s="21"/>
      <c r="V243" s="456"/>
      <c r="AA243" s="456"/>
    </row>
    <row r="244" spans="4:27" ht="15.75" customHeight="1">
      <c r="D244" s="21"/>
      <c r="E244" s="21"/>
      <c r="T244" s="21"/>
      <c r="V244" s="456"/>
      <c r="AA244" s="456"/>
    </row>
    <row r="245" spans="4:27" ht="15.75" customHeight="1">
      <c r="D245" s="21"/>
      <c r="E245" s="21"/>
      <c r="T245" s="21"/>
      <c r="V245" s="456"/>
      <c r="AA245" s="456"/>
    </row>
    <row r="246" spans="4:27" ht="15.75" customHeight="1">
      <c r="D246" s="21"/>
      <c r="E246" s="21"/>
      <c r="T246" s="21"/>
      <c r="V246" s="456"/>
      <c r="AA246" s="456"/>
    </row>
    <row r="247" spans="4:27" ht="15.75" customHeight="1">
      <c r="D247" s="21"/>
      <c r="E247" s="21"/>
      <c r="T247" s="21"/>
      <c r="V247" s="456"/>
      <c r="AA247" s="456"/>
    </row>
    <row r="248" spans="4:27" ht="15.75" customHeight="1">
      <c r="D248" s="21"/>
      <c r="E248" s="21"/>
      <c r="T248" s="21"/>
      <c r="V248" s="456"/>
      <c r="AA248" s="456"/>
    </row>
    <row r="249" spans="4:27" ht="15.75" customHeight="1">
      <c r="D249" s="21"/>
      <c r="E249" s="21"/>
      <c r="T249" s="21"/>
      <c r="V249" s="456"/>
      <c r="AA249" s="456"/>
    </row>
    <row r="250" spans="4:27" ht="15.75" customHeight="1">
      <c r="D250" s="21"/>
      <c r="E250" s="21"/>
      <c r="T250" s="21"/>
      <c r="V250" s="456"/>
      <c r="AA250" s="456"/>
    </row>
    <row r="251" spans="4:27" ht="15.75" customHeight="1">
      <c r="D251" s="21"/>
      <c r="E251" s="21"/>
      <c r="T251" s="21"/>
      <c r="V251" s="456"/>
      <c r="AA251" s="456"/>
    </row>
    <row r="252" spans="4:27" ht="15.75" customHeight="1">
      <c r="D252" s="21"/>
      <c r="E252" s="21"/>
      <c r="T252" s="21"/>
      <c r="V252" s="456"/>
      <c r="AA252" s="456"/>
    </row>
    <row r="253" spans="4:27" ht="15.75" customHeight="1">
      <c r="D253" s="21"/>
      <c r="E253" s="21"/>
      <c r="T253" s="21"/>
      <c r="V253" s="456"/>
      <c r="AA253" s="456"/>
    </row>
    <row r="254" spans="4:27" ht="15.75" customHeight="1">
      <c r="D254" s="21"/>
      <c r="E254" s="21"/>
      <c r="T254" s="21"/>
      <c r="V254" s="456"/>
      <c r="AA254" s="456"/>
    </row>
    <row r="255" spans="4:27" ht="15.75" customHeight="1">
      <c r="D255" s="21"/>
      <c r="E255" s="21"/>
      <c r="T255" s="21"/>
      <c r="V255" s="456"/>
      <c r="AA255" s="456"/>
    </row>
    <row r="256" spans="4:27" ht="15.75" customHeight="1">
      <c r="D256" s="21"/>
      <c r="E256" s="21"/>
      <c r="T256" s="21"/>
      <c r="V256" s="456"/>
      <c r="AA256" s="456"/>
    </row>
    <row r="257" spans="4:27" ht="15.75" customHeight="1">
      <c r="D257" s="21"/>
      <c r="E257" s="21"/>
      <c r="T257" s="21"/>
      <c r="V257" s="456"/>
      <c r="AA257" s="456"/>
    </row>
    <row r="258" spans="4:27" ht="15.75" customHeight="1">
      <c r="D258" s="21"/>
      <c r="E258" s="21"/>
      <c r="T258" s="21"/>
      <c r="V258" s="456"/>
      <c r="AA258" s="456"/>
    </row>
    <row r="259" spans="4:27" ht="15.75" customHeight="1">
      <c r="D259" s="21"/>
      <c r="E259" s="21"/>
      <c r="T259" s="21"/>
      <c r="V259" s="456"/>
      <c r="AA259" s="456"/>
    </row>
    <row r="260" spans="4:27" ht="15.75" customHeight="1">
      <c r="D260" s="21"/>
      <c r="E260" s="21"/>
      <c r="T260" s="21"/>
      <c r="V260" s="456"/>
      <c r="AA260" s="456"/>
    </row>
    <row r="261" spans="4:27" ht="15.75" customHeight="1">
      <c r="D261" s="21"/>
      <c r="E261" s="21"/>
      <c r="T261" s="21"/>
      <c r="V261" s="456"/>
      <c r="AA261" s="456"/>
    </row>
    <row r="262" spans="4:27" ht="15.75" customHeight="1">
      <c r="D262" s="21"/>
      <c r="E262" s="21"/>
      <c r="T262" s="21"/>
      <c r="V262" s="456"/>
      <c r="AA262" s="456"/>
    </row>
    <row r="263" spans="4:27" ht="15.75" customHeight="1">
      <c r="D263" s="21"/>
      <c r="E263" s="21"/>
      <c r="T263" s="21"/>
      <c r="V263" s="456"/>
      <c r="AA263" s="456"/>
    </row>
    <row r="264" spans="4:27" ht="15.75" customHeight="1">
      <c r="D264" s="21"/>
      <c r="E264" s="21"/>
      <c r="T264" s="21"/>
      <c r="V264" s="456"/>
      <c r="AA264" s="456"/>
    </row>
    <row r="265" spans="4:27" ht="15.75" customHeight="1">
      <c r="D265" s="21"/>
      <c r="E265" s="21"/>
      <c r="T265" s="21"/>
      <c r="V265" s="456"/>
      <c r="AA265" s="456"/>
    </row>
    <row r="266" spans="4:27" ht="15.75" customHeight="1">
      <c r="D266" s="21"/>
      <c r="E266" s="21"/>
      <c r="T266" s="21"/>
      <c r="V266" s="456"/>
      <c r="AA266" s="456"/>
    </row>
    <row r="267" spans="4:27" ht="15.75" customHeight="1">
      <c r="D267" s="21"/>
      <c r="E267" s="21"/>
      <c r="T267" s="21"/>
      <c r="V267" s="456"/>
      <c r="AA267" s="456"/>
    </row>
    <row r="268" spans="4:27" ht="15.75" customHeight="1">
      <c r="D268" s="21"/>
      <c r="E268" s="21"/>
      <c r="T268" s="21"/>
      <c r="V268" s="456"/>
      <c r="AA268" s="456"/>
    </row>
    <row r="269" spans="4:27" ht="15.75" customHeight="1">
      <c r="D269" s="21"/>
      <c r="E269" s="21"/>
      <c r="T269" s="21"/>
      <c r="V269" s="456"/>
      <c r="AA269" s="456"/>
    </row>
    <row r="270" spans="4:27" ht="15.75" customHeight="1">
      <c r="D270" s="21"/>
      <c r="E270" s="21"/>
      <c r="T270" s="21"/>
      <c r="V270" s="456"/>
      <c r="AA270" s="456"/>
    </row>
    <row r="271" spans="4:27" ht="15.75" customHeight="1">
      <c r="D271" s="21"/>
      <c r="E271" s="21"/>
      <c r="T271" s="21"/>
      <c r="V271" s="456"/>
      <c r="AA271" s="456"/>
    </row>
    <row r="272" spans="4:27" ht="15.75" customHeight="1">
      <c r="D272" s="21"/>
      <c r="E272" s="21"/>
      <c r="T272" s="21"/>
      <c r="V272" s="456"/>
      <c r="AA272" s="456"/>
    </row>
    <row r="273" spans="4:27" ht="15.75" customHeight="1">
      <c r="D273" s="21"/>
      <c r="E273" s="21"/>
      <c r="T273" s="21"/>
      <c r="V273" s="456"/>
      <c r="AA273" s="456"/>
    </row>
    <row r="274" spans="4:27" ht="15.75" customHeight="1">
      <c r="D274" s="21"/>
      <c r="E274" s="21"/>
      <c r="T274" s="21"/>
      <c r="V274" s="456"/>
      <c r="AA274" s="456"/>
    </row>
    <row r="275" spans="4:27" ht="15.75" customHeight="1">
      <c r="D275" s="21"/>
      <c r="E275" s="21"/>
      <c r="T275" s="21"/>
      <c r="V275" s="456"/>
      <c r="AA275" s="456"/>
    </row>
    <row r="276" spans="4:27" ht="15.75" customHeight="1">
      <c r="D276" s="21"/>
      <c r="E276" s="21"/>
      <c r="T276" s="21"/>
      <c r="V276" s="456"/>
      <c r="AA276" s="456"/>
    </row>
    <row r="277" spans="4:27" ht="15.75" customHeight="1">
      <c r="D277" s="21"/>
      <c r="E277" s="21"/>
      <c r="T277" s="21"/>
      <c r="V277" s="456"/>
      <c r="AA277" s="456"/>
    </row>
    <row r="278" spans="4:27" ht="15.75" customHeight="1">
      <c r="D278" s="21"/>
      <c r="E278" s="21"/>
      <c r="T278" s="21"/>
      <c r="V278" s="456"/>
      <c r="AA278" s="456"/>
    </row>
    <row r="279" spans="4:27" ht="15.75" customHeight="1">
      <c r="D279" s="21"/>
      <c r="E279" s="21"/>
      <c r="T279" s="21"/>
      <c r="V279" s="456"/>
      <c r="AA279" s="456"/>
    </row>
    <row r="280" spans="4:27" ht="15.75" customHeight="1">
      <c r="D280" s="21"/>
      <c r="E280" s="21"/>
      <c r="T280" s="21"/>
      <c r="V280" s="456"/>
      <c r="AA280" s="456"/>
    </row>
    <row r="281" spans="4:27" ht="15.75" customHeight="1">
      <c r="D281" s="21"/>
      <c r="E281" s="21"/>
      <c r="T281" s="21"/>
      <c r="V281" s="456"/>
      <c r="AA281" s="456"/>
    </row>
    <row r="282" spans="4:27" ht="15.75" customHeight="1">
      <c r="D282" s="21"/>
      <c r="E282" s="21"/>
      <c r="T282" s="21"/>
      <c r="V282" s="456"/>
      <c r="AA282" s="456"/>
    </row>
    <row r="283" spans="4:27" ht="15.75" customHeight="1">
      <c r="D283" s="21"/>
      <c r="E283" s="21"/>
      <c r="T283" s="21"/>
      <c r="V283" s="456"/>
      <c r="AA283" s="456"/>
    </row>
    <row r="284" spans="4:27" ht="15.75" customHeight="1">
      <c r="D284" s="21"/>
      <c r="E284" s="21"/>
      <c r="T284" s="21"/>
      <c r="V284" s="456"/>
      <c r="AA284" s="456"/>
    </row>
    <row r="285" spans="4:27" ht="15.75" customHeight="1">
      <c r="D285" s="21"/>
      <c r="E285" s="21"/>
      <c r="T285" s="21"/>
      <c r="V285" s="456"/>
      <c r="AA285" s="456"/>
    </row>
    <row r="286" spans="4:27" ht="15.75" customHeight="1">
      <c r="D286" s="21"/>
      <c r="E286" s="21"/>
      <c r="T286" s="21"/>
      <c r="V286" s="456"/>
      <c r="AA286" s="456"/>
    </row>
    <row r="287" spans="4:27" ht="15.75" customHeight="1">
      <c r="D287" s="21"/>
      <c r="E287" s="21"/>
      <c r="T287" s="21"/>
      <c r="V287" s="456"/>
      <c r="AA287" s="456"/>
    </row>
    <row r="288" spans="4:27" ht="15.75" customHeight="1">
      <c r="D288" s="21"/>
      <c r="E288" s="21"/>
      <c r="T288" s="21"/>
      <c r="V288" s="456"/>
      <c r="AA288" s="456"/>
    </row>
    <row r="289" spans="4:27" ht="15.75" customHeight="1">
      <c r="D289" s="21"/>
      <c r="E289" s="21"/>
      <c r="T289" s="21"/>
      <c r="V289" s="456"/>
      <c r="AA289" s="456"/>
    </row>
    <row r="290" spans="4:27" ht="15.75" customHeight="1">
      <c r="D290" s="21"/>
      <c r="E290" s="21"/>
      <c r="T290" s="21"/>
      <c r="V290" s="456"/>
      <c r="AA290" s="456"/>
    </row>
    <row r="291" spans="4:27" ht="15.75" customHeight="1">
      <c r="D291" s="21"/>
      <c r="E291" s="21"/>
      <c r="T291" s="21"/>
      <c r="V291" s="456"/>
      <c r="AA291" s="456"/>
    </row>
    <row r="292" spans="4:27" ht="15.75" customHeight="1">
      <c r="D292" s="21"/>
      <c r="E292" s="21"/>
      <c r="T292" s="21"/>
      <c r="V292" s="456"/>
      <c r="AA292" s="456"/>
    </row>
    <row r="293" spans="4:27" ht="15.75" customHeight="1">
      <c r="D293" s="21"/>
      <c r="E293" s="21"/>
      <c r="T293" s="21"/>
      <c r="V293" s="456"/>
      <c r="AA293" s="456"/>
    </row>
    <row r="294" spans="4:27" ht="15.75" customHeight="1">
      <c r="D294" s="21"/>
      <c r="E294" s="21"/>
      <c r="T294" s="21"/>
      <c r="V294" s="456"/>
      <c r="AA294" s="456"/>
    </row>
    <row r="295" spans="4:27" ht="15.75" customHeight="1">
      <c r="D295" s="21"/>
      <c r="E295" s="21"/>
      <c r="T295" s="21"/>
      <c r="V295" s="456"/>
      <c r="AA295" s="456"/>
    </row>
    <row r="296" spans="4:27" ht="15.75" customHeight="1">
      <c r="D296" s="21"/>
      <c r="E296" s="21"/>
      <c r="T296" s="21"/>
      <c r="V296" s="456"/>
      <c r="AA296" s="456"/>
    </row>
    <row r="297" spans="4:27" ht="15.75" customHeight="1">
      <c r="D297" s="21"/>
      <c r="E297" s="21"/>
      <c r="T297" s="21"/>
      <c r="V297" s="456"/>
      <c r="AA297" s="456"/>
    </row>
    <row r="298" spans="4:27" ht="15.75" customHeight="1">
      <c r="D298" s="21"/>
      <c r="E298" s="21"/>
      <c r="T298" s="21"/>
      <c r="V298" s="456"/>
      <c r="AA298" s="456"/>
    </row>
    <row r="299" spans="4:27" ht="15.75" customHeight="1">
      <c r="D299" s="21"/>
      <c r="E299" s="21"/>
      <c r="T299" s="21"/>
      <c r="V299" s="456"/>
      <c r="AA299" s="456"/>
    </row>
    <row r="300" spans="4:27" ht="15.75" customHeight="1">
      <c r="D300" s="21"/>
      <c r="E300" s="21"/>
      <c r="T300" s="21"/>
      <c r="V300" s="456"/>
      <c r="AA300" s="456"/>
    </row>
    <row r="301" spans="4:27" ht="15.75" customHeight="1">
      <c r="D301" s="21"/>
      <c r="E301" s="21"/>
      <c r="T301" s="21"/>
      <c r="V301" s="456"/>
      <c r="AA301" s="456"/>
    </row>
    <row r="302" spans="4:27" ht="15.75" customHeight="1">
      <c r="D302" s="21"/>
      <c r="E302" s="21"/>
      <c r="T302" s="21"/>
      <c r="V302" s="456"/>
      <c r="AA302" s="456"/>
    </row>
    <row r="303" spans="4:27" ht="15.75" customHeight="1">
      <c r="D303" s="21"/>
      <c r="E303" s="21"/>
      <c r="T303" s="21"/>
      <c r="V303" s="456"/>
      <c r="AA303" s="456"/>
    </row>
    <row r="304" spans="4:27" ht="15.75" customHeight="1">
      <c r="D304" s="21"/>
      <c r="E304" s="21"/>
      <c r="T304" s="21"/>
      <c r="V304" s="456"/>
      <c r="AA304" s="456"/>
    </row>
    <row r="305" spans="4:27" ht="15.75" customHeight="1">
      <c r="D305" s="21"/>
      <c r="E305" s="21"/>
      <c r="T305" s="21"/>
      <c r="V305" s="456"/>
      <c r="AA305" s="456"/>
    </row>
    <row r="306" spans="4:27" ht="15.75" customHeight="1">
      <c r="D306" s="21"/>
      <c r="E306" s="21"/>
      <c r="T306" s="21"/>
      <c r="V306" s="456"/>
      <c r="AA306" s="456"/>
    </row>
    <row r="307" spans="4:27" ht="15.75" customHeight="1">
      <c r="D307" s="21"/>
      <c r="E307" s="21"/>
      <c r="T307" s="21"/>
      <c r="V307" s="456"/>
      <c r="AA307" s="456"/>
    </row>
    <row r="308" spans="4:27" ht="15.75" customHeight="1">
      <c r="D308" s="21"/>
      <c r="E308" s="21"/>
      <c r="T308" s="21"/>
      <c r="V308" s="456"/>
      <c r="AA308" s="456"/>
    </row>
    <row r="309" spans="4:27" ht="15.75" customHeight="1">
      <c r="D309" s="21"/>
      <c r="E309" s="21"/>
      <c r="T309" s="21"/>
      <c r="V309" s="456"/>
      <c r="AA309" s="456"/>
    </row>
    <row r="310" spans="4:27" ht="15.75" customHeight="1">
      <c r="D310" s="21"/>
      <c r="E310" s="21"/>
      <c r="T310" s="21"/>
      <c r="V310" s="456"/>
      <c r="AA310" s="456"/>
    </row>
    <row r="311" spans="4:27" ht="15.75" customHeight="1">
      <c r="D311" s="21"/>
      <c r="E311" s="21"/>
      <c r="T311" s="21"/>
      <c r="V311" s="456"/>
      <c r="AA311" s="456"/>
    </row>
    <row r="312" spans="4:27" ht="15.75" customHeight="1">
      <c r="D312" s="21"/>
      <c r="E312" s="21"/>
      <c r="T312" s="21"/>
      <c r="V312" s="456"/>
      <c r="AA312" s="456"/>
    </row>
    <row r="313" spans="4:27" ht="15.75" customHeight="1">
      <c r="D313" s="21"/>
      <c r="E313" s="21"/>
      <c r="T313" s="21"/>
      <c r="V313" s="456"/>
      <c r="AA313" s="456"/>
    </row>
    <row r="314" spans="4:27" ht="15.75" customHeight="1">
      <c r="D314" s="21"/>
      <c r="E314" s="21"/>
      <c r="T314" s="21"/>
      <c r="V314" s="456"/>
      <c r="AA314" s="456"/>
    </row>
    <row r="315" spans="4:27" ht="15.75" customHeight="1">
      <c r="D315" s="21"/>
      <c r="E315" s="21"/>
      <c r="T315" s="21"/>
      <c r="V315" s="456"/>
      <c r="AA315" s="456"/>
    </row>
    <row r="316" spans="4:27" ht="15.75" customHeight="1">
      <c r="D316" s="21"/>
      <c r="E316" s="21"/>
      <c r="T316" s="21"/>
      <c r="V316" s="456"/>
      <c r="AA316" s="456"/>
    </row>
    <row r="317" spans="4:27" ht="15.75" customHeight="1">
      <c r="D317" s="21"/>
      <c r="E317" s="21"/>
      <c r="T317" s="21"/>
      <c r="V317" s="456"/>
      <c r="AA317" s="456"/>
    </row>
    <row r="318" spans="4:27" ht="15.75" customHeight="1">
      <c r="D318" s="21"/>
      <c r="E318" s="21"/>
      <c r="T318" s="21"/>
      <c r="V318" s="456"/>
      <c r="AA318" s="456"/>
    </row>
    <row r="319" spans="4:27" ht="15.75" customHeight="1">
      <c r="D319" s="21"/>
      <c r="E319" s="21"/>
      <c r="T319" s="21"/>
      <c r="V319" s="456"/>
      <c r="AA319" s="456"/>
    </row>
    <row r="320" spans="4:27" ht="15.75" customHeight="1">
      <c r="D320" s="21"/>
      <c r="E320" s="21"/>
      <c r="T320" s="21"/>
      <c r="V320" s="456"/>
      <c r="AA320" s="456"/>
    </row>
    <row r="321" spans="4:27" ht="15.75" customHeight="1">
      <c r="D321" s="21"/>
      <c r="E321" s="21"/>
      <c r="T321" s="21"/>
      <c r="V321" s="456"/>
      <c r="AA321" s="456"/>
    </row>
    <row r="322" spans="4:27" ht="15.75" customHeight="1">
      <c r="D322" s="21"/>
      <c r="E322" s="21"/>
      <c r="T322" s="21"/>
      <c r="V322" s="456"/>
      <c r="AA322" s="456"/>
    </row>
    <row r="323" spans="4:27" ht="15.75" customHeight="1">
      <c r="D323" s="21"/>
      <c r="E323" s="21"/>
      <c r="T323" s="21"/>
      <c r="V323" s="456"/>
      <c r="AA323" s="456"/>
    </row>
    <row r="324" spans="4:27" ht="15.75" customHeight="1">
      <c r="D324" s="21"/>
      <c r="E324" s="21"/>
      <c r="T324" s="21"/>
      <c r="V324" s="456"/>
      <c r="AA324" s="456"/>
    </row>
    <row r="325" spans="4:27" ht="15.75" customHeight="1">
      <c r="D325" s="21"/>
      <c r="E325" s="21"/>
      <c r="T325" s="21"/>
      <c r="V325" s="456"/>
      <c r="AA325" s="456"/>
    </row>
    <row r="326" spans="4:27" ht="15.75" customHeight="1">
      <c r="D326" s="21"/>
      <c r="E326" s="21"/>
      <c r="T326" s="21"/>
      <c r="V326" s="456"/>
      <c r="AA326" s="456"/>
    </row>
    <row r="327" spans="4:27" ht="15.75" customHeight="1">
      <c r="D327" s="21"/>
      <c r="E327" s="21"/>
      <c r="T327" s="21"/>
      <c r="V327" s="456"/>
      <c r="AA327" s="456"/>
    </row>
    <row r="328" spans="4:27" ht="15.75" customHeight="1">
      <c r="D328" s="21"/>
      <c r="E328" s="21"/>
      <c r="T328" s="21"/>
      <c r="V328" s="456"/>
      <c r="AA328" s="456"/>
    </row>
    <row r="329" spans="4:27" ht="15.75" customHeight="1">
      <c r="D329" s="21"/>
      <c r="E329" s="21"/>
      <c r="T329" s="21"/>
      <c r="V329" s="456"/>
      <c r="AA329" s="456"/>
    </row>
    <row r="330" spans="4:27" ht="15.75" customHeight="1">
      <c r="D330" s="21"/>
      <c r="E330" s="21"/>
      <c r="T330" s="21"/>
      <c r="V330" s="456"/>
      <c r="AA330" s="456"/>
    </row>
    <row r="331" spans="4:27" ht="15.75" customHeight="1">
      <c r="D331" s="21"/>
      <c r="E331" s="21"/>
      <c r="T331" s="21"/>
      <c r="V331" s="456"/>
      <c r="AA331" s="456"/>
    </row>
    <row r="332" spans="4:27" ht="15.75" customHeight="1">
      <c r="D332" s="21"/>
      <c r="E332" s="21"/>
      <c r="T332" s="21"/>
      <c r="V332" s="456"/>
      <c r="AA332" s="456"/>
    </row>
    <row r="333" spans="4:27" ht="15.75" customHeight="1">
      <c r="D333" s="21"/>
      <c r="E333" s="21"/>
      <c r="T333" s="21"/>
      <c r="V333" s="456"/>
      <c r="AA333" s="456"/>
    </row>
    <row r="334" spans="4:27" ht="15.75" customHeight="1">
      <c r="D334" s="21"/>
      <c r="E334" s="21"/>
      <c r="T334" s="21"/>
      <c r="V334" s="456"/>
      <c r="AA334" s="456"/>
    </row>
    <row r="335" spans="4:27" ht="15.75" customHeight="1">
      <c r="D335" s="21"/>
      <c r="E335" s="21"/>
      <c r="T335" s="21"/>
      <c r="V335" s="456"/>
      <c r="AA335" s="456"/>
    </row>
    <row r="336" spans="4:27" ht="15.75" customHeight="1">
      <c r="D336" s="21"/>
      <c r="E336" s="21"/>
      <c r="T336" s="21"/>
      <c r="V336" s="456"/>
      <c r="AA336" s="456"/>
    </row>
    <row r="337" spans="4:27" ht="15.75" customHeight="1">
      <c r="D337" s="21"/>
      <c r="E337" s="21"/>
      <c r="T337" s="21"/>
      <c r="V337" s="456"/>
      <c r="AA337" s="456"/>
    </row>
    <row r="338" spans="4:27" ht="15.75" customHeight="1">
      <c r="D338" s="21"/>
      <c r="E338" s="21"/>
      <c r="T338" s="21"/>
      <c r="V338" s="456"/>
      <c r="AA338" s="456"/>
    </row>
    <row r="339" spans="4:27" ht="15.75" customHeight="1">
      <c r="D339" s="21"/>
      <c r="E339" s="21"/>
      <c r="T339" s="21"/>
      <c r="V339" s="456"/>
      <c r="AA339" s="456"/>
    </row>
    <row r="340" spans="4:27" ht="15.75" customHeight="1">
      <c r="D340" s="21"/>
      <c r="E340" s="21"/>
      <c r="T340" s="21"/>
      <c r="V340" s="456"/>
      <c r="AA340" s="456"/>
    </row>
    <row r="341" spans="4:27" ht="15.75" customHeight="1">
      <c r="D341" s="21"/>
      <c r="E341" s="21"/>
      <c r="T341" s="21"/>
      <c r="V341" s="456"/>
      <c r="AA341" s="456"/>
    </row>
    <row r="342" spans="4:27" ht="15.75" customHeight="1">
      <c r="D342" s="21"/>
      <c r="E342" s="21"/>
      <c r="T342" s="21"/>
      <c r="V342" s="456"/>
      <c r="AA342" s="456"/>
    </row>
    <row r="343" spans="4:27" ht="15.75" customHeight="1">
      <c r="D343" s="21"/>
      <c r="E343" s="21"/>
      <c r="T343" s="21"/>
      <c r="V343" s="456"/>
      <c r="AA343" s="456"/>
    </row>
    <row r="344" spans="4:27" ht="15.75" customHeight="1">
      <c r="D344" s="21"/>
      <c r="E344" s="21"/>
      <c r="T344" s="21"/>
      <c r="V344" s="456"/>
      <c r="AA344" s="456"/>
    </row>
    <row r="345" spans="4:27" ht="15.75" customHeight="1">
      <c r="D345" s="21"/>
      <c r="E345" s="21"/>
      <c r="T345" s="21"/>
      <c r="V345" s="456"/>
      <c r="AA345" s="456"/>
    </row>
    <row r="346" spans="4:27" ht="15.75" customHeight="1">
      <c r="D346" s="21"/>
      <c r="E346" s="21"/>
      <c r="T346" s="21"/>
      <c r="V346" s="456"/>
      <c r="AA346" s="456"/>
    </row>
    <row r="347" spans="4:27" ht="15.75" customHeight="1">
      <c r="D347" s="21"/>
      <c r="E347" s="21"/>
      <c r="T347" s="21"/>
      <c r="V347" s="456"/>
      <c r="AA347" s="456"/>
    </row>
    <row r="348" spans="4:27" ht="15.75" customHeight="1">
      <c r="D348" s="21"/>
      <c r="E348" s="21"/>
      <c r="T348" s="21"/>
      <c r="V348" s="456"/>
      <c r="AA348" s="456"/>
    </row>
    <row r="349" spans="4:27" ht="15.75" customHeight="1">
      <c r="D349" s="21"/>
      <c r="E349" s="21"/>
      <c r="T349" s="21"/>
      <c r="V349" s="456"/>
      <c r="AA349" s="456"/>
    </row>
    <row r="350" spans="4:27" ht="15.75" customHeight="1">
      <c r="D350" s="21"/>
      <c r="E350" s="21"/>
      <c r="T350" s="21"/>
      <c r="V350" s="456"/>
      <c r="AA350" s="456"/>
    </row>
    <row r="351" spans="4:27" ht="15.75" customHeight="1">
      <c r="D351" s="21"/>
      <c r="E351" s="21"/>
      <c r="T351" s="21"/>
      <c r="V351" s="456"/>
      <c r="AA351" s="456"/>
    </row>
    <row r="352" spans="4:27" ht="15.75" customHeight="1">
      <c r="D352" s="21"/>
      <c r="E352" s="21"/>
      <c r="T352" s="21"/>
      <c r="V352" s="456"/>
      <c r="AA352" s="456"/>
    </row>
    <row r="353" spans="4:27" ht="15.75" customHeight="1">
      <c r="D353" s="21"/>
      <c r="E353" s="21"/>
      <c r="T353" s="21"/>
      <c r="V353" s="456"/>
      <c r="AA353" s="456"/>
    </row>
    <row r="354" spans="4:27" ht="15.75" customHeight="1">
      <c r="D354" s="21"/>
      <c r="E354" s="21"/>
      <c r="T354" s="21"/>
      <c r="V354" s="456"/>
      <c r="AA354" s="456"/>
    </row>
    <row r="355" spans="4:27" ht="15.75" customHeight="1">
      <c r="D355" s="21"/>
      <c r="E355" s="21"/>
      <c r="T355" s="21"/>
      <c r="V355" s="456"/>
      <c r="AA355" s="456"/>
    </row>
    <row r="356" spans="4:27" ht="15.75" customHeight="1">
      <c r="D356" s="21"/>
      <c r="E356" s="21"/>
      <c r="T356" s="21"/>
      <c r="V356" s="456"/>
      <c r="AA356" s="456"/>
    </row>
    <row r="357" spans="4:27" ht="15.75" customHeight="1">
      <c r="D357" s="21"/>
      <c r="E357" s="21"/>
      <c r="T357" s="21"/>
      <c r="V357" s="456"/>
      <c r="AA357" s="456"/>
    </row>
    <row r="358" spans="4:27" ht="15.75" customHeight="1">
      <c r="D358" s="21"/>
      <c r="E358" s="21"/>
      <c r="T358" s="21"/>
      <c r="V358" s="456"/>
      <c r="AA358" s="456"/>
    </row>
    <row r="359" spans="4:27" ht="15.75" customHeight="1">
      <c r="D359" s="21"/>
      <c r="E359" s="21"/>
      <c r="T359" s="21"/>
      <c r="V359" s="456"/>
      <c r="AA359" s="456"/>
    </row>
    <row r="360" spans="4:27" ht="15.75" customHeight="1">
      <c r="D360" s="21"/>
      <c r="E360" s="21"/>
      <c r="T360" s="21"/>
      <c r="V360" s="456"/>
      <c r="AA360" s="456"/>
    </row>
    <row r="361" spans="4:27" ht="15.75" customHeight="1">
      <c r="D361" s="21"/>
      <c r="E361" s="21"/>
      <c r="T361" s="21"/>
      <c r="V361" s="456"/>
      <c r="AA361" s="456"/>
    </row>
    <row r="362" spans="4:27" ht="15.75" customHeight="1">
      <c r="D362" s="21"/>
      <c r="E362" s="21"/>
      <c r="T362" s="21"/>
      <c r="V362" s="456"/>
      <c r="AA362" s="456"/>
    </row>
    <row r="363" spans="4:27" ht="15.75" customHeight="1">
      <c r="D363" s="21"/>
      <c r="E363" s="21"/>
      <c r="T363" s="21"/>
      <c r="V363" s="456"/>
      <c r="AA363" s="456"/>
    </row>
    <row r="364" spans="4:27" ht="15.75" customHeight="1">
      <c r="D364" s="21"/>
      <c r="E364" s="21"/>
      <c r="T364" s="21"/>
      <c r="V364" s="456"/>
      <c r="AA364" s="456"/>
    </row>
    <row r="365" spans="4:27" ht="15.75" customHeight="1">
      <c r="D365" s="21"/>
      <c r="E365" s="21"/>
      <c r="T365" s="21"/>
      <c r="V365" s="456"/>
      <c r="AA365" s="456"/>
    </row>
    <row r="366" spans="4:27" ht="15.75" customHeight="1">
      <c r="D366" s="21"/>
      <c r="E366" s="21"/>
      <c r="T366" s="21"/>
      <c r="V366" s="456"/>
      <c r="AA366" s="456"/>
    </row>
    <row r="367" spans="4:27" ht="15.75" customHeight="1">
      <c r="D367" s="21"/>
      <c r="E367" s="21"/>
      <c r="T367" s="21"/>
      <c r="V367" s="456"/>
      <c r="AA367" s="456"/>
    </row>
    <row r="368" spans="4:27" ht="15.75" customHeight="1">
      <c r="D368" s="21"/>
      <c r="E368" s="21"/>
      <c r="T368" s="21"/>
      <c r="V368" s="456"/>
      <c r="AA368" s="456"/>
    </row>
    <row r="369" spans="4:27" ht="15.75" customHeight="1">
      <c r="D369" s="21"/>
      <c r="E369" s="21"/>
      <c r="T369" s="21"/>
      <c r="V369" s="456"/>
      <c r="AA369" s="456"/>
    </row>
    <row r="370" spans="4:27" ht="15.75" customHeight="1">
      <c r="D370" s="21"/>
      <c r="E370" s="21"/>
      <c r="T370" s="21"/>
      <c r="V370" s="456"/>
      <c r="AA370" s="456"/>
    </row>
    <row r="371" spans="4:27" ht="15.75" customHeight="1">
      <c r="D371" s="21"/>
      <c r="E371" s="21"/>
      <c r="T371" s="21"/>
      <c r="V371" s="456"/>
      <c r="AA371" s="456"/>
    </row>
    <row r="372" spans="4:27" ht="15.75" customHeight="1">
      <c r="D372" s="21"/>
      <c r="E372" s="21"/>
      <c r="T372" s="21"/>
      <c r="V372" s="456"/>
      <c r="AA372" s="456"/>
    </row>
    <row r="373" spans="4:27" ht="15.75" customHeight="1">
      <c r="D373" s="21"/>
      <c r="E373" s="21"/>
      <c r="T373" s="21"/>
      <c r="V373" s="456"/>
      <c r="AA373" s="456"/>
    </row>
    <row r="374" spans="4:27" ht="15.75" customHeight="1">
      <c r="D374" s="21"/>
      <c r="E374" s="21"/>
      <c r="T374" s="21"/>
      <c r="V374" s="456"/>
      <c r="AA374" s="456"/>
    </row>
    <row r="375" spans="4:27" ht="15.75" customHeight="1">
      <c r="D375" s="21"/>
      <c r="E375" s="21"/>
      <c r="T375" s="21"/>
      <c r="V375" s="456"/>
      <c r="AA375" s="456"/>
    </row>
    <row r="376" spans="4:27" ht="15.75" customHeight="1">
      <c r="D376" s="21"/>
      <c r="E376" s="21"/>
      <c r="T376" s="21"/>
      <c r="V376" s="456"/>
      <c r="AA376" s="456"/>
    </row>
    <row r="377" spans="4:27" ht="15.75" customHeight="1">
      <c r="D377" s="21"/>
      <c r="E377" s="21"/>
      <c r="T377" s="21"/>
      <c r="V377" s="456"/>
      <c r="AA377" s="456"/>
    </row>
    <row r="378" spans="4:27" ht="15.75" customHeight="1">
      <c r="D378" s="21"/>
      <c r="E378" s="21"/>
      <c r="T378" s="21"/>
      <c r="V378" s="456"/>
      <c r="AA378" s="456"/>
    </row>
    <row r="379" spans="4:27" ht="15.75" customHeight="1">
      <c r="D379" s="21"/>
      <c r="E379" s="21"/>
      <c r="T379" s="21"/>
      <c r="V379" s="456"/>
      <c r="AA379" s="456"/>
    </row>
    <row r="380" spans="4:27" ht="15.75" customHeight="1">
      <c r="D380" s="21"/>
      <c r="E380" s="21"/>
      <c r="T380" s="21"/>
      <c r="V380" s="456"/>
      <c r="AA380" s="456"/>
    </row>
    <row r="381" spans="4:27" ht="15.75" customHeight="1">
      <c r="D381" s="21"/>
      <c r="E381" s="21"/>
      <c r="T381" s="21"/>
      <c r="V381" s="456"/>
      <c r="AA381" s="456"/>
    </row>
    <row r="382" spans="4:27" ht="15.75" customHeight="1">
      <c r="D382" s="21"/>
      <c r="E382" s="21"/>
      <c r="T382" s="21"/>
      <c r="V382" s="456"/>
      <c r="AA382" s="456"/>
    </row>
    <row r="383" spans="4:27" ht="15.75" customHeight="1">
      <c r="D383" s="21"/>
      <c r="E383" s="21"/>
      <c r="T383" s="21"/>
      <c r="V383" s="456"/>
      <c r="AA383" s="456"/>
    </row>
    <row r="384" spans="4:27" ht="15.75" customHeight="1">
      <c r="D384" s="21"/>
      <c r="E384" s="21"/>
      <c r="T384" s="21"/>
      <c r="V384" s="456"/>
      <c r="AA384" s="456"/>
    </row>
    <row r="385" spans="4:27" ht="15.75" customHeight="1">
      <c r="D385" s="21"/>
      <c r="E385" s="21"/>
      <c r="T385" s="21"/>
      <c r="V385" s="456"/>
      <c r="AA385" s="456"/>
    </row>
    <row r="386" spans="4:27" ht="15.75" customHeight="1">
      <c r="D386" s="21"/>
      <c r="E386" s="21"/>
      <c r="T386" s="21"/>
      <c r="V386" s="456"/>
      <c r="AA386" s="456"/>
    </row>
    <row r="387" spans="4:27" ht="15.75" customHeight="1">
      <c r="D387" s="21"/>
      <c r="E387" s="21"/>
      <c r="T387" s="21"/>
      <c r="V387" s="456"/>
      <c r="AA387" s="456"/>
    </row>
    <row r="388" spans="4:27" ht="15.75" customHeight="1">
      <c r="D388" s="21"/>
      <c r="E388" s="21"/>
      <c r="T388" s="21"/>
      <c r="V388" s="456"/>
      <c r="AA388" s="456"/>
    </row>
    <row r="389" spans="4:27" ht="15.75" customHeight="1">
      <c r="D389" s="21"/>
      <c r="E389" s="21"/>
      <c r="T389" s="21"/>
      <c r="V389" s="456"/>
      <c r="AA389" s="456"/>
    </row>
    <row r="390" spans="4:27" ht="15.75" customHeight="1">
      <c r="D390" s="21"/>
      <c r="E390" s="21"/>
      <c r="T390" s="21"/>
      <c r="V390" s="456"/>
      <c r="AA390" s="456"/>
    </row>
    <row r="391" spans="4:27" ht="15.75" customHeight="1">
      <c r="D391" s="21"/>
      <c r="E391" s="21"/>
      <c r="T391" s="21"/>
      <c r="V391" s="456"/>
      <c r="AA391" s="456"/>
    </row>
    <row r="392" spans="4:27" ht="15.75" customHeight="1">
      <c r="D392" s="21"/>
      <c r="E392" s="21"/>
      <c r="T392" s="21"/>
      <c r="V392" s="456"/>
      <c r="AA392" s="456"/>
    </row>
    <row r="393" spans="4:27" ht="15.75" customHeight="1">
      <c r="D393" s="21"/>
      <c r="E393" s="21"/>
      <c r="T393" s="21"/>
      <c r="V393" s="456"/>
      <c r="AA393" s="456"/>
    </row>
    <row r="394" spans="4:27" ht="15.75" customHeight="1">
      <c r="D394" s="21"/>
      <c r="E394" s="21"/>
      <c r="T394" s="21"/>
      <c r="V394" s="456"/>
      <c r="AA394" s="456"/>
    </row>
    <row r="395" spans="4:27" ht="15.75" customHeight="1">
      <c r="D395" s="21"/>
      <c r="E395" s="21"/>
      <c r="T395" s="21"/>
      <c r="V395" s="456"/>
      <c r="AA395" s="456"/>
    </row>
    <row r="396" spans="4:27" ht="15.75" customHeight="1">
      <c r="D396" s="21"/>
      <c r="E396" s="21"/>
      <c r="T396" s="21"/>
      <c r="V396" s="456"/>
      <c r="AA396" s="456"/>
    </row>
    <row r="397" spans="4:27" ht="15.75" customHeight="1">
      <c r="D397" s="21"/>
      <c r="E397" s="21"/>
      <c r="T397" s="21"/>
      <c r="V397" s="456"/>
      <c r="AA397" s="456"/>
    </row>
    <row r="398" spans="4:27" ht="15.75" customHeight="1">
      <c r="D398" s="21"/>
      <c r="E398" s="21"/>
      <c r="T398" s="21"/>
      <c r="V398" s="456"/>
      <c r="AA398" s="456"/>
    </row>
    <row r="399" spans="4:27" ht="15.75" customHeight="1">
      <c r="D399" s="21"/>
      <c r="E399" s="21"/>
      <c r="T399" s="21"/>
      <c r="V399" s="456"/>
      <c r="AA399" s="456"/>
    </row>
    <row r="400" spans="4:27" ht="15.75" customHeight="1">
      <c r="D400" s="21"/>
      <c r="E400" s="21"/>
      <c r="T400" s="21"/>
      <c r="V400" s="456"/>
      <c r="AA400" s="456"/>
    </row>
    <row r="401" spans="4:27" ht="15.75" customHeight="1">
      <c r="D401" s="21"/>
      <c r="E401" s="21"/>
      <c r="T401" s="21"/>
      <c r="V401" s="456"/>
      <c r="AA401" s="456"/>
    </row>
    <row r="402" spans="4:27" ht="15.75" customHeight="1">
      <c r="D402" s="21"/>
      <c r="E402" s="21"/>
      <c r="T402" s="21"/>
      <c r="V402" s="456"/>
      <c r="AA402" s="456"/>
    </row>
    <row r="403" spans="4:27" ht="15.75" customHeight="1">
      <c r="D403" s="21"/>
      <c r="E403" s="21"/>
      <c r="T403" s="21"/>
      <c r="V403" s="456"/>
      <c r="AA403" s="456"/>
    </row>
    <row r="404" spans="4:27" ht="15.75" customHeight="1">
      <c r="D404" s="21"/>
      <c r="E404" s="21"/>
      <c r="T404" s="21"/>
      <c r="V404" s="456"/>
      <c r="AA404" s="456"/>
    </row>
    <row r="405" spans="4:27" ht="15.75" customHeight="1">
      <c r="D405" s="21"/>
      <c r="E405" s="21"/>
      <c r="T405" s="21"/>
      <c r="V405" s="456"/>
      <c r="AA405" s="456"/>
    </row>
    <row r="406" spans="4:27" ht="15.75" customHeight="1">
      <c r="D406" s="21"/>
      <c r="E406" s="21"/>
      <c r="T406" s="21"/>
      <c r="V406" s="456"/>
      <c r="AA406" s="456"/>
    </row>
    <row r="407" spans="4:27" ht="15.75" customHeight="1">
      <c r="D407" s="21"/>
      <c r="E407" s="21"/>
      <c r="T407" s="21"/>
      <c r="V407" s="456"/>
      <c r="AA407" s="456"/>
    </row>
    <row r="408" spans="4:27" ht="15.75" customHeight="1">
      <c r="D408" s="21"/>
      <c r="E408" s="21"/>
      <c r="T408" s="21"/>
      <c r="V408" s="456"/>
      <c r="AA408" s="456"/>
    </row>
    <row r="409" spans="4:27" ht="15.75" customHeight="1">
      <c r="D409" s="21"/>
      <c r="E409" s="21"/>
      <c r="T409" s="21"/>
      <c r="V409" s="456"/>
      <c r="AA409" s="456"/>
    </row>
    <row r="410" spans="4:27" ht="15.75" customHeight="1">
      <c r="D410" s="21"/>
      <c r="E410" s="21"/>
      <c r="T410" s="21"/>
      <c r="V410" s="456"/>
      <c r="AA410" s="456"/>
    </row>
    <row r="411" spans="4:27" ht="15.75" customHeight="1">
      <c r="D411" s="21"/>
      <c r="E411" s="21"/>
      <c r="T411" s="21"/>
      <c r="V411" s="456"/>
      <c r="AA411" s="456"/>
    </row>
    <row r="412" spans="4:27" ht="15.75" customHeight="1">
      <c r="D412" s="21"/>
      <c r="E412" s="21"/>
      <c r="T412" s="21"/>
      <c r="V412" s="456"/>
      <c r="AA412" s="456"/>
    </row>
    <row r="413" spans="4:27" ht="15.75" customHeight="1">
      <c r="D413" s="21"/>
      <c r="E413" s="21"/>
      <c r="T413" s="21"/>
      <c r="V413" s="456"/>
      <c r="AA413" s="456"/>
    </row>
    <row r="414" spans="4:27" ht="15.75" customHeight="1">
      <c r="D414" s="21"/>
      <c r="E414" s="21"/>
      <c r="T414" s="21"/>
      <c r="V414" s="456"/>
      <c r="AA414" s="456"/>
    </row>
    <row r="415" spans="4:27" ht="15.75" customHeight="1">
      <c r="D415" s="21"/>
      <c r="E415" s="21"/>
      <c r="T415" s="21"/>
      <c r="V415" s="456"/>
      <c r="AA415" s="456"/>
    </row>
    <row r="416" spans="4:27" ht="15.75" customHeight="1">
      <c r="D416" s="21"/>
      <c r="E416" s="21"/>
      <c r="T416" s="21"/>
      <c r="V416" s="456"/>
      <c r="AA416" s="456"/>
    </row>
    <row r="417" spans="4:27" ht="15.75" customHeight="1">
      <c r="D417" s="21"/>
      <c r="E417" s="21"/>
      <c r="T417" s="21"/>
      <c r="V417" s="456"/>
      <c r="AA417" s="456"/>
    </row>
    <row r="418" spans="4:27" ht="15.75" customHeight="1">
      <c r="D418" s="21"/>
      <c r="E418" s="21"/>
      <c r="T418" s="21"/>
      <c r="V418" s="456"/>
      <c r="AA418" s="456"/>
    </row>
    <row r="419" spans="4:27" ht="15.75" customHeight="1">
      <c r="D419" s="21"/>
      <c r="E419" s="21"/>
      <c r="T419" s="21"/>
      <c r="V419" s="456"/>
      <c r="AA419" s="456"/>
    </row>
    <row r="420" spans="4:27" ht="15.75" customHeight="1">
      <c r="D420" s="21"/>
      <c r="E420" s="21"/>
      <c r="T420" s="21"/>
      <c r="V420" s="456"/>
      <c r="AA420" s="456"/>
    </row>
    <row r="421" spans="4:27" ht="15.75" customHeight="1">
      <c r="D421" s="21"/>
      <c r="E421" s="21"/>
      <c r="T421" s="21"/>
      <c r="V421" s="456"/>
      <c r="AA421" s="456"/>
    </row>
    <row r="422" spans="4:27" ht="15.75" customHeight="1">
      <c r="D422" s="21"/>
      <c r="E422" s="21"/>
      <c r="T422" s="21"/>
      <c r="V422" s="456"/>
      <c r="AA422" s="456"/>
    </row>
    <row r="423" spans="4:27" ht="15.75" customHeight="1">
      <c r="D423" s="21"/>
      <c r="E423" s="21"/>
      <c r="T423" s="21"/>
      <c r="V423" s="456"/>
      <c r="AA423" s="456"/>
    </row>
    <row r="424" spans="4:27" ht="15.75" customHeight="1">
      <c r="D424" s="21"/>
      <c r="E424" s="21"/>
      <c r="T424" s="21"/>
      <c r="V424" s="456"/>
      <c r="AA424" s="456"/>
    </row>
    <row r="425" spans="4:27" ht="15.75" customHeight="1">
      <c r="D425" s="21"/>
      <c r="E425" s="21"/>
      <c r="T425" s="21"/>
      <c r="V425" s="456"/>
      <c r="AA425" s="456"/>
    </row>
    <row r="426" spans="4:27" ht="15.75" customHeight="1">
      <c r="D426" s="21"/>
      <c r="E426" s="21"/>
      <c r="T426" s="21"/>
      <c r="V426" s="456"/>
      <c r="AA426" s="456"/>
    </row>
    <row r="427" spans="4:27" ht="15.75" customHeight="1">
      <c r="D427" s="21"/>
      <c r="E427" s="21"/>
      <c r="T427" s="21"/>
      <c r="V427" s="456"/>
      <c r="AA427" s="456"/>
    </row>
    <row r="428" spans="4:27" ht="15.75" customHeight="1">
      <c r="D428" s="21"/>
      <c r="E428" s="21"/>
      <c r="T428" s="21"/>
      <c r="V428" s="456"/>
      <c r="AA428" s="456"/>
    </row>
    <row r="429" spans="4:27" ht="15.75" customHeight="1">
      <c r="D429" s="21"/>
      <c r="E429" s="21"/>
      <c r="T429" s="21"/>
      <c r="V429" s="456"/>
      <c r="AA429" s="456"/>
    </row>
    <row r="430" spans="4:27" ht="15.75" customHeight="1">
      <c r="D430" s="21"/>
      <c r="E430" s="21"/>
      <c r="T430" s="21"/>
      <c r="V430" s="456"/>
      <c r="AA430" s="456"/>
    </row>
    <row r="431" spans="4:27" ht="15.75" customHeight="1">
      <c r="D431" s="21"/>
      <c r="E431" s="21"/>
      <c r="T431" s="21"/>
      <c r="V431" s="456"/>
      <c r="AA431" s="456"/>
    </row>
    <row r="432" spans="4:27" ht="15.75" customHeight="1">
      <c r="D432" s="21"/>
      <c r="E432" s="21"/>
      <c r="T432" s="21"/>
      <c r="V432" s="456"/>
      <c r="AA432" s="456"/>
    </row>
    <row r="433" spans="4:27" ht="15.75" customHeight="1">
      <c r="D433" s="21"/>
      <c r="E433" s="21"/>
      <c r="T433" s="21"/>
      <c r="V433" s="456"/>
      <c r="AA433" s="456"/>
    </row>
    <row r="434" spans="4:27" ht="15.75" customHeight="1">
      <c r="D434" s="21"/>
      <c r="E434" s="21"/>
      <c r="T434" s="21"/>
      <c r="V434" s="456"/>
      <c r="AA434" s="456"/>
    </row>
    <row r="435" spans="4:27" ht="15.75" customHeight="1">
      <c r="D435" s="21"/>
      <c r="E435" s="21"/>
      <c r="T435" s="21"/>
      <c r="V435" s="456"/>
      <c r="AA435" s="456"/>
    </row>
    <row r="436" spans="4:27" ht="15.75" customHeight="1">
      <c r="D436" s="21"/>
      <c r="E436" s="21"/>
      <c r="T436" s="21"/>
      <c r="V436" s="456"/>
      <c r="AA436" s="456"/>
    </row>
    <row r="437" spans="4:27" ht="15.75" customHeight="1">
      <c r="D437" s="21"/>
      <c r="E437" s="21"/>
      <c r="T437" s="21"/>
      <c r="V437" s="456"/>
      <c r="AA437" s="456"/>
    </row>
    <row r="438" spans="4:27" ht="15.75" customHeight="1">
      <c r="D438" s="21"/>
      <c r="E438" s="21"/>
      <c r="T438" s="21"/>
      <c r="V438" s="456"/>
      <c r="AA438" s="456"/>
    </row>
    <row r="439" spans="4:27" ht="15.75" customHeight="1">
      <c r="D439" s="21"/>
      <c r="E439" s="21"/>
      <c r="T439" s="21"/>
      <c r="V439" s="456"/>
      <c r="AA439" s="456"/>
    </row>
    <row r="440" spans="4:27" ht="15.75" customHeight="1">
      <c r="D440" s="21"/>
      <c r="E440" s="21"/>
      <c r="T440" s="21"/>
      <c r="V440" s="456"/>
      <c r="AA440" s="456"/>
    </row>
    <row r="441" spans="4:27" ht="15.75" customHeight="1">
      <c r="D441" s="21"/>
      <c r="E441" s="21"/>
      <c r="T441" s="21"/>
      <c r="V441" s="456"/>
      <c r="AA441" s="456"/>
    </row>
    <row r="442" spans="4:27" ht="15.75" customHeight="1">
      <c r="D442" s="21"/>
      <c r="E442" s="21"/>
      <c r="T442" s="21"/>
      <c r="V442" s="456"/>
      <c r="AA442" s="456"/>
    </row>
    <row r="443" spans="4:27" ht="15.75" customHeight="1">
      <c r="D443" s="21"/>
      <c r="E443" s="21"/>
      <c r="T443" s="21"/>
      <c r="V443" s="456"/>
      <c r="AA443" s="456"/>
    </row>
    <row r="444" spans="4:27" ht="15.75" customHeight="1">
      <c r="D444" s="21"/>
      <c r="E444" s="21"/>
      <c r="T444" s="21"/>
      <c r="V444" s="456"/>
      <c r="AA444" s="456"/>
    </row>
    <row r="445" spans="4:27" ht="15.75" customHeight="1">
      <c r="D445" s="21"/>
      <c r="E445" s="21"/>
      <c r="T445" s="21"/>
      <c r="V445" s="456"/>
      <c r="AA445" s="456"/>
    </row>
    <row r="446" spans="4:27" ht="15.75" customHeight="1">
      <c r="D446" s="21"/>
      <c r="E446" s="21"/>
      <c r="T446" s="21"/>
      <c r="V446" s="456"/>
      <c r="AA446" s="456"/>
    </row>
    <row r="447" spans="4:27" ht="15.75" customHeight="1">
      <c r="D447" s="21"/>
      <c r="E447" s="21"/>
      <c r="T447" s="21"/>
      <c r="V447" s="456"/>
      <c r="AA447" s="456"/>
    </row>
    <row r="448" spans="4:27" ht="15.75" customHeight="1">
      <c r="D448" s="21"/>
      <c r="E448" s="21"/>
      <c r="T448" s="21"/>
      <c r="V448" s="456"/>
      <c r="AA448" s="456"/>
    </row>
    <row r="449" spans="4:27" ht="15.75" customHeight="1">
      <c r="D449" s="21"/>
      <c r="E449" s="21"/>
      <c r="T449" s="21"/>
      <c r="V449" s="456"/>
      <c r="AA449" s="456"/>
    </row>
    <row r="450" spans="4:27" ht="15.75" customHeight="1">
      <c r="D450" s="21"/>
      <c r="E450" s="21"/>
      <c r="T450" s="21"/>
      <c r="V450" s="456"/>
      <c r="AA450" s="456"/>
    </row>
    <row r="451" spans="4:27" ht="15.75" customHeight="1">
      <c r="D451" s="21"/>
      <c r="E451" s="21"/>
      <c r="T451" s="21"/>
      <c r="V451" s="456"/>
      <c r="AA451" s="456"/>
    </row>
    <row r="452" spans="4:27" ht="15.75" customHeight="1">
      <c r="D452" s="21"/>
      <c r="E452" s="21"/>
      <c r="T452" s="21"/>
      <c r="V452" s="456"/>
      <c r="AA452" s="456"/>
    </row>
    <row r="453" spans="4:27" ht="15.75" customHeight="1">
      <c r="D453" s="21"/>
      <c r="E453" s="21"/>
      <c r="T453" s="21"/>
      <c r="V453" s="456"/>
      <c r="AA453" s="456"/>
    </row>
    <row r="454" spans="4:27" ht="15.75" customHeight="1">
      <c r="D454" s="21"/>
      <c r="E454" s="21"/>
      <c r="T454" s="21"/>
      <c r="V454" s="456"/>
      <c r="AA454" s="456"/>
    </row>
    <row r="455" spans="4:27" ht="15.75" customHeight="1">
      <c r="D455" s="21"/>
      <c r="E455" s="21"/>
      <c r="T455" s="21"/>
      <c r="V455" s="456"/>
      <c r="AA455" s="456"/>
    </row>
    <row r="456" spans="4:27" ht="15.75" customHeight="1">
      <c r="D456" s="21"/>
      <c r="E456" s="21"/>
      <c r="T456" s="21"/>
      <c r="V456" s="456"/>
      <c r="AA456" s="456"/>
    </row>
    <row r="457" spans="4:27" ht="15.75" customHeight="1">
      <c r="D457" s="21"/>
      <c r="E457" s="21"/>
      <c r="T457" s="21"/>
      <c r="V457" s="456"/>
      <c r="AA457" s="456"/>
    </row>
    <row r="458" spans="4:27" ht="15.75" customHeight="1">
      <c r="D458" s="21"/>
      <c r="E458" s="21"/>
      <c r="T458" s="21"/>
      <c r="V458" s="456"/>
      <c r="AA458" s="456"/>
    </row>
    <row r="459" spans="4:27" ht="15.75" customHeight="1">
      <c r="D459" s="21"/>
      <c r="E459" s="21"/>
      <c r="T459" s="21"/>
      <c r="V459" s="456"/>
      <c r="AA459" s="456"/>
    </row>
    <row r="460" spans="4:27" ht="15.75" customHeight="1">
      <c r="D460" s="21"/>
      <c r="E460" s="21"/>
      <c r="T460" s="21"/>
      <c r="V460" s="456"/>
      <c r="AA460" s="456"/>
    </row>
    <row r="461" spans="4:27" ht="15.75" customHeight="1">
      <c r="D461" s="21"/>
      <c r="E461" s="21"/>
      <c r="T461" s="21"/>
      <c r="V461" s="456"/>
      <c r="AA461" s="456"/>
    </row>
    <row r="462" spans="4:27" ht="15.75" customHeight="1">
      <c r="D462" s="21"/>
      <c r="E462" s="21"/>
      <c r="T462" s="21"/>
      <c r="V462" s="456"/>
      <c r="AA462" s="456"/>
    </row>
    <row r="463" spans="4:27" ht="15.75" customHeight="1">
      <c r="D463" s="21"/>
      <c r="E463" s="21"/>
      <c r="T463" s="21"/>
      <c r="V463" s="456"/>
      <c r="AA463" s="456"/>
    </row>
    <row r="464" spans="4:27" ht="15.75" customHeight="1">
      <c r="D464" s="21"/>
      <c r="E464" s="21"/>
      <c r="T464" s="21"/>
      <c r="V464" s="456"/>
      <c r="AA464" s="456"/>
    </row>
    <row r="465" spans="4:27" ht="15.75" customHeight="1">
      <c r="D465" s="21"/>
      <c r="E465" s="21"/>
      <c r="T465" s="21"/>
      <c r="V465" s="456"/>
      <c r="AA465" s="456"/>
    </row>
    <row r="466" spans="4:27" ht="15.75" customHeight="1">
      <c r="D466" s="21"/>
      <c r="E466" s="21"/>
      <c r="T466" s="21"/>
      <c r="V466" s="456"/>
      <c r="AA466" s="456"/>
    </row>
    <row r="467" spans="4:27" ht="15.75" customHeight="1">
      <c r="D467" s="21"/>
      <c r="E467" s="21"/>
      <c r="T467" s="21"/>
      <c r="V467" s="456"/>
      <c r="AA467" s="456"/>
    </row>
    <row r="468" spans="4:27" ht="15.75" customHeight="1">
      <c r="D468" s="21"/>
      <c r="E468" s="21"/>
      <c r="T468" s="21"/>
      <c r="V468" s="456"/>
      <c r="AA468" s="456"/>
    </row>
    <row r="469" spans="4:27" ht="15.75" customHeight="1">
      <c r="D469" s="21"/>
      <c r="E469" s="21"/>
      <c r="T469" s="21"/>
      <c r="V469" s="456"/>
      <c r="AA469" s="456"/>
    </row>
    <row r="470" spans="4:27" ht="15.75" customHeight="1">
      <c r="D470" s="21"/>
      <c r="E470" s="21"/>
      <c r="T470" s="21"/>
      <c r="V470" s="456"/>
      <c r="AA470" s="456"/>
    </row>
    <row r="471" spans="4:27" ht="15.75" customHeight="1">
      <c r="D471" s="21"/>
      <c r="E471" s="21"/>
      <c r="T471" s="21"/>
      <c r="V471" s="456"/>
      <c r="AA471" s="456"/>
    </row>
    <row r="472" spans="4:27" ht="15.75" customHeight="1">
      <c r="D472" s="21"/>
      <c r="E472" s="21"/>
      <c r="T472" s="21"/>
      <c r="V472" s="456"/>
      <c r="AA472" s="456"/>
    </row>
    <row r="473" spans="4:27" ht="15.75" customHeight="1">
      <c r="D473" s="21"/>
      <c r="E473" s="21"/>
      <c r="T473" s="21"/>
      <c r="V473" s="456"/>
      <c r="AA473" s="456"/>
    </row>
    <row r="474" spans="4:27" ht="15.75" customHeight="1">
      <c r="D474" s="21"/>
      <c r="E474" s="21"/>
      <c r="T474" s="21"/>
      <c r="V474" s="456"/>
      <c r="AA474" s="456"/>
    </row>
    <row r="475" spans="4:27" ht="15.75" customHeight="1">
      <c r="D475" s="21"/>
      <c r="E475" s="21"/>
      <c r="T475" s="21"/>
      <c r="V475" s="456"/>
      <c r="AA475" s="456"/>
    </row>
    <row r="476" spans="4:27" ht="15.75" customHeight="1">
      <c r="D476" s="21"/>
      <c r="E476" s="21"/>
      <c r="T476" s="21"/>
      <c r="V476" s="456"/>
      <c r="AA476" s="456"/>
    </row>
    <row r="477" spans="4:27" ht="15.75" customHeight="1">
      <c r="D477" s="21"/>
      <c r="E477" s="21"/>
      <c r="T477" s="21"/>
      <c r="V477" s="456"/>
      <c r="AA477" s="456"/>
    </row>
    <row r="478" spans="4:27" ht="15.75" customHeight="1">
      <c r="D478" s="21"/>
      <c r="E478" s="21"/>
      <c r="T478" s="21"/>
      <c r="V478" s="456"/>
      <c r="AA478" s="456"/>
    </row>
    <row r="479" spans="4:27" ht="15.75" customHeight="1">
      <c r="D479" s="21"/>
      <c r="E479" s="21"/>
      <c r="T479" s="21"/>
      <c r="V479" s="456"/>
      <c r="AA479" s="456"/>
    </row>
    <row r="480" spans="4:27" ht="15.75" customHeight="1">
      <c r="D480" s="21"/>
      <c r="E480" s="21"/>
      <c r="T480" s="21"/>
      <c r="V480" s="456"/>
      <c r="AA480" s="456"/>
    </row>
    <row r="481" spans="4:27" ht="15.75" customHeight="1">
      <c r="D481" s="21"/>
      <c r="E481" s="21"/>
      <c r="T481" s="21"/>
      <c r="V481" s="456"/>
      <c r="AA481" s="456"/>
    </row>
    <row r="482" spans="4:27" ht="15.75" customHeight="1">
      <c r="D482" s="21"/>
      <c r="E482" s="21"/>
      <c r="T482" s="21"/>
      <c r="V482" s="456"/>
      <c r="AA482" s="456"/>
    </row>
    <row r="483" spans="4:27" ht="15.75" customHeight="1">
      <c r="D483" s="21"/>
      <c r="E483" s="21"/>
      <c r="T483" s="21"/>
      <c r="V483" s="456"/>
      <c r="AA483" s="456"/>
    </row>
    <row r="484" spans="4:27" ht="15.75" customHeight="1">
      <c r="D484" s="21"/>
      <c r="E484" s="21"/>
      <c r="T484" s="21"/>
      <c r="V484" s="456"/>
      <c r="AA484" s="456"/>
    </row>
    <row r="485" spans="4:27" ht="15.75" customHeight="1">
      <c r="D485" s="21"/>
      <c r="E485" s="21"/>
      <c r="T485" s="21"/>
      <c r="V485" s="456"/>
      <c r="AA485" s="456"/>
    </row>
    <row r="486" spans="4:27" ht="15.75" customHeight="1">
      <c r="D486" s="21"/>
      <c r="E486" s="21"/>
      <c r="T486" s="21"/>
      <c r="V486" s="456"/>
      <c r="AA486" s="456"/>
    </row>
    <row r="487" spans="4:27" ht="15.75" customHeight="1">
      <c r="D487" s="21"/>
      <c r="E487" s="21"/>
      <c r="T487" s="21"/>
      <c r="V487" s="456"/>
      <c r="AA487" s="456"/>
    </row>
    <row r="488" spans="4:27" ht="15.75" customHeight="1">
      <c r="D488" s="21"/>
      <c r="E488" s="21"/>
      <c r="T488" s="21"/>
      <c r="V488" s="456"/>
      <c r="AA488" s="456"/>
    </row>
    <row r="489" spans="4:27" ht="15.75" customHeight="1">
      <c r="D489" s="21"/>
      <c r="E489" s="21"/>
      <c r="T489" s="21"/>
      <c r="V489" s="456"/>
      <c r="AA489" s="456"/>
    </row>
    <row r="490" spans="4:27" ht="15.75" customHeight="1">
      <c r="D490" s="21"/>
      <c r="E490" s="21"/>
      <c r="T490" s="21"/>
      <c r="V490" s="456"/>
      <c r="AA490" s="456"/>
    </row>
    <row r="491" spans="4:27" ht="15.75" customHeight="1">
      <c r="D491" s="21"/>
      <c r="E491" s="21"/>
      <c r="T491" s="21"/>
      <c r="V491" s="456"/>
      <c r="AA491" s="456"/>
    </row>
    <row r="492" spans="4:27" ht="15.75" customHeight="1">
      <c r="D492" s="21"/>
      <c r="E492" s="21"/>
      <c r="T492" s="21"/>
      <c r="V492" s="456"/>
      <c r="AA492" s="456"/>
    </row>
    <row r="493" spans="4:27" ht="15.75" customHeight="1">
      <c r="D493" s="21"/>
      <c r="E493" s="21"/>
      <c r="T493" s="21"/>
      <c r="V493" s="456"/>
      <c r="AA493" s="456"/>
    </row>
    <row r="494" spans="4:27" ht="15.75" customHeight="1">
      <c r="D494" s="21"/>
      <c r="E494" s="21"/>
      <c r="T494" s="21"/>
      <c r="V494" s="456"/>
      <c r="AA494" s="456"/>
    </row>
    <row r="495" spans="4:27" ht="15.75" customHeight="1">
      <c r="D495" s="21"/>
      <c r="E495" s="21"/>
      <c r="T495" s="21"/>
      <c r="V495" s="456"/>
      <c r="AA495" s="456"/>
    </row>
    <row r="496" spans="4:27" ht="15.75" customHeight="1">
      <c r="D496" s="21"/>
      <c r="E496" s="21"/>
      <c r="T496" s="21"/>
      <c r="V496" s="456"/>
      <c r="AA496" s="456"/>
    </row>
    <row r="497" spans="4:27" ht="15.75" customHeight="1">
      <c r="D497" s="21"/>
      <c r="E497" s="21"/>
      <c r="T497" s="21"/>
      <c r="V497" s="456"/>
      <c r="AA497" s="456"/>
    </row>
    <row r="498" spans="4:27" ht="15.75" customHeight="1">
      <c r="D498" s="21"/>
      <c r="E498" s="21"/>
      <c r="T498" s="21"/>
      <c r="V498" s="456"/>
      <c r="AA498" s="456"/>
    </row>
    <row r="499" spans="4:27" ht="15.75" customHeight="1">
      <c r="D499" s="21"/>
      <c r="E499" s="21"/>
      <c r="T499" s="21"/>
      <c r="V499" s="456"/>
      <c r="AA499" s="456"/>
    </row>
    <row r="500" spans="4:27" ht="15.75" customHeight="1">
      <c r="D500" s="21"/>
      <c r="E500" s="21"/>
      <c r="T500" s="21"/>
      <c r="V500" s="456"/>
      <c r="AA500" s="456"/>
    </row>
    <row r="501" spans="4:27" ht="15.75" customHeight="1">
      <c r="D501" s="21"/>
      <c r="E501" s="21"/>
      <c r="T501" s="21"/>
      <c r="V501" s="456"/>
      <c r="AA501" s="456"/>
    </row>
    <row r="502" spans="4:27" ht="15.75" customHeight="1">
      <c r="D502" s="21"/>
      <c r="E502" s="21"/>
      <c r="T502" s="21"/>
      <c r="V502" s="456"/>
      <c r="AA502" s="456"/>
    </row>
    <row r="503" spans="4:27" ht="15.75" customHeight="1">
      <c r="D503" s="21"/>
      <c r="E503" s="21"/>
      <c r="T503" s="21"/>
      <c r="V503" s="456"/>
      <c r="AA503" s="456"/>
    </row>
    <row r="504" spans="4:27" ht="15.75" customHeight="1">
      <c r="D504" s="21"/>
      <c r="E504" s="21"/>
      <c r="T504" s="21"/>
      <c r="V504" s="456"/>
      <c r="AA504" s="456"/>
    </row>
    <row r="505" spans="4:27" ht="15.75" customHeight="1">
      <c r="D505" s="21"/>
      <c r="E505" s="21"/>
      <c r="T505" s="21"/>
      <c r="V505" s="456"/>
      <c r="AA505" s="456"/>
    </row>
    <row r="506" spans="4:27" ht="15.75" customHeight="1">
      <c r="D506" s="21"/>
      <c r="E506" s="21"/>
      <c r="T506" s="21"/>
      <c r="V506" s="456"/>
      <c r="AA506" s="456"/>
    </row>
    <row r="507" spans="4:27" ht="15.75" customHeight="1">
      <c r="D507" s="21"/>
      <c r="E507" s="21"/>
      <c r="T507" s="21"/>
      <c r="V507" s="456"/>
      <c r="AA507" s="456"/>
    </row>
    <row r="508" spans="4:27" ht="15.75" customHeight="1">
      <c r="D508" s="21"/>
      <c r="E508" s="21"/>
      <c r="T508" s="21"/>
      <c r="V508" s="456"/>
      <c r="AA508" s="456"/>
    </row>
    <row r="509" spans="4:27" ht="15.75" customHeight="1">
      <c r="D509" s="21"/>
      <c r="E509" s="21"/>
      <c r="T509" s="21"/>
      <c r="V509" s="456"/>
      <c r="AA509" s="456"/>
    </row>
    <row r="510" spans="4:27" ht="15.75" customHeight="1">
      <c r="D510" s="21"/>
      <c r="E510" s="21"/>
      <c r="T510" s="21"/>
      <c r="V510" s="456"/>
      <c r="AA510" s="456"/>
    </row>
    <row r="511" spans="4:27" ht="15.75" customHeight="1">
      <c r="D511" s="21"/>
      <c r="E511" s="21"/>
      <c r="T511" s="21"/>
      <c r="V511" s="456"/>
      <c r="AA511" s="456"/>
    </row>
    <row r="512" spans="4:27" ht="15.75" customHeight="1">
      <c r="D512" s="21"/>
      <c r="E512" s="21"/>
      <c r="T512" s="21"/>
      <c r="V512" s="456"/>
      <c r="AA512" s="456"/>
    </row>
    <row r="513" spans="4:27" ht="15.75" customHeight="1">
      <c r="D513" s="21"/>
      <c r="E513" s="21"/>
      <c r="T513" s="21"/>
      <c r="V513" s="456"/>
      <c r="AA513" s="456"/>
    </row>
    <row r="514" spans="4:27" ht="15.75" customHeight="1">
      <c r="D514" s="21"/>
      <c r="E514" s="21"/>
      <c r="T514" s="21"/>
      <c r="V514" s="456"/>
      <c r="AA514" s="456"/>
    </row>
    <row r="515" spans="4:27" ht="15.75" customHeight="1">
      <c r="D515" s="21"/>
      <c r="E515" s="21"/>
      <c r="T515" s="21"/>
      <c r="V515" s="456"/>
      <c r="AA515" s="456"/>
    </row>
    <row r="516" spans="4:27" ht="15.75" customHeight="1">
      <c r="D516" s="21"/>
      <c r="E516" s="21"/>
      <c r="T516" s="21"/>
      <c r="V516" s="456"/>
      <c r="AA516" s="456"/>
    </row>
    <row r="517" spans="4:27" ht="15.75" customHeight="1">
      <c r="D517" s="21"/>
      <c r="E517" s="21"/>
      <c r="T517" s="21"/>
      <c r="V517" s="456"/>
      <c r="AA517" s="456"/>
    </row>
    <row r="518" spans="4:27" ht="15.75" customHeight="1">
      <c r="D518" s="21"/>
      <c r="E518" s="21"/>
      <c r="T518" s="21"/>
      <c r="V518" s="456"/>
      <c r="AA518" s="456"/>
    </row>
    <row r="519" spans="4:27" ht="15.75" customHeight="1">
      <c r="D519" s="21"/>
      <c r="E519" s="21"/>
      <c r="T519" s="21"/>
      <c r="V519" s="456"/>
      <c r="AA519" s="456"/>
    </row>
    <row r="520" spans="4:27" ht="15.75" customHeight="1">
      <c r="D520" s="21"/>
      <c r="E520" s="21"/>
      <c r="T520" s="21"/>
      <c r="V520" s="456"/>
      <c r="AA520" s="456"/>
    </row>
    <row r="521" spans="4:27" ht="15.75" customHeight="1">
      <c r="D521" s="21"/>
      <c r="E521" s="21"/>
      <c r="T521" s="21"/>
      <c r="V521" s="456"/>
      <c r="AA521" s="456"/>
    </row>
    <row r="522" spans="4:27" ht="15.75" customHeight="1">
      <c r="D522" s="21"/>
      <c r="E522" s="21"/>
      <c r="T522" s="21"/>
      <c r="V522" s="456"/>
      <c r="AA522" s="456"/>
    </row>
    <row r="523" spans="4:27" ht="15.75" customHeight="1">
      <c r="D523" s="21"/>
      <c r="E523" s="21"/>
      <c r="T523" s="21"/>
      <c r="V523" s="456"/>
      <c r="AA523" s="456"/>
    </row>
    <row r="524" spans="4:27" ht="15.75" customHeight="1">
      <c r="D524" s="21"/>
      <c r="E524" s="21"/>
      <c r="T524" s="21"/>
      <c r="V524" s="456"/>
      <c r="AA524" s="456"/>
    </row>
    <row r="525" spans="4:27" ht="15.75" customHeight="1">
      <c r="D525" s="21"/>
      <c r="E525" s="21"/>
      <c r="T525" s="21"/>
      <c r="V525" s="456"/>
      <c r="AA525" s="456"/>
    </row>
    <row r="526" spans="4:27" ht="15.75" customHeight="1">
      <c r="D526" s="21"/>
      <c r="E526" s="21"/>
      <c r="T526" s="21"/>
      <c r="V526" s="456"/>
      <c r="AA526" s="456"/>
    </row>
    <row r="527" spans="4:27" ht="15.75" customHeight="1">
      <c r="D527" s="21"/>
      <c r="E527" s="21"/>
      <c r="T527" s="21"/>
      <c r="V527" s="456"/>
      <c r="AA527" s="456"/>
    </row>
    <row r="528" spans="4:27" ht="15.75" customHeight="1">
      <c r="D528" s="21"/>
      <c r="E528" s="21"/>
      <c r="T528" s="21"/>
      <c r="V528" s="456"/>
      <c r="AA528" s="456"/>
    </row>
    <row r="529" spans="4:27" ht="15.75" customHeight="1">
      <c r="D529" s="21"/>
      <c r="E529" s="21"/>
      <c r="T529" s="21"/>
      <c r="V529" s="456"/>
      <c r="AA529" s="456"/>
    </row>
    <row r="530" spans="4:27" ht="15.75" customHeight="1">
      <c r="D530" s="21"/>
      <c r="E530" s="21"/>
      <c r="T530" s="21"/>
      <c r="V530" s="456"/>
      <c r="AA530" s="456"/>
    </row>
    <row r="531" spans="4:27" ht="15.75" customHeight="1">
      <c r="D531" s="21"/>
      <c r="E531" s="21"/>
      <c r="T531" s="21"/>
      <c r="V531" s="456"/>
      <c r="AA531" s="456"/>
    </row>
    <row r="532" spans="4:27" ht="15.75" customHeight="1">
      <c r="D532" s="21"/>
      <c r="E532" s="21"/>
      <c r="T532" s="21"/>
      <c r="V532" s="456"/>
      <c r="AA532" s="456"/>
    </row>
    <row r="533" spans="4:27" ht="15.75" customHeight="1">
      <c r="D533" s="21"/>
      <c r="E533" s="21"/>
      <c r="T533" s="21"/>
      <c r="V533" s="456"/>
      <c r="AA533" s="456"/>
    </row>
    <row r="534" spans="4:27" ht="15.75" customHeight="1">
      <c r="D534" s="21"/>
      <c r="E534" s="21"/>
      <c r="T534" s="21"/>
      <c r="V534" s="456"/>
      <c r="AA534" s="456"/>
    </row>
    <row r="535" spans="4:27" ht="15.75" customHeight="1">
      <c r="D535" s="21"/>
      <c r="E535" s="21"/>
      <c r="T535" s="21"/>
      <c r="V535" s="456"/>
      <c r="AA535" s="456"/>
    </row>
    <row r="536" spans="4:27" ht="15.75" customHeight="1">
      <c r="D536" s="21"/>
      <c r="E536" s="21"/>
      <c r="T536" s="21"/>
      <c r="V536" s="456"/>
      <c r="AA536" s="456"/>
    </row>
    <row r="537" spans="4:27" ht="15.75" customHeight="1">
      <c r="D537" s="21"/>
      <c r="E537" s="21"/>
      <c r="T537" s="21"/>
      <c r="V537" s="456"/>
      <c r="AA537" s="456"/>
    </row>
    <row r="538" spans="4:27" ht="15.75" customHeight="1">
      <c r="D538" s="21"/>
      <c r="E538" s="21"/>
      <c r="T538" s="21"/>
      <c r="V538" s="456"/>
      <c r="AA538" s="456"/>
    </row>
    <row r="539" spans="4:27" ht="15.75" customHeight="1">
      <c r="D539" s="21"/>
      <c r="E539" s="21"/>
      <c r="T539" s="21"/>
      <c r="V539" s="456"/>
      <c r="AA539" s="456"/>
    </row>
    <row r="540" spans="4:27" ht="15.75" customHeight="1">
      <c r="D540" s="21"/>
      <c r="E540" s="21"/>
      <c r="T540" s="21"/>
      <c r="V540" s="456"/>
      <c r="AA540" s="456"/>
    </row>
    <row r="541" spans="4:27" ht="15.75" customHeight="1">
      <c r="D541" s="21"/>
      <c r="E541" s="21"/>
      <c r="T541" s="21"/>
      <c r="V541" s="456"/>
      <c r="AA541" s="456"/>
    </row>
    <row r="542" spans="4:27" ht="15.75" customHeight="1">
      <c r="D542" s="21"/>
      <c r="E542" s="21"/>
      <c r="T542" s="21"/>
      <c r="V542" s="456"/>
      <c r="AA542" s="456"/>
    </row>
    <row r="543" spans="4:27" ht="15.75" customHeight="1">
      <c r="D543" s="21"/>
      <c r="E543" s="21"/>
      <c r="T543" s="21"/>
      <c r="V543" s="456"/>
      <c r="AA543" s="456"/>
    </row>
    <row r="544" spans="4:27" ht="15.75" customHeight="1">
      <c r="D544" s="21"/>
      <c r="E544" s="21"/>
      <c r="T544" s="21"/>
      <c r="V544" s="456"/>
      <c r="AA544" s="456"/>
    </row>
    <row r="545" spans="4:27" ht="15.75" customHeight="1">
      <c r="D545" s="21"/>
      <c r="E545" s="21"/>
      <c r="T545" s="21"/>
      <c r="V545" s="456"/>
      <c r="AA545" s="456"/>
    </row>
    <row r="546" spans="4:27" ht="15.75" customHeight="1">
      <c r="D546" s="21"/>
      <c r="E546" s="21"/>
      <c r="T546" s="21"/>
      <c r="V546" s="456"/>
      <c r="AA546" s="456"/>
    </row>
    <row r="547" spans="4:27" ht="15.75" customHeight="1">
      <c r="D547" s="21"/>
      <c r="E547" s="21"/>
      <c r="T547" s="21"/>
      <c r="V547" s="456"/>
      <c r="AA547" s="456"/>
    </row>
    <row r="548" spans="4:27" ht="15.75" customHeight="1">
      <c r="D548" s="21"/>
      <c r="E548" s="21"/>
      <c r="T548" s="21"/>
      <c r="V548" s="456"/>
      <c r="AA548" s="456"/>
    </row>
    <row r="549" spans="4:27" ht="15.75" customHeight="1">
      <c r="D549" s="21"/>
      <c r="E549" s="21"/>
      <c r="T549" s="21"/>
      <c r="V549" s="456"/>
      <c r="AA549" s="456"/>
    </row>
    <row r="550" spans="4:27" ht="15.75" customHeight="1">
      <c r="D550" s="21"/>
      <c r="E550" s="21"/>
      <c r="T550" s="21"/>
      <c r="V550" s="456"/>
      <c r="AA550" s="456"/>
    </row>
    <row r="551" spans="4:27" ht="15.75" customHeight="1">
      <c r="D551" s="21"/>
      <c r="E551" s="21"/>
      <c r="T551" s="21"/>
      <c r="V551" s="456"/>
      <c r="AA551" s="456"/>
    </row>
    <row r="552" spans="4:27" ht="15.75" customHeight="1">
      <c r="D552" s="21"/>
      <c r="E552" s="21"/>
      <c r="T552" s="21"/>
      <c r="V552" s="456"/>
      <c r="AA552" s="456"/>
    </row>
    <row r="553" spans="4:27" ht="15.75" customHeight="1">
      <c r="D553" s="21"/>
      <c r="E553" s="21"/>
      <c r="T553" s="21"/>
      <c r="V553" s="456"/>
      <c r="AA553" s="456"/>
    </row>
    <row r="554" spans="4:27" ht="15.75" customHeight="1">
      <c r="D554" s="21"/>
      <c r="E554" s="21"/>
      <c r="T554" s="21"/>
      <c r="V554" s="456"/>
      <c r="AA554" s="456"/>
    </row>
    <row r="555" spans="4:27" ht="15.75" customHeight="1">
      <c r="D555" s="21"/>
      <c r="E555" s="21"/>
      <c r="T555" s="21"/>
      <c r="V555" s="456"/>
      <c r="AA555" s="456"/>
    </row>
    <row r="556" spans="4:27" ht="15.75" customHeight="1">
      <c r="D556" s="21"/>
      <c r="E556" s="21"/>
      <c r="T556" s="21"/>
      <c r="V556" s="456"/>
      <c r="AA556" s="456"/>
    </row>
    <row r="557" spans="4:27" ht="15.75" customHeight="1">
      <c r="D557" s="21"/>
      <c r="E557" s="21"/>
      <c r="T557" s="21"/>
      <c r="V557" s="456"/>
      <c r="AA557" s="456"/>
    </row>
    <row r="558" spans="4:27" ht="15.75" customHeight="1">
      <c r="D558" s="21"/>
      <c r="E558" s="21"/>
      <c r="T558" s="21"/>
      <c r="V558" s="456"/>
      <c r="AA558" s="456"/>
    </row>
    <row r="559" spans="4:27" ht="15.75" customHeight="1">
      <c r="D559" s="21"/>
      <c r="E559" s="21"/>
      <c r="T559" s="21"/>
      <c r="V559" s="456"/>
      <c r="AA559" s="456"/>
    </row>
    <row r="560" spans="4:27" ht="15.75" customHeight="1">
      <c r="D560" s="21"/>
      <c r="E560" s="21"/>
      <c r="T560" s="21"/>
      <c r="V560" s="456"/>
      <c r="AA560" s="456"/>
    </row>
    <row r="561" spans="4:27" ht="15.75" customHeight="1">
      <c r="D561" s="21"/>
      <c r="E561" s="21"/>
      <c r="T561" s="21"/>
      <c r="V561" s="456"/>
      <c r="AA561" s="456"/>
    </row>
    <row r="562" spans="4:27" ht="15.75" customHeight="1">
      <c r="D562" s="21"/>
      <c r="E562" s="21"/>
      <c r="T562" s="21"/>
      <c r="V562" s="456"/>
      <c r="AA562" s="456"/>
    </row>
    <row r="563" spans="4:27" ht="15.75" customHeight="1">
      <c r="D563" s="21"/>
      <c r="E563" s="21"/>
      <c r="T563" s="21"/>
      <c r="V563" s="456"/>
      <c r="AA563" s="456"/>
    </row>
    <row r="564" spans="4:27" ht="15.75" customHeight="1">
      <c r="D564" s="21"/>
      <c r="E564" s="21"/>
      <c r="T564" s="21"/>
      <c r="V564" s="456"/>
      <c r="AA564" s="456"/>
    </row>
    <row r="565" spans="4:27" ht="15.75" customHeight="1">
      <c r="D565" s="21"/>
      <c r="E565" s="21"/>
      <c r="T565" s="21"/>
      <c r="V565" s="456"/>
      <c r="AA565" s="456"/>
    </row>
    <row r="566" spans="4:27" ht="15.75" customHeight="1">
      <c r="D566" s="21"/>
      <c r="E566" s="21"/>
      <c r="T566" s="21"/>
      <c r="V566" s="456"/>
      <c r="AA566" s="456"/>
    </row>
    <row r="567" spans="4:27" ht="15.75" customHeight="1">
      <c r="D567" s="21"/>
      <c r="E567" s="21"/>
      <c r="T567" s="21"/>
      <c r="V567" s="456"/>
      <c r="AA567" s="456"/>
    </row>
    <row r="568" spans="4:27" ht="15.75" customHeight="1">
      <c r="D568" s="21"/>
      <c r="E568" s="21"/>
      <c r="T568" s="21"/>
      <c r="V568" s="456"/>
      <c r="AA568" s="456"/>
    </row>
    <row r="569" spans="4:27" ht="15.75" customHeight="1">
      <c r="D569" s="21"/>
      <c r="E569" s="21"/>
      <c r="T569" s="21"/>
      <c r="V569" s="456"/>
      <c r="AA569" s="456"/>
    </row>
    <row r="570" spans="4:27" ht="15.75" customHeight="1">
      <c r="D570" s="21"/>
      <c r="E570" s="21"/>
      <c r="T570" s="21"/>
      <c r="V570" s="456"/>
      <c r="AA570" s="456"/>
    </row>
    <row r="571" spans="4:27" ht="15.75" customHeight="1">
      <c r="D571" s="21"/>
      <c r="E571" s="21"/>
      <c r="T571" s="21"/>
      <c r="V571" s="456"/>
      <c r="AA571" s="456"/>
    </row>
    <row r="572" spans="4:27" ht="15.75" customHeight="1">
      <c r="D572" s="21"/>
      <c r="E572" s="21"/>
      <c r="T572" s="21"/>
      <c r="V572" s="456"/>
      <c r="AA572" s="456"/>
    </row>
    <row r="573" spans="4:27" ht="15.75" customHeight="1">
      <c r="D573" s="21"/>
      <c r="E573" s="21"/>
      <c r="T573" s="21"/>
      <c r="V573" s="456"/>
      <c r="AA573" s="456"/>
    </row>
    <row r="574" spans="4:27" ht="15.75" customHeight="1">
      <c r="D574" s="21"/>
      <c r="E574" s="21"/>
      <c r="T574" s="21"/>
      <c r="V574" s="456"/>
      <c r="AA574" s="456"/>
    </row>
    <row r="575" spans="4:27" ht="15.75" customHeight="1">
      <c r="D575" s="21"/>
      <c r="E575" s="21"/>
      <c r="T575" s="21"/>
      <c r="V575" s="456"/>
      <c r="AA575" s="456"/>
    </row>
    <row r="576" spans="4:27" ht="15.75" customHeight="1">
      <c r="D576" s="21"/>
      <c r="E576" s="21"/>
      <c r="T576" s="21"/>
      <c r="V576" s="456"/>
      <c r="AA576" s="456"/>
    </row>
    <row r="577" spans="4:27" ht="15.75" customHeight="1">
      <c r="D577" s="21"/>
      <c r="E577" s="21"/>
      <c r="T577" s="21"/>
      <c r="V577" s="456"/>
      <c r="AA577" s="456"/>
    </row>
    <row r="578" spans="4:27" ht="15.75" customHeight="1">
      <c r="D578" s="21"/>
      <c r="E578" s="21"/>
      <c r="T578" s="21"/>
      <c r="V578" s="456"/>
      <c r="AA578" s="456"/>
    </row>
    <row r="579" spans="4:27" ht="15.75" customHeight="1">
      <c r="D579" s="21"/>
      <c r="E579" s="21"/>
      <c r="T579" s="21"/>
      <c r="V579" s="456"/>
      <c r="AA579" s="456"/>
    </row>
    <row r="580" spans="4:27" ht="15.75" customHeight="1">
      <c r="D580" s="21"/>
      <c r="E580" s="21"/>
      <c r="T580" s="21"/>
      <c r="V580" s="456"/>
      <c r="AA580" s="456"/>
    </row>
    <row r="581" spans="4:27" ht="15.75" customHeight="1">
      <c r="D581" s="21"/>
      <c r="E581" s="21"/>
      <c r="T581" s="21"/>
      <c r="V581" s="456"/>
      <c r="AA581" s="456"/>
    </row>
    <row r="582" spans="4:27" ht="15.75" customHeight="1">
      <c r="D582" s="21"/>
      <c r="E582" s="21"/>
      <c r="T582" s="21"/>
      <c r="V582" s="456"/>
      <c r="AA582" s="456"/>
    </row>
    <row r="583" spans="4:27" ht="15.75" customHeight="1">
      <c r="D583" s="21"/>
      <c r="E583" s="21"/>
      <c r="T583" s="21"/>
      <c r="V583" s="456"/>
      <c r="AA583" s="456"/>
    </row>
    <row r="584" spans="4:27" ht="15.75" customHeight="1">
      <c r="D584" s="21"/>
      <c r="E584" s="21"/>
      <c r="T584" s="21"/>
      <c r="V584" s="456"/>
      <c r="AA584" s="456"/>
    </row>
    <row r="585" spans="4:27" ht="15.75" customHeight="1">
      <c r="D585" s="21"/>
      <c r="E585" s="21"/>
      <c r="T585" s="21"/>
      <c r="V585" s="456"/>
      <c r="AA585" s="456"/>
    </row>
    <row r="586" spans="4:27" ht="15.75" customHeight="1">
      <c r="D586" s="21"/>
      <c r="E586" s="21"/>
      <c r="T586" s="21"/>
      <c r="V586" s="456"/>
      <c r="AA586" s="456"/>
    </row>
    <row r="587" spans="4:27" ht="15.75" customHeight="1">
      <c r="D587" s="21"/>
      <c r="E587" s="21"/>
      <c r="T587" s="21"/>
      <c r="V587" s="456"/>
      <c r="AA587" s="456"/>
    </row>
    <row r="588" spans="4:27" ht="15.75" customHeight="1">
      <c r="D588" s="21"/>
      <c r="E588" s="21"/>
      <c r="T588" s="21"/>
      <c r="V588" s="456"/>
      <c r="AA588" s="456"/>
    </row>
    <row r="589" spans="4:27" ht="15.75" customHeight="1">
      <c r="D589" s="21"/>
      <c r="E589" s="21"/>
      <c r="T589" s="21"/>
      <c r="V589" s="456"/>
      <c r="AA589" s="456"/>
    </row>
    <row r="590" spans="4:27" ht="15.75" customHeight="1">
      <c r="D590" s="21"/>
      <c r="E590" s="21"/>
      <c r="T590" s="21"/>
      <c r="V590" s="456"/>
      <c r="AA590" s="456"/>
    </row>
    <row r="591" spans="4:27" ht="15.75" customHeight="1">
      <c r="D591" s="21"/>
      <c r="E591" s="21"/>
      <c r="T591" s="21"/>
      <c r="V591" s="456"/>
      <c r="AA591" s="456"/>
    </row>
    <row r="592" spans="4:27" ht="15.75" customHeight="1">
      <c r="D592" s="21"/>
      <c r="E592" s="21"/>
      <c r="T592" s="21"/>
      <c r="V592" s="456"/>
      <c r="AA592" s="456"/>
    </row>
    <row r="593" spans="4:27" ht="15.75" customHeight="1">
      <c r="D593" s="21"/>
      <c r="E593" s="21"/>
      <c r="T593" s="21"/>
      <c r="V593" s="456"/>
      <c r="AA593" s="456"/>
    </row>
    <row r="594" spans="4:27" ht="15.75" customHeight="1">
      <c r="D594" s="21"/>
      <c r="E594" s="21"/>
      <c r="T594" s="21"/>
      <c r="V594" s="456"/>
      <c r="AA594" s="456"/>
    </row>
    <row r="595" spans="4:27" ht="15.75" customHeight="1">
      <c r="D595" s="21"/>
      <c r="E595" s="21"/>
      <c r="T595" s="21"/>
      <c r="V595" s="456"/>
      <c r="AA595" s="456"/>
    </row>
    <row r="596" spans="4:27" ht="15.75" customHeight="1">
      <c r="D596" s="21"/>
      <c r="E596" s="21"/>
      <c r="T596" s="21"/>
      <c r="V596" s="456"/>
      <c r="AA596" s="456"/>
    </row>
    <row r="597" spans="4:27" ht="15.75" customHeight="1">
      <c r="D597" s="21"/>
      <c r="E597" s="21"/>
      <c r="T597" s="21"/>
      <c r="V597" s="456"/>
      <c r="AA597" s="456"/>
    </row>
    <row r="598" spans="4:27" ht="15.75" customHeight="1">
      <c r="D598" s="21"/>
      <c r="E598" s="21"/>
      <c r="T598" s="21"/>
      <c r="V598" s="456"/>
      <c r="AA598" s="456"/>
    </row>
    <row r="599" spans="4:27" ht="15.75" customHeight="1">
      <c r="D599" s="21"/>
      <c r="E599" s="21"/>
      <c r="T599" s="21"/>
      <c r="V599" s="456"/>
      <c r="AA599" s="456"/>
    </row>
    <row r="600" spans="4:27" ht="15.75" customHeight="1">
      <c r="D600" s="21"/>
      <c r="E600" s="21"/>
      <c r="T600" s="21"/>
      <c r="V600" s="456"/>
      <c r="AA600" s="456"/>
    </row>
    <row r="601" spans="4:27" ht="15.75" customHeight="1">
      <c r="D601" s="21"/>
      <c r="E601" s="21"/>
      <c r="T601" s="21"/>
      <c r="V601" s="456"/>
      <c r="AA601" s="456"/>
    </row>
    <row r="602" spans="4:27" ht="15.75" customHeight="1">
      <c r="D602" s="21"/>
      <c r="E602" s="21"/>
      <c r="T602" s="21"/>
      <c r="V602" s="456"/>
      <c r="AA602" s="456"/>
    </row>
    <row r="603" spans="4:27" ht="15.75" customHeight="1">
      <c r="D603" s="21"/>
      <c r="E603" s="21"/>
      <c r="T603" s="21"/>
      <c r="V603" s="456"/>
      <c r="AA603" s="456"/>
    </row>
    <row r="604" spans="4:27" ht="15.75" customHeight="1">
      <c r="D604" s="21"/>
      <c r="E604" s="21"/>
      <c r="T604" s="21"/>
      <c r="V604" s="456"/>
      <c r="AA604" s="456"/>
    </row>
    <row r="605" spans="4:27" ht="15.75" customHeight="1">
      <c r="D605" s="21"/>
      <c r="E605" s="21"/>
      <c r="T605" s="21"/>
      <c r="V605" s="456"/>
      <c r="AA605" s="456"/>
    </row>
    <row r="606" spans="4:27" ht="15.75" customHeight="1">
      <c r="D606" s="21"/>
      <c r="E606" s="21"/>
      <c r="T606" s="21"/>
      <c r="V606" s="456"/>
      <c r="AA606" s="456"/>
    </row>
    <row r="607" spans="4:27" ht="15.75" customHeight="1">
      <c r="D607" s="21"/>
      <c r="E607" s="21"/>
      <c r="T607" s="21"/>
      <c r="V607" s="456"/>
      <c r="AA607" s="456"/>
    </row>
    <row r="608" spans="4:27" ht="15.75" customHeight="1">
      <c r="D608" s="21"/>
      <c r="E608" s="21"/>
      <c r="T608" s="21"/>
      <c r="V608" s="456"/>
      <c r="AA608" s="456"/>
    </row>
    <row r="609" spans="4:27" ht="15.75" customHeight="1">
      <c r="D609" s="21"/>
      <c r="E609" s="21"/>
      <c r="T609" s="21"/>
      <c r="V609" s="456"/>
      <c r="AA609" s="456"/>
    </row>
    <row r="610" spans="4:27" ht="15.75" customHeight="1">
      <c r="D610" s="21"/>
      <c r="E610" s="21"/>
      <c r="T610" s="21"/>
      <c r="V610" s="456"/>
      <c r="AA610" s="456"/>
    </row>
    <row r="611" spans="4:27" ht="15.75" customHeight="1">
      <c r="D611" s="21"/>
      <c r="E611" s="21"/>
      <c r="T611" s="21"/>
      <c r="V611" s="456"/>
      <c r="AA611" s="456"/>
    </row>
    <row r="612" spans="4:27" ht="15.75" customHeight="1">
      <c r="D612" s="21"/>
      <c r="E612" s="21"/>
      <c r="T612" s="21"/>
      <c r="V612" s="456"/>
      <c r="AA612" s="456"/>
    </row>
    <row r="613" spans="4:27" ht="15.75" customHeight="1">
      <c r="D613" s="21"/>
      <c r="E613" s="21"/>
      <c r="T613" s="21"/>
      <c r="V613" s="456"/>
      <c r="AA613" s="456"/>
    </row>
    <row r="614" spans="4:27" ht="15.75" customHeight="1">
      <c r="D614" s="21"/>
      <c r="E614" s="21"/>
      <c r="T614" s="21"/>
      <c r="V614" s="456"/>
      <c r="AA614" s="456"/>
    </row>
    <row r="615" spans="4:27" ht="15.75" customHeight="1">
      <c r="D615" s="21"/>
      <c r="E615" s="21"/>
      <c r="T615" s="21"/>
      <c r="V615" s="456"/>
      <c r="AA615" s="456"/>
    </row>
    <row r="616" spans="4:27" ht="15.75" customHeight="1">
      <c r="D616" s="21"/>
      <c r="E616" s="21"/>
      <c r="T616" s="21"/>
      <c r="V616" s="456"/>
      <c r="AA616" s="456"/>
    </row>
    <row r="617" spans="4:27" ht="15.75" customHeight="1">
      <c r="D617" s="21"/>
      <c r="E617" s="21"/>
      <c r="T617" s="21"/>
      <c r="V617" s="456"/>
      <c r="AA617" s="456"/>
    </row>
    <row r="618" spans="4:27" ht="15.75" customHeight="1">
      <c r="D618" s="21"/>
      <c r="E618" s="21"/>
      <c r="T618" s="21"/>
      <c r="V618" s="456"/>
      <c r="AA618" s="456"/>
    </row>
    <row r="619" spans="4:27" ht="15.75" customHeight="1">
      <c r="D619" s="21"/>
      <c r="E619" s="21"/>
      <c r="T619" s="21"/>
      <c r="V619" s="456"/>
      <c r="AA619" s="456"/>
    </row>
    <row r="620" spans="4:27" ht="15.75" customHeight="1">
      <c r="D620" s="21"/>
      <c r="E620" s="21"/>
      <c r="T620" s="21"/>
      <c r="V620" s="456"/>
      <c r="AA620" s="456"/>
    </row>
    <row r="621" spans="4:27" ht="15.75" customHeight="1">
      <c r="D621" s="21"/>
      <c r="E621" s="21"/>
      <c r="T621" s="21"/>
      <c r="V621" s="456"/>
      <c r="AA621" s="456"/>
    </row>
    <row r="622" spans="4:27" ht="15.75" customHeight="1">
      <c r="D622" s="21"/>
      <c r="E622" s="21"/>
      <c r="T622" s="21"/>
      <c r="V622" s="456"/>
      <c r="AA622" s="456"/>
    </row>
    <row r="623" spans="4:27" ht="15.75" customHeight="1">
      <c r="D623" s="21"/>
      <c r="E623" s="21"/>
      <c r="T623" s="21"/>
      <c r="V623" s="456"/>
      <c r="AA623" s="456"/>
    </row>
    <row r="624" spans="4:27" ht="15.75" customHeight="1">
      <c r="D624" s="21"/>
      <c r="E624" s="21"/>
      <c r="T624" s="21"/>
      <c r="V624" s="456"/>
      <c r="AA624" s="456"/>
    </row>
    <row r="625" spans="4:27" ht="15.75" customHeight="1">
      <c r="D625" s="21"/>
      <c r="E625" s="21"/>
      <c r="T625" s="21"/>
      <c r="V625" s="456"/>
      <c r="AA625" s="456"/>
    </row>
    <row r="626" spans="4:27" ht="15.75" customHeight="1">
      <c r="D626" s="21"/>
      <c r="E626" s="21"/>
      <c r="T626" s="21"/>
      <c r="V626" s="456"/>
      <c r="AA626" s="456"/>
    </row>
    <row r="627" spans="4:27" ht="15.75" customHeight="1">
      <c r="D627" s="21"/>
      <c r="E627" s="21"/>
      <c r="T627" s="21"/>
      <c r="V627" s="456"/>
      <c r="AA627" s="456"/>
    </row>
    <row r="628" spans="4:27" ht="15.75" customHeight="1">
      <c r="D628" s="21"/>
      <c r="E628" s="21"/>
      <c r="T628" s="21"/>
      <c r="V628" s="456"/>
      <c r="AA628" s="456"/>
    </row>
    <row r="629" spans="4:27" ht="15.75" customHeight="1">
      <c r="D629" s="21"/>
      <c r="E629" s="21"/>
      <c r="T629" s="21"/>
      <c r="V629" s="456"/>
      <c r="AA629" s="456"/>
    </row>
    <row r="630" spans="4:27" ht="15.75" customHeight="1">
      <c r="D630" s="21"/>
      <c r="E630" s="21"/>
      <c r="T630" s="21"/>
      <c r="V630" s="456"/>
      <c r="AA630" s="456"/>
    </row>
    <row r="631" spans="4:27" ht="15.75" customHeight="1">
      <c r="D631" s="21"/>
      <c r="E631" s="21"/>
      <c r="T631" s="21"/>
      <c r="V631" s="456"/>
      <c r="AA631" s="456"/>
    </row>
    <row r="632" spans="4:27" ht="15.75" customHeight="1">
      <c r="D632" s="21"/>
      <c r="E632" s="21"/>
      <c r="T632" s="21"/>
      <c r="V632" s="456"/>
      <c r="AA632" s="456"/>
    </row>
    <row r="633" spans="4:27" ht="15.75" customHeight="1">
      <c r="D633" s="21"/>
      <c r="E633" s="21"/>
      <c r="T633" s="21"/>
      <c r="V633" s="456"/>
      <c r="AA633" s="456"/>
    </row>
    <row r="634" spans="4:27" ht="15.75" customHeight="1">
      <c r="D634" s="21"/>
      <c r="E634" s="21"/>
      <c r="T634" s="21"/>
      <c r="V634" s="456"/>
      <c r="AA634" s="456"/>
    </row>
    <row r="635" spans="4:27" ht="15.75" customHeight="1">
      <c r="D635" s="21"/>
      <c r="E635" s="21"/>
      <c r="T635" s="21"/>
      <c r="V635" s="456"/>
      <c r="AA635" s="456"/>
    </row>
    <row r="636" spans="4:27" ht="15.75" customHeight="1">
      <c r="D636" s="21"/>
      <c r="E636" s="21"/>
      <c r="T636" s="21"/>
      <c r="V636" s="456"/>
      <c r="AA636" s="456"/>
    </row>
    <row r="637" spans="4:27" ht="15.75" customHeight="1">
      <c r="D637" s="21"/>
      <c r="E637" s="21"/>
      <c r="T637" s="21"/>
      <c r="V637" s="456"/>
      <c r="AA637" s="456"/>
    </row>
    <row r="638" spans="4:27" ht="15.75" customHeight="1">
      <c r="D638" s="21"/>
      <c r="E638" s="21"/>
      <c r="T638" s="21"/>
      <c r="V638" s="456"/>
      <c r="AA638" s="456"/>
    </row>
    <row r="639" spans="4:27" ht="15.75" customHeight="1">
      <c r="D639" s="21"/>
      <c r="E639" s="21"/>
      <c r="T639" s="21"/>
      <c r="V639" s="456"/>
      <c r="AA639" s="456"/>
    </row>
    <row r="640" spans="4:27" ht="15.75" customHeight="1">
      <c r="D640" s="21"/>
      <c r="E640" s="21"/>
      <c r="T640" s="21"/>
      <c r="V640" s="456"/>
      <c r="AA640" s="456"/>
    </row>
    <row r="641" spans="4:27" ht="15.75" customHeight="1">
      <c r="D641" s="21"/>
      <c r="E641" s="21"/>
      <c r="T641" s="21"/>
      <c r="V641" s="456"/>
      <c r="AA641" s="456"/>
    </row>
    <row r="642" spans="4:27" ht="15.75" customHeight="1">
      <c r="D642" s="21"/>
      <c r="E642" s="21"/>
      <c r="T642" s="21"/>
      <c r="V642" s="456"/>
      <c r="AA642" s="456"/>
    </row>
    <row r="643" spans="4:27" ht="15.75" customHeight="1">
      <c r="D643" s="21"/>
      <c r="E643" s="21"/>
      <c r="T643" s="21"/>
      <c r="V643" s="456"/>
      <c r="AA643" s="456"/>
    </row>
    <row r="644" spans="4:27" ht="15.75" customHeight="1">
      <c r="D644" s="21"/>
      <c r="E644" s="21"/>
      <c r="T644" s="21"/>
      <c r="V644" s="456"/>
      <c r="AA644" s="456"/>
    </row>
    <row r="645" spans="4:27" ht="15.75" customHeight="1">
      <c r="D645" s="21"/>
      <c r="E645" s="21"/>
      <c r="T645" s="21"/>
      <c r="V645" s="456"/>
      <c r="AA645" s="456"/>
    </row>
    <row r="646" spans="4:27" ht="15.75" customHeight="1">
      <c r="D646" s="21"/>
      <c r="E646" s="21"/>
      <c r="T646" s="21"/>
      <c r="V646" s="456"/>
      <c r="AA646" s="456"/>
    </row>
    <row r="647" spans="4:27" ht="15.75" customHeight="1">
      <c r="D647" s="21"/>
      <c r="E647" s="21"/>
      <c r="T647" s="21"/>
      <c r="V647" s="456"/>
      <c r="AA647" s="456"/>
    </row>
    <row r="648" spans="4:27" ht="15.75" customHeight="1">
      <c r="D648" s="21"/>
      <c r="E648" s="21"/>
      <c r="T648" s="21"/>
      <c r="V648" s="456"/>
      <c r="AA648" s="456"/>
    </row>
    <row r="649" spans="4:27" ht="15.75" customHeight="1">
      <c r="D649" s="21"/>
      <c r="E649" s="21"/>
      <c r="T649" s="21"/>
      <c r="V649" s="456"/>
      <c r="AA649" s="456"/>
    </row>
    <row r="650" spans="4:27" ht="15.75" customHeight="1">
      <c r="D650" s="21"/>
      <c r="E650" s="21"/>
      <c r="T650" s="21"/>
      <c r="V650" s="456"/>
      <c r="AA650" s="456"/>
    </row>
    <row r="651" spans="4:27" ht="15.75" customHeight="1">
      <c r="D651" s="21"/>
      <c r="E651" s="21"/>
      <c r="T651" s="21"/>
      <c r="V651" s="456"/>
      <c r="AA651" s="456"/>
    </row>
    <row r="652" spans="4:27" ht="15.75" customHeight="1">
      <c r="D652" s="21"/>
      <c r="E652" s="21"/>
      <c r="T652" s="21"/>
      <c r="V652" s="456"/>
      <c r="AA652" s="456"/>
    </row>
    <row r="653" spans="4:27" ht="15.75" customHeight="1">
      <c r="D653" s="21"/>
      <c r="E653" s="21"/>
      <c r="T653" s="21"/>
      <c r="V653" s="456"/>
      <c r="AA653" s="456"/>
    </row>
    <row r="654" spans="4:27" ht="15.75" customHeight="1">
      <c r="D654" s="21"/>
      <c r="E654" s="21"/>
      <c r="T654" s="21"/>
      <c r="V654" s="456"/>
      <c r="AA654" s="456"/>
    </row>
    <row r="655" spans="4:27" ht="15.75" customHeight="1">
      <c r="D655" s="21"/>
      <c r="E655" s="21"/>
      <c r="T655" s="21"/>
      <c r="V655" s="456"/>
      <c r="AA655" s="456"/>
    </row>
    <row r="656" spans="4:27" ht="15.75" customHeight="1">
      <c r="D656" s="21"/>
      <c r="E656" s="21"/>
      <c r="T656" s="21"/>
      <c r="V656" s="456"/>
      <c r="AA656" s="456"/>
    </row>
    <row r="657" spans="4:27" ht="15.75" customHeight="1">
      <c r="D657" s="21"/>
      <c r="E657" s="21"/>
      <c r="T657" s="21"/>
      <c r="V657" s="456"/>
      <c r="AA657" s="456"/>
    </row>
    <row r="658" spans="4:27" ht="15.75" customHeight="1">
      <c r="D658" s="21"/>
      <c r="E658" s="21"/>
      <c r="T658" s="21"/>
      <c r="V658" s="456"/>
      <c r="AA658" s="456"/>
    </row>
    <row r="659" spans="4:27" ht="15.75" customHeight="1">
      <c r="D659" s="21"/>
      <c r="E659" s="21"/>
      <c r="T659" s="21"/>
      <c r="V659" s="456"/>
      <c r="AA659" s="456"/>
    </row>
    <row r="660" spans="4:27" ht="15.75" customHeight="1">
      <c r="D660" s="21"/>
      <c r="E660" s="21"/>
      <c r="T660" s="21"/>
      <c r="V660" s="456"/>
      <c r="AA660" s="456"/>
    </row>
    <row r="661" spans="4:27" ht="15.75" customHeight="1">
      <c r="D661" s="21"/>
      <c r="E661" s="21"/>
      <c r="T661" s="21"/>
      <c r="V661" s="456"/>
      <c r="AA661" s="456"/>
    </row>
    <row r="662" spans="4:27" ht="15.75" customHeight="1">
      <c r="D662" s="21"/>
      <c r="E662" s="21"/>
      <c r="T662" s="21"/>
      <c r="V662" s="456"/>
      <c r="AA662" s="456"/>
    </row>
    <row r="663" spans="4:27" ht="15.75" customHeight="1">
      <c r="D663" s="21"/>
      <c r="E663" s="21"/>
      <c r="T663" s="21"/>
      <c r="V663" s="456"/>
      <c r="AA663" s="456"/>
    </row>
    <row r="664" spans="4:27" ht="15.75" customHeight="1">
      <c r="D664" s="21"/>
      <c r="E664" s="21"/>
      <c r="T664" s="21"/>
      <c r="V664" s="456"/>
      <c r="AA664" s="456"/>
    </row>
    <row r="665" spans="4:27" ht="15.75" customHeight="1">
      <c r="D665" s="21"/>
      <c r="E665" s="21"/>
      <c r="T665" s="21"/>
      <c r="V665" s="456"/>
      <c r="AA665" s="456"/>
    </row>
    <row r="666" spans="4:27" ht="15.75" customHeight="1">
      <c r="D666" s="21"/>
      <c r="E666" s="21"/>
      <c r="T666" s="21"/>
      <c r="V666" s="456"/>
      <c r="AA666" s="456"/>
    </row>
    <row r="667" spans="4:27" ht="15.75" customHeight="1">
      <c r="D667" s="21"/>
      <c r="E667" s="21"/>
      <c r="T667" s="21"/>
      <c r="V667" s="456"/>
      <c r="AA667" s="456"/>
    </row>
    <row r="668" spans="4:27" ht="15.75" customHeight="1">
      <c r="D668" s="21"/>
      <c r="E668" s="21"/>
      <c r="T668" s="21"/>
      <c r="V668" s="456"/>
      <c r="AA668" s="456"/>
    </row>
    <row r="669" spans="4:27" ht="15.75" customHeight="1">
      <c r="D669" s="21"/>
      <c r="E669" s="21"/>
      <c r="T669" s="21"/>
      <c r="V669" s="456"/>
      <c r="AA669" s="456"/>
    </row>
    <row r="670" spans="4:27" ht="15.75" customHeight="1">
      <c r="D670" s="21"/>
      <c r="E670" s="21"/>
      <c r="T670" s="21"/>
      <c r="V670" s="456"/>
      <c r="AA670" s="456"/>
    </row>
    <row r="671" spans="4:27" ht="15.75" customHeight="1">
      <c r="D671" s="21"/>
      <c r="E671" s="21"/>
      <c r="T671" s="21"/>
      <c r="V671" s="456"/>
      <c r="AA671" s="456"/>
    </row>
    <row r="672" spans="4:27" ht="15.75" customHeight="1">
      <c r="D672" s="21"/>
      <c r="E672" s="21"/>
      <c r="T672" s="21"/>
      <c r="V672" s="456"/>
      <c r="AA672" s="456"/>
    </row>
    <row r="673" spans="4:27" ht="15.75" customHeight="1">
      <c r="D673" s="21"/>
      <c r="E673" s="21"/>
      <c r="T673" s="21"/>
      <c r="V673" s="456"/>
      <c r="AA673" s="456"/>
    </row>
    <row r="674" spans="4:27" ht="15.75" customHeight="1">
      <c r="D674" s="21"/>
      <c r="E674" s="21"/>
      <c r="T674" s="21"/>
      <c r="V674" s="456"/>
      <c r="AA674" s="456"/>
    </row>
    <row r="675" spans="4:27" ht="15.75" customHeight="1">
      <c r="D675" s="21"/>
      <c r="E675" s="21"/>
      <c r="T675" s="21"/>
      <c r="V675" s="456"/>
      <c r="AA675" s="456"/>
    </row>
    <row r="676" spans="4:27" ht="15.75" customHeight="1">
      <c r="D676" s="21"/>
      <c r="E676" s="21"/>
      <c r="T676" s="21"/>
      <c r="V676" s="456"/>
      <c r="AA676" s="456"/>
    </row>
    <row r="677" spans="4:27" ht="15.75" customHeight="1">
      <c r="D677" s="21"/>
      <c r="E677" s="21"/>
      <c r="T677" s="21"/>
      <c r="V677" s="456"/>
      <c r="AA677" s="456"/>
    </row>
    <row r="678" spans="4:27" ht="15.75" customHeight="1">
      <c r="D678" s="21"/>
      <c r="E678" s="21"/>
      <c r="T678" s="21"/>
      <c r="V678" s="456"/>
      <c r="AA678" s="456"/>
    </row>
    <row r="679" spans="4:27" ht="15.75" customHeight="1">
      <c r="D679" s="21"/>
      <c r="E679" s="21"/>
      <c r="T679" s="21"/>
      <c r="V679" s="456"/>
      <c r="AA679" s="456"/>
    </row>
    <row r="680" spans="4:27" ht="15.75" customHeight="1">
      <c r="D680" s="21"/>
      <c r="E680" s="21"/>
      <c r="T680" s="21"/>
      <c r="V680" s="456"/>
      <c r="AA680" s="456"/>
    </row>
    <row r="681" spans="4:27" ht="15.75" customHeight="1">
      <c r="D681" s="21"/>
      <c r="E681" s="21"/>
      <c r="T681" s="21"/>
      <c r="V681" s="456"/>
      <c r="AA681" s="456"/>
    </row>
    <row r="682" spans="4:27" ht="15.75" customHeight="1">
      <c r="D682" s="21"/>
      <c r="E682" s="21"/>
      <c r="T682" s="21"/>
      <c r="V682" s="456"/>
      <c r="AA682" s="456"/>
    </row>
    <row r="683" spans="4:27" ht="15.75" customHeight="1">
      <c r="D683" s="21"/>
      <c r="E683" s="21"/>
      <c r="T683" s="21"/>
      <c r="V683" s="456"/>
      <c r="AA683" s="456"/>
    </row>
    <row r="684" spans="4:27" ht="15.75" customHeight="1">
      <c r="D684" s="21"/>
      <c r="E684" s="21"/>
      <c r="T684" s="21"/>
      <c r="V684" s="456"/>
      <c r="AA684" s="456"/>
    </row>
    <row r="685" spans="4:27" ht="15.75" customHeight="1">
      <c r="D685" s="21"/>
      <c r="E685" s="21"/>
      <c r="T685" s="21"/>
      <c r="V685" s="456"/>
      <c r="AA685" s="456"/>
    </row>
    <row r="686" spans="4:27" ht="15.75" customHeight="1">
      <c r="D686" s="21"/>
      <c r="E686" s="21"/>
      <c r="T686" s="21"/>
      <c r="V686" s="456"/>
      <c r="AA686" s="456"/>
    </row>
    <row r="687" spans="4:27" ht="15.75" customHeight="1">
      <c r="D687" s="21"/>
      <c r="E687" s="21"/>
      <c r="T687" s="21"/>
      <c r="V687" s="456"/>
      <c r="AA687" s="456"/>
    </row>
    <row r="688" spans="4:27" ht="15.75" customHeight="1">
      <c r="D688" s="21"/>
      <c r="E688" s="21"/>
      <c r="T688" s="21"/>
      <c r="V688" s="456"/>
      <c r="AA688" s="456"/>
    </row>
    <row r="689" spans="4:27" ht="15.75" customHeight="1">
      <c r="D689" s="21"/>
      <c r="E689" s="21"/>
      <c r="T689" s="21"/>
      <c r="V689" s="456"/>
      <c r="AA689" s="456"/>
    </row>
    <row r="690" spans="4:27" ht="15.75" customHeight="1">
      <c r="D690" s="21"/>
      <c r="E690" s="21"/>
      <c r="T690" s="21"/>
      <c r="V690" s="456"/>
      <c r="AA690" s="456"/>
    </row>
    <row r="691" spans="4:27" ht="15.75" customHeight="1">
      <c r="D691" s="21"/>
      <c r="E691" s="21"/>
      <c r="T691" s="21"/>
      <c r="V691" s="456"/>
      <c r="AA691" s="456"/>
    </row>
    <row r="692" spans="4:27" ht="15.75" customHeight="1">
      <c r="D692" s="21"/>
      <c r="E692" s="21"/>
      <c r="T692" s="21"/>
      <c r="V692" s="456"/>
      <c r="AA692" s="456"/>
    </row>
    <row r="693" spans="4:27" ht="15.75" customHeight="1">
      <c r="D693" s="21"/>
      <c r="E693" s="21"/>
      <c r="T693" s="21"/>
      <c r="V693" s="456"/>
      <c r="AA693" s="456"/>
    </row>
    <row r="694" spans="4:27" ht="15.75" customHeight="1">
      <c r="D694" s="21"/>
      <c r="E694" s="21"/>
      <c r="T694" s="21"/>
      <c r="V694" s="456"/>
      <c r="AA694" s="456"/>
    </row>
    <row r="695" spans="4:27" ht="15.75" customHeight="1">
      <c r="D695" s="21"/>
      <c r="E695" s="21"/>
      <c r="T695" s="21"/>
      <c r="V695" s="456"/>
      <c r="AA695" s="456"/>
    </row>
    <row r="696" spans="4:27" ht="15.75" customHeight="1">
      <c r="D696" s="21"/>
      <c r="E696" s="21"/>
      <c r="T696" s="21"/>
      <c r="V696" s="456"/>
      <c r="AA696" s="456"/>
    </row>
    <row r="697" spans="4:27" ht="15.75" customHeight="1">
      <c r="D697" s="21"/>
      <c r="E697" s="21"/>
      <c r="T697" s="21"/>
      <c r="V697" s="456"/>
      <c r="AA697" s="456"/>
    </row>
    <row r="698" spans="4:27" ht="15.75" customHeight="1">
      <c r="D698" s="21"/>
      <c r="E698" s="21"/>
      <c r="T698" s="21"/>
      <c r="V698" s="456"/>
      <c r="AA698" s="456"/>
    </row>
    <row r="699" spans="4:27" ht="15.75" customHeight="1">
      <c r="D699" s="21"/>
      <c r="E699" s="21"/>
      <c r="T699" s="21"/>
      <c r="V699" s="456"/>
      <c r="AA699" s="456"/>
    </row>
    <row r="700" spans="4:27" ht="15.75" customHeight="1">
      <c r="D700" s="21"/>
      <c r="E700" s="21"/>
      <c r="T700" s="21"/>
      <c r="V700" s="456"/>
      <c r="AA700" s="456"/>
    </row>
    <row r="701" spans="4:27" ht="15.75" customHeight="1">
      <c r="D701" s="21"/>
      <c r="E701" s="21"/>
      <c r="T701" s="21"/>
      <c r="V701" s="456"/>
      <c r="AA701" s="456"/>
    </row>
    <row r="702" spans="4:27" ht="15.75" customHeight="1">
      <c r="D702" s="21"/>
      <c r="E702" s="21"/>
      <c r="T702" s="21"/>
      <c r="V702" s="456"/>
      <c r="AA702" s="456"/>
    </row>
    <row r="703" spans="4:27" ht="15.75" customHeight="1">
      <c r="D703" s="21"/>
      <c r="E703" s="21"/>
      <c r="T703" s="21"/>
      <c r="V703" s="456"/>
      <c r="AA703" s="456"/>
    </row>
    <row r="704" spans="4:27" ht="15.75" customHeight="1">
      <c r="D704" s="21"/>
      <c r="E704" s="21"/>
      <c r="T704" s="21"/>
      <c r="V704" s="456"/>
      <c r="AA704" s="456"/>
    </row>
    <row r="705" spans="4:27" ht="15.75" customHeight="1">
      <c r="D705" s="21"/>
      <c r="E705" s="21"/>
      <c r="T705" s="21"/>
      <c r="V705" s="456"/>
      <c r="AA705" s="456"/>
    </row>
    <row r="706" spans="4:27" ht="15.75" customHeight="1">
      <c r="D706" s="21"/>
      <c r="E706" s="21"/>
      <c r="T706" s="21"/>
      <c r="V706" s="456"/>
      <c r="AA706" s="456"/>
    </row>
    <row r="707" spans="4:27" ht="15.75" customHeight="1">
      <c r="D707" s="21"/>
      <c r="E707" s="21"/>
      <c r="T707" s="21"/>
      <c r="V707" s="456"/>
      <c r="AA707" s="456"/>
    </row>
    <row r="708" spans="4:27" ht="15.75" customHeight="1">
      <c r="D708" s="21"/>
      <c r="E708" s="21"/>
      <c r="T708" s="21"/>
      <c r="V708" s="456"/>
      <c r="AA708" s="456"/>
    </row>
    <row r="709" spans="4:27" ht="15.75" customHeight="1">
      <c r="D709" s="21"/>
      <c r="E709" s="21"/>
      <c r="T709" s="21"/>
      <c r="V709" s="456"/>
      <c r="AA709" s="456"/>
    </row>
    <row r="710" spans="4:27" ht="15.75" customHeight="1">
      <c r="D710" s="21"/>
      <c r="E710" s="21"/>
      <c r="T710" s="21"/>
      <c r="V710" s="456"/>
      <c r="AA710" s="456"/>
    </row>
    <row r="711" spans="4:27" ht="15.75" customHeight="1">
      <c r="D711" s="21"/>
      <c r="E711" s="21"/>
      <c r="T711" s="21"/>
      <c r="V711" s="456"/>
      <c r="AA711" s="456"/>
    </row>
    <row r="712" spans="4:27" ht="15.75" customHeight="1">
      <c r="D712" s="21"/>
      <c r="E712" s="21"/>
      <c r="T712" s="21"/>
      <c r="V712" s="456"/>
      <c r="AA712" s="456"/>
    </row>
    <row r="713" spans="4:27" ht="15.75" customHeight="1">
      <c r="D713" s="21"/>
      <c r="E713" s="21"/>
      <c r="T713" s="21"/>
      <c r="V713" s="456"/>
      <c r="AA713" s="456"/>
    </row>
    <row r="714" spans="4:27" ht="15.75" customHeight="1">
      <c r="D714" s="21"/>
      <c r="E714" s="21"/>
      <c r="T714" s="21"/>
      <c r="V714" s="456"/>
      <c r="AA714" s="456"/>
    </row>
    <row r="715" spans="4:27" ht="15.75" customHeight="1">
      <c r="D715" s="21"/>
      <c r="E715" s="21"/>
      <c r="T715" s="21"/>
      <c r="V715" s="456"/>
      <c r="AA715" s="456"/>
    </row>
    <row r="716" spans="4:27" ht="15.75" customHeight="1">
      <c r="D716" s="21"/>
      <c r="E716" s="21"/>
      <c r="T716" s="21"/>
      <c r="V716" s="456"/>
      <c r="AA716" s="456"/>
    </row>
    <row r="717" spans="4:27" ht="15.75" customHeight="1">
      <c r="D717" s="21"/>
      <c r="E717" s="21"/>
      <c r="T717" s="21"/>
      <c r="V717" s="456"/>
      <c r="AA717" s="456"/>
    </row>
    <row r="718" spans="4:27" ht="15.75" customHeight="1">
      <c r="D718" s="21"/>
      <c r="E718" s="21"/>
      <c r="T718" s="21"/>
      <c r="V718" s="456"/>
      <c r="AA718" s="456"/>
    </row>
    <row r="719" spans="4:27" ht="15.75" customHeight="1">
      <c r="D719" s="21"/>
      <c r="E719" s="21"/>
      <c r="T719" s="21"/>
      <c r="V719" s="456"/>
      <c r="AA719" s="456"/>
    </row>
    <row r="720" spans="4:27" ht="15.75" customHeight="1">
      <c r="D720" s="21"/>
      <c r="E720" s="21"/>
      <c r="T720" s="21"/>
      <c r="V720" s="456"/>
      <c r="AA720" s="456"/>
    </row>
    <row r="721" spans="4:27" ht="15.75" customHeight="1">
      <c r="D721" s="21"/>
      <c r="E721" s="21"/>
      <c r="T721" s="21"/>
      <c r="V721" s="456"/>
      <c r="AA721" s="456"/>
    </row>
    <row r="722" spans="4:27" ht="15.75" customHeight="1">
      <c r="D722" s="21"/>
      <c r="E722" s="21"/>
      <c r="T722" s="21"/>
      <c r="V722" s="456"/>
      <c r="AA722" s="456"/>
    </row>
    <row r="723" spans="4:27" ht="15.75" customHeight="1">
      <c r="D723" s="21"/>
      <c r="E723" s="21"/>
      <c r="T723" s="21"/>
      <c r="V723" s="456"/>
      <c r="AA723" s="456"/>
    </row>
    <row r="724" spans="4:27" ht="15.75" customHeight="1">
      <c r="D724" s="21"/>
      <c r="E724" s="21"/>
      <c r="T724" s="21"/>
      <c r="V724" s="456"/>
      <c r="AA724" s="456"/>
    </row>
    <row r="725" spans="4:27" ht="15.75" customHeight="1">
      <c r="D725" s="21"/>
      <c r="E725" s="21"/>
      <c r="T725" s="21"/>
      <c r="V725" s="456"/>
      <c r="AA725" s="456"/>
    </row>
    <row r="726" spans="4:27" ht="15.75" customHeight="1">
      <c r="D726" s="21"/>
      <c r="E726" s="21"/>
      <c r="T726" s="21"/>
      <c r="V726" s="456"/>
      <c r="AA726" s="456"/>
    </row>
    <row r="727" spans="4:27" ht="15.75" customHeight="1">
      <c r="D727" s="21"/>
      <c r="E727" s="21"/>
      <c r="T727" s="21"/>
      <c r="V727" s="456"/>
      <c r="AA727" s="456"/>
    </row>
    <row r="728" spans="4:27" ht="15.75" customHeight="1">
      <c r="D728" s="21"/>
      <c r="E728" s="21"/>
      <c r="T728" s="21"/>
      <c r="V728" s="456"/>
      <c r="AA728" s="456"/>
    </row>
    <row r="729" spans="4:27" ht="15.75" customHeight="1">
      <c r="D729" s="21"/>
      <c r="E729" s="21"/>
      <c r="T729" s="21"/>
      <c r="V729" s="456"/>
      <c r="AA729" s="456"/>
    </row>
    <row r="730" spans="4:27" ht="15.75" customHeight="1">
      <c r="D730" s="21"/>
      <c r="E730" s="21"/>
      <c r="T730" s="21"/>
      <c r="V730" s="456"/>
      <c r="AA730" s="456"/>
    </row>
    <row r="731" spans="4:27" ht="15.75" customHeight="1">
      <c r="D731" s="21"/>
      <c r="E731" s="21"/>
      <c r="T731" s="21"/>
      <c r="V731" s="456"/>
      <c r="AA731" s="456"/>
    </row>
    <row r="732" spans="4:27" ht="15.75" customHeight="1">
      <c r="D732" s="21"/>
      <c r="E732" s="21"/>
      <c r="T732" s="21"/>
      <c r="V732" s="456"/>
      <c r="AA732" s="456"/>
    </row>
    <row r="733" spans="4:27" ht="15.75" customHeight="1">
      <c r="D733" s="21"/>
      <c r="E733" s="21"/>
      <c r="T733" s="21"/>
      <c r="V733" s="456"/>
      <c r="AA733" s="456"/>
    </row>
    <row r="734" spans="4:27" ht="15.75" customHeight="1">
      <c r="D734" s="21"/>
      <c r="E734" s="21"/>
      <c r="T734" s="21"/>
      <c r="V734" s="456"/>
      <c r="AA734" s="456"/>
    </row>
    <row r="735" spans="4:27" ht="15.75" customHeight="1">
      <c r="D735" s="21"/>
      <c r="E735" s="21"/>
      <c r="T735" s="21"/>
      <c r="V735" s="456"/>
      <c r="AA735" s="456"/>
    </row>
    <row r="736" spans="4:27" ht="15.75" customHeight="1">
      <c r="D736" s="21"/>
      <c r="E736" s="21"/>
      <c r="T736" s="21"/>
      <c r="V736" s="456"/>
      <c r="AA736" s="456"/>
    </row>
    <row r="737" spans="4:27" ht="15.75" customHeight="1">
      <c r="D737" s="21"/>
      <c r="E737" s="21"/>
      <c r="T737" s="21"/>
      <c r="V737" s="456"/>
      <c r="AA737" s="456"/>
    </row>
    <row r="738" spans="4:27" ht="15.75" customHeight="1">
      <c r="D738" s="21"/>
      <c r="E738" s="21"/>
      <c r="T738" s="21"/>
      <c r="V738" s="456"/>
      <c r="AA738" s="456"/>
    </row>
    <row r="739" spans="4:27" ht="15.75" customHeight="1">
      <c r="D739" s="21"/>
      <c r="E739" s="21"/>
      <c r="T739" s="21"/>
      <c r="V739" s="456"/>
      <c r="AA739" s="456"/>
    </row>
    <row r="740" spans="4:27" ht="15.75" customHeight="1">
      <c r="D740" s="21"/>
      <c r="E740" s="21"/>
      <c r="T740" s="21"/>
      <c r="V740" s="456"/>
      <c r="AA740" s="456"/>
    </row>
    <row r="741" spans="4:27" ht="15.75" customHeight="1">
      <c r="D741" s="21"/>
      <c r="E741" s="21"/>
      <c r="T741" s="21"/>
      <c r="V741" s="456"/>
      <c r="AA741" s="456"/>
    </row>
    <row r="742" spans="4:27" ht="15.75" customHeight="1">
      <c r="D742" s="21"/>
      <c r="E742" s="21"/>
      <c r="T742" s="21"/>
      <c r="V742" s="456"/>
      <c r="AA742" s="456"/>
    </row>
    <row r="743" spans="4:27" ht="15.75" customHeight="1">
      <c r="D743" s="21"/>
      <c r="E743" s="21"/>
      <c r="T743" s="21"/>
      <c r="V743" s="456"/>
      <c r="AA743" s="456"/>
    </row>
    <row r="744" spans="4:27" ht="15.75" customHeight="1">
      <c r="D744" s="21"/>
      <c r="E744" s="21"/>
      <c r="T744" s="21"/>
      <c r="V744" s="456"/>
      <c r="AA744" s="456"/>
    </row>
    <row r="745" spans="4:27" ht="15.75" customHeight="1">
      <c r="D745" s="21"/>
      <c r="E745" s="21"/>
      <c r="T745" s="21"/>
      <c r="V745" s="456"/>
      <c r="AA745" s="456"/>
    </row>
    <row r="746" spans="4:27" ht="15.75" customHeight="1">
      <c r="D746" s="21"/>
      <c r="E746" s="21"/>
      <c r="T746" s="21"/>
      <c r="V746" s="456"/>
      <c r="AA746" s="456"/>
    </row>
    <row r="747" spans="4:27" ht="15.75" customHeight="1">
      <c r="D747" s="21"/>
      <c r="E747" s="21"/>
      <c r="T747" s="21"/>
      <c r="V747" s="456"/>
      <c r="AA747" s="456"/>
    </row>
    <row r="748" spans="4:27" ht="15.75" customHeight="1">
      <c r="D748" s="21"/>
      <c r="E748" s="21"/>
      <c r="T748" s="21"/>
      <c r="V748" s="456"/>
      <c r="AA748" s="456"/>
    </row>
    <row r="749" spans="4:27" ht="15.75" customHeight="1">
      <c r="D749" s="21"/>
      <c r="E749" s="21"/>
      <c r="T749" s="21"/>
      <c r="V749" s="456"/>
      <c r="AA749" s="456"/>
    </row>
    <row r="750" spans="4:27" ht="15.75" customHeight="1">
      <c r="D750" s="21"/>
      <c r="E750" s="21"/>
      <c r="T750" s="21"/>
      <c r="V750" s="456"/>
      <c r="AA750" s="456"/>
    </row>
    <row r="751" spans="4:27" ht="15.75" customHeight="1">
      <c r="D751" s="21"/>
      <c r="E751" s="21"/>
      <c r="T751" s="21"/>
      <c r="V751" s="456"/>
      <c r="AA751" s="456"/>
    </row>
    <row r="752" spans="4:27" ht="15.75" customHeight="1">
      <c r="D752" s="21"/>
      <c r="E752" s="21"/>
      <c r="T752" s="21"/>
      <c r="V752" s="456"/>
      <c r="AA752" s="456"/>
    </row>
    <row r="753" spans="4:27" ht="15.75" customHeight="1">
      <c r="D753" s="21"/>
      <c r="E753" s="21"/>
      <c r="T753" s="21"/>
      <c r="V753" s="456"/>
      <c r="AA753" s="456"/>
    </row>
    <row r="754" spans="4:27" ht="15.75" customHeight="1">
      <c r="D754" s="21"/>
      <c r="E754" s="21"/>
      <c r="T754" s="21"/>
      <c r="V754" s="456"/>
      <c r="AA754" s="456"/>
    </row>
    <row r="755" spans="4:27" ht="15.75" customHeight="1">
      <c r="D755" s="21"/>
      <c r="E755" s="21"/>
      <c r="T755" s="21"/>
      <c r="V755" s="456"/>
      <c r="AA755" s="456"/>
    </row>
    <row r="756" spans="4:27" ht="15.75" customHeight="1">
      <c r="D756" s="21"/>
      <c r="E756" s="21"/>
      <c r="T756" s="21"/>
      <c r="V756" s="456"/>
      <c r="AA756" s="456"/>
    </row>
    <row r="757" spans="4:27" ht="15.75" customHeight="1">
      <c r="D757" s="21"/>
      <c r="E757" s="21"/>
      <c r="T757" s="21"/>
      <c r="V757" s="456"/>
      <c r="AA757" s="456"/>
    </row>
    <row r="758" spans="4:27" ht="15.75" customHeight="1">
      <c r="D758" s="21"/>
      <c r="E758" s="21"/>
      <c r="T758" s="21"/>
      <c r="V758" s="456"/>
      <c r="AA758" s="456"/>
    </row>
    <row r="759" spans="4:27" ht="15.75" customHeight="1">
      <c r="D759" s="21"/>
      <c r="E759" s="21"/>
      <c r="T759" s="21"/>
      <c r="V759" s="456"/>
      <c r="AA759" s="456"/>
    </row>
    <row r="760" spans="4:27" ht="15.75" customHeight="1">
      <c r="D760" s="21"/>
      <c r="E760" s="21"/>
      <c r="T760" s="21"/>
      <c r="V760" s="456"/>
      <c r="AA760" s="456"/>
    </row>
    <row r="761" spans="4:27" ht="15.75" customHeight="1">
      <c r="D761" s="21"/>
      <c r="E761" s="21"/>
      <c r="T761" s="21"/>
      <c r="V761" s="456"/>
      <c r="AA761" s="456"/>
    </row>
    <row r="762" spans="4:27" ht="15.75" customHeight="1">
      <c r="D762" s="21"/>
      <c r="E762" s="21"/>
      <c r="T762" s="21"/>
      <c r="V762" s="456"/>
      <c r="AA762" s="456"/>
    </row>
    <row r="763" spans="4:27" ht="15.75" customHeight="1">
      <c r="D763" s="21"/>
      <c r="E763" s="21"/>
      <c r="T763" s="21"/>
      <c r="V763" s="456"/>
      <c r="AA763" s="456"/>
    </row>
    <row r="764" spans="4:27" ht="15.75" customHeight="1">
      <c r="D764" s="21"/>
      <c r="E764" s="21"/>
      <c r="T764" s="21"/>
      <c r="V764" s="456"/>
      <c r="AA764" s="456"/>
    </row>
    <row r="765" spans="4:27" ht="15.75" customHeight="1">
      <c r="D765" s="21"/>
      <c r="E765" s="21"/>
      <c r="T765" s="21"/>
      <c r="V765" s="456"/>
      <c r="AA765" s="456"/>
    </row>
    <row r="766" spans="4:27" ht="15.75" customHeight="1">
      <c r="D766" s="21"/>
      <c r="E766" s="21"/>
      <c r="T766" s="21"/>
      <c r="V766" s="456"/>
      <c r="AA766" s="456"/>
    </row>
    <row r="767" spans="4:27" ht="15.75" customHeight="1">
      <c r="D767" s="21"/>
      <c r="E767" s="21"/>
      <c r="T767" s="21"/>
      <c r="V767" s="456"/>
      <c r="AA767" s="456"/>
    </row>
    <row r="768" spans="4:27" ht="15.75" customHeight="1">
      <c r="D768" s="21"/>
      <c r="E768" s="21"/>
      <c r="T768" s="21"/>
      <c r="V768" s="456"/>
      <c r="AA768" s="456"/>
    </row>
    <row r="769" spans="4:27" ht="15.75" customHeight="1">
      <c r="D769" s="21"/>
      <c r="E769" s="21"/>
      <c r="T769" s="21"/>
      <c r="V769" s="456"/>
      <c r="AA769" s="456"/>
    </row>
    <row r="770" spans="4:27" ht="15.75" customHeight="1">
      <c r="D770" s="21"/>
      <c r="E770" s="21"/>
      <c r="T770" s="21"/>
      <c r="V770" s="456"/>
      <c r="AA770" s="456"/>
    </row>
    <row r="771" spans="4:27" ht="15.75" customHeight="1">
      <c r="D771" s="21"/>
      <c r="E771" s="21"/>
      <c r="T771" s="21"/>
      <c r="V771" s="456"/>
      <c r="AA771" s="456"/>
    </row>
    <row r="772" spans="4:27" ht="15.75" customHeight="1">
      <c r="D772" s="21"/>
      <c r="E772" s="21"/>
      <c r="T772" s="21"/>
      <c r="V772" s="456"/>
      <c r="AA772" s="456"/>
    </row>
    <row r="773" spans="4:27" ht="15.75" customHeight="1">
      <c r="D773" s="21"/>
      <c r="E773" s="21"/>
      <c r="T773" s="21"/>
      <c r="V773" s="456"/>
      <c r="AA773" s="456"/>
    </row>
    <row r="774" spans="4:27" ht="15.75" customHeight="1">
      <c r="D774" s="21"/>
      <c r="E774" s="21"/>
      <c r="T774" s="21"/>
      <c r="V774" s="456"/>
      <c r="AA774" s="456"/>
    </row>
    <row r="775" spans="4:27" ht="15.75" customHeight="1">
      <c r="D775" s="21"/>
      <c r="E775" s="21"/>
      <c r="T775" s="21"/>
      <c r="V775" s="456"/>
      <c r="AA775" s="456"/>
    </row>
    <row r="776" spans="4:27" ht="15.75" customHeight="1">
      <c r="D776" s="21"/>
      <c r="E776" s="21"/>
      <c r="T776" s="21"/>
      <c r="V776" s="456"/>
      <c r="AA776" s="456"/>
    </row>
    <row r="777" spans="4:27" ht="15.75" customHeight="1">
      <c r="D777" s="21"/>
      <c r="E777" s="21"/>
      <c r="T777" s="21"/>
      <c r="V777" s="456"/>
      <c r="AA777" s="456"/>
    </row>
    <row r="778" spans="4:27" ht="15.75" customHeight="1">
      <c r="D778" s="21"/>
      <c r="E778" s="21"/>
      <c r="T778" s="21"/>
      <c r="V778" s="456"/>
      <c r="AA778" s="456"/>
    </row>
    <row r="779" spans="4:27" ht="15.75" customHeight="1">
      <c r="D779" s="21"/>
      <c r="E779" s="21"/>
      <c r="T779" s="21"/>
      <c r="V779" s="456"/>
      <c r="AA779" s="456"/>
    </row>
    <row r="780" spans="4:27" ht="15.75" customHeight="1">
      <c r="D780" s="21"/>
      <c r="E780" s="21"/>
      <c r="T780" s="21"/>
      <c r="V780" s="456"/>
      <c r="AA780" s="456"/>
    </row>
    <row r="781" spans="4:27" ht="15.75" customHeight="1">
      <c r="D781" s="21"/>
      <c r="E781" s="21"/>
      <c r="T781" s="21"/>
      <c r="V781" s="456"/>
      <c r="AA781" s="456"/>
    </row>
    <row r="782" spans="4:27" ht="15.75" customHeight="1">
      <c r="D782" s="21"/>
      <c r="E782" s="21"/>
      <c r="T782" s="21"/>
      <c r="V782" s="456"/>
      <c r="AA782" s="456"/>
    </row>
    <row r="783" spans="4:27" ht="15.75" customHeight="1">
      <c r="D783" s="21"/>
      <c r="E783" s="21"/>
      <c r="T783" s="21"/>
      <c r="V783" s="456"/>
      <c r="AA783" s="456"/>
    </row>
    <row r="784" spans="4:27" ht="15.75" customHeight="1">
      <c r="D784" s="21"/>
      <c r="E784" s="21"/>
      <c r="T784" s="21"/>
      <c r="V784" s="456"/>
      <c r="AA784" s="456"/>
    </row>
    <row r="785" spans="4:27" ht="15.75" customHeight="1">
      <c r="D785" s="21"/>
      <c r="E785" s="21"/>
      <c r="T785" s="21"/>
      <c r="V785" s="456"/>
      <c r="AA785" s="456"/>
    </row>
    <row r="786" spans="4:27" ht="15.75" customHeight="1">
      <c r="D786" s="21"/>
      <c r="E786" s="21"/>
      <c r="T786" s="21"/>
      <c r="V786" s="456"/>
      <c r="AA786" s="456"/>
    </row>
    <row r="787" spans="4:27" ht="15.75" customHeight="1">
      <c r="D787" s="21"/>
      <c r="E787" s="21"/>
      <c r="T787" s="21"/>
      <c r="V787" s="456"/>
      <c r="AA787" s="456"/>
    </row>
    <row r="788" spans="4:27" ht="15.75" customHeight="1">
      <c r="D788" s="21"/>
      <c r="E788" s="21"/>
      <c r="T788" s="21"/>
      <c r="V788" s="456"/>
      <c r="AA788" s="456"/>
    </row>
    <row r="789" spans="4:27" ht="15.75" customHeight="1">
      <c r="D789" s="21"/>
      <c r="E789" s="21"/>
      <c r="T789" s="21"/>
      <c r="V789" s="456"/>
      <c r="AA789" s="456"/>
    </row>
    <row r="790" spans="4:27" ht="15.75" customHeight="1">
      <c r="D790" s="21"/>
      <c r="E790" s="21"/>
      <c r="T790" s="21"/>
      <c r="V790" s="456"/>
      <c r="AA790" s="456"/>
    </row>
    <row r="791" spans="4:27" ht="15.75" customHeight="1">
      <c r="D791" s="21"/>
      <c r="E791" s="21"/>
      <c r="T791" s="21"/>
      <c r="V791" s="456"/>
      <c r="AA791" s="456"/>
    </row>
    <row r="792" spans="4:27" ht="15.75" customHeight="1">
      <c r="D792" s="21"/>
      <c r="E792" s="21"/>
      <c r="T792" s="21"/>
      <c r="V792" s="456"/>
      <c r="AA792" s="456"/>
    </row>
    <row r="793" spans="4:27" ht="15.75" customHeight="1">
      <c r="D793" s="21"/>
      <c r="E793" s="21"/>
      <c r="T793" s="21"/>
      <c r="V793" s="456"/>
      <c r="AA793" s="456"/>
    </row>
    <row r="794" spans="4:27" ht="15.75" customHeight="1">
      <c r="D794" s="21"/>
      <c r="E794" s="21"/>
      <c r="T794" s="21"/>
      <c r="V794" s="456"/>
      <c r="AA794" s="456"/>
    </row>
    <row r="795" spans="4:27" ht="15.75" customHeight="1">
      <c r="D795" s="21"/>
      <c r="E795" s="21"/>
      <c r="T795" s="21"/>
      <c r="V795" s="456"/>
      <c r="AA795" s="456"/>
    </row>
    <row r="796" spans="4:27" ht="15.75" customHeight="1">
      <c r="D796" s="21"/>
      <c r="E796" s="21"/>
      <c r="T796" s="21"/>
      <c r="V796" s="456"/>
      <c r="AA796" s="456"/>
    </row>
    <row r="797" spans="4:27" ht="15.75" customHeight="1">
      <c r="D797" s="21"/>
      <c r="E797" s="21"/>
      <c r="T797" s="21"/>
      <c r="V797" s="456"/>
      <c r="AA797" s="456"/>
    </row>
    <row r="798" spans="4:27" ht="15.75" customHeight="1">
      <c r="D798" s="21"/>
      <c r="E798" s="21"/>
      <c r="T798" s="21"/>
      <c r="V798" s="456"/>
      <c r="AA798" s="456"/>
    </row>
    <row r="799" spans="4:27" ht="15.75" customHeight="1">
      <c r="D799" s="21"/>
      <c r="E799" s="21"/>
      <c r="T799" s="21"/>
      <c r="V799" s="456"/>
      <c r="AA799" s="456"/>
    </row>
    <row r="800" spans="4:27" ht="15.75" customHeight="1">
      <c r="D800" s="21"/>
      <c r="E800" s="21"/>
      <c r="T800" s="21"/>
      <c r="V800" s="456"/>
      <c r="AA800" s="456"/>
    </row>
    <row r="801" spans="4:27" ht="15.75" customHeight="1">
      <c r="D801" s="21"/>
      <c r="E801" s="21"/>
      <c r="T801" s="21"/>
      <c r="V801" s="456"/>
      <c r="AA801" s="456"/>
    </row>
    <row r="802" spans="4:27" ht="15.75" customHeight="1">
      <c r="D802" s="21"/>
      <c r="E802" s="21"/>
      <c r="T802" s="21"/>
      <c r="V802" s="456"/>
      <c r="AA802" s="456"/>
    </row>
    <row r="803" spans="4:27" ht="15.75" customHeight="1">
      <c r="D803" s="21"/>
      <c r="E803" s="21"/>
      <c r="T803" s="21"/>
      <c r="V803" s="456"/>
      <c r="AA803" s="456"/>
    </row>
    <row r="804" spans="4:27" ht="15.75" customHeight="1">
      <c r="D804" s="21"/>
      <c r="E804" s="21"/>
      <c r="T804" s="21"/>
      <c r="V804" s="456"/>
      <c r="AA804" s="456"/>
    </row>
    <row r="805" spans="4:27" ht="15.75" customHeight="1">
      <c r="D805" s="21"/>
      <c r="E805" s="21"/>
      <c r="T805" s="21"/>
      <c r="V805" s="456"/>
      <c r="AA805" s="456"/>
    </row>
    <row r="806" spans="4:27" ht="15.75" customHeight="1">
      <c r="D806" s="21"/>
      <c r="E806" s="21"/>
      <c r="T806" s="21"/>
      <c r="V806" s="456"/>
      <c r="AA806" s="456"/>
    </row>
    <row r="807" spans="4:27" ht="15.75" customHeight="1">
      <c r="D807" s="21"/>
      <c r="E807" s="21"/>
      <c r="T807" s="21"/>
      <c r="V807" s="456"/>
      <c r="AA807" s="456"/>
    </row>
    <row r="808" spans="4:27" ht="15.75" customHeight="1">
      <c r="D808" s="21"/>
      <c r="E808" s="21"/>
      <c r="T808" s="21"/>
      <c r="V808" s="456"/>
      <c r="AA808" s="456"/>
    </row>
    <row r="809" spans="4:27" ht="15.75" customHeight="1">
      <c r="D809" s="21"/>
      <c r="E809" s="21"/>
      <c r="T809" s="21"/>
      <c r="V809" s="456"/>
      <c r="AA809" s="456"/>
    </row>
    <row r="810" spans="4:27" ht="15.75" customHeight="1">
      <c r="D810" s="21"/>
      <c r="E810" s="21"/>
      <c r="T810" s="21"/>
      <c r="V810" s="456"/>
      <c r="AA810" s="456"/>
    </row>
    <row r="811" spans="4:27" ht="15.75" customHeight="1">
      <c r="D811" s="21"/>
      <c r="E811" s="21"/>
      <c r="T811" s="21"/>
      <c r="V811" s="456"/>
      <c r="AA811" s="456"/>
    </row>
    <row r="812" spans="4:27" ht="15.75" customHeight="1">
      <c r="D812" s="21"/>
      <c r="E812" s="21"/>
      <c r="T812" s="21"/>
      <c r="V812" s="456"/>
      <c r="AA812" s="456"/>
    </row>
    <row r="813" spans="4:27" ht="15.75" customHeight="1">
      <c r="D813" s="21"/>
      <c r="E813" s="21"/>
      <c r="T813" s="21"/>
      <c r="V813" s="456"/>
      <c r="AA813" s="456"/>
    </row>
    <row r="814" spans="4:27" ht="15.75" customHeight="1">
      <c r="D814" s="21"/>
      <c r="E814" s="21"/>
      <c r="T814" s="21"/>
      <c r="V814" s="456"/>
      <c r="AA814" s="456"/>
    </row>
    <row r="815" spans="4:27" ht="15.75" customHeight="1">
      <c r="D815" s="21"/>
      <c r="E815" s="21"/>
      <c r="T815" s="21"/>
      <c r="V815" s="456"/>
      <c r="AA815" s="456"/>
    </row>
    <row r="816" spans="4:27" ht="15.75" customHeight="1">
      <c r="D816" s="21"/>
      <c r="E816" s="21"/>
      <c r="T816" s="21"/>
      <c r="V816" s="456"/>
      <c r="AA816" s="456"/>
    </row>
    <row r="817" spans="4:27" ht="15.75" customHeight="1">
      <c r="D817" s="21"/>
      <c r="E817" s="21"/>
      <c r="T817" s="21"/>
      <c r="V817" s="456"/>
      <c r="AA817" s="456"/>
    </row>
    <row r="818" spans="4:27" ht="15.75" customHeight="1">
      <c r="D818" s="21"/>
      <c r="E818" s="21"/>
      <c r="T818" s="21"/>
      <c r="V818" s="456"/>
      <c r="AA818" s="456"/>
    </row>
    <row r="819" spans="4:27" ht="15.75" customHeight="1">
      <c r="D819" s="21"/>
      <c r="E819" s="21"/>
      <c r="T819" s="21"/>
      <c r="V819" s="456"/>
      <c r="AA819" s="456"/>
    </row>
    <row r="820" spans="4:27" ht="15.75" customHeight="1">
      <c r="D820" s="21"/>
      <c r="E820" s="21"/>
      <c r="T820" s="21"/>
      <c r="V820" s="456"/>
      <c r="AA820" s="456"/>
    </row>
    <row r="821" spans="4:27" ht="15.75" customHeight="1">
      <c r="D821" s="21"/>
      <c r="E821" s="21"/>
      <c r="T821" s="21"/>
      <c r="V821" s="456"/>
      <c r="AA821" s="456"/>
    </row>
    <row r="822" spans="4:27" ht="15.75" customHeight="1">
      <c r="D822" s="21"/>
      <c r="E822" s="21"/>
      <c r="T822" s="21"/>
      <c r="V822" s="456"/>
      <c r="AA822" s="456"/>
    </row>
    <row r="823" spans="4:27" ht="15.75" customHeight="1">
      <c r="D823" s="21"/>
      <c r="E823" s="21"/>
      <c r="T823" s="21"/>
      <c r="V823" s="456"/>
      <c r="AA823" s="456"/>
    </row>
    <row r="824" spans="4:27" ht="15.75" customHeight="1">
      <c r="D824" s="21"/>
      <c r="E824" s="21"/>
      <c r="T824" s="21"/>
      <c r="V824" s="456"/>
      <c r="AA824" s="456"/>
    </row>
    <row r="825" spans="4:27" ht="15.75" customHeight="1">
      <c r="D825" s="21"/>
      <c r="E825" s="21"/>
      <c r="T825" s="21"/>
      <c r="V825" s="456"/>
      <c r="AA825" s="456"/>
    </row>
    <row r="826" spans="4:27" ht="15.75" customHeight="1">
      <c r="D826" s="21"/>
      <c r="E826" s="21"/>
      <c r="T826" s="21"/>
      <c r="V826" s="456"/>
      <c r="AA826" s="456"/>
    </row>
    <row r="827" spans="4:27" ht="15.75" customHeight="1">
      <c r="D827" s="21"/>
      <c r="E827" s="21"/>
      <c r="T827" s="21"/>
      <c r="V827" s="456"/>
      <c r="AA827" s="456"/>
    </row>
    <row r="828" spans="4:27" ht="15.75" customHeight="1">
      <c r="D828" s="21"/>
      <c r="E828" s="21"/>
      <c r="T828" s="21"/>
      <c r="V828" s="456"/>
      <c r="AA828" s="456"/>
    </row>
    <row r="829" spans="4:27" ht="15.75" customHeight="1">
      <c r="D829" s="21"/>
      <c r="E829" s="21"/>
      <c r="T829" s="21"/>
      <c r="V829" s="456"/>
      <c r="AA829" s="456"/>
    </row>
    <row r="830" spans="4:27" ht="15.75" customHeight="1">
      <c r="D830" s="21"/>
      <c r="E830" s="21"/>
      <c r="T830" s="21"/>
      <c r="V830" s="456"/>
      <c r="AA830" s="456"/>
    </row>
    <row r="831" spans="4:27" ht="15.75" customHeight="1">
      <c r="D831" s="21"/>
      <c r="E831" s="21"/>
      <c r="T831" s="21"/>
      <c r="V831" s="456"/>
      <c r="AA831" s="456"/>
    </row>
    <row r="832" spans="4:27" ht="15.75" customHeight="1">
      <c r="D832" s="21"/>
      <c r="E832" s="21"/>
      <c r="T832" s="21"/>
      <c r="V832" s="456"/>
      <c r="AA832" s="456"/>
    </row>
    <row r="833" spans="4:27" ht="15.75" customHeight="1">
      <c r="D833" s="21"/>
      <c r="E833" s="21"/>
      <c r="T833" s="21"/>
      <c r="V833" s="456"/>
      <c r="AA833" s="456"/>
    </row>
    <row r="834" spans="4:27" ht="15.75" customHeight="1">
      <c r="D834" s="21"/>
      <c r="E834" s="21"/>
      <c r="T834" s="21"/>
      <c r="V834" s="456"/>
      <c r="AA834" s="456"/>
    </row>
    <row r="835" spans="4:27" ht="15.75" customHeight="1">
      <c r="D835" s="21"/>
      <c r="E835" s="21"/>
      <c r="T835" s="21"/>
      <c r="V835" s="456"/>
      <c r="AA835" s="456"/>
    </row>
    <row r="836" spans="4:27" ht="15.75" customHeight="1">
      <c r="D836" s="21"/>
      <c r="E836" s="21"/>
      <c r="T836" s="21"/>
      <c r="V836" s="456"/>
      <c r="AA836" s="456"/>
    </row>
    <row r="837" spans="4:27" ht="15.75" customHeight="1">
      <c r="D837" s="21"/>
      <c r="E837" s="21"/>
      <c r="T837" s="21"/>
      <c r="V837" s="456"/>
      <c r="AA837" s="456"/>
    </row>
    <row r="838" spans="4:27" ht="15.75" customHeight="1">
      <c r="D838" s="21"/>
      <c r="E838" s="21"/>
      <c r="T838" s="21"/>
      <c r="V838" s="456"/>
      <c r="AA838" s="456"/>
    </row>
    <row r="839" spans="4:27" ht="15.75" customHeight="1">
      <c r="D839" s="21"/>
      <c r="E839" s="21"/>
      <c r="T839" s="21"/>
      <c r="V839" s="456"/>
      <c r="AA839" s="456"/>
    </row>
    <row r="840" spans="4:27" ht="15.75" customHeight="1">
      <c r="D840" s="21"/>
      <c r="E840" s="21"/>
      <c r="T840" s="21"/>
      <c r="V840" s="456"/>
      <c r="AA840" s="456"/>
    </row>
    <row r="841" spans="4:27" ht="15.75" customHeight="1">
      <c r="D841" s="21"/>
      <c r="E841" s="21"/>
      <c r="T841" s="21"/>
      <c r="V841" s="456"/>
      <c r="AA841" s="456"/>
    </row>
    <row r="842" spans="4:27" ht="15.75" customHeight="1">
      <c r="D842" s="21"/>
      <c r="E842" s="21"/>
      <c r="T842" s="21"/>
      <c r="V842" s="456"/>
      <c r="AA842" s="456"/>
    </row>
    <row r="843" spans="4:27" ht="15.75" customHeight="1">
      <c r="D843" s="21"/>
      <c r="E843" s="21"/>
      <c r="T843" s="21"/>
      <c r="V843" s="456"/>
      <c r="AA843" s="456"/>
    </row>
    <row r="844" spans="4:27" ht="15.75" customHeight="1">
      <c r="D844" s="21"/>
      <c r="E844" s="21"/>
      <c r="T844" s="21"/>
      <c r="V844" s="456"/>
      <c r="AA844" s="456"/>
    </row>
    <row r="845" spans="4:27" ht="15.75" customHeight="1">
      <c r="D845" s="21"/>
      <c r="E845" s="21"/>
      <c r="T845" s="21"/>
      <c r="V845" s="456"/>
      <c r="AA845" s="456"/>
    </row>
    <row r="846" spans="4:27" ht="15.75" customHeight="1">
      <c r="D846" s="21"/>
      <c r="E846" s="21"/>
      <c r="T846" s="21"/>
      <c r="V846" s="456"/>
      <c r="AA846" s="456"/>
    </row>
    <row r="847" spans="4:27" ht="15.75" customHeight="1">
      <c r="D847" s="21"/>
      <c r="E847" s="21"/>
      <c r="T847" s="21"/>
      <c r="V847" s="456"/>
      <c r="AA847" s="456"/>
    </row>
    <row r="848" spans="4:27" ht="15.75" customHeight="1">
      <c r="D848" s="21"/>
      <c r="E848" s="21"/>
      <c r="T848" s="21"/>
      <c r="V848" s="456"/>
      <c r="AA848" s="456"/>
    </row>
    <row r="849" spans="4:27" ht="15.75" customHeight="1">
      <c r="D849" s="21"/>
      <c r="E849" s="21"/>
      <c r="T849" s="21"/>
      <c r="V849" s="456"/>
      <c r="AA849" s="456"/>
    </row>
    <row r="850" spans="4:27" ht="15.75" customHeight="1">
      <c r="D850" s="21"/>
      <c r="E850" s="21"/>
      <c r="T850" s="21"/>
      <c r="V850" s="456"/>
      <c r="AA850" s="456"/>
    </row>
    <row r="851" spans="4:27" ht="15.75" customHeight="1">
      <c r="D851" s="21"/>
      <c r="E851" s="21"/>
      <c r="T851" s="21"/>
      <c r="V851" s="456"/>
      <c r="AA851" s="456"/>
    </row>
    <row r="852" spans="4:27" ht="15.75" customHeight="1">
      <c r="D852" s="21"/>
      <c r="E852" s="21"/>
      <c r="T852" s="21"/>
      <c r="V852" s="456"/>
      <c r="AA852" s="456"/>
    </row>
    <row r="853" spans="4:27" ht="15.75" customHeight="1">
      <c r="D853" s="21"/>
      <c r="E853" s="21"/>
      <c r="T853" s="21"/>
      <c r="V853" s="456"/>
      <c r="AA853" s="456"/>
    </row>
    <row r="854" spans="4:27" ht="15.75" customHeight="1">
      <c r="D854" s="21"/>
      <c r="E854" s="21"/>
      <c r="T854" s="21"/>
      <c r="V854" s="456"/>
      <c r="AA854" s="456"/>
    </row>
    <row r="855" spans="4:27" ht="15.75" customHeight="1">
      <c r="D855" s="21"/>
      <c r="E855" s="21"/>
      <c r="T855" s="21"/>
      <c r="V855" s="456"/>
      <c r="AA855" s="456"/>
    </row>
    <row r="856" spans="4:27" ht="15.75" customHeight="1">
      <c r="D856" s="21"/>
      <c r="E856" s="21"/>
      <c r="T856" s="21"/>
      <c r="V856" s="456"/>
      <c r="AA856" s="456"/>
    </row>
    <row r="857" spans="4:27" ht="15.75" customHeight="1">
      <c r="D857" s="21"/>
      <c r="E857" s="21"/>
      <c r="T857" s="21"/>
      <c r="V857" s="456"/>
      <c r="AA857" s="456"/>
    </row>
    <row r="858" spans="4:27" ht="15.75" customHeight="1">
      <c r="D858" s="21"/>
      <c r="E858" s="21"/>
      <c r="T858" s="21"/>
      <c r="V858" s="456"/>
      <c r="AA858" s="456"/>
    </row>
    <row r="859" spans="4:27" ht="15.75" customHeight="1">
      <c r="D859" s="21"/>
      <c r="E859" s="21"/>
      <c r="T859" s="21"/>
      <c r="V859" s="456"/>
      <c r="AA859" s="456"/>
    </row>
    <row r="860" spans="4:27" ht="15.75" customHeight="1">
      <c r="D860" s="21"/>
      <c r="E860" s="21"/>
      <c r="T860" s="21"/>
      <c r="V860" s="456"/>
      <c r="AA860" s="456"/>
    </row>
    <row r="861" spans="4:27" ht="15.75" customHeight="1">
      <c r="D861" s="21"/>
      <c r="E861" s="21"/>
      <c r="T861" s="21"/>
      <c r="V861" s="456"/>
      <c r="AA861" s="456"/>
    </row>
    <row r="862" spans="4:27" ht="15.75" customHeight="1">
      <c r="D862" s="21"/>
      <c r="E862" s="21"/>
      <c r="T862" s="21"/>
      <c r="V862" s="456"/>
      <c r="AA862" s="456"/>
    </row>
    <row r="863" spans="4:27" ht="15.75" customHeight="1">
      <c r="D863" s="21"/>
      <c r="E863" s="21"/>
      <c r="T863" s="21"/>
      <c r="V863" s="456"/>
      <c r="AA863" s="456"/>
    </row>
    <row r="864" spans="4:27" ht="15.75" customHeight="1">
      <c r="D864" s="21"/>
      <c r="E864" s="21"/>
      <c r="T864" s="21"/>
      <c r="V864" s="456"/>
      <c r="AA864" s="456"/>
    </row>
    <row r="865" spans="4:27" ht="15.75" customHeight="1">
      <c r="D865" s="21"/>
      <c r="E865" s="21"/>
      <c r="T865" s="21"/>
      <c r="V865" s="456"/>
      <c r="AA865" s="456"/>
    </row>
    <row r="866" spans="4:27" ht="15.75" customHeight="1">
      <c r="D866" s="21"/>
      <c r="E866" s="21"/>
      <c r="T866" s="21"/>
      <c r="V866" s="456"/>
      <c r="AA866" s="456"/>
    </row>
    <row r="867" spans="4:27" ht="15.75" customHeight="1">
      <c r="D867" s="21"/>
      <c r="E867" s="21"/>
      <c r="T867" s="21"/>
      <c r="V867" s="456"/>
      <c r="AA867" s="456"/>
    </row>
    <row r="868" spans="4:27" ht="15.75" customHeight="1">
      <c r="D868" s="21"/>
      <c r="E868" s="21"/>
      <c r="T868" s="21"/>
      <c r="V868" s="456"/>
      <c r="AA868" s="456"/>
    </row>
    <row r="869" spans="4:27" ht="15.75" customHeight="1">
      <c r="D869" s="21"/>
      <c r="E869" s="21"/>
      <c r="T869" s="21"/>
      <c r="V869" s="456"/>
      <c r="AA869" s="456"/>
    </row>
    <row r="870" spans="4:27" ht="15.75" customHeight="1">
      <c r="D870" s="21"/>
      <c r="E870" s="21"/>
      <c r="T870" s="21"/>
      <c r="V870" s="456"/>
      <c r="AA870" s="456"/>
    </row>
    <row r="871" spans="4:27" ht="15.75" customHeight="1">
      <c r="D871" s="21"/>
      <c r="E871" s="21"/>
      <c r="T871" s="21"/>
      <c r="V871" s="456"/>
      <c r="AA871" s="456"/>
    </row>
    <row r="872" spans="4:27" ht="15.75" customHeight="1">
      <c r="D872" s="21"/>
      <c r="E872" s="21"/>
      <c r="T872" s="21"/>
      <c r="V872" s="456"/>
      <c r="AA872" s="456"/>
    </row>
    <row r="873" spans="4:27" ht="15.75" customHeight="1">
      <c r="D873" s="21"/>
      <c r="E873" s="21"/>
      <c r="T873" s="21"/>
      <c r="V873" s="456"/>
      <c r="AA873" s="456"/>
    </row>
    <row r="874" spans="4:27" ht="15.75" customHeight="1">
      <c r="D874" s="21"/>
      <c r="E874" s="21"/>
      <c r="T874" s="21"/>
      <c r="V874" s="456"/>
      <c r="AA874" s="456"/>
    </row>
    <row r="875" spans="4:27" ht="15.75" customHeight="1">
      <c r="D875" s="21"/>
      <c r="E875" s="21"/>
      <c r="T875" s="21"/>
      <c r="V875" s="456"/>
      <c r="AA875" s="456"/>
    </row>
    <row r="876" spans="4:27" ht="15.75" customHeight="1">
      <c r="D876" s="21"/>
      <c r="E876" s="21"/>
      <c r="T876" s="21"/>
      <c r="V876" s="456"/>
      <c r="AA876" s="456"/>
    </row>
    <row r="877" spans="4:27" ht="15.75" customHeight="1">
      <c r="D877" s="21"/>
      <c r="E877" s="21"/>
      <c r="T877" s="21"/>
      <c r="V877" s="456"/>
      <c r="AA877" s="456"/>
    </row>
    <row r="878" spans="4:27" ht="15.75" customHeight="1">
      <c r="D878" s="21"/>
      <c r="E878" s="21"/>
      <c r="T878" s="21"/>
      <c r="V878" s="456"/>
      <c r="AA878" s="456"/>
    </row>
    <row r="879" spans="4:27" ht="15.75" customHeight="1">
      <c r="D879" s="21"/>
      <c r="E879" s="21"/>
      <c r="T879" s="21"/>
      <c r="V879" s="456"/>
      <c r="AA879" s="456"/>
    </row>
    <row r="880" spans="4:27" ht="15.75" customHeight="1">
      <c r="D880" s="21"/>
      <c r="E880" s="21"/>
      <c r="T880" s="21"/>
      <c r="V880" s="456"/>
      <c r="AA880" s="456"/>
    </row>
    <row r="881" spans="4:27" ht="15.75" customHeight="1">
      <c r="D881" s="21"/>
      <c r="E881" s="21"/>
      <c r="T881" s="21"/>
      <c r="V881" s="456"/>
      <c r="AA881" s="456"/>
    </row>
    <row r="882" spans="4:27" ht="15.75" customHeight="1">
      <c r="D882" s="21"/>
      <c r="E882" s="21"/>
      <c r="T882" s="21"/>
      <c r="V882" s="456"/>
      <c r="AA882" s="456"/>
    </row>
    <row r="883" spans="4:27" ht="15.75" customHeight="1">
      <c r="D883" s="21"/>
      <c r="E883" s="21"/>
      <c r="T883" s="21"/>
      <c r="V883" s="456"/>
      <c r="AA883" s="456"/>
    </row>
    <row r="884" spans="4:27" ht="15.75" customHeight="1">
      <c r="D884" s="21"/>
      <c r="E884" s="21"/>
      <c r="T884" s="21"/>
      <c r="V884" s="456"/>
      <c r="AA884" s="456"/>
    </row>
    <row r="885" spans="4:27" ht="15.75" customHeight="1">
      <c r="D885" s="21"/>
      <c r="E885" s="21"/>
      <c r="T885" s="21"/>
      <c r="V885" s="456"/>
      <c r="AA885" s="456"/>
    </row>
    <row r="886" spans="4:27" ht="15.75" customHeight="1">
      <c r="D886" s="21"/>
      <c r="E886" s="21"/>
      <c r="T886" s="21"/>
      <c r="V886" s="456"/>
      <c r="AA886" s="456"/>
    </row>
    <row r="887" spans="4:27" ht="15.75" customHeight="1">
      <c r="D887" s="21"/>
      <c r="E887" s="21"/>
      <c r="T887" s="21"/>
      <c r="V887" s="456"/>
      <c r="AA887" s="456"/>
    </row>
    <row r="888" spans="4:27" ht="15.75" customHeight="1">
      <c r="D888" s="21"/>
      <c r="E888" s="21"/>
      <c r="T888" s="21"/>
      <c r="V888" s="456"/>
      <c r="AA888" s="456"/>
    </row>
    <row r="889" spans="4:27" ht="15.75" customHeight="1">
      <c r="D889" s="21"/>
      <c r="E889" s="21"/>
      <c r="T889" s="21"/>
      <c r="V889" s="456"/>
      <c r="AA889" s="456"/>
    </row>
    <row r="890" spans="4:27" ht="15.75" customHeight="1">
      <c r="D890" s="21"/>
      <c r="E890" s="21"/>
      <c r="T890" s="21"/>
      <c r="V890" s="456"/>
      <c r="AA890" s="456"/>
    </row>
    <row r="891" spans="4:27" ht="15.75" customHeight="1">
      <c r="D891" s="21"/>
      <c r="E891" s="21"/>
      <c r="T891" s="21"/>
      <c r="V891" s="456"/>
      <c r="AA891" s="456"/>
    </row>
    <row r="892" spans="4:27" ht="15.75" customHeight="1">
      <c r="D892" s="21"/>
      <c r="E892" s="21"/>
      <c r="T892" s="21"/>
      <c r="V892" s="456"/>
      <c r="AA892" s="456"/>
    </row>
    <row r="893" spans="4:27" ht="15.75" customHeight="1">
      <c r="D893" s="21"/>
      <c r="E893" s="21"/>
      <c r="T893" s="21"/>
      <c r="V893" s="456"/>
      <c r="AA893" s="456"/>
    </row>
    <row r="894" spans="4:27" ht="15.75" customHeight="1">
      <c r="D894" s="21"/>
      <c r="E894" s="21"/>
      <c r="T894" s="21"/>
      <c r="V894" s="456"/>
      <c r="AA894" s="456"/>
    </row>
    <row r="895" spans="4:27" ht="15.75" customHeight="1">
      <c r="D895" s="21"/>
      <c r="E895" s="21"/>
      <c r="T895" s="21"/>
      <c r="V895" s="456"/>
      <c r="AA895" s="456"/>
    </row>
    <row r="896" spans="4:27" ht="15.75" customHeight="1">
      <c r="D896" s="21"/>
      <c r="E896" s="21"/>
      <c r="T896" s="21"/>
      <c r="V896" s="456"/>
      <c r="AA896" s="456"/>
    </row>
    <row r="897" spans="4:27" ht="15.75" customHeight="1">
      <c r="D897" s="21"/>
      <c r="E897" s="21"/>
      <c r="T897" s="21"/>
      <c r="V897" s="456"/>
      <c r="AA897" s="456"/>
    </row>
    <row r="898" spans="4:27" ht="15.75" customHeight="1">
      <c r="D898" s="21"/>
      <c r="E898" s="21"/>
      <c r="T898" s="21"/>
      <c r="V898" s="456"/>
      <c r="AA898" s="456"/>
    </row>
    <row r="899" spans="4:27" ht="15.75" customHeight="1">
      <c r="D899" s="21"/>
      <c r="E899" s="21"/>
      <c r="T899" s="21"/>
      <c r="V899" s="456"/>
      <c r="AA899" s="456"/>
    </row>
    <row r="900" spans="4:27" ht="15.75" customHeight="1">
      <c r="D900" s="21"/>
      <c r="E900" s="21"/>
      <c r="T900" s="21"/>
      <c r="V900" s="456"/>
      <c r="AA900" s="456"/>
    </row>
    <row r="901" spans="4:27" ht="15.75" customHeight="1">
      <c r="D901" s="21"/>
      <c r="E901" s="21"/>
      <c r="T901" s="21"/>
      <c r="V901" s="456"/>
      <c r="AA901" s="456"/>
    </row>
    <row r="902" spans="4:27" ht="15.75" customHeight="1">
      <c r="D902" s="21"/>
      <c r="E902" s="21"/>
      <c r="T902" s="21"/>
      <c r="V902" s="456"/>
      <c r="AA902" s="456"/>
    </row>
    <row r="903" spans="4:27" ht="15.75" customHeight="1">
      <c r="D903" s="21"/>
      <c r="E903" s="21"/>
      <c r="T903" s="21"/>
      <c r="V903" s="456"/>
      <c r="AA903" s="456"/>
    </row>
    <row r="904" spans="4:27" ht="15.75" customHeight="1">
      <c r="D904" s="21"/>
      <c r="E904" s="21"/>
      <c r="T904" s="21"/>
      <c r="V904" s="456"/>
      <c r="AA904" s="456"/>
    </row>
    <row r="905" spans="4:27" ht="15.75" customHeight="1">
      <c r="D905" s="21"/>
      <c r="E905" s="21"/>
      <c r="T905" s="21"/>
      <c r="V905" s="456"/>
      <c r="AA905" s="456"/>
    </row>
    <row r="906" spans="4:27" ht="15.75" customHeight="1">
      <c r="D906" s="21"/>
      <c r="E906" s="21"/>
      <c r="T906" s="21"/>
      <c r="V906" s="456"/>
      <c r="AA906" s="456"/>
    </row>
    <row r="907" spans="4:27" ht="15.75" customHeight="1">
      <c r="D907" s="21"/>
      <c r="E907" s="21"/>
      <c r="T907" s="21"/>
      <c r="V907" s="456"/>
      <c r="AA907" s="456"/>
    </row>
    <row r="908" spans="4:27" ht="15.75" customHeight="1">
      <c r="D908" s="21"/>
      <c r="E908" s="21"/>
      <c r="T908" s="21"/>
      <c r="V908" s="456"/>
      <c r="AA908" s="456"/>
    </row>
    <row r="909" spans="4:27" ht="15.75" customHeight="1">
      <c r="D909" s="21"/>
      <c r="E909" s="21"/>
      <c r="T909" s="21"/>
      <c r="V909" s="456"/>
      <c r="AA909" s="456"/>
    </row>
    <row r="910" spans="4:27" ht="15.75" customHeight="1">
      <c r="D910" s="21"/>
      <c r="E910" s="21"/>
      <c r="T910" s="21"/>
      <c r="V910" s="456"/>
      <c r="AA910" s="456"/>
    </row>
    <row r="911" spans="4:27" ht="15.75" customHeight="1">
      <c r="D911" s="21"/>
      <c r="E911" s="21"/>
      <c r="T911" s="21"/>
      <c r="V911" s="456"/>
      <c r="AA911" s="456"/>
    </row>
    <row r="912" spans="4:27" ht="15.75" customHeight="1">
      <c r="D912" s="21"/>
      <c r="E912" s="21"/>
      <c r="T912" s="21"/>
      <c r="V912" s="456"/>
      <c r="AA912" s="456"/>
    </row>
    <row r="913" spans="4:27" ht="15.75" customHeight="1">
      <c r="D913" s="21"/>
      <c r="E913" s="21"/>
      <c r="T913" s="21"/>
      <c r="V913" s="456"/>
      <c r="AA913" s="456"/>
    </row>
    <row r="914" spans="4:27" ht="15.75" customHeight="1">
      <c r="D914" s="21"/>
      <c r="E914" s="21"/>
      <c r="T914" s="21"/>
      <c r="V914" s="456"/>
      <c r="AA914" s="456"/>
    </row>
    <row r="915" spans="4:27" ht="15.75" customHeight="1">
      <c r="D915" s="21"/>
      <c r="E915" s="21"/>
      <c r="T915" s="21"/>
      <c r="V915" s="456"/>
      <c r="AA915" s="456"/>
    </row>
    <row r="916" spans="4:27" ht="15.75" customHeight="1">
      <c r="D916" s="21"/>
      <c r="E916" s="21"/>
      <c r="T916" s="21"/>
      <c r="V916" s="456"/>
      <c r="AA916" s="456"/>
    </row>
    <row r="917" spans="4:27" ht="15.75" customHeight="1">
      <c r="D917" s="21"/>
      <c r="E917" s="21"/>
      <c r="T917" s="21"/>
      <c r="V917" s="456"/>
      <c r="AA917" s="456"/>
    </row>
    <row r="918" spans="4:27" ht="15.75" customHeight="1">
      <c r="D918" s="21"/>
      <c r="E918" s="21"/>
      <c r="T918" s="21"/>
      <c r="V918" s="456"/>
      <c r="AA918" s="456"/>
    </row>
    <row r="919" spans="4:27" ht="15.75" customHeight="1">
      <c r="D919" s="21"/>
      <c r="E919" s="21"/>
      <c r="T919" s="21"/>
      <c r="V919" s="456"/>
      <c r="AA919" s="456"/>
    </row>
    <row r="920" spans="4:27" ht="15.75" customHeight="1">
      <c r="D920" s="21"/>
      <c r="E920" s="21"/>
      <c r="T920" s="21"/>
      <c r="V920" s="456"/>
      <c r="AA920" s="456"/>
    </row>
    <row r="921" spans="4:27" ht="15.75" customHeight="1">
      <c r="D921" s="21"/>
      <c r="E921" s="21"/>
      <c r="T921" s="21"/>
      <c r="V921" s="456"/>
      <c r="AA921" s="456"/>
    </row>
    <row r="922" spans="4:27" ht="15.75" customHeight="1">
      <c r="D922" s="21"/>
      <c r="E922" s="21"/>
      <c r="T922" s="21"/>
      <c r="V922" s="456"/>
      <c r="AA922" s="456"/>
    </row>
    <row r="923" spans="4:27" ht="15.75" customHeight="1">
      <c r="D923" s="21"/>
      <c r="E923" s="21"/>
      <c r="T923" s="21"/>
      <c r="V923" s="456"/>
      <c r="AA923" s="456"/>
    </row>
    <row r="924" spans="4:27" ht="15.75" customHeight="1">
      <c r="D924" s="21"/>
      <c r="E924" s="21"/>
      <c r="T924" s="21"/>
      <c r="V924" s="456"/>
      <c r="AA924" s="456"/>
    </row>
    <row r="925" spans="4:27" ht="15.75" customHeight="1">
      <c r="D925" s="21"/>
      <c r="E925" s="21"/>
      <c r="T925" s="21"/>
      <c r="V925" s="456"/>
      <c r="AA925" s="456"/>
    </row>
    <row r="926" spans="4:27" ht="15.75" customHeight="1">
      <c r="D926" s="21"/>
      <c r="E926" s="21"/>
      <c r="T926" s="21"/>
      <c r="V926" s="456"/>
      <c r="AA926" s="456"/>
    </row>
    <row r="927" spans="4:27" ht="15.75" customHeight="1">
      <c r="D927" s="21"/>
      <c r="E927" s="21"/>
      <c r="T927" s="21"/>
      <c r="V927" s="456"/>
      <c r="AA927" s="456"/>
    </row>
    <row r="928" spans="4:27" ht="15.75" customHeight="1">
      <c r="D928" s="21"/>
      <c r="E928" s="21"/>
      <c r="T928" s="21"/>
      <c r="V928" s="456"/>
      <c r="AA928" s="456"/>
    </row>
    <row r="929" spans="4:27" ht="15.75" customHeight="1">
      <c r="D929" s="21"/>
      <c r="E929" s="21"/>
      <c r="T929" s="21"/>
      <c r="V929" s="456"/>
      <c r="AA929" s="456"/>
    </row>
    <row r="930" spans="4:27" ht="15.75" customHeight="1">
      <c r="D930" s="21"/>
      <c r="E930" s="21"/>
      <c r="T930" s="21"/>
      <c r="V930" s="456"/>
      <c r="AA930" s="456"/>
    </row>
    <row r="931" spans="4:27" ht="15.75" customHeight="1">
      <c r="D931" s="21"/>
      <c r="E931" s="21"/>
      <c r="T931" s="21"/>
      <c r="V931" s="456"/>
      <c r="AA931" s="456"/>
    </row>
    <row r="932" spans="4:27" ht="15.75" customHeight="1">
      <c r="D932" s="21"/>
      <c r="E932" s="21"/>
      <c r="T932" s="21"/>
      <c r="V932" s="456"/>
      <c r="AA932" s="456"/>
    </row>
    <row r="933" spans="4:27" ht="15.75" customHeight="1">
      <c r="D933" s="21"/>
      <c r="E933" s="21"/>
      <c r="T933" s="21"/>
      <c r="V933" s="456"/>
      <c r="AA933" s="456"/>
    </row>
    <row r="934" spans="4:27" ht="15.75" customHeight="1">
      <c r="D934" s="21"/>
      <c r="E934" s="21"/>
      <c r="T934" s="21"/>
      <c r="V934" s="456"/>
      <c r="AA934" s="456"/>
    </row>
    <row r="935" spans="4:27" ht="15.75" customHeight="1">
      <c r="D935" s="21"/>
      <c r="E935" s="21"/>
      <c r="T935" s="21"/>
      <c r="V935" s="456"/>
      <c r="AA935" s="456"/>
    </row>
    <row r="936" spans="4:27" ht="15.75" customHeight="1">
      <c r="D936" s="21"/>
      <c r="E936" s="21"/>
      <c r="T936" s="21"/>
      <c r="V936" s="456"/>
      <c r="AA936" s="456"/>
    </row>
    <row r="937" spans="4:27" ht="15.75" customHeight="1">
      <c r="D937" s="21"/>
      <c r="E937" s="21"/>
      <c r="T937" s="21"/>
      <c r="V937" s="456"/>
      <c r="AA937" s="456"/>
    </row>
    <row r="938" spans="4:27" ht="15.75" customHeight="1">
      <c r="D938" s="21"/>
      <c r="E938" s="21"/>
      <c r="T938" s="21"/>
      <c r="V938" s="456"/>
      <c r="AA938" s="456"/>
    </row>
    <row r="939" spans="4:27" ht="15.75" customHeight="1">
      <c r="D939" s="21"/>
      <c r="E939" s="21"/>
      <c r="T939" s="21"/>
      <c r="V939" s="456"/>
      <c r="AA939" s="456"/>
    </row>
    <row r="940" spans="4:27" ht="15.75" customHeight="1">
      <c r="D940" s="21"/>
      <c r="E940" s="21"/>
      <c r="T940" s="21"/>
      <c r="V940" s="456"/>
      <c r="AA940" s="456"/>
    </row>
    <row r="941" spans="4:27" ht="15.75" customHeight="1">
      <c r="D941" s="21"/>
      <c r="E941" s="21"/>
      <c r="T941" s="21"/>
      <c r="V941" s="456"/>
      <c r="AA941" s="456"/>
    </row>
    <row r="942" spans="4:27" ht="15.75" customHeight="1">
      <c r="D942" s="21"/>
      <c r="E942" s="21"/>
      <c r="T942" s="21"/>
      <c r="V942" s="456"/>
      <c r="AA942" s="456"/>
    </row>
    <row r="943" spans="4:27" ht="15.75" customHeight="1">
      <c r="D943" s="21"/>
      <c r="E943" s="21"/>
      <c r="T943" s="21"/>
      <c r="V943" s="456"/>
      <c r="AA943" s="456"/>
    </row>
    <row r="944" spans="4:27" ht="15.75" customHeight="1">
      <c r="D944" s="21"/>
      <c r="E944" s="21"/>
      <c r="T944" s="21"/>
      <c r="V944" s="456"/>
      <c r="AA944" s="456"/>
    </row>
    <row r="945" spans="4:27" ht="15.75" customHeight="1">
      <c r="D945" s="21"/>
      <c r="E945" s="21"/>
      <c r="T945" s="21"/>
      <c r="V945" s="456"/>
      <c r="AA945" s="456"/>
    </row>
    <row r="946" spans="4:27" ht="15.75" customHeight="1">
      <c r="D946" s="21"/>
      <c r="E946" s="21"/>
      <c r="T946" s="21"/>
      <c r="V946" s="456"/>
      <c r="AA946" s="456"/>
    </row>
    <row r="947" spans="4:27" ht="15.75" customHeight="1">
      <c r="D947" s="21"/>
      <c r="E947" s="21"/>
      <c r="T947" s="21"/>
      <c r="V947" s="456"/>
      <c r="AA947" s="456"/>
    </row>
    <row r="948" spans="4:27" ht="15.75" customHeight="1">
      <c r="D948" s="21"/>
      <c r="E948" s="21"/>
      <c r="T948" s="21"/>
      <c r="V948" s="456"/>
      <c r="AA948" s="456"/>
    </row>
    <row r="949" spans="4:27" ht="15.75" customHeight="1">
      <c r="D949" s="21"/>
      <c r="E949" s="21"/>
      <c r="T949" s="21"/>
      <c r="V949" s="456"/>
      <c r="AA949" s="456"/>
    </row>
    <row r="950" spans="4:27" ht="15.75" customHeight="1">
      <c r="D950" s="21"/>
      <c r="E950" s="21"/>
      <c r="T950" s="21"/>
      <c r="V950" s="456"/>
      <c r="AA950" s="456"/>
    </row>
    <row r="951" spans="4:27" ht="15.75" customHeight="1">
      <c r="D951" s="21"/>
      <c r="E951" s="21"/>
      <c r="T951" s="21"/>
      <c r="V951" s="456"/>
      <c r="AA951" s="456"/>
    </row>
    <row r="952" spans="4:27" ht="15.75" customHeight="1">
      <c r="D952" s="21"/>
      <c r="E952" s="21"/>
      <c r="T952" s="21"/>
      <c r="V952" s="456"/>
      <c r="AA952" s="456"/>
    </row>
    <row r="953" spans="4:27" ht="15.75" customHeight="1">
      <c r="D953" s="21"/>
      <c r="E953" s="21"/>
      <c r="T953" s="21"/>
      <c r="V953" s="456"/>
      <c r="AA953" s="456"/>
    </row>
    <row r="954" spans="4:27" ht="15.75" customHeight="1">
      <c r="D954" s="21"/>
      <c r="E954" s="21"/>
      <c r="T954" s="21"/>
      <c r="V954" s="456"/>
      <c r="AA954" s="456"/>
    </row>
    <row r="955" spans="4:27" ht="15.75" customHeight="1">
      <c r="D955" s="21"/>
      <c r="E955" s="21"/>
      <c r="T955" s="21"/>
      <c r="V955" s="456"/>
      <c r="AA955" s="456"/>
    </row>
    <row r="956" spans="4:27" ht="15.75" customHeight="1">
      <c r="D956" s="21"/>
      <c r="E956" s="21"/>
      <c r="T956" s="21"/>
      <c r="V956" s="456"/>
      <c r="AA956" s="456"/>
    </row>
    <row r="957" spans="4:27" ht="15.75" customHeight="1">
      <c r="D957" s="21"/>
      <c r="E957" s="21"/>
      <c r="T957" s="21"/>
      <c r="V957" s="456"/>
      <c r="AA957" s="456"/>
    </row>
    <row r="958" spans="4:27" ht="15.75" customHeight="1">
      <c r="D958" s="21"/>
      <c r="E958" s="21"/>
      <c r="T958" s="21"/>
      <c r="V958" s="456"/>
      <c r="AA958" s="456"/>
    </row>
    <row r="959" spans="4:27" ht="15.75" customHeight="1">
      <c r="D959" s="21"/>
      <c r="E959" s="21"/>
      <c r="T959" s="21"/>
      <c r="V959" s="456"/>
      <c r="AA959" s="456"/>
    </row>
    <row r="960" spans="4:27" ht="15.75" customHeight="1">
      <c r="D960" s="21"/>
      <c r="E960" s="21"/>
      <c r="T960" s="21"/>
      <c r="V960" s="456"/>
      <c r="AA960" s="456"/>
    </row>
    <row r="961" spans="4:27" ht="15.75" customHeight="1">
      <c r="D961" s="21"/>
      <c r="E961" s="21"/>
      <c r="T961" s="21"/>
      <c r="V961" s="456"/>
      <c r="AA961" s="456"/>
    </row>
    <row r="962" spans="4:27" ht="15.75" customHeight="1">
      <c r="D962" s="21"/>
      <c r="E962" s="21"/>
      <c r="T962" s="21"/>
      <c r="V962" s="456"/>
      <c r="AA962" s="456"/>
    </row>
    <row r="963" spans="4:27" ht="15.75" customHeight="1">
      <c r="D963" s="21"/>
      <c r="E963" s="21"/>
      <c r="T963" s="21"/>
      <c r="V963" s="456"/>
      <c r="AA963" s="456"/>
    </row>
    <row r="964" spans="4:27" ht="15.75" customHeight="1">
      <c r="D964" s="21"/>
      <c r="E964" s="21"/>
      <c r="T964" s="21"/>
      <c r="V964" s="456"/>
      <c r="AA964" s="456"/>
    </row>
    <row r="965" spans="4:27" ht="15.75" customHeight="1">
      <c r="D965" s="21"/>
      <c r="E965" s="21"/>
      <c r="T965" s="21"/>
      <c r="V965" s="456"/>
      <c r="AA965" s="456"/>
    </row>
    <row r="966" spans="4:27" ht="15.75" customHeight="1">
      <c r="D966" s="21"/>
      <c r="E966" s="21"/>
      <c r="T966" s="21"/>
      <c r="V966" s="456"/>
      <c r="AA966" s="456"/>
    </row>
    <row r="967" spans="4:27" ht="15.75" customHeight="1">
      <c r="D967" s="21"/>
      <c r="E967" s="21"/>
      <c r="T967" s="21"/>
      <c r="V967" s="456"/>
      <c r="AA967" s="456"/>
    </row>
    <row r="968" spans="4:27" ht="15.75" customHeight="1">
      <c r="D968" s="21"/>
      <c r="E968" s="21"/>
      <c r="T968" s="21"/>
      <c r="V968" s="456"/>
      <c r="AA968" s="456"/>
    </row>
    <row r="969" spans="4:27" ht="15.75" customHeight="1">
      <c r="D969" s="21"/>
      <c r="E969" s="21"/>
      <c r="T969" s="21"/>
      <c r="V969" s="456"/>
      <c r="AA969" s="456"/>
    </row>
    <row r="970" spans="4:27" ht="15.75" customHeight="1">
      <c r="D970" s="21"/>
      <c r="E970" s="21"/>
      <c r="T970" s="21"/>
      <c r="V970" s="456"/>
      <c r="AA970" s="456"/>
    </row>
    <row r="971" spans="4:27" ht="15.75" customHeight="1">
      <c r="D971" s="21"/>
      <c r="E971" s="21"/>
      <c r="T971" s="21"/>
      <c r="V971" s="456"/>
      <c r="AA971" s="456"/>
    </row>
    <row r="972" spans="4:27" ht="15.75" customHeight="1">
      <c r="D972" s="21"/>
      <c r="E972" s="21"/>
      <c r="T972" s="21"/>
      <c r="V972" s="456"/>
      <c r="AA972" s="456"/>
    </row>
    <row r="973" spans="4:27" ht="15.75" customHeight="1">
      <c r="D973" s="21"/>
      <c r="E973" s="21"/>
      <c r="T973" s="21"/>
      <c r="V973" s="456"/>
      <c r="AA973" s="456"/>
    </row>
    <row r="974" spans="4:27" ht="15.75" customHeight="1">
      <c r="D974" s="21"/>
      <c r="E974" s="21"/>
      <c r="T974" s="21"/>
      <c r="V974" s="456"/>
      <c r="AA974" s="456"/>
    </row>
    <row r="975" spans="4:27" ht="15.75" customHeight="1">
      <c r="D975" s="21"/>
      <c r="E975" s="21"/>
      <c r="T975" s="21"/>
      <c r="V975" s="456"/>
      <c r="AA975" s="456"/>
    </row>
    <row r="976" spans="4:27" ht="15.75" customHeight="1">
      <c r="D976" s="21"/>
      <c r="E976" s="21"/>
      <c r="T976" s="21"/>
      <c r="V976" s="456"/>
      <c r="AA976" s="456"/>
    </row>
    <row r="977" spans="4:27" ht="15.75" customHeight="1">
      <c r="D977" s="21"/>
      <c r="E977" s="21"/>
      <c r="T977" s="21"/>
      <c r="V977" s="456"/>
      <c r="AA977" s="456"/>
    </row>
    <row r="978" spans="4:27" ht="15.75" customHeight="1">
      <c r="D978" s="21"/>
      <c r="E978" s="21"/>
      <c r="T978" s="21"/>
      <c r="V978" s="456"/>
      <c r="AA978" s="456"/>
    </row>
    <row r="979" spans="4:27" ht="15.75" customHeight="1">
      <c r="D979" s="21"/>
      <c r="E979" s="21"/>
      <c r="T979" s="21"/>
      <c r="V979" s="456"/>
      <c r="AA979" s="456"/>
    </row>
    <row r="980" spans="4:27" ht="15.75" customHeight="1">
      <c r="D980" s="21"/>
      <c r="E980" s="21"/>
      <c r="T980" s="21"/>
      <c r="V980" s="456"/>
      <c r="AA980" s="456"/>
    </row>
    <row r="981" spans="4:27" ht="15.75" customHeight="1">
      <c r="D981" s="21"/>
      <c r="E981" s="21"/>
      <c r="T981" s="21"/>
      <c r="V981" s="456"/>
      <c r="AA981" s="456"/>
    </row>
    <row r="982" spans="4:27" ht="15.75" customHeight="1">
      <c r="D982" s="21"/>
      <c r="E982" s="21"/>
      <c r="T982" s="21"/>
      <c r="V982" s="456"/>
      <c r="AA982" s="456"/>
    </row>
    <row r="983" spans="4:27" ht="15.75" customHeight="1">
      <c r="D983" s="21"/>
      <c r="E983" s="21"/>
      <c r="T983" s="21"/>
      <c r="V983" s="456"/>
      <c r="AA983" s="456"/>
    </row>
    <row r="984" spans="4:27" ht="15.75" customHeight="1">
      <c r="D984" s="21"/>
      <c r="E984" s="21"/>
      <c r="T984" s="21"/>
      <c r="V984" s="456"/>
      <c r="AA984" s="456"/>
    </row>
    <row r="985" spans="4:27" ht="15.75" customHeight="1">
      <c r="D985" s="21"/>
      <c r="E985" s="21"/>
      <c r="T985" s="21"/>
      <c r="V985" s="456"/>
      <c r="AA985" s="456"/>
    </row>
    <row r="986" spans="4:27" ht="15.75" customHeight="1">
      <c r="D986" s="21"/>
      <c r="E986" s="21"/>
      <c r="T986" s="21"/>
      <c r="V986" s="456"/>
      <c r="AA986" s="456"/>
    </row>
    <row r="987" spans="4:27" ht="15.75" customHeight="1">
      <c r="D987" s="21"/>
      <c r="E987" s="21"/>
      <c r="T987" s="21"/>
      <c r="V987" s="456"/>
      <c r="AA987" s="456"/>
    </row>
    <row r="988" spans="4:27" ht="15.75" customHeight="1">
      <c r="D988" s="21"/>
      <c r="E988" s="21"/>
      <c r="T988" s="21"/>
      <c r="V988" s="456"/>
      <c r="AA988" s="456"/>
    </row>
    <row r="989" spans="4:27" ht="15.75" customHeight="1">
      <c r="D989" s="21"/>
      <c r="E989" s="21"/>
      <c r="T989" s="21"/>
      <c r="V989" s="456"/>
      <c r="AA989" s="456"/>
    </row>
    <row r="990" spans="4:27" ht="15.75" customHeight="1">
      <c r="D990" s="21"/>
      <c r="E990" s="21"/>
      <c r="T990" s="21"/>
      <c r="V990" s="456"/>
      <c r="AA990" s="456"/>
    </row>
    <row r="991" spans="4:27" ht="15.75" customHeight="1">
      <c r="D991" s="21"/>
      <c r="E991" s="21"/>
      <c r="T991" s="21"/>
      <c r="V991" s="456"/>
      <c r="AA991" s="456"/>
    </row>
    <row r="992" spans="4:27" ht="15.75" customHeight="1">
      <c r="D992" s="21"/>
      <c r="E992" s="21"/>
      <c r="T992" s="21"/>
      <c r="V992" s="456"/>
      <c r="AA992" s="456"/>
    </row>
    <row r="993" spans="4:27" ht="15.75" customHeight="1">
      <c r="D993" s="21"/>
      <c r="E993" s="21"/>
      <c r="T993" s="21"/>
      <c r="V993" s="456"/>
      <c r="AA993" s="456"/>
    </row>
    <row r="994" spans="4:27" ht="15.75" customHeight="1">
      <c r="D994" s="21"/>
      <c r="E994" s="21"/>
      <c r="T994" s="21"/>
      <c r="V994" s="456"/>
      <c r="AA994" s="456"/>
    </row>
    <row r="995" spans="4:27" ht="15.75" customHeight="1">
      <c r="D995" s="21"/>
      <c r="E995" s="21"/>
      <c r="T995" s="21"/>
      <c r="V995" s="456"/>
      <c r="AA995" s="456"/>
    </row>
    <row r="996" spans="4:27" ht="15.75" customHeight="1">
      <c r="D996" s="21"/>
      <c r="E996" s="21"/>
      <c r="T996" s="21"/>
      <c r="V996" s="456"/>
      <c r="AA996" s="456"/>
    </row>
    <row r="997" spans="4:27" ht="15.75" customHeight="1">
      <c r="D997" s="21"/>
      <c r="E997" s="21"/>
      <c r="T997" s="21"/>
      <c r="V997" s="456"/>
      <c r="AA997" s="456"/>
    </row>
    <row r="998" spans="4:27" ht="15.75" customHeight="1">
      <c r="D998" s="21"/>
      <c r="E998" s="21"/>
      <c r="T998" s="21"/>
      <c r="V998" s="456"/>
      <c r="AA998" s="456"/>
    </row>
    <row r="999" spans="4:27" ht="15.75" customHeight="1">
      <c r="D999" s="21"/>
      <c r="E999" s="21"/>
      <c r="T999" s="21"/>
      <c r="V999" s="456"/>
      <c r="AA999" s="456"/>
    </row>
    <row r="1000" spans="4:27" ht="15.75" customHeight="1">
      <c r="D1000" s="21"/>
      <c r="E1000" s="21"/>
      <c r="T1000" s="21"/>
      <c r="V1000" s="456"/>
      <c r="AA1000" s="456"/>
    </row>
  </sheetData>
  <mergeCells count="26">
    <mergeCell ref="AC3:AD3"/>
    <mergeCell ref="G33:H33"/>
    <mergeCell ref="J33:K33"/>
    <mergeCell ref="M33:O33"/>
    <mergeCell ref="P33:Q33"/>
    <mergeCell ref="S33:V33"/>
    <mergeCell ref="X33:AA33"/>
    <mergeCell ref="G3:H3"/>
    <mergeCell ref="J3:K3"/>
    <mergeCell ref="M3:N3"/>
    <mergeCell ref="P3:Q3"/>
    <mergeCell ref="S3:V3"/>
    <mergeCell ref="S64:V64"/>
    <mergeCell ref="M114:N115"/>
    <mergeCell ref="M123:N124"/>
    <mergeCell ref="B127:C127"/>
    <mergeCell ref="X3:AA3"/>
    <mergeCell ref="M136:N137"/>
    <mergeCell ref="J62:K62"/>
    <mergeCell ref="J63:K63"/>
    <mergeCell ref="B65:C65"/>
    <mergeCell ref="J92:K93"/>
    <mergeCell ref="M92:N93"/>
    <mergeCell ref="B96:C96"/>
    <mergeCell ref="M105:N106"/>
    <mergeCell ref="G62:H6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98"/>
  <sheetViews>
    <sheetView workbookViewId="0"/>
  </sheetViews>
  <sheetFormatPr defaultColWidth="14.42578125" defaultRowHeight="15" customHeight="1"/>
  <cols>
    <col min="1" max="1" width="8.7109375" customWidth="1"/>
    <col min="2" max="2" width="24.7109375" customWidth="1"/>
    <col min="3" max="4" width="14.85546875" customWidth="1"/>
    <col min="5" max="5" width="15" customWidth="1"/>
    <col min="6" max="6" width="15.140625" customWidth="1"/>
    <col min="7" max="9" width="8.7109375" customWidth="1"/>
    <col min="10" max="10" width="13.42578125" customWidth="1"/>
    <col min="11" max="11" width="12.7109375" customWidth="1"/>
    <col min="12" max="27" width="8.7109375" customWidth="1"/>
  </cols>
  <sheetData>
    <row r="2" spans="2:6">
      <c r="B2" s="1" t="s">
        <v>985</v>
      </c>
      <c r="F2" s="531">
        <v>528047.04</v>
      </c>
    </row>
    <row r="3" spans="2:6">
      <c r="C3" s="1" t="s">
        <v>986</v>
      </c>
      <c r="D3" s="1" t="s">
        <v>907</v>
      </c>
      <c r="E3" s="1" t="s">
        <v>908</v>
      </c>
      <c r="F3" s="1" t="s">
        <v>987</v>
      </c>
    </row>
    <row r="4" spans="2:6">
      <c r="B4" s="1" t="s">
        <v>188</v>
      </c>
      <c r="C4" s="532">
        <f>'Mar2022'!E190</f>
        <v>2379653.64</v>
      </c>
      <c r="D4" s="531">
        <v>2044313.4</v>
      </c>
      <c r="E4" s="531">
        <f>D4-F4</f>
        <v>1805793.89</v>
      </c>
      <c r="F4" s="531">
        <v>238519.51</v>
      </c>
    </row>
    <row r="5" spans="2:6">
      <c r="B5" s="1" t="s">
        <v>145</v>
      </c>
      <c r="C5" s="533">
        <f>'Mar2022'!F141</f>
        <v>90000</v>
      </c>
      <c r="D5" s="534">
        <f>'Mar2022'!AL191</f>
        <v>84032</v>
      </c>
      <c r="E5" s="531">
        <v>82178.600000000006</v>
      </c>
      <c r="F5" s="534">
        <f t="shared" ref="F5:F6" si="0">D5-E5</f>
        <v>1853.3999999999942</v>
      </c>
    </row>
    <row r="6" spans="2:6">
      <c r="B6" s="1" t="s">
        <v>363</v>
      </c>
      <c r="C6" s="50">
        <v>649766.25</v>
      </c>
      <c r="D6" s="531">
        <v>487262</v>
      </c>
      <c r="E6" s="531">
        <v>392858.71</v>
      </c>
      <c r="F6" s="535">
        <f t="shared" si="0"/>
        <v>94403.289999999979</v>
      </c>
    </row>
    <row r="7" spans="2:6">
      <c r="B7" s="1" t="s">
        <v>988</v>
      </c>
      <c r="C7" s="531"/>
      <c r="D7" s="531">
        <f>800915.05</f>
        <v>800915.05</v>
      </c>
      <c r="E7" s="531">
        <f>D7-F7</f>
        <v>607644.21000000008</v>
      </c>
      <c r="F7" s="531">
        <v>193270.84</v>
      </c>
    </row>
    <row r="8" spans="2:6">
      <c r="B8" s="1" t="s">
        <v>989</v>
      </c>
      <c r="C8" s="531">
        <v>70000</v>
      </c>
      <c r="D8" s="531">
        <v>70000</v>
      </c>
      <c r="E8" s="536">
        <v>0</v>
      </c>
      <c r="F8" s="1">
        <v>0</v>
      </c>
    </row>
    <row r="22" spans="2:9" ht="15.75" customHeight="1"/>
    <row r="23" spans="2:9" ht="15.75" customHeight="1"/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>
      <c r="C29" s="1" t="s">
        <v>990</v>
      </c>
    </row>
    <row r="30" spans="2:9" ht="15.75" customHeight="1"/>
    <row r="31" spans="2:9" ht="15.75" customHeight="1">
      <c r="B31" s="537" t="s">
        <v>991</v>
      </c>
      <c r="C31" s="538"/>
      <c r="D31" s="538"/>
    </row>
    <row r="32" spans="2:9" ht="15.75" customHeight="1">
      <c r="B32" s="539" t="s">
        <v>992</v>
      </c>
      <c r="C32" s="540"/>
      <c r="D32" s="540">
        <v>16808</v>
      </c>
      <c r="I32" s="541"/>
    </row>
    <row r="33" spans="2:12" ht="15.75" customHeight="1">
      <c r="B33" s="539" t="s">
        <v>993</v>
      </c>
      <c r="C33" s="540"/>
      <c r="D33" s="540">
        <v>150200</v>
      </c>
      <c r="I33" s="541"/>
      <c r="J33" s="531">
        <v>90240</v>
      </c>
      <c r="K33" s="1" t="s">
        <v>994</v>
      </c>
      <c r="L33" s="1" t="s">
        <v>995</v>
      </c>
    </row>
    <row r="34" spans="2:12" ht="15.75" customHeight="1">
      <c r="B34" s="539" t="s">
        <v>916</v>
      </c>
      <c r="C34" s="540"/>
      <c r="D34" s="540">
        <v>484542.99</v>
      </c>
      <c r="I34" s="541"/>
      <c r="J34" s="531">
        <v>19555.38</v>
      </c>
      <c r="K34" s="1" t="s">
        <v>996</v>
      </c>
      <c r="L34" s="1" t="s">
        <v>997</v>
      </c>
    </row>
    <row r="35" spans="2:12" ht="15.75" customHeight="1">
      <c r="B35" s="539" t="s">
        <v>998</v>
      </c>
      <c r="C35" s="540"/>
      <c r="D35" s="540">
        <v>4864.8599999999997</v>
      </c>
      <c r="I35" s="541"/>
      <c r="J35" s="531">
        <v>222166.6</v>
      </c>
      <c r="K35" s="1" t="s">
        <v>999</v>
      </c>
      <c r="L35" s="1" t="s">
        <v>1000</v>
      </c>
    </row>
    <row r="36" spans="2:12" ht="15.75" customHeight="1">
      <c r="B36" s="539" t="s">
        <v>1001</v>
      </c>
      <c r="C36" s="540"/>
      <c r="D36" s="540">
        <v>135771.57999999999</v>
      </c>
      <c r="I36" s="541"/>
      <c r="J36" s="531">
        <v>102757.18</v>
      </c>
      <c r="K36" s="1" t="s">
        <v>1002</v>
      </c>
      <c r="L36" s="1" t="s">
        <v>1003</v>
      </c>
    </row>
    <row r="37" spans="2:12" ht="15.75" customHeight="1">
      <c r="B37" s="539" t="s">
        <v>1004</v>
      </c>
      <c r="C37" s="540"/>
      <c r="D37" s="540">
        <v>1653003.44</v>
      </c>
      <c r="I37" s="541"/>
      <c r="J37" s="531">
        <v>54035.31</v>
      </c>
      <c r="K37" s="1" t="s">
        <v>1002</v>
      </c>
      <c r="L37" s="1" t="s">
        <v>1005</v>
      </c>
    </row>
    <row r="38" spans="2:12" ht="15.75" customHeight="1">
      <c r="B38" s="539" t="s">
        <v>1006</v>
      </c>
      <c r="C38" s="540"/>
      <c r="D38" s="540">
        <v>7001.31</v>
      </c>
      <c r="I38" s="541"/>
      <c r="J38" s="531">
        <v>46988.75</v>
      </c>
      <c r="K38" s="1" t="s">
        <v>1007</v>
      </c>
      <c r="L38" s="1" t="s">
        <v>1008</v>
      </c>
    </row>
    <row r="39" spans="2:12" ht="15.75" customHeight="1">
      <c r="B39" s="539" t="s">
        <v>1009</v>
      </c>
      <c r="C39" s="540"/>
      <c r="D39" s="540">
        <v>244307.85</v>
      </c>
      <c r="I39" s="541"/>
      <c r="J39" s="531">
        <v>126982.98</v>
      </c>
      <c r="K39" s="1" t="s">
        <v>1007</v>
      </c>
      <c r="L39" s="1" t="s">
        <v>1010</v>
      </c>
    </row>
    <row r="40" spans="2:12" ht="15.75" customHeight="1">
      <c r="B40" s="539" t="s">
        <v>1011</v>
      </c>
      <c r="C40" s="540"/>
      <c r="D40" s="540">
        <v>191975.38</v>
      </c>
      <c r="I40" s="541"/>
    </row>
    <row r="41" spans="2:12" ht="15.75" customHeight="1">
      <c r="B41" s="539"/>
      <c r="C41" s="540"/>
      <c r="D41" s="540"/>
    </row>
    <row r="42" spans="2:12" ht="15.75" customHeight="1">
      <c r="B42" s="539"/>
      <c r="C42" s="540"/>
      <c r="D42" s="540"/>
    </row>
    <row r="43" spans="2:12" ht="15.75" customHeight="1"/>
    <row r="44" spans="2:12" ht="15.75" customHeight="1">
      <c r="B44" s="538"/>
      <c r="C44" s="538"/>
      <c r="D44" s="538"/>
    </row>
    <row r="45" spans="2:12" ht="15.75" customHeight="1"/>
    <row r="46" spans="2:12" ht="15.75" customHeight="1"/>
    <row r="47" spans="2:12" ht="15.75" customHeight="1"/>
    <row r="48" spans="2:12" ht="15.75" customHeight="1"/>
    <row r="49" spans="2:6" ht="15.75" customHeight="1"/>
    <row r="50" spans="2:6" ht="15.75" customHeight="1"/>
    <row r="51" spans="2:6" ht="15.75" customHeight="1"/>
    <row r="52" spans="2:6" ht="15.75" customHeight="1"/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>
      <c r="B61" s="1" t="s">
        <v>1012</v>
      </c>
    </row>
    <row r="62" spans="2:6" ht="15.75" customHeight="1">
      <c r="B62" s="1" t="s">
        <v>1013</v>
      </c>
      <c r="D62" s="533">
        <f>'Mar2022'!J3</f>
        <v>2466010.4700000002</v>
      </c>
      <c r="E62" s="1" t="s">
        <v>1013</v>
      </c>
      <c r="F62" s="533">
        <f>D62-F63</f>
        <v>2195298.58</v>
      </c>
    </row>
    <row r="63" spans="2:6" ht="15.75" customHeight="1">
      <c r="B63" s="1" t="s">
        <v>1014</v>
      </c>
      <c r="D63" s="533">
        <f>'Mar2022'!Q3+3.6</f>
        <v>721262.50999999989</v>
      </c>
      <c r="E63" s="531" t="s">
        <v>987</v>
      </c>
      <c r="F63" s="531">
        <v>270711.89</v>
      </c>
    </row>
    <row r="64" spans="2:6" ht="15.75" customHeight="1">
      <c r="B64" s="1" t="s">
        <v>1015</v>
      </c>
      <c r="D64" s="533">
        <f>'Mar2022'!K3</f>
        <v>16240</v>
      </c>
    </row>
    <row r="65" spans="2:7" ht="15.75" customHeight="1">
      <c r="B65" s="1" t="s">
        <v>987</v>
      </c>
      <c r="D65" s="533">
        <f>D62-D63-D64</f>
        <v>1728507.9600000004</v>
      </c>
    </row>
    <row r="66" spans="2:7" ht="15.75" customHeight="1">
      <c r="G66" s="542"/>
    </row>
    <row r="67" spans="2:7" ht="15.75" customHeight="1"/>
    <row r="68" spans="2:7" ht="15.75" customHeight="1"/>
    <row r="69" spans="2:7" ht="15.75" customHeight="1"/>
    <row r="70" spans="2:7" ht="15.75" customHeight="1"/>
    <row r="71" spans="2:7" ht="15.75" customHeight="1"/>
    <row r="72" spans="2:7" ht="15.75" customHeight="1"/>
    <row r="73" spans="2:7" ht="15.75" customHeight="1"/>
    <row r="74" spans="2:7" ht="15.75" customHeight="1"/>
    <row r="75" spans="2:7" ht="15.75" customHeight="1"/>
    <row r="76" spans="2:7" ht="15.75" customHeight="1"/>
    <row r="77" spans="2:7" ht="15.75" customHeight="1"/>
    <row r="78" spans="2:7" ht="15.75" customHeight="1"/>
    <row r="79" spans="2:7" ht="15.75" customHeight="1"/>
    <row r="80" spans="2:7" ht="15.75" customHeight="1"/>
    <row r="81" spans="3:3" ht="15.75" customHeight="1"/>
    <row r="82" spans="3:3" ht="15.75" customHeight="1"/>
    <row r="83" spans="3:3" ht="15.75" customHeight="1"/>
    <row r="84" spans="3:3" ht="15.75" customHeight="1"/>
    <row r="85" spans="3:3" ht="15.75" customHeight="1"/>
    <row r="86" spans="3:3" ht="15.75" customHeight="1"/>
    <row r="87" spans="3:3" ht="15.75" customHeight="1"/>
    <row r="88" spans="3:3" ht="15.75" customHeight="1"/>
    <row r="89" spans="3:3" ht="15.75" customHeight="1"/>
    <row r="90" spans="3:3" ht="15.75" customHeight="1"/>
    <row r="91" spans="3:3" ht="15.75" customHeight="1"/>
    <row r="92" spans="3:3" ht="15.75" customHeight="1"/>
    <row r="93" spans="3:3" ht="15.75" customHeight="1"/>
    <row r="94" spans="3:3" ht="15.75" customHeight="1">
      <c r="C94" s="543"/>
    </row>
    <row r="95" spans="3:3" ht="15.75" customHeight="1"/>
    <row r="96" spans="3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ageMargins left="0.511811024" right="0.511811024" top="0.78740157499999996" bottom="0.78740157499999996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2" topLeftCell="C3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3.85546875" customWidth="1"/>
    <col min="2" max="2" width="47.42578125" customWidth="1"/>
    <col min="3" max="3" width="19" customWidth="1"/>
    <col min="4" max="4" width="19.5703125" customWidth="1"/>
    <col min="5" max="5" width="16.85546875" customWidth="1"/>
    <col min="6" max="6" width="16.5703125" customWidth="1"/>
    <col min="7" max="7" width="15.140625" customWidth="1"/>
    <col min="8" max="8" width="15.42578125" customWidth="1"/>
    <col min="9" max="10" width="14.42578125" customWidth="1"/>
    <col min="11" max="11" width="8.5703125" customWidth="1"/>
    <col min="12" max="13" width="14.42578125" customWidth="1"/>
  </cols>
  <sheetData>
    <row r="1" spans="1:26" ht="4.5" customHeight="1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6" customHeight="1">
      <c r="A2" s="551" t="s">
        <v>52</v>
      </c>
      <c r="B2" s="552"/>
      <c r="C2" s="552"/>
      <c r="D2" s="552"/>
      <c r="E2" s="552"/>
      <c r="F2" s="552"/>
      <c r="G2" s="552"/>
      <c r="H2" s="55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24" customHeight="1">
      <c r="A3" s="554" t="s">
        <v>53</v>
      </c>
      <c r="B3" s="554" t="s">
        <v>54</v>
      </c>
      <c r="C3" s="556" t="s">
        <v>55</v>
      </c>
      <c r="D3" s="557"/>
      <c r="E3" s="557"/>
      <c r="F3" s="557"/>
      <c r="G3" s="557"/>
      <c r="H3" s="550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30.75" customHeight="1">
      <c r="A4" s="555"/>
      <c r="B4" s="555"/>
      <c r="C4" s="22" t="s">
        <v>56</v>
      </c>
      <c r="D4" s="23" t="s">
        <v>57</v>
      </c>
      <c r="E4" s="23" t="s">
        <v>58</v>
      </c>
      <c r="F4" s="23" t="s">
        <v>59</v>
      </c>
      <c r="G4" s="23" t="s">
        <v>60</v>
      </c>
      <c r="H4" s="23" t="s">
        <v>61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>
      <c r="A5" s="24"/>
      <c r="B5" s="25"/>
      <c r="C5" s="22"/>
      <c r="D5" s="22"/>
      <c r="E5" s="22"/>
      <c r="F5" s="22"/>
      <c r="G5" s="22"/>
      <c r="H5" s="22"/>
      <c r="I5" s="26" t="s">
        <v>62</v>
      </c>
      <c r="J5" s="26" t="s">
        <v>63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5.5" customHeight="1">
      <c r="A6" s="27" t="s">
        <v>64</v>
      </c>
      <c r="B6" s="28">
        <v>2379653.64</v>
      </c>
      <c r="C6" s="29">
        <f>(C7+C14+C59+C76+C91)</f>
        <v>1944909.06</v>
      </c>
      <c r="D6" s="29">
        <f>D7+D14+D59+D76+D91</f>
        <v>3930427.97</v>
      </c>
      <c r="E6" s="29">
        <f t="shared" ref="E6:H6" si="0">(E7+E14+E59+E76+E91)</f>
        <v>683964.47</v>
      </c>
      <c r="F6" s="29">
        <f t="shared" si="0"/>
        <v>374744.58000000007</v>
      </c>
      <c r="G6" s="29">
        <f t="shared" si="0"/>
        <v>50000</v>
      </c>
      <c r="H6" s="29">
        <f t="shared" si="0"/>
        <v>10000</v>
      </c>
      <c r="I6" s="30">
        <f>C6+F6+G6+H6</f>
        <v>2379653.64</v>
      </c>
      <c r="J6" s="31">
        <f>D6+E6</f>
        <v>4614392.4400000004</v>
      </c>
      <c r="K6" s="32"/>
      <c r="L6" s="33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1">
      <c r="A7" s="558" t="s">
        <v>65</v>
      </c>
      <c r="B7" s="550"/>
      <c r="C7" s="34">
        <f t="shared" ref="C7:D7" si="1">SUM(C8:C13)</f>
        <v>47107.67</v>
      </c>
      <c r="D7" s="34">
        <f t="shared" si="1"/>
        <v>123386.01999999999</v>
      </c>
      <c r="E7" s="34"/>
      <c r="F7" s="34">
        <f t="shared" ref="F7:G7" si="2">SUM(F8:F13)</f>
        <v>0</v>
      </c>
      <c r="G7" s="34">
        <f t="shared" si="2"/>
        <v>0</v>
      </c>
      <c r="H7" s="34"/>
      <c r="I7" s="21"/>
      <c r="J7" s="35"/>
      <c r="K7" s="35"/>
      <c r="L7" s="36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.75" customHeight="1">
      <c r="A8" s="37">
        <v>33903910</v>
      </c>
      <c r="B8" s="38" t="s">
        <v>66</v>
      </c>
      <c r="C8" s="39">
        <v>4202</v>
      </c>
      <c r="D8" s="40">
        <v>10345.6</v>
      </c>
      <c r="E8" s="39"/>
      <c r="F8" s="39"/>
      <c r="G8" s="39"/>
      <c r="H8" s="39"/>
      <c r="I8" s="21"/>
      <c r="J8" s="32"/>
      <c r="K8" s="41"/>
      <c r="L8" s="32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37">
        <v>33903912</v>
      </c>
      <c r="B9" s="38" t="s">
        <v>67</v>
      </c>
      <c r="C9" s="39">
        <v>1680.8</v>
      </c>
      <c r="D9" s="39">
        <v>2955.35</v>
      </c>
      <c r="E9" s="39"/>
      <c r="F9" s="39"/>
      <c r="G9" s="39"/>
      <c r="H9" s="39"/>
      <c r="I9" s="21">
        <f>71192*100</f>
        <v>7119200</v>
      </c>
      <c r="J9" s="32"/>
      <c r="K9" s="41"/>
      <c r="L9" s="32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37">
        <v>33903914</v>
      </c>
      <c r="B10" s="42" t="s">
        <v>68</v>
      </c>
      <c r="C10" s="39">
        <v>15127.2</v>
      </c>
      <c r="D10" s="39">
        <v>58483.53</v>
      </c>
      <c r="E10" s="39"/>
      <c r="F10" s="39"/>
      <c r="G10" s="39"/>
      <c r="H10" s="39"/>
      <c r="I10" s="21">
        <f>I9/E6</f>
        <v>10.408727810086393</v>
      </c>
      <c r="J10" s="32"/>
      <c r="K10" s="41"/>
      <c r="L10" s="32"/>
      <c r="M10" s="32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37">
        <v>33903923</v>
      </c>
      <c r="B11" s="38" t="s">
        <v>69</v>
      </c>
      <c r="C11" s="39">
        <v>8029.07</v>
      </c>
      <c r="D11" s="39"/>
      <c r="E11" s="39"/>
      <c r="F11" s="39"/>
      <c r="G11" s="39"/>
      <c r="H11" s="39"/>
      <c r="I11" s="21">
        <f>E6*10.4%</f>
        <v>71132.304880000011</v>
      </c>
      <c r="J11" s="43"/>
      <c r="K11" s="43"/>
      <c r="L11" s="4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37">
        <v>33903663</v>
      </c>
      <c r="B12" s="38" t="s">
        <v>70</v>
      </c>
      <c r="C12" s="39">
        <v>13866.6</v>
      </c>
      <c r="D12" s="40">
        <v>51601.54</v>
      </c>
      <c r="E12" s="39"/>
      <c r="F12" s="39"/>
      <c r="G12" s="39"/>
      <c r="H12" s="39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37">
        <v>33903922</v>
      </c>
      <c r="B13" s="38" t="s">
        <v>71</v>
      </c>
      <c r="C13" s="39">
        <v>4202</v>
      </c>
      <c r="D13" s="39"/>
      <c r="E13" s="39"/>
      <c r="F13" s="39"/>
      <c r="G13" s="39"/>
      <c r="H13" s="39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1">
      <c r="A14" s="549" t="s">
        <v>72</v>
      </c>
      <c r="B14" s="550"/>
      <c r="C14" s="34">
        <f>SUM(C15:C53)</f>
        <v>1644472.1900000002</v>
      </c>
      <c r="D14" s="34">
        <f>SUM(D15:D58)</f>
        <v>3250000</v>
      </c>
      <c r="E14" s="34">
        <f t="shared" ref="E14:G14" si="3">SUM(E17:E58)</f>
        <v>0</v>
      </c>
      <c r="F14" s="34">
        <f t="shared" si="3"/>
        <v>0</v>
      </c>
      <c r="G14" s="34">
        <f t="shared" si="3"/>
        <v>40000</v>
      </c>
      <c r="H14" s="34">
        <f>SUM(H17:H34)</f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>
      <c r="A15" s="37">
        <v>33901414</v>
      </c>
      <c r="B15" s="38" t="s">
        <v>73</v>
      </c>
      <c r="C15" s="39">
        <v>16808</v>
      </c>
      <c r="D15" s="40"/>
      <c r="E15" s="40"/>
      <c r="F15" s="40"/>
      <c r="G15" s="40"/>
      <c r="H15" s="40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>
      <c r="A16" s="37">
        <v>33903301</v>
      </c>
      <c r="B16" s="38" t="s">
        <v>74</v>
      </c>
      <c r="C16" s="39">
        <v>2000</v>
      </c>
      <c r="D16" s="40"/>
      <c r="E16" s="40"/>
      <c r="F16" s="40"/>
      <c r="G16" s="40"/>
      <c r="H16" s="4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37">
        <v>33903943</v>
      </c>
      <c r="B17" s="44" t="s">
        <v>75</v>
      </c>
      <c r="C17" s="40">
        <f>300000-19825</f>
        <v>280175</v>
      </c>
      <c r="D17" s="40"/>
      <c r="E17" s="40"/>
      <c r="F17" s="40"/>
      <c r="G17" s="40"/>
      <c r="H17" s="40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37">
        <v>33903947</v>
      </c>
      <c r="B18" s="42" t="s">
        <v>76</v>
      </c>
      <c r="C18" s="39">
        <v>2000</v>
      </c>
      <c r="D18" s="40"/>
      <c r="E18" s="40"/>
      <c r="F18" s="40"/>
      <c r="G18" s="40"/>
      <c r="H18" s="40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37">
        <v>33903703</v>
      </c>
      <c r="B19" s="42" t="s">
        <v>77</v>
      </c>
      <c r="C19" s="39">
        <v>309000</v>
      </c>
      <c r="D19" s="40"/>
      <c r="E19" s="40"/>
      <c r="F19" s="40"/>
      <c r="G19" s="40"/>
      <c r="H19" s="4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37">
        <v>33903702</v>
      </c>
      <c r="B20" s="42" t="s">
        <v>78</v>
      </c>
      <c r="C20" s="39">
        <v>610000</v>
      </c>
      <c r="D20" s="40"/>
      <c r="E20" s="40"/>
      <c r="F20" s="40"/>
      <c r="G20" s="40"/>
      <c r="H20" s="4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37">
        <v>33903701</v>
      </c>
      <c r="B21" s="38" t="s">
        <v>79</v>
      </c>
      <c r="C21" s="39">
        <v>43000</v>
      </c>
      <c r="D21" s="39"/>
      <c r="E21" s="39"/>
      <c r="F21" s="39"/>
      <c r="G21" s="39"/>
      <c r="H21" s="39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37">
        <v>33903978</v>
      </c>
      <c r="B22" s="38" t="s">
        <v>80</v>
      </c>
      <c r="C22" s="39">
        <v>2000</v>
      </c>
      <c r="D22" s="39"/>
      <c r="E22" s="39"/>
      <c r="F22" s="39"/>
      <c r="G22" s="39"/>
      <c r="H22" s="39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6.5" customHeight="1">
      <c r="A23" s="37">
        <v>33903701</v>
      </c>
      <c r="B23" s="42" t="s">
        <v>81</v>
      </c>
      <c r="C23" s="39">
        <v>45000</v>
      </c>
      <c r="D23" s="40"/>
      <c r="E23" s="40"/>
      <c r="F23" s="40"/>
      <c r="G23" s="40"/>
      <c r="H23" s="4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37">
        <v>33903701</v>
      </c>
      <c r="B24" s="42" t="s">
        <v>82</v>
      </c>
      <c r="C24" s="39">
        <v>43000</v>
      </c>
      <c r="D24" s="40"/>
      <c r="E24" s="40"/>
      <c r="F24" s="40"/>
      <c r="G24" s="40"/>
      <c r="H24" s="4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37">
        <v>33903701</v>
      </c>
      <c r="B25" s="42" t="s">
        <v>83</v>
      </c>
      <c r="C25" s="39">
        <v>44707.32</v>
      </c>
      <c r="D25" s="40">
        <v>50000</v>
      </c>
      <c r="E25" s="40"/>
      <c r="F25" s="40"/>
      <c r="G25" s="40"/>
      <c r="H25" s="4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37">
        <v>33903920</v>
      </c>
      <c r="B26" s="38" t="s">
        <v>84</v>
      </c>
      <c r="C26" s="39">
        <v>7000</v>
      </c>
      <c r="D26" s="39"/>
      <c r="E26" s="39"/>
      <c r="F26" s="39"/>
      <c r="G26" s="39"/>
      <c r="H26" s="39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37">
        <v>33903979</v>
      </c>
      <c r="B27" s="42" t="s">
        <v>85</v>
      </c>
      <c r="C27" s="40">
        <v>8404</v>
      </c>
      <c r="D27" s="40"/>
      <c r="E27" s="40"/>
      <c r="F27" s="40"/>
      <c r="G27" s="40"/>
      <c r="H27" s="4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37">
        <v>33903920</v>
      </c>
      <c r="B28" s="38" t="s">
        <v>86</v>
      </c>
      <c r="C28" s="39">
        <v>10000</v>
      </c>
      <c r="D28" s="39"/>
      <c r="E28" s="39"/>
      <c r="F28" s="39"/>
      <c r="G28" s="39"/>
      <c r="H28" s="39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37">
        <v>33903917</v>
      </c>
      <c r="B29" s="38" t="s">
        <v>87</v>
      </c>
      <c r="C29" s="39">
        <v>4202</v>
      </c>
      <c r="D29" s="39"/>
      <c r="E29" s="39"/>
      <c r="F29" s="39"/>
      <c r="G29" s="39"/>
      <c r="H29" s="39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37">
        <v>33903916</v>
      </c>
      <c r="B30" s="38" t="s">
        <v>88</v>
      </c>
      <c r="C30" s="39">
        <v>4202</v>
      </c>
      <c r="D30" s="39"/>
      <c r="E30" s="39"/>
      <c r="F30" s="39"/>
      <c r="G30" s="39"/>
      <c r="H30" s="39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37">
        <v>33903917</v>
      </c>
      <c r="B31" s="42" t="s">
        <v>89</v>
      </c>
      <c r="C31" s="40">
        <f>8404+10000</f>
        <v>18404</v>
      </c>
      <c r="D31" s="39"/>
      <c r="E31" s="39"/>
      <c r="F31" s="39"/>
      <c r="G31" s="39"/>
      <c r="H31" s="39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37">
        <v>33903917</v>
      </c>
      <c r="B32" s="42" t="s">
        <v>90</v>
      </c>
      <c r="C32" s="45">
        <f>10000+10000</f>
        <v>20000</v>
      </c>
      <c r="D32" s="39"/>
      <c r="E32" s="39"/>
      <c r="F32" s="39"/>
      <c r="G32" s="39"/>
      <c r="H32" s="3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37">
        <v>33903978</v>
      </c>
      <c r="B33" s="42" t="s">
        <v>91</v>
      </c>
      <c r="C33" s="40">
        <v>2025.37</v>
      </c>
      <c r="D33" s="39"/>
      <c r="E33" s="39"/>
      <c r="F33" s="39"/>
      <c r="G33" s="39"/>
      <c r="H33" s="39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37">
        <v>33903001</v>
      </c>
      <c r="B34" s="42" t="s">
        <v>92</v>
      </c>
      <c r="C34" s="40">
        <v>19200</v>
      </c>
      <c r="D34" s="39"/>
      <c r="E34" s="39"/>
      <c r="F34" s="39"/>
      <c r="G34" s="39"/>
      <c r="H34" s="39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37">
        <v>33903919</v>
      </c>
      <c r="B35" s="42" t="s">
        <v>93</v>
      </c>
      <c r="C35" s="40">
        <f>10000+10000</f>
        <v>20000</v>
      </c>
      <c r="D35" s="39"/>
      <c r="E35" s="39"/>
      <c r="F35" s="39"/>
      <c r="G35" s="39"/>
      <c r="H35" s="39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37">
        <v>33903947</v>
      </c>
      <c r="B36" s="38" t="s">
        <v>94</v>
      </c>
      <c r="C36" s="40">
        <v>2344.5</v>
      </c>
      <c r="D36" s="39"/>
      <c r="E36" s="39"/>
      <c r="F36" s="39"/>
      <c r="G36" s="39"/>
      <c r="H36" s="3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46">
        <v>33914710</v>
      </c>
      <c r="B37" s="38" t="s">
        <v>95</v>
      </c>
      <c r="C37" s="40">
        <v>2000</v>
      </c>
      <c r="D37" s="39"/>
      <c r="E37" s="39"/>
      <c r="F37" s="39"/>
      <c r="G37" s="39"/>
      <c r="H37" s="39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37">
        <v>33903969</v>
      </c>
      <c r="B38" s="38" t="s">
        <v>96</v>
      </c>
      <c r="C38" s="40">
        <v>6000</v>
      </c>
      <c r="D38" s="39"/>
      <c r="E38" s="39"/>
      <c r="F38" s="39"/>
      <c r="G38" s="39"/>
      <c r="H38" s="39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37">
        <v>33903099</v>
      </c>
      <c r="B39" s="38" t="s">
        <v>97</v>
      </c>
      <c r="C39" s="40">
        <v>30000</v>
      </c>
      <c r="D39" s="39"/>
      <c r="E39" s="39"/>
      <c r="F39" s="39"/>
      <c r="G39" s="39"/>
      <c r="H39" s="39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37">
        <v>33903099</v>
      </c>
      <c r="B40" s="38" t="s">
        <v>98</v>
      </c>
      <c r="C40" s="40">
        <v>20000</v>
      </c>
      <c r="D40" s="39"/>
      <c r="E40" s="39"/>
      <c r="F40" s="39"/>
      <c r="G40" s="39"/>
      <c r="H40" s="39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37">
        <v>33903099</v>
      </c>
      <c r="B41" s="42" t="s">
        <v>99</v>
      </c>
      <c r="C41" s="40">
        <v>60000</v>
      </c>
      <c r="D41" s="40">
        <v>50000</v>
      </c>
      <c r="E41" s="39"/>
      <c r="F41" s="39"/>
      <c r="G41" s="39"/>
      <c r="H41" s="39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37">
        <v>33903016</v>
      </c>
      <c r="B42" s="38" t="s">
        <v>100</v>
      </c>
      <c r="C42" s="40">
        <v>13000</v>
      </c>
      <c r="D42" s="39"/>
      <c r="E42" s="39"/>
      <c r="F42" s="39"/>
      <c r="G42" s="39"/>
      <c r="H42" s="39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37">
        <v>44905299</v>
      </c>
      <c r="B43" s="38" t="s">
        <v>101</v>
      </c>
      <c r="C43" s="39" t="s">
        <v>102</v>
      </c>
      <c r="D43" s="39"/>
      <c r="E43" s="39"/>
      <c r="F43" s="39"/>
      <c r="G43" s="39">
        <v>30000</v>
      </c>
      <c r="H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37">
        <v>44905242</v>
      </c>
      <c r="B44" s="38" t="s">
        <v>103</v>
      </c>
      <c r="C44" s="39"/>
      <c r="D44" s="39"/>
      <c r="E44" s="39"/>
      <c r="F44" s="39"/>
      <c r="G44" s="39">
        <v>10000</v>
      </c>
      <c r="H44" s="39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37">
        <v>33913905</v>
      </c>
      <c r="B45" s="42" t="s">
        <v>104</v>
      </c>
      <c r="C45" s="40"/>
      <c r="D45" s="40">
        <v>10000</v>
      </c>
      <c r="E45" s="39"/>
      <c r="F45" s="39"/>
      <c r="G45" s="39"/>
      <c r="H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37">
        <v>33903028</v>
      </c>
      <c r="B46" s="42" t="s">
        <v>105</v>
      </c>
      <c r="C46" s="40"/>
      <c r="D46" s="40">
        <v>160000</v>
      </c>
      <c r="E46" s="39"/>
      <c r="F46" s="39"/>
      <c r="G46" s="39"/>
      <c r="H46" s="39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37">
        <v>33903021</v>
      </c>
      <c r="B47" s="42" t="s">
        <v>106</v>
      </c>
      <c r="C47" s="40"/>
      <c r="D47" s="40">
        <v>50000</v>
      </c>
      <c r="E47" s="39"/>
      <c r="F47" s="39"/>
      <c r="G47" s="39"/>
      <c r="H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customHeight="1">
      <c r="A48" s="37">
        <v>33903099</v>
      </c>
      <c r="B48" s="42" t="s">
        <v>107</v>
      </c>
      <c r="C48" s="40"/>
      <c r="D48" s="40">
        <v>20000</v>
      </c>
      <c r="E48" s="39"/>
      <c r="F48" s="39"/>
      <c r="G48" s="39"/>
      <c r="H48" s="39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8" customHeight="1">
      <c r="A49" s="37">
        <v>44905192</v>
      </c>
      <c r="B49" s="42" t="s">
        <v>108</v>
      </c>
      <c r="C49" s="40"/>
      <c r="D49" s="40">
        <v>50000</v>
      </c>
      <c r="E49" s="40"/>
      <c r="F49" s="40"/>
      <c r="G49" s="40"/>
      <c r="H49" s="4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customHeight="1">
      <c r="A50" s="37">
        <v>33903916</v>
      </c>
      <c r="B50" s="42" t="s">
        <v>109</v>
      </c>
      <c r="C50" s="40"/>
      <c r="D50" s="40">
        <v>350000</v>
      </c>
      <c r="E50" s="39"/>
      <c r="F50" s="39"/>
      <c r="G50" s="39"/>
      <c r="H50" s="39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customHeight="1">
      <c r="A51" s="37">
        <v>44905199</v>
      </c>
      <c r="B51" s="42" t="s">
        <v>110</v>
      </c>
      <c r="C51" s="40"/>
      <c r="D51" s="40">
        <v>200000</v>
      </c>
      <c r="E51" s="39"/>
      <c r="F51" s="39"/>
      <c r="G51" s="39"/>
      <c r="H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customHeight="1">
      <c r="A52" s="37" t="s">
        <v>111</v>
      </c>
      <c r="B52" s="42" t="s">
        <v>112</v>
      </c>
      <c r="C52" s="40"/>
      <c r="D52" s="40">
        <v>200000</v>
      </c>
      <c r="E52" s="39"/>
      <c r="F52" s="39"/>
      <c r="G52" s="39"/>
      <c r="H52" s="39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customHeight="1">
      <c r="A53" s="37">
        <v>33903701</v>
      </c>
      <c r="B53" s="42" t="s">
        <v>113</v>
      </c>
      <c r="C53" s="40"/>
      <c r="D53" s="40">
        <v>60000</v>
      </c>
      <c r="E53" s="39"/>
      <c r="F53" s="39"/>
      <c r="G53" s="39"/>
      <c r="H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customHeight="1">
      <c r="A54" s="37" t="s">
        <v>114</v>
      </c>
      <c r="B54" s="42" t="s">
        <v>115</v>
      </c>
      <c r="C54" s="40"/>
      <c r="D54" s="40">
        <v>1200000</v>
      </c>
      <c r="E54" s="39"/>
      <c r="F54" s="39"/>
      <c r="G54" s="39"/>
      <c r="H54" s="39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customHeight="1">
      <c r="A55" s="37" t="s">
        <v>114</v>
      </c>
      <c r="B55" s="42" t="s">
        <v>116</v>
      </c>
      <c r="C55" s="40"/>
      <c r="D55" s="40">
        <v>100000</v>
      </c>
      <c r="E55" s="39"/>
      <c r="F55" s="39"/>
      <c r="G55" s="39"/>
      <c r="H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customHeight="1">
      <c r="A56" s="37" t="s">
        <v>114</v>
      </c>
      <c r="B56" s="42" t="s">
        <v>117</v>
      </c>
      <c r="C56" s="40"/>
      <c r="D56" s="40">
        <v>500000</v>
      </c>
      <c r="E56" s="39"/>
      <c r="F56" s="39"/>
      <c r="G56" s="39"/>
      <c r="H56" s="39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customHeight="1">
      <c r="A57" s="37" t="s">
        <v>114</v>
      </c>
      <c r="B57" s="42" t="s">
        <v>118</v>
      </c>
      <c r="C57" s="40"/>
      <c r="D57" s="40">
        <v>100000</v>
      </c>
      <c r="E57" s="39"/>
      <c r="F57" s="39"/>
      <c r="G57" s="39"/>
      <c r="H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customHeight="1">
      <c r="A58" s="37" t="s">
        <v>114</v>
      </c>
      <c r="B58" s="42" t="s">
        <v>119</v>
      </c>
      <c r="C58" s="40"/>
      <c r="D58" s="40">
        <v>150000</v>
      </c>
      <c r="E58" s="39"/>
      <c r="F58" s="39"/>
      <c r="G58" s="39"/>
      <c r="H58" s="39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customHeight="1">
      <c r="A59" s="47" t="s">
        <v>120</v>
      </c>
      <c r="B59" s="47"/>
      <c r="C59" s="34">
        <f t="shared" ref="C59:D59" si="4">SUM(C60:C75)</f>
        <v>112529.2</v>
      </c>
      <c r="D59" s="34">
        <f t="shared" si="4"/>
        <v>21041.95</v>
      </c>
      <c r="E59" s="34">
        <f>SUM(E65:E75)</f>
        <v>0</v>
      </c>
      <c r="F59" s="34">
        <f>SUM(F60:F75)</f>
        <v>129380.96000000002</v>
      </c>
      <c r="G59" s="34">
        <f t="shared" ref="G59:H59" si="5">SUM(G65:G75)</f>
        <v>10000</v>
      </c>
      <c r="H59" s="34">
        <f t="shared" si="5"/>
        <v>10000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customHeight="1">
      <c r="A60" s="37">
        <v>33903958</v>
      </c>
      <c r="B60" s="38" t="s">
        <v>121</v>
      </c>
      <c r="C60" s="39">
        <v>10000</v>
      </c>
      <c r="D60" s="39"/>
      <c r="E60" s="39"/>
      <c r="F60" s="39"/>
      <c r="G60" s="39"/>
      <c r="H60" s="39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customHeight="1">
      <c r="A61" s="37">
        <v>33904013</v>
      </c>
      <c r="B61" s="38" t="s">
        <v>122</v>
      </c>
      <c r="C61" s="39">
        <v>30000</v>
      </c>
      <c r="D61" s="39"/>
      <c r="E61" s="39"/>
      <c r="F61" s="39"/>
      <c r="G61" s="39"/>
      <c r="H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customHeight="1">
      <c r="A62" s="37">
        <v>33903917</v>
      </c>
      <c r="B62" s="38" t="s">
        <v>123</v>
      </c>
      <c r="C62" s="39">
        <v>5200</v>
      </c>
      <c r="D62" s="39"/>
      <c r="E62" s="39"/>
      <c r="F62" s="39"/>
      <c r="G62" s="39"/>
      <c r="H62" s="39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customHeight="1">
      <c r="A63" s="37">
        <v>33903956</v>
      </c>
      <c r="B63" s="38" t="s">
        <v>124</v>
      </c>
      <c r="C63" s="39">
        <v>5000</v>
      </c>
      <c r="D63" s="39"/>
      <c r="E63" s="39"/>
      <c r="F63" s="39"/>
      <c r="G63" s="39"/>
      <c r="H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customHeight="1">
      <c r="A64" s="37">
        <v>33903983</v>
      </c>
      <c r="B64" s="38" t="s">
        <v>125</v>
      </c>
      <c r="C64" s="39">
        <v>30000</v>
      </c>
      <c r="D64" s="39"/>
      <c r="E64" s="39"/>
      <c r="F64" s="39"/>
      <c r="G64" s="39"/>
      <c r="H64" s="39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37">
        <v>33903017</v>
      </c>
      <c r="B65" s="38" t="s">
        <v>126</v>
      </c>
      <c r="C65" s="39"/>
      <c r="D65" s="39"/>
      <c r="E65" s="39"/>
      <c r="F65" s="39">
        <v>59491.34</v>
      </c>
      <c r="G65" s="39"/>
      <c r="H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37">
        <v>44905235</v>
      </c>
      <c r="B66" s="38" t="s">
        <v>127</v>
      </c>
      <c r="C66" s="39"/>
      <c r="D66" s="39"/>
      <c r="E66" s="39"/>
      <c r="F66" s="48"/>
      <c r="G66" s="39">
        <v>10000</v>
      </c>
      <c r="H66" s="39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37">
        <v>44905235</v>
      </c>
      <c r="B67" s="42" t="s">
        <v>128</v>
      </c>
      <c r="C67" s="40"/>
      <c r="D67" s="40">
        <v>21041.95</v>
      </c>
      <c r="E67" s="39"/>
      <c r="F67" s="39"/>
      <c r="G67" s="39"/>
      <c r="H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37">
        <v>33901801</v>
      </c>
      <c r="B68" s="38" t="s">
        <v>129</v>
      </c>
      <c r="C68" s="39"/>
      <c r="D68" s="39"/>
      <c r="E68" s="39"/>
      <c r="F68" s="39">
        <v>23296.54</v>
      </c>
      <c r="G68" s="39"/>
      <c r="H68" s="39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37">
        <v>33901802</v>
      </c>
      <c r="B69" s="38" t="s">
        <v>130</v>
      </c>
      <c r="C69" s="39"/>
      <c r="D69" s="39"/>
      <c r="E69" s="39"/>
      <c r="F69" s="39">
        <v>23296.54</v>
      </c>
      <c r="G69" s="39"/>
      <c r="H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37">
        <v>33902001</v>
      </c>
      <c r="B70" s="38" t="s">
        <v>131</v>
      </c>
      <c r="C70" s="39"/>
      <c r="D70" s="39"/>
      <c r="E70" s="39"/>
      <c r="F70" s="39">
        <v>23296.54</v>
      </c>
      <c r="G70" s="39"/>
      <c r="H70" s="39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37">
        <v>33903628</v>
      </c>
      <c r="B71" s="38" t="s">
        <v>132</v>
      </c>
      <c r="C71" s="39"/>
      <c r="D71" s="39"/>
      <c r="E71" s="39"/>
      <c r="F71" s="39"/>
      <c r="G71" s="39"/>
      <c r="H71" s="39">
        <v>10000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37">
        <v>33903628</v>
      </c>
      <c r="B72" s="38" t="s">
        <v>133</v>
      </c>
      <c r="C72" s="39">
        <v>10925.2</v>
      </c>
      <c r="D72" s="39"/>
      <c r="E72" s="39"/>
      <c r="F72" s="39"/>
      <c r="G72" s="39"/>
      <c r="H72" s="39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37">
        <v>33903963</v>
      </c>
      <c r="B73" s="38" t="s">
        <v>134</v>
      </c>
      <c r="C73" s="39">
        <v>3000</v>
      </c>
      <c r="D73" s="39"/>
      <c r="E73" s="39"/>
      <c r="F73" s="39"/>
      <c r="G73" s="39"/>
      <c r="H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37">
        <v>33903990</v>
      </c>
      <c r="B74" s="38" t="s">
        <v>135</v>
      </c>
      <c r="C74" s="39">
        <v>10000</v>
      </c>
      <c r="D74" s="39"/>
      <c r="E74" s="39"/>
      <c r="F74" s="39"/>
      <c r="G74" s="39"/>
      <c r="H74" s="39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37">
        <v>33903947</v>
      </c>
      <c r="B75" s="38" t="s">
        <v>136</v>
      </c>
      <c r="C75" s="39">
        <v>8404</v>
      </c>
      <c r="D75" s="39"/>
      <c r="E75" s="39"/>
      <c r="F75" s="39"/>
      <c r="G75" s="39"/>
      <c r="H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47" t="s">
        <v>137</v>
      </c>
      <c r="B76" s="47"/>
      <c r="C76" s="34">
        <f t="shared" ref="C76:H76" si="6">SUM(C77:C90)</f>
        <v>90800</v>
      </c>
      <c r="D76" s="34">
        <f t="shared" si="6"/>
        <v>500000</v>
      </c>
      <c r="E76" s="34">
        <f t="shared" si="6"/>
        <v>683964.47</v>
      </c>
      <c r="F76" s="34">
        <f t="shared" si="6"/>
        <v>175474.02000000002</v>
      </c>
      <c r="G76" s="34">
        <f t="shared" si="6"/>
        <v>0</v>
      </c>
      <c r="H76" s="34">
        <f t="shared" si="6"/>
        <v>0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37">
        <v>33903941</v>
      </c>
      <c r="B77" s="38" t="s">
        <v>138</v>
      </c>
      <c r="C77" s="39"/>
      <c r="D77" s="39"/>
      <c r="E77" s="39"/>
      <c r="F77" s="39"/>
      <c r="G77" s="39"/>
      <c r="H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37">
        <v>33903941</v>
      </c>
      <c r="B78" s="42" t="s">
        <v>139</v>
      </c>
      <c r="C78" s="39"/>
      <c r="D78" s="40">
        <v>400000</v>
      </c>
      <c r="E78" s="39"/>
      <c r="F78" s="39"/>
      <c r="G78" s="39"/>
      <c r="H78" s="39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37">
        <v>33903969</v>
      </c>
      <c r="B79" s="42" t="s">
        <v>140</v>
      </c>
      <c r="C79" s="39">
        <v>15000</v>
      </c>
      <c r="D79" s="40"/>
      <c r="E79" s="39"/>
      <c r="F79" s="39"/>
      <c r="G79" s="39"/>
      <c r="H79" s="39"/>
      <c r="I79" s="49" t="s">
        <v>141</v>
      </c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37">
        <v>33903941</v>
      </c>
      <c r="B80" s="42" t="s">
        <v>139</v>
      </c>
      <c r="C80" s="39"/>
      <c r="D80" s="40"/>
      <c r="E80" s="39">
        <v>467964.47</v>
      </c>
      <c r="F80" s="39"/>
      <c r="G80" s="39"/>
      <c r="H80" s="39"/>
      <c r="I80" s="50">
        <v>649766.25</v>
      </c>
      <c r="J80" s="51" t="s">
        <v>142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37">
        <v>33903941</v>
      </c>
      <c r="B81" s="42" t="s">
        <v>143</v>
      </c>
      <c r="C81" s="39"/>
      <c r="D81" s="40"/>
      <c r="E81" s="39"/>
      <c r="F81" s="39">
        <v>116482.68</v>
      </c>
      <c r="G81" s="39"/>
      <c r="H81" s="39"/>
      <c r="I81" s="52">
        <v>116482.68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37">
        <v>33901801</v>
      </c>
      <c r="B82" s="42" t="s">
        <v>144</v>
      </c>
      <c r="C82" s="39"/>
      <c r="D82" s="40"/>
      <c r="E82" s="39">
        <v>216000</v>
      </c>
      <c r="F82" s="39"/>
      <c r="G82" s="39"/>
      <c r="H82" s="39"/>
      <c r="I82" s="53">
        <v>84032</v>
      </c>
      <c r="J82" s="51" t="s">
        <v>145</v>
      </c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37">
        <v>33903941</v>
      </c>
      <c r="B83" s="42" t="s">
        <v>146</v>
      </c>
      <c r="C83" s="39"/>
      <c r="D83" s="40">
        <v>90000</v>
      </c>
      <c r="E83" s="39"/>
      <c r="F83" s="54"/>
      <c r="G83" s="54"/>
      <c r="H83" s="54"/>
      <c r="I83" s="55">
        <v>193192.78</v>
      </c>
      <c r="J83" s="51" t="s">
        <v>147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37">
        <v>33901801</v>
      </c>
      <c r="B84" s="42" t="s">
        <v>148</v>
      </c>
      <c r="C84" s="39"/>
      <c r="D84" s="40"/>
      <c r="E84" s="40"/>
      <c r="F84" s="40">
        <v>18000</v>
      </c>
      <c r="G84" s="40"/>
      <c r="H84" s="40"/>
      <c r="I84" s="55">
        <v>10474.1</v>
      </c>
      <c r="J84" s="51" t="s">
        <v>147</v>
      </c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37">
        <v>33902001</v>
      </c>
      <c r="B85" s="42" t="s">
        <v>149</v>
      </c>
      <c r="C85" s="39"/>
      <c r="D85" s="39"/>
      <c r="E85" s="39"/>
      <c r="F85" s="39">
        <f>23296.54-F84</f>
        <v>5296.5400000000009</v>
      </c>
      <c r="G85" s="39"/>
      <c r="H85" s="39"/>
      <c r="I85" s="55">
        <v>4237.2</v>
      </c>
      <c r="J85" s="51" t="s">
        <v>147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37">
        <v>339030</v>
      </c>
      <c r="B86" s="38" t="s">
        <v>150</v>
      </c>
      <c r="C86" s="39">
        <v>800</v>
      </c>
      <c r="D86" s="39"/>
      <c r="E86" s="39"/>
      <c r="F86" s="39"/>
      <c r="G86" s="39"/>
      <c r="H86" s="39"/>
      <c r="I86" s="56">
        <f>SUM(I80:I85)</f>
        <v>1058185.01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6.5" customHeight="1">
      <c r="A87" s="37">
        <v>33903701</v>
      </c>
      <c r="B87" s="42" t="s">
        <v>151</v>
      </c>
      <c r="C87" s="40">
        <v>70000</v>
      </c>
      <c r="D87" s="40"/>
      <c r="E87" s="40"/>
      <c r="F87" s="48"/>
      <c r="G87" s="40"/>
      <c r="H87" s="4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6.5" customHeight="1">
      <c r="A88" s="37">
        <v>33903701</v>
      </c>
      <c r="B88" s="38" t="s">
        <v>152</v>
      </c>
      <c r="C88" s="39"/>
      <c r="D88" s="39"/>
      <c r="E88" s="39"/>
      <c r="F88" s="39">
        <v>35694.800000000003</v>
      </c>
      <c r="G88" s="40"/>
      <c r="H88" s="40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37">
        <v>33903628</v>
      </c>
      <c r="B89" s="42" t="s">
        <v>153</v>
      </c>
      <c r="C89" s="39">
        <v>2000</v>
      </c>
      <c r="D89" s="39"/>
      <c r="E89" s="39"/>
      <c r="F89" s="39"/>
      <c r="G89" s="39"/>
      <c r="H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37">
        <v>33903309</v>
      </c>
      <c r="B90" s="42" t="s">
        <v>154</v>
      </c>
      <c r="C90" s="39">
        <v>3000</v>
      </c>
      <c r="D90" s="40">
        <v>10000</v>
      </c>
      <c r="E90" s="39"/>
      <c r="F90" s="39"/>
      <c r="G90" s="39"/>
      <c r="H90" s="39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47" t="s">
        <v>155</v>
      </c>
      <c r="B91" s="47"/>
      <c r="C91" s="34">
        <f t="shared" ref="C91:H91" si="7">SUM(C92:C99)</f>
        <v>50000</v>
      </c>
      <c r="D91" s="34">
        <f t="shared" si="7"/>
        <v>36000</v>
      </c>
      <c r="E91" s="34">
        <f t="shared" si="7"/>
        <v>0</v>
      </c>
      <c r="F91" s="34">
        <f t="shared" si="7"/>
        <v>69889.600000000006</v>
      </c>
      <c r="G91" s="34">
        <f t="shared" si="7"/>
        <v>0</v>
      </c>
      <c r="H91" s="34">
        <f t="shared" si="7"/>
        <v>0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37">
        <v>33901801</v>
      </c>
      <c r="B92" s="38" t="s">
        <v>156</v>
      </c>
      <c r="C92" s="39"/>
      <c r="D92" s="39"/>
      <c r="E92" s="39"/>
      <c r="F92" s="39">
        <v>34944.800000000003</v>
      </c>
      <c r="G92" s="39"/>
      <c r="H92" s="39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37">
        <v>33901801</v>
      </c>
      <c r="B93" s="38" t="s">
        <v>157</v>
      </c>
      <c r="C93" s="39"/>
      <c r="D93" s="39"/>
      <c r="E93" s="39"/>
      <c r="F93" s="39">
        <v>20000</v>
      </c>
      <c r="G93" s="39"/>
      <c r="H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37">
        <v>33902001</v>
      </c>
      <c r="B94" s="38" t="s">
        <v>158</v>
      </c>
      <c r="C94" s="39"/>
      <c r="D94" s="39"/>
      <c r="E94" s="39"/>
      <c r="F94" s="39">
        <f>34944.8-F93</f>
        <v>14944.800000000003</v>
      </c>
      <c r="G94" s="39"/>
      <c r="H94" s="39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37">
        <v>33903607</v>
      </c>
      <c r="B95" s="38" t="s">
        <v>159</v>
      </c>
      <c r="C95" s="39">
        <v>44000</v>
      </c>
      <c r="D95" s="39"/>
      <c r="E95" s="39"/>
      <c r="F95" s="39"/>
      <c r="G95" s="39"/>
      <c r="H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37">
        <v>33902001</v>
      </c>
      <c r="B96" s="42" t="s">
        <v>160</v>
      </c>
      <c r="C96" s="40">
        <v>6000</v>
      </c>
      <c r="D96" s="48"/>
      <c r="E96" s="39"/>
      <c r="F96" s="39"/>
      <c r="G96" s="39"/>
      <c r="H96" s="39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37" t="s">
        <v>161</v>
      </c>
      <c r="B97" s="42" t="s">
        <v>162</v>
      </c>
      <c r="C97" s="40"/>
      <c r="D97" s="40">
        <v>1000</v>
      </c>
      <c r="E97" s="39"/>
      <c r="F97" s="39"/>
      <c r="G97" s="39"/>
      <c r="H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37" t="s">
        <v>163</v>
      </c>
      <c r="B98" s="42" t="s">
        <v>164</v>
      </c>
      <c r="C98" s="40"/>
      <c r="D98" s="40">
        <v>18000</v>
      </c>
      <c r="E98" s="39"/>
      <c r="F98" s="39"/>
      <c r="G98" s="39"/>
      <c r="H98" s="39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37" t="s">
        <v>165</v>
      </c>
      <c r="B99" s="42" t="s">
        <v>166</v>
      </c>
      <c r="C99" s="40"/>
      <c r="D99" s="40">
        <v>17000</v>
      </c>
      <c r="E99" s="39"/>
      <c r="F99" s="39"/>
      <c r="G99" s="39"/>
      <c r="H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57"/>
      <c r="B100" s="57"/>
      <c r="C100" s="58"/>
      <c r="D100" s="58"/>
      <c r="E100" s="58"/>
      <c r="F100" s="58"/>
      <c r="G100" s="58"/>
      <c r="H100" s="58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59"/>
      <c r="B101" s="59"/>
      <c r="C101" s="60"/>
      <c r="D101" s="60"/>
      <c r="E101" s="60"/>
      <c r="F101" s="60"/>
      <c r="G101" s="60"/>
      <c r="H101" s="6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59"/>
      <c r="B102" s="59"/>
      <c r="C102" s="60"/>
      <c r="D102" s="61"/>
      <c r="E102" s="60"/>
      <c r="F102" s="60"/>
      <c r="G102" s="60"/>
      <c r="H102" s="6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59"/>
      <c r="B103" s="59"/>
      <c r="C103" s="60"/>
      <c r="D103" s="60"/>
      <c r="E103" s="60"/>
      <c r="F103" s="60"/>
      <c r="G103" s="60"/>
      <c r="H103" s="6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59"/>
      <c r="B104" s="59"/>
      <c r="C104" s="60"/>
      <c r="D104" s="60"/>
      <c r="E104" s="60"/>
      <c r="F104" s="60"/>
      <c r="G104" s="60"/>
      <c r="H104" s="60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59"/>
      <c r="B105" s="59"/>
      <c r="C105" s="60"/>
      <c r="D105" s="60"/>
      <c r="E105" s="60"/>
      <c r="F105" s="60"/>
      <c r="G105" s="60"/>
      <c r="H105" s="6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59"/>
      <c r="B106" s="59"/>
      <c r="C106" s="60"/>
      <c r="D106" s="60"/>
      <c r="E106" s="60"/>
      <c r="F106" s="60"/>
      <c r="G106" s="60"/>
      <c r="H106" s="60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59"/>
      <c r="B107" s="59"/>
      <c r="C107" s="60"/>
      <c r="D107" s="60"/>
      <c r="E107" s="60"/>
      <c r="F107" s="60"/>
      <c r="G107" s="60"/>
      <c r="H107" s="6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59"/>
      <c r="B108" s="59"/>
      <c r="C108" s="60"/>
      <c r="D108" s="60"/>
      <c r="E108" s="60"/>
      <c r="F108" s="60"/>
      <c r="G108" s="60"/>
      <c r="H108" s="60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59"/>
      <c r="B109" s="59"/>
      <c r="C109" s="60"/>
      <c r="D109" s="60"/>
      <c r="E109" s="60"/>
      <c r="F109" s="60"/>
      <c r="G109" s="60"/>
      <c r="H109" s="6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59"/>
      <c r="B110" s="59"/>
      <c r="C110" s="60"/>
      <c r="D110" s="60"/>
      <c r="E110" s="60"/>
      <c r="F110" s="60"/>
      <c r="G110" s="60"/>
      <c r="H110" s="60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59"/>
      <c r="B111" s="59"/>
      <c r="C111" s="60"/>
      <c r="D111" s="60"/>
      <c r="E111" s="60"/>
      <c r="F111" s="60"/>
      <c r="G111" s="60"/>
      <c r="H111" s="6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59"/>
      <c r="B112" s="59"/>
      <c r="C112" s="60"/>
      <c r="D112" s="60"/>
      <c r="E112" s="60"/>
      <c r="F112" s="60"/>
      <c r="G112" s="60"/>
      <c r="H112" s="60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5.7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5.7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5.7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5.7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5.7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5.7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5.7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5.7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6">
    <mergeCell ref="A14:B14"/>
    <mergeCell ref="A2:H2"/>
    <mergeCell ref="A3:A4"/>
    <mergeCell ref="B3:B4"/>
    <mergeCell ref="C3:H3"/>
    <mergeCell ref="A7:B7"/>
  </mergeCells>
  <pageMargins left="0.31763431947916532" right="0.31763431947916532" top="0.51180555555555496" bottom="0.51180555555555496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7109375" customWidth="1"/>
    <col min="2" max="2" width="20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69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0</v>
      </c>
      <c r="H3" s="79">
        <f t="shared" ref="H3:H4" si="2">M3/E3</f>
        <v>0</v>
      </c>
      <c r="I3" s="80">
        <f t="shared" ref="I3:O3" si="3">I4+I12+I67+I96+I159</f>
        <v>0</v>
      </c>
      <c r="J3" s="80">
        <f t="shared" si="3"/>
        <v>2466010.4700000002</v>
      </c>
      <c r="K3" s="80">
        <f t="shared" si="3"/>
        <v>16240</v>
      </c>
      <c r="L3" s="80">
        <f t="shared" si="3"/>
        <v>0</v>
      </c>
      <c r="M3" s="81">
        <f t="shared" si="3"/>
        <v>0</v>
      </c>
      <c r="N3" s="81">
        <f t="shared" si="3"/>
        <v>219216.24</v>
      </c>
      <c r="O3" s="81">
        <f t="shared" si="3"/>
        <v>0</v>
      </c>
      <c r="P3" s="82">
        <f t="shared" ref="P3:R3" si="4">IF(BI3=0,SUM(Y3+AB3+AE3+AH3+AK3+AN3+AQ3+AT3+AW3+AZ3+BC3+BF3),BI3)</f>
        <v>0</v>
      </c>
      <c r="Q3" s="82">
        <f t="shared" si="4"/>
        <v>219966.24</v>
      </c>
      <c r="R3" s="69">
        <f t="shared" si="4"/>
        <v>0</v>
      </c>
      <c r="S3" s="71" t="e">
        <f t="shared" ref="S3:U3" si="5">S4+S12+S67+S96+S159</f>
        <v>#REF!</v>
      </c>
      <c r="T3" s="71" t="e">
        <f t="shared" si="5"/>
        <v>#REF!</v>
      </c>
      <c r="U3" s="71" t="e">
        <f t="shared" si="5"/>
        <v>#REF!</v>
      </c>
      <c r="V3" s="73" t="e">
        <f t="shared" ref="V3:W3" si="6">M3/I3</f>
        <v>#DIV/0!</v>
      </c>
      <c r="W3" s="73">
        <f t="shared" si="6"/>
        <v>8.8895097026899475E-2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0</v>
      </c>
      <c r="AD3" s="83">
        <f t="shared" si="8"/>
        <v>0</v>
      </c>
      <c r="AE3" s="83">
        <f t="shared" si="8"/>
        <v>0</v>
      </c>
      <c r="AF3" s="83">
        <f t="shared" si="8"/>
        <v>0</v>
      </c>
      <c r="AG3" s="83">
        <f t="shared" si="8"/>
        <v>0</v>
      </c>
      <c r="AH3" s="83">
        <f t="shared" si="8"/>
        <v>0</v>
      </c>
      <c r="AI3" s="83">
        <f t="shared" si="8"/>
        <v>0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0</v>
      </c>
      <c r="H4" s="88">
        <f t="shared" si="2"/>
        <v>0</v>
      </c>
      <c r="I4" s="87">
        <f>SUM(I5:I11)</f>
        <v>0</v>
      </c>
      <c r="J4" s="87">
        <f>SUM(J6:J11)</f>
        <v>17783.25</v>
      </c>
      <c r="K4" s="87"/>
      <c r="L4" s="87">
        <f t="shared" ref="L4:O4" si="9">SUM(L14)</f>
        <v>0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87">
        <f t="shared" ref="P4:R4" si="10">IF(BI4=0,SUM(Y4+AB4+AE4+AH4+AK4+AN4+AQ4+AT4+AW4+AZ4+BC4+BF4),BI4)</f>
        <v>0</v>
      </c>
      <c r="Q4" s="87">
        <f t="shared" si="10"/>
        <v>0</v>
      </c>
      <c r="R4" s="87">
        <f t="shared" si="10"/>
        <v>0</v>
      </c>
      <c r="S4" s="87">
        <f t="shared" ref="S4:U4" si="11">SUM(S14)</f>
        <v>0</v>
      </c>
      <c r="T4" s="87">
        <f t="shared" si="11"/>
        <v>0</v>
      </c>
      <c r="U4" s="87">
        <f t="shared" si="11"/>
        <v>0</v>
      </c>
      <c r="V4" s="87" t="e">
        <f t="shared" ref="V4:W4" si="12">M4/I4</f>
        <v>#DIV/0!</v>
      </c>
      <c r="W4" s="88">
        <f t="shared" si="12"/>
        <v>0</v>
      </c>
      <c r="X4" s="88" t="e">
        <f t="shared" si="7"/>
        <v>#DIV/0!</v>
      </c>
      <c r="Y4" s="87">
        <f t="shared" ref="Y4:BK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 t="shared" si="13"/>
        <v>0</v>
      </c>
      <c r="AF4" s="87">
        <f t="shared" si="13"/>
        <v>0</v>
      </c>
      <c r="AG4" s="87">
        <f t="shared" si="13"/>
        <v>0</v>
      </c>
      <c r="AH4" s="87">
        <f t="shared" si="13"/>
        <v>0</v>
      </c>
      <c r="AI4" s="87">
        <f t="shared" si="13"/>
        <v>0</v>
      </c>
      <c r="AJ4" s="87">
        <f t="shared" si="13"/>
        <v>0</v>
      </c>
      <c r="AK4" s="87">
        <f t="shared" si="13"/>
        <v>0</v>
      </c>
      <c r="AL4" s="87">
        <f t="shared" si="13"/>
        <v>0</v>
      </c>
      <c r="AM4" s="87">
        <f t="shared" si="13"/>
        <v>0</v>
      </c>
      <c r="AN4" s="87">
        <f t="shared" si="13"/>
        <v>0</v>
      </c>
      <c r="AO4" s="87">
        <f t="shared" si="13"/>
        <v>0</v>
      </c>
      <c r="AP4" s="87">
        <f t="shared" si="13"/>
        <v>0</v>
      </c>
      <c r="AQ4" s="87">
        <f t="shared" si="13"/>
        <v>0</v>
      </c>
      <c r="AR4" s="87">
        <f t="shared" si="13"/>
        <v>0</v>
      </c>
      <c r="AS4" s="87">
        <f t="shared" si="13"/>
        <v>0</v>
      </c>
      <c r="AT4" s="87">
        <f t="shared" si="13"/>
        <v>0</v>
      </c>
      <c r="AU4" s="87">
        <f t="shared" si="13"/>
        <v>0</v>
      </c>
      <c r="AV4" s="87">
        <f t="shared" si="13"/>
        <v>0</v>
      </c>
      <c r="AW4" s="87">
        <f t="shared" si="13"/>
        <v>0</v>
      </c>
      <c r="AX4" s="87">
        <f t="shared" si="13"/>
        <v>0</v>
      </c>
      <c r="AY4" s="87">
        <f t="shared" si="13"/>
        <v>0</v>
      </c>
      <c r="AZ4" s="87">
        <f t="shared" si="13"/>
        <v>0</v>
      </c>
      <c r="BA4" s="87">
        <f t="shared" si="13"/>
        <v>0</v>
      </c>
      <c r="BB4" s="87">
        <f t="shared" si="13"/>
        <v>0</v>
      </c>
      <c r="BC4" s="87">
        <f t="shared" si="13"/>
        <v>0</v>
      </c>
      <c r="BD4" s="87">
        <f t="shared" si="13"/>
        <v>0</v>
      </c>
      <c r="BE4" s="87">
        <f t="shared" si="13"/>
        <v>0</v>
      </c>
      <c r="BF4" s="87">
        <f t="shared" si="13"/>
        <v>0</v>
      </c>
      <c r="BG4" s="87">
        <f t="shared" si="13"/>
        <v>0</v>
      </c>
      <c r="BH4" s="87">
        <f t="shared" si="13"/>
        <v>0</v>
      </c>
      <c r="BI4" s="87">
        <f t="shared" si="13"/>
        <v>0</v>
      </c>
      <c r="BJ4" s="87">
        <f t="shared" si="13"/>
        <v>0</v>
      </c>
      <c r="BK4" s="87">
        <f t="shared" si="13"/>
        <v>0</v>
      </c>
      <c r="BL4" s="84"/>
      <c r="BM4" s="85"/>
      <c r="BN4" s="85"/>
      <c r="BO4" s="85"/>
      <c r="BP4" s="85"/>
    </row>
    <row r="5" spans="1:68" ht="15.75" customHeight="1">
      <c r="A5" s="89"/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/>
      <c r="J5" s="96"/>
      <c r="K5" s="96"/>
      <c r="L5" s="95"/>
      <c r="M5" s="97">
        <f t="shared" ref="M5:O5" si="14">Y5+AB5+AE5+AH5+AK5+AN5+AQ5+AT5+AW5+AZ5+BC5+BF5</f>
        <v>0</v>
      </c>
      <c r="N5" s="97">
        <f t="shared" si="14"/>
        <v>0</v>
      </c>
      <c r="O5" s="97">
        <f t="shared" si="14"/>
        <v>0</v>
      </c>
      <c r="P5" s="82">
        <f t="shared" ref="P5:R5" si="15">IF(BI5=0,SUM(Y5+AB5+AE5+AH5+AK5+AN5+AQ5+AT5+AW5+AZ5+BC5+BF5),BI5)</f>
        <v>0</v>
      </c>
      <c r="Q5" s="82">
        <f t="shared" si="15"/>
        <v>0</v>
      </c>
      <c r="R5" s="82">
        <f t="shared" si="15"/>
        <v>0</v>
      </c>
      <c r="S5" s="97"/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16" si="16">I6/E6</f>
        <v>0</v>
      </c>
      <c r="H6" s="94">
        <f t="shared" ref="H6:H16" si="17">M6/E6</f>
        <v>0</v>
      </c>
      <c r="I6" s="95"/>
      <c r="J6" s="96"/>
      <c r="K6" s="96"/>
      <c r="L6" s="95"/>
      <c r="M6" s="97">
        <f t="shared" ref="M6:O6" si="18">Y6+AB6+AE6+AH6+AK6+AN6+AQ6+AT6+AW6+AZ6+BC6+BF6</f>
        <v>0</v>
      </c>
      <c r="N6" s="97">
        <f t="shared" si="18"/>
        <v>0</v>
      </c>
      <c r="O6" s="97">
        <f t="shared" si="18"/>
        <v>0</v>
      </c>
      <c r="P6" s="82">
        <f t="shared" ref="P6:R6" si="19">IF(BI6=0,SUM(Y6+AB6+AE6+AH6+AK6+AN6+AQ6+AT6+AW6+AZ6+BC6+BF6),BI6)</f>
        <v>0</v>
      </c>
      <c r="Q6" s="82">
        <f t="shared" si="19"/>
        <v>0</v>
      </c>
      <c r="R6" s="82">
        <f t="shared" si="19"/>
        <v>0</v>
      </c>
      <c r="S6" s="97">
        <f t="shared" ref="S6:T6" si="20">I6-M6</f>
        <v>0</v>
      </c>
      <c r="T6" s="97">
        <f t="shared" si="20"/>
        <v>0</v>
      </c>
      <c r="U6" s="97">
        <f t="shared" ref="U6:U11" si="21">L6-O6</f>
        <v>0</v>
      </c>
      <c r="V6" s="97" t="e">
        <f t="shared" ref="V6:W6" si="22">M6/I6</f>
        <v>#DIV/0!</v>
      </c>
      <c r="W6" s="98" t="e">
        <f t="shared" si="22"/>
        <v>#DIV/0!</v>
      </c>
      <c r="X6" s="98" t="e">
        <f t="shared" ref="X6:X17" si="23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6"/>
        <v>0</v>
      </c>
      <c r="H7" s="94">
        <f t="shared" si="17"/>
        <v>0</v>
      </c>
      <c r="I7" s="95"/>
      <c r="J7" s="96"/>
      <c r="K7" s="96"/>
      <c r="L7" s="95"/>
      <c r="M7" s="97">
        <f t="shared" ref="M7:O7" si="24">Y7+AB7+AE7+AH7+AK7+AN7+AQ7+AT7+AW7+AZ7+BC7+BF7</f>
        <v>0</v>
      </c>
      <c r="N7" s="97">
        <f t="shared" si="24"/>
        <v>0</v>
      </c>
      <c r="O7" s="97">
        <f t="shared" si="24"/>
        <v>0</v>
      </c>
      <c r="P7" s="82">
        <f t="shared" ref="P7:R7" si="25">IF(BI7=0,SUM(Y7+AB7+AE7+AH7+AK7+AN7+AQ7+AT7+AW7+AZ7+BC7+BF7),BI7)</f>
        <v>0</v>
      </c>
      <c r="Q7" s="82">
        <f t="shared" si="25"/>
        <v>0</v>
      </c>
      <c r="R7" s="82">
        <f t="shared" si="25"/>
        <v>0</v>
      </c>
      <c r="S7" s="97">
        <f t="shared" ref="S7:T7" si="26">I7-M7</f>
        <v>0</v>
      </c>
      <c r="T7" s="97">
        <f t="shared" si="26"/>
        <v>0</v>
      </c>
      <c r="U7" s="97">
        <f t="shared" si="21"/>
        <v>0</v>
      </c>
      <c r="V7" s="97" t="e">
        <f t="shared" ref="V7:W7" si="27">M7/I7</f>
        <v>#DIV/0!</v>
      </c>
      <c r="W7" s="98" t="e">
        <f t="shared" si="27"/>
        <v>#DIV/0!</v>
      </c>
      <c r="X7" s="98" t="e">
        <f t="shared" si="23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208</v>
      </c>
      <c r="E8" s="92">
        <v>15127.2</v>
      </c>
      <c r="F8" s="93">
        <v>58483.53</v>
      </c>
      <c r="G8" s="94">
        <f t="shared" si="16"/>
        <v>0</v>
      </c>
      <c r="H8" s="94">
        <f t="shared" si="17"/>
        <v>0</v>
      </c>
      <c r="I8" s="95"/>
      <c r="J8" s="96">
        <v>15833.25</v>
      </c>
      <c r="K8" s="96"/>
      <c r="L8" s="95"/>
      <c r="M8" s="97">
        <f t="shared" ref="M8:O8" si="28">Y8+AB8+AE8+AH8+AK8+AN8+AQ8+AT8+AW8+AZ8+BC8+BF8</f>
        <v>0</v>
      </c>
      <c r="N8" s="97">
        <f t="shared" si="28"/>
        <v>0</v>
      </c>
      <c r="O8" s="97">
        <f t="shared" si="28"/>
        <v>0</v>
      </c>
      <c r="P8" s="82">
        <f t="shared" ref="P8:R8" si="29">IF(BI8=0,SUM(Y8+AB8+AE8+AH8+AK8+AN8+AQ8+AT8+AW8+AZ8+BC8+BF8),BI8)</f>
        <v>0</v>
      </c>
      <c r="Q8" s="82">
        <f t="shared" si="29"/>
        <v>0</v>
      </c>
      <c r="R8" s="82">
        <f t="shared" si="29"/>
        <v>0</v>
      </c>
      <c r="S8" s="97">
        <f t="shared" ref="S8:T8" si="30">I8-M8</f>
        <v>0</v>
      </c>
      <c r="T8" s="97">
        <f t="shared" si="30"/>
        <v>15833.25</v>
      </c>
      <c r="U8" s="97">
        <f t="shared" si="21"/>
        <v>0</v>
      </c>
      <c r="V8" s="97" t="e">
        <f t="shared" ref="V8:W8" si="31">M8/I8</f>
        <v>#DIV/0!</v>
      </c>
      <c r="W8" s="98">
        <f t="shared" si="31"/>
        <v>0</v>
      </c>
      <c r="X8" s="98" t="e">
        <f t="shared" si="23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6"/>
        <v>0</v>
      </c>
      <c r="H9" s="94">
        <f t="shared" si="17"/>
        <v>0</v>
      </c>
      <c r="I9" s="95"/>
      <c r="J9" s="103">
        <v>1950</v>
      </c>
      <c r="K9" s="96"/>
      <c r="L9" s="95"/>
      <c r="M9" s="97">
        <f t="shared" ref="M9:O9" si="32">Y9+AB9+AE9+AH9+AK9+AN9+AQ9+AT9+AW9+AZ9+BC9+BF9</f>
        <v>0</v>
      </c>
      <c r="N9" s="97">
        <f t="shared" si="32"/>
        <v>0</v>
      </c>
      <c r="O9" s="97">
        <f t="shared" si="32"/>
        <v>0</v>
      </c>
      <c r="P9" s="82">
        <f t="shared" ref="P9:R9" si="33">IF(BI9=0,SUM(Y9+AB9+AE9+AH9+AK9+AN9+AQ9+AT9+AW9+AZ9+BC9+BF9),BI9)</f>
        <v>0</v>
      </c>
      <c r="Q9" s="82">
        <f t="shared" si="33"/>
        <v>0</v>
      </c>
      <c r="R9" s="82">
        <f t="shared" si="33"/>
        <v>0</v>
      </c>
      <c r="S9" s="97">
        <f t="shared" ref="S9:T9" si="34">I9-M9</f>
        <v>0</v>
      </c>
      <c r="T9" s="97">
        <f t="shared" si="34"/>
        <v>1950</v>
      </c>
      <c r="U9" s="97">
        <f t="shared" si="21"/>
        <v>0</v>
      </c>
      <c r="V9" s="97" t="e">
        <f t="shared" ref="V9:W9" si="35">M9/I9</f>
        <v>#DIV/0!</v>
      </c>
      <c r="W9" s="98">
        <f t="shared" si="35"/>
        <v>0</v>
      </c>
      <c r="X9" s="98" t="e">
        <f t="shared" si="23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89"/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6"/>
        <v>0</v>
      </c>
      <c r="H10" s="94">
        <f t="shared" si="17"/>
        <v>0</v>
      </c>
      <c r="I10" s="95"/>
      <c r="J10" s="96"/>
      <c r="K10" s="96"/>
      <c r="L10" s="95"/>
      <c r="M10" s="97">
        <f t="shared" ref="M10:O10" si="36">Y10+AB10+AE10+AH10+AK10+AN10+AQ10+AT10+AW10+AZ10+BC10+BF10</f>
        <v>0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0</v>
      </c>
      <c r="Q10" s="82">
        <f t="shared" si="37"/>
        <v>0</v>
      </c>
      <c r="R10" s="82">
        <f t="shared" si="37"/>
        <v>0</v>
      </c>
      <c r="S10" s="97">
        <f t="shared" ref="S10:T10" si="38">I10-M10</f>
        <v>0</v>
      </c>
      <c r="T10" s="97">
        <f t="shared" si="38"/>
        <v>0</v>
      </c>
      <c r="U10" s="97">
        <f t="shared" si="21"/>
        <v>0</v>
      </c>
      <c r="V10" s="97" t="e">
        <f t="shared" ref="V10:W10" si="39">M10/I10</f>
        <v>#DIV/0!</v>
      </c>
      <c r="W10" s="98" t="e">
        <f t="shared" si="39"/>
        <v>#DIV/0!</v>
      </c>
      <c r="X10" s="98" t="e">
        <f t="shared" si="23"/>
        <v>#DIV/0!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6"/>
        <v>0</v>
      </c>
      <c r="H11" s="94">
        <f t="shared" si="17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ref="S11:T11" si="42">I11-M11</f>
        <v>0</v>
      </c>
      <c r="T11" s="97">
        <f t="shared" si="42"/>
        <v>0</v>
      </c>
      <c r="U11" s="97">
        <f t="shared" si="21"/>
        <v>0</v>
      </c>
      <c r="V11" s="97" t="e">
        <f t="shared" ref="V11:W11" si="43">M11/I11</f>
        <v>#DIV/0!</v>
      </c>
      <c r="W11" s="98" t="e">
        <f t="shared" si="43"/>
        <v>#DIV/0!</v>
      </c>
      <c r="X11" s="98" t="e">
        <f t="shared" si="23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4">SUM(E13:E66)</f>
        <v>1669164.1900000002</v>
      </c>
      <c r="F12" s="87">
        <f t="shared" si="44"/>
        <v>3250000</v>
      </c>
      <c r="G12" s="107">
        <f t="shared" si="16"/>
        <v>0</v>
      </c>
      <c r="H12" s="107">
        <f t="shared" si="17"/>
        <v>0</v>
      </c>
      <c r="I12" s="87">
        <f>SUM(I13:I66)</f>
        <v>0</v>
      </c>
      <c r="J12" s="87">
        <f t="shared" ref="J12:N12" si="45">SUM(J15:J66)</f>
        <v>1611770.46</v>
      </c>
      <c r="K12" s="87">
        <f t="shared" si="45"/>
        <v>16240</v>
      </c>
      <c r="L12" s="87">
        <f t="shared" si="45"/>
        <v>0</v>
      </c>
      <c r="M12" s="87">
        <f t="shared" si="45"/>
        <v>0</v>
      </c>
      <c r="N12" s="87">
        <f t="shared" si="45"/>
        <v>162060.35</v>
      </c>
      <c r="O12" s="108">
        <f>SUM(O15:O63)</f>
        <v>0</v>
      </c>
      <c r="P12" s="87">
        <f t="shared" ref="P12:R12" si="46">IF(BI12=0,SUM(Y12+AB12+AE12+AH12+AK12+AN12+AQ12+AT12+AW12+AZ12+BC12+BF12),BI12)</f>
        <v>0</v>
      </c>
      <c r="Q12" s="87">
        <f t="shared" si="46"/>
        <v>162060.35</v>
      </c>
      <c r="R12" s="108">
        <f t="shared" si="46"/>
        <v>0</v>
      </c>
      <c r="S12" s="87">
        <f t="shared" ref="S12:U12" si="47">SUM(S15:S66)</f>
        <v>0</v>
      </c>
      <c r="T12" s="87">
        <f t="shared" si="47"/>
        <v>1362193.01</v>
      </c>
      <c r="U12" s="108">
        <f t="shared" si="47"/>
        <v>0</v>
      </c>
      <c r="V12" s="88" t="e">
        <f t="shared" ref="V12:W12" si="48">M12/I12</f>
        <v>#DIV/0!</v>
      </c>
      <c r="W12" s="88">
        <f t="shared" si="48"/>
        <v>0.10054803337194802</v>
      </c>
      <c r="X12" s="88" t="e">
        <f t="shared" si="23"/>
        <v>#DIV/0!</v>
      </c>
      <c r="Y12" s="87">
        <f t="shared" ref="Y12:AC12" si="49">SUM(Y15:Y66)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0</v>
      </c>
      <c r="AD12" s="87">
        <f>SUM(AD15:AD63)</f>
        <v>0</v>
      </c>
      <c r="AE12" s="87">
        <f>SUM(AE15:AE66)</f>
        <v>0</v>
      </c>
      <c r="AF12" s="87">
        <f>SUM(AF15:AF65)</f>
        <v>0</v>
      </c>
      <c r="AG12" s="87">
        <f>SUM(AG15:AG63)</f>
        <v>0</v>
      </c>
      <c r="AH12" s="87">
        <f t="shared" ref="AH12:AI12" si="50">SUM(AH15:AH66)</f>
        <v>0</v>
      </c>
      <c r="AI12" s="87">
        <f t="shared" si="50"/>
        <v>0</v>
      </c>
      <c r="AJ12" s="87">
        <f>SUM(AJ15:AJ63)</f>
        <v>0</v>
      </c>
      <c r="AK12" s="87">
        <f t="shared" ref="AK12:AL12" si="51">SUM(AK15:AK66)</f>
        <v>0</v>
      </c>
      <c r="AL12" s="87">
        <f t="shared" si="51"/>
        <v>0</v>
      </c>
      <c r="AM12" s="87">
        <f>SUM(AM15:AM63)</f>
        <v>0</v>
      </c>
      <c r="AN12" s="87">
        <f t="shared" ref="AN12:AO12" si="52">SUM(AN15:AN66)</f>
        <v>0</v>
      </c>
      <c r="AO12" s="87">
        <f t="shared" si="52"/>
        <v>0</v>
      </c>
      <c r="AP12" s="87">
        <f>SUM(AP15:AP63)</f>
        <v>0</v>
      </c>
      <c r="AQ12" s="87">
        <f t="shared" ref="AQ12:AR12" si="53">SUM(AQ15:AQ66)</f>
        <v>0</v>
      </c>
      <c r="AR12" s="87">
        <f t="shared" si="53"/>
        <v>0</v>
      </c>
      <c r="AS12" s="87">
        <f>SUM(AS15:AS63)</f>
        <v>0</v>
      </c>
      <c r="AT12" s="87">
        <f>SUM(AT15:AT66)</f>
        <v>0</v>
      </c>
      <c r="AU12" s="87">
        <f t="shared" ref="AU12:AV12" si="54">SUM(AU15:AU63)</f>
        <v>0</v>
      </c>
      <c r="AV12" s="87">
        <f t="shared" si="54"/>
        <v>0</v>
      </c>
      <c r="AW12" s="87">
        <f t="shared" ref="AW12:AX12" si="55">SUM(AW15:AW66)</f>
        <v>0</v>
      </c>
      <c r="AX12" s="87">
        <f t="shared" si="55"/>
        <v>0</v>
      </c>
      <c r="AY12" s="87">
        <f t="shared" ref="AY12:BK12" si="56">SUM(AY15:AY63)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/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6"/>
        <v>0</v>
      </c>
      <c r="H13" s="94">
        <f t="shared" si="17"/>
        <v>0</v>
      </c>
      <c r="I13" s="96"/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T13" si="59">I13-M13</f>
        <v>0</v>
      </c>
      <c r="T13" s="97">
        <f t="shared" si="59"/>
        <v>0</v>
      </c>
      <c r="U13" s="97">
        <f t="shared" ref="U13:U17" si="60">L13-O13</f>
        <v>0</v>
      </c>
      <c r="V13" s="112" t="e">
        <f t="shared" ref="V13:W13" si="61">M13/I13</f>
        <v>#DIV/0!</v>
      </c>
      <c r="W13" s="98" t="e">
        <f t="shared" si="61"/>
        <v>#DIV/0!</v>
      </c>
      <c r="X13" s="98" t="e">
        <f t="shared" si="23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89"/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6"/>
        <v>0</v>
      </c>
      <c r="H14" s="94">
        <f t="shared" si="17"/>
        <v>0</v>
      </c>
      <c r="I14" s="95"/>
      <c r="J14" s="96"/>
      <c r="K14" s="96"/>
      <c r="L14" s="95"/>
      <c r="M14" s="97">
        <f t="shared" ref="M14:O14" si="62">Y14+AB14+AE14+AH14+AK14+AN14+AQ14+AT14+AW14+AZ14+BC14+BF14</f>
        <v>0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0</v>
      </c>
      <c r="Q14" s="82">
        <f t="shared" si="63"/>
        <v>0</v>
      </c>
      <c r="R14" s="82">
        <f t="shared" si="63"/>
        <v>0</v>
      </c>
      <c r="S14" s="97">
        <f t="shared" ref="S14:T14" si="64">I14-M14</f>
        <v>0</v>
      </c>
      <c r="T14" s="97">
        <f t="shared" si="64"/>
        <v>0</v>
      </c>
      <c r="U14" s="97">
        <f t="shared" si="60"/>
        <v>0</v>
      </c>
      <c r="V14" s="97" t="e">
        <f t="shared" ref="V14:W14" si="65">M14/I14</f>
        <v>#DIV/0!</v>
      </c>
      <c r="W14" s="98" t="e">
        <f t="shared" si="65"/>
        <v>#DIV/0!</v>
      </c>
      <c r="X14" s="98" t="e">
        <f t="shared" si="23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113"/>
      <c r="B15" s="114" t="s">
        <v>214</v>
      </c>
      <c r="C15" s="101" t="s">
        <v>215</v>
      </c>
      <c r="D15" s="115" t="s">
        <v>216</v>
      </c>
      <c r="E15" s="116">
        <v>280175</v>
      </c>
      <c r="F15" s="116"/>
      <c r="G15" s="94">
        <f t="shared" si="16"/>
        <v>0</v>
      </c>
      <c r="H15" s="94">
        <f t="shared" si="17"/>
        <v>0</v>
      </c>
      <c r="I15" s="96"/>
      <c r="J15" s="117">
        <v>194909.32</v>
      </c>
      <c r="K15" s="117"/>
      <c r="L15" s="118"/>
      <c r="M15" s="97">
        <f t="shared" ref="M15:O15" si="66">Y15+AB15+AE15+AH15+AK15+AN15+AQ15+AT15+AW15+AZ15+BC15+BF15</f>
        <v>0</v>
      </c>
      <c r="N15" s="97">
        <f t="shared" si="66"/>
        <v>7679.93</v>
      </c>
      <c r="O15" s="97">
        <f t="shared" si="66"/>
        <v>0</v>
      </c>
      <c r="P15" s="82">
        <f t="shared" ref="P15:R15" si="67">IF(BI15=0,SUM(Y15+AB15+AE15+AH15+AK15+AN15+AQ15+AT15+AW15+AZ15+BC15+BF15),BI15)</f>
        <v>0</v>
      </c>
      <c r="Q15" s="82">
        <f t="shared" si="67"/>
        <v>7679.93</v>
      </c>
      <c r="R15" s="82">
        <f t="shared" si="67"/>
        <v>0</v>
      </c>
      <c r="S15" s="97">
        <f t="shared" ref="S15:T15" si="68">I15-M15</f>
        <v>0</v>
      </c>
      <c r="T15" s="97">
        <f t="shared" si="68"/>
        <v>187229.39</v>
      </c>
      <c r="U15" s="97">
        <f t="shared" si="60"/>
        <v>0</v>
      </c>
      <c r="V15" s="98" t="e">
        <f t="shared" ref="V15:W15" si="69">M15/I15</f>
        <v>#DIV/0!</v>
      </c>
      <c r="W15" s="98">
        <f t="shared" si="69"/>
        <v>3.940257962010231E-2</v>
      </c>
      <c r="X15" s="98" t="e">
        <f t="shared" si="23"/>
        <v>#DIV/0!</v>
      </c>
      <c r="Y15" s="96"/>
      <c r="Z15" s="103">
        <v>7679.93</v>
      </c>
      <c r="AA15" s="96"/>
      <c r="AB15" s="119"/>
      <c r="AC15" s="119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219</v>
      </c>
      <c r="E16" s="92">
        <v>2000</v>
      </c>
      <c r="F16" s="116"/>
      <c r="G16" s="94">
        <f t="shared" si="16"/>
        <v>0</v>
      </c>
      <c r="H16" s="94">
        <f t="shared" si="17"/>
        <v>0</v>
      </c>
      <c r="I16" s="96"/>
      <c r="J16" s="117">
        <f>2600+2712.58</f>
        <v>5312.58</v>
      </c>
      <c r="K16" s="117"/>
      <c r="L16" s="118"/>
      <c r="M16" s="97">
        <f t="shared" ref="M16:O16" si="70">Y16+AB16+AE16+AH16+AK16+AN16+AQ16+AT16+AW16+AZ16+BC16+BF16</f>
        <v>0</v>
      </c>
      <c r="N16" s="97">
        <f t="shared" si="70"/>
        <v>0</v>
      </c>
      <c r="O16" s="97">
        <f t="shared" si="70"/>
        <v>0</v>
      </c>
      <c r="P16" s="82">
        <f t="shared" ref="P16:R16" si="71">IF(BI16=0,SUM(Y16+AB16+AE16+AH16+AK16+AN16+AQ16+AT16+AW16+AZ16+BC16+BF16),BI16)</f>
        <v>0</v>
      </c>
      <c r="Q16" s="82">
        <f t="shared" si="71"/>
        <v>0</v>
      </c>
      <c r="R16" s="82">
        <f t="shared" si="71"/>
        <v>0</v>
      </c>
      <c r="S16" s="97">
        <f t="shared" ref="S16:T16" si="72">I16-M16</f>
        <v>0</v>
      </c>
      <c r="T16" s="97">
        <f t="shared" si="72"/>
        <v>5312.58</v>
      </c>
      <c r="U16" s="97">
        <f t="shared" si="60"/>
        <v>0</v>
      </c>
      <c r="V16" s="98" t="e">
        <f t="shared" ref="V16:W16" si="73">M16/I16</f>
        <v>#DIV/0!</v>
      </c>
      <c r="W16" s="98">
        <f t="shared" si="73"/>
        <v>0</v>
      </c>
      <c r="X16" s="98" t="e">
        <f t="shared" si="23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222</v>
      </c>
      <c r="E17" s="123"/>
      <c r="F17" s="124"/>
      <c r="G17" s="94"/>
      <c r="H17" s="94"/>
      <c r="I17" s="103">
        <v>0</v>
      </c>
      <c r="J17" s="117">
        <f>12487.09</f>
        <v>12487.09</v>
      </c>
      <c r="K17" s="117"/>
      <c r="L17" s="118"/>
      <c r="M17" s="97">
        <f t="shared" ref="M17:O17" si="74">Y17+AB17+AE17+AH17+AK17+AN17+AQ17+AT17+AW17+AZ17+BC17+BF17</f>
        <v>0</v>
      </c>
      <c r="N17" s="97">
        <f t="shared" si="74"/>
        <v>12487.09</v>
      </c>
      <c r="O17" s="97">
        <f t="shared" si="74"/>
        <v>0</v>
      </c>
      <c r="P17" s="82">
        <f t="shared" ref="P17:R17" si="75">IF(BI17=0,SUM(Y17+AB17+AE17+AH17+AK17+AN17+AQ17+AT17+AW17+AZ17+BC17+BF17),BI17)</f>
        <v>0</v>
      </c>
      <c r="Q17" s="82">
        <f t="shared" si="75"/>
        <v>12487.09</v>
      </c>
      <c r="R17" s="82">
        <f t="shared" si="75"/>
        <v>0</v>
      </c>
      <c r="S17" s="97">
        <f t="shared" ref="S17:T17" si="76">I17-M17</f>
        <v>0</v>
      </c>
      <c r="T17" s="97">
        <f t="shared" si="76"/>
        <v>0</v>
      </c>
      <c r="U17" s="97">
        <f t="shared" si="60"/>
        <v>0</v>
      </c>
      <c r="V17" s="98" t="e">
        <f t="shared" ref="V17:W17" si="77">M17/I17</f>
        <v>#DIV/0!</v>
      </c>
      <c r="W17" s="98">
        <f t="shared" si="77"/>
        <v>1</v>
      </c>
      <c r="X17" s="98" t="e">
        <f t="shared" si="23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224</v>
      </c>
      <c r="E18" s="92">
        <v>309000</v>
      </c>
      <c r="F18" s="116"/>
      <c r="G18" s="94">
        <f t="shared" ref="G18:G56" si="78">I18/E18</f>
        <v>0</v>
      </c>
      <c r="H18" s="94">
        <f t="shared" ref="H18:H23" si="79">M18/E18</f>
        <v>0</v>
      </c>
      <c r="I18" s="96"/>
      <c r="J18" s="117">
        <v>93746.62</v>
      </c>
      <c r="K18" s="117"/>
      <c r="L18" s="118"/>
      <c r="M18" s="97">
        <f t="shared" ref="M18:O18" si="80">Y18+AB18+AE18+AH18+AK18+AN18+AQ18+AT18+AW18+AZ18+BC18+BF18</f>
        <v>0</v>
      </c>
      <c r="N18" s="97">
        <f t="shared" si="80"/>
        <v>17799.990000000002</v>
      </c>
      <c r="O18" s="97">
        <f t="shared" si="80"/>
        <v>0</v>
      </c>
      <c r="P18" s="82">
        <f t="shared" ref="P18:R18" si="81">IF(BI18=0,SUM(Y18+AB18+AE18+AH18+AK18+AN18+AQ18+AT18+AW18+AZ18+BC18+BF18),BI18)</f>
        <v>0</v>
      </c>
      <c r="Q18" s="82">
        <f t="shared" si="81"/>
        <v>17799.990000000002</v>
      </c>
      <c r="R18" s="82">
        <f t="shared" si="81"/>
        <v>0</v>
      </c>
      <c r="S18" s="97"/>
      <c r="T18" s="97"/>
      <c r="U18" s="97"/>
      <c r="V18" s="98"/>
      <c r="W18" s="98"/>
      <c r="X18" s="98"/>
      <c r="Y18" s="96"/>
      <c r="Z18" s="103">
        <v>17799.990000000002</v>
      </c>
      <c r="AA18" s="96"/>
      <c r="AB18" s="119"/>
      <c r="AC18" s="119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227</v>
      </c>
      <c r="E19" s="92">
        <v>610000</v>
      </c>
      <c r="F19" s="116"/>
      <c r="G19" s="94">
        <f t="shared" si="78"/>
        <v>0</v>
      </c>
      <c r="H19" s="94">
        <f t="shared" si="79"/>
        <v>0</v>
      </c>
      <c r="I19" s="96"/>
      <c r="J19" s="117">
        <v>180180.54</v>
      </c>
      <c r="K19" s="117"/>
      <c r="L19" s="118"/>
      <c r="M19" s="97">
        <f t="shared" ref="M19:M66" si="82">Y19+AB19+AE19+AH19+AK19+AN19+AQ19+AT19+AW19+AZ19+BC19+BF19</f>
        <v>0</v>
      </c>
      <c r="N19" s="97">
        <f>Z19+AC19+AI19+AO19+AR19+AU19+AX19+BA19+BD19+BG19</f>
        <v>20020.060000000001</v>
      </c>
      <c r="O19" s="97">
        <f>AA19+AD19+AG19+AJ19+AM19+AP19+AS19+AV19+AY19+BB19+BE19+BH19</f>
        <v>0</v>
      </c>
      <c r="P19" s="82">
        <f t="shared" ref="P19:R19" si="83">IF(BI19=0,SUM(Y19+AB19+AE19+AH19+AK19+AN19+AQ19+AT19+AW19+AZ19+BC19+BF19),BI19)</f>
        <v>0</v>
      </c>
      <c r="Q19" s="82">
        <f t="shared" si="83"/>
        <v>20020.060000000001</v>
      </c>
      <c r="R19" s="82">
        <f t="shared" si="83"/>
        <v>0</v>
      </c>
      <c r="S19" s="97">
        <f t="shared" ref="S19:T19" si="84">I19-M19</f>
        <v>0</v>
      </c>
      <c r="T19" s="97">
        <f t="shared" si="84"/>
        <v>160160.48000000001</v>
      </c>
      <c r="U19" s="97">
        <f t="shared" ref="U19:U23" si="85">L19-O19</f>
        <v>0</v>
      </c>
      <c r="V19" s="98" t="e">
        <f t="shared" ref="V19:W19" si="86">M19/I19</f>
        <v>#DIV/0!</v>
      </c>
      <c r="W19" s="98">
        <f t="shared" si="86"/>
        <v>0.11111111111111112</v>
      </c>
      <c r="X19" s="98" t="e">
        <f t="shared" ref="X19:X23" si="87">O19/L19</f>
        <v>#DIV/0!</v>
      </c>
      <c r="Y19" s="96"/>
      <c r="Z19" s="103">
        <v>20020.060000000001</v>
      </c>
      <c r="AA19" s="125"/>
      <c r="AB19" s="119"/>
      <c r="AC19" s="119"/>
      <c r="AD19" s="96"/>
      <c r="AE19" s="96"/>
      <c r="AF19" s="96"/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230</v>
      </c>
      <c r="E20" s="92">
        <v>43000</v>
      </c>
      <c r="F20" s="92"/>
      <c r="G20" s="94">
        <f t="shared" si="78"/>
        <v>0</v>
      </c>
      <c r="H20" s="94">
        <f t="shared" si="79"/>
        <v>0</v>
      </c>
      <c r="I20" s="96"/>
      <c r="J20" s="117">
        <v>20565.900000000001</v>
      </c>
      <c r="K20" s="117"/>
      <c r="L20" s="118"/>
      <c r="M20" s="97">
        <f t="shared" si="82"/>
        <v>0</v>
      </c>
      <c r="N20" s="97">
        <f t="shared" ref="N20:O20" si="88">Z20+AC20+AF20+AI20+AL20+AO20+AR20+AU20+AX20+BA20+BD20+BG20</f>
        <v>3427.65</v>
      </c>
      <c r="O20" s="97">
        <f t="shared" si="88"/>
        <v>0</v>
      </c>
      <c r="P20" s="82">
        <f t="shared" ref="P20:R20" si="89">IF(BI20=0,SUM(Y20+AB20+AE20+AH20+AK20+AN20+AQ20+AT20+AW20+AZ20+BC20+BF20),BI20)</f>
        <v>0</v>
      </c>
      <c r="Q20" s="82">
        <f t="shared" si="89"/>
        <v>3427.65</v>
      </c>
      <c r="R20" s="82">
        <f t="shared" si="89"/>
        <v>0</v>
      </c>
      <c r="S20" s="97">
        <f t="shared" ref="S20:T20" si="90">I20-M20</f>
        <v>0</v>
      </c>
      <c r="T20" s="97">
        <f t="shared" si="90"/>
        <v>17138.25</v>
      </c>
      <c r="U20" s="97">
        <f t="shared" si="85"/>
        <v>0</v>
      </c>
      <c r="V20" s="98" t="e">
        <f t="shared" ref="V20:W20" si="91">M20/I20</f>
        <v>#DIV/0!</v>
      </c>
      <c r="W20" s="98">
        <f t="shared" si="91"/>
        <v>0.16666666666666666</v>
      </c>
      <c r="X20" s="98" t="e">
        <f t="shared" si="87"/>
        <v>#DIV/0!</v>
      </c>
      <c r="Y20" s="96"/>
      <c r="Z20" s="103">
        <v>3427.65</v>
      </c>
      <c r="AA20" s="96"/>
      <c r="AB20" s="119"/>
      <c r="AC20" s="119"/>
      <c r="AD20" s="96"/>
      <c r="AE20" s="96"/>
      <c r="AF20" s="12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233</v>
      </c>
      <c r="E21" s="92">
        <v>2000</v>
      </c>
      <c r="F21" s="92"/>
      <c r="G21" s="94">
        <f t="shared" si="78"/>
        <v>0</v>
      </c>
      <c r="H21" s="94">
        <f t="shared" si="79"/>
        <v>0</v>
      </c>
      <c r="I21" s="96"/>
      <c r="J21" s="117">
        <v>1838.67</v>
      </c>
      <c r="K21" s="117"/>
      <c r="L21" s="118"/>
      <c r="M21" s="97">
        <f t="shared" si="82"/>
        <v>0</v>
      </c>
      <c r="N21" s="97">
        <f t="shared" ref="N21:O21" si="92">Z21+AC21+AF21+AI21+AL21+AO21+AR21+AU21+AX21+BA21+BD21+BG21</f>
        <v>0</v>
      </c>
      <c r="O21" s="97">
        <f t="shared" si="92"/>
        <v>0</v>
      </c>
      <c r="P21" s="82">
        <f t="shared" ref="P21:R21" si="93">IF(BI21=0,SUM(Y21+AB21+AE21+AH21+AK21+AN21+AQ21+AT21+AW21+AZ21+BC21+BF21),BI21)</f>
        <v>0</v>
      </c>
      <c r="Q21" s="82">
        <f t="shared" si="93"/>
        <v>0</v>
      </c>
      <c r="R21" s="82">
        <f t="shared" si="93"/>
        <v>0</v>
      </c>
      <c r="S21" s="97">
        <f t="shared" ref="S21:T21" si="94">I21-M21</f>
        <v>0</v>
      </c>
      <c r="T21" s="97">
        <f t="shared" si="94"/>
        <v>1838.67</v>
      </c>
      <c r="U21" s="97">
        <f t="shared" si="85"/>
        <v>0</v>
      </c>
      <c r="V21" s="98" t="e">
        <f t="shared" ref="V21:W21" si="95">M21/I21</f>
        <v>#DIV/0!</v>
      </c>
      <c r="W21" s="98">
        <f t="shared" si="95"/>
        <v>0</v>
      </c>
      <c r="X21" s="98" t="e">
        <f t="shared" si="87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/>
      <c r="B22" s="114" t="s">
        <v>234</v>
      </c>
      <c r="C22" s="101" t="s">
        <v>229</v>
      </c>
      <c r="D22" s="122" t="s">
        <v>235</v>
      </c>
      <c r="E22" s="92">
        <v>45000</v>
      </c>
      <c r="F22" s="116"/>
      <c r="G22" s="94">
        <f t="shared" si="78"/>
        <v>0</v>
      </c>
      <c r="H22" s="94">
        <f t="shared" si="79"/>
        <v>0</v>
      </c>
      <c r="I22" s="96"/>
      <c r="J22" s="117">
        <v>16833.330000000002</v>
      </c>
      <c r="K22" s="117"/>
      <c r="L22" s="118"/>
      <c r="M22" s="97">
        <f t="shared" si="82"/>
        <v>0</v>
      </c>
      <c r="N22" s="97">
        <f t="shared" ref="N22:O22" si="96">Z22+AC22+AF22+AI22+AL22+AO22+AR22+AU22+AX22+BA22+BD22+BG22</f>
        <v>6803.63</v>
      </c>
      <c r="O22" s="97">
        <f t="shared" si="96"/>
        <v>0</v>
      </c>
      <c r="P22" s="82">
        <f t="shared" ref="P22:R22" si="97">IF(BI22=0,SUM(Y22+AB22+AE22+AH22+AK22+AN22+AQ22+AT22+AW22+AZ22+BC22+BF22),BI22)</f>
        <v>0</v>
      </c>
      <c r="Q22" s="82">
        <f t="shared" si="97"/>
        <v>6803.63</v>
      </c>
      <c r="R22" s="82">
        <f t="shared" si="97"/>
        <v>0</v>
      </c>
      <c r="S22" s="97">
        <f t="shared" ref="S22:T22" si="98">I22-M22</f>
        <v>0</v>
      </c>
      <c r="T22" s="97">
        <f t="shared" si="98"/>
        <v>10029.700000000001</v>
      </c>
      <c r="U22" s="97">
        <f t="shared" si="85"/>
        <v>0</v>
      </c>
      <c r="V22" s="98" t="e">
        <f t="shared" ref="V22:W22" si="99">M22/I22</f>
        <v>#DIV/0!</v>
      </c>
      <c r="W22" s="98">
        <f t="shared" si="99"/>
        <v>0.40417611963883554</v>
      </c>
      <c r="X22" s="98" t="e">
        <f t="shared" si="87"/>
        <v>#DIV/0!</v>
      </c>
      <c r="Y22" s="96"/>
      <c r="Z22" s="103">
        <f>3725.61+3078.02</f>
        <v>6803.63</v>
      </c>
      <c r="AA22" s="96"/>
      <c r="AB22" s="119"/>
      <c r="AC22" s="119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237</v>
      </c>
      <c r="E23" s="92">
        <v>43000</v>
      </c>
      <c r="F23" s="116"/>
      <c r="G23" s="94">
        <f t="shared" si="78"/>
        <v>0</v>
      </c>
      <c r="H23" s="94">
        <f t="shared" si="79"/>
        <v>0</v>
      </c>
      <c r="I23" s="96"/>
      <c r="J23" s="117">
        <v>18798.599999999999</v>
      </c>
      <c r="K23" s="117"/>
      <c r="L23" s="118"/>
      <c r="M23" s="97">
        <f t="shared" si="82"/>
        <v>0</v>
      </c>
      <c r="N23" s="97">
        <f t="shared" ref="N23:O23" si="100">Z23+AC23+AF23+AI23+AL23+AO23+AR23+AU23+AX23+BA23+BD23+BG23</f>
        <v>3133.1</v>
      </c>
      <c r="O23" s="97">
        <f t="shared" si="100"/>
        <v>0</v>
      </c>
      <c r="P23" s="82">
        <f t="shared" ref="P23:R23" si="101">IF(BI23=0,SUM(Y23+AB23+AE23+AH23+AK23+AN23+AQ23+AT23+AW23+AZ23+BC23+BF23),BI23)</f>
        <v>0</v>
      </c>
      <c r="Q23" s="82">
        <f t="shared" si="101"/>
        <v>3133.1</v>
      </c>
      <c r="R23" s="82">
        <f t="shared" si="101"/>
        <v>0</v>
      </c>
      <c r="S23" s="97">
        <f t="shared" ref="S23:T23" si="102">I23-M23</f>
        <v>0</v>
      </c>
      <c r="T23" s="97">
        <f t="shared" si="102"/>
        <v>15665.499999999998</v>
      </c>
      <c r="U23" s="97">
        <f t="shared" si="85"/>
        <v>0</v>
      </c>
      <c r="V23" s="98" t="e">
        <f t="shared" ref="V23:W23" si="103">M23/I23</f>
        <v>#DIV/0!</v>
      </c>
      <c r="W23" s="98">
        <f t="shared" si="103"/>
        <v>0.16666666666666669</v>
      </c>
      <c r="X23" s="98" t="e">
        <f t="shared" si="87"/>
        <v>#DIV/0!</v>
      </c>
      <c r="Y23" s="96"/>
      <c r="Z23" s="103">
        <v>3133.1</v>
      </c>
      <c r="AA23" s="96"/>
      <c r="AB23" s="119"/>
      <c r="AC23" s="119"/>
      <c r="AD23" s="96"/>
      <c r="AE23" s="96"/>
      <c r="AF23" s="127"/>
      <c r="AG23" s="128"/>
      <c r="AH23" s="96"/>
      <c r="AI23" s="128"/>
      <c r="AJ23" s="128"/>
      <c r="AK23" s="96"/>
      <c r="AL23" s="128"/>
      <c r="AM23" s="128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78"/>
        <v>0</v>
      </c>
      <c r="H24" s="94"/>
      <c r="I24" s="96"/>
      <c r="J24" s="117"/>
      <c r="K24" s="117"/>
      <c r="L24" s="118"/>
      <c r="M24" s="97">
        <f t="shared" si="82"/>
        <v>0</v>
      </c>
      <c r="N24" s="97">
        <f t="shared" ref="N24:O24" si="104">Z24+AC24+AF24+AI24+AL24+AO24+AR24+AU24+AX24+BA24+BD24+BG24</f>
        <v>0</v>
      </c>
      <c r="O24" s="97">
        <f t="shared" si="104"/>
        <v>0</v>
      </c>
      <c r="P24" s="82">
        <f t="shared" ref="P24:R24" si="105">IF(BI24=0,SUM(Y24+AB24+AE24+AH24+AK24+AN24+AQ24+AT24+AW24+AZ24+BC24+BF24),BI24)</f>
        <v>0</v>
      </c>
      <c r="Q24" s="82">
        <f t="shared" si="105"/>
        <v>0</v>
      </c>
      <c r="R24" s="82">
        <f t="shared" si="105"/>
        <v>0</v>
      </c>
      <c r="S24" s="97"/>
      <c r="T24" s="97"/>
      <c r="U24" s="97"/>
      <c r="V24" s="98"/>
      <c r="W24" s="98"/>
      <c r="X24" s="98"/>
      <c r="Y24" s="96"/>
      <c r="Z24" s="96"/>
      <c r="AA24" s="96"/>
      <c r="AB24" s="119"/>
      <c r="AC24" s="119"/>
      <c r="AD24" s="96"/>
      <c r="AE24" s="96"/>
      <c r="AF24" s="127"/>
      <c r="AG24" s="128"/>
      <c r="AH24" s="96"/>
      <c r="AI24" s="128"/>
      <c r="AJ24" s="128"/>
      <c r="AK24" s="96"/>
      <c r="AL24" s="128"/>
      <c r="AM24" s="128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241</v>
      </c>
      <c r="E25" s="92">
        <v>7000</v>
      </c>
      <c r="F25" s="92"/>
      <c r="G25" s="94">
        <f t="shared" si="78"/>
        <v>0</v>
      </c>
      <c r="H25" s="94">
        <f t="shared" ref="H25:H54" si="106">M25/E25</f>
        <v>0</v>
      </c>
      <c r="I25" s="96"/>
      <c r="J25" s="117">
        <v>5583.4</v>
      </c>
      <c r="K25" s="117"/>
      <c r="L25" s="118"/>
      <c r="M25" s="97">
        <f t="shared" si="82"/>
        <v>0</v>
      </c>
      <c r="N25" s="97">
        <f t="shared" ref="N25:O25" si="107">Z25+AC25+AF25+AI25+AL25+AO25+AR25+AU25+AX25+BA25+BD25+BG25</f>
        <v>0</v>
      </c>
      <c r="O25" s="97">
        <f t="shared" si="107"/>
        <v>0</v>
      </c>
      <c r="P25" s="82">
        <f t="shared" ref="P25:R25" si="108">IF(BI25=0,SUM(Y25+AB25+AE25+AH25+AK25+AN25+AQ25+AT25+AW25+AZ25+BC25+BF25),BI25)</f>
        <v>0</v>
      </c>
      <c r="Q25" s="82">
        <f t="shared" si="108"/>
        <v>0</v>
      </c>
      <c r="R25" s="82">
        <f t="shared" si="108"/>
        <v>0</v>
      </c>
      <c r="S25" s="97">
        <f t="shared" ref="S25:T25" si="109">I25-M25</f>
        <v>0</v>
      </c>
      <c r="T25" s="97">
        <f t="shared" si="109"/>
        <v>5583.4</v>
      </c>
      <c r="U25" s="97">
        <f t="shared" ref="U25:U30" si="110">L25-O25</f>
        <v>0</v>
      </c>
      <c r="V25" s="98" t="e">
        <f t="shared" ref="V25:W25" si="111">M25/I25</f>
        <v>#DIV/0!</v>
      </c>
      <c r="W25" s="98">
        <f t="shared" si="111"/>
        <v>0</v>
      </c>
      <c r="X25" s="98" t="e">
        <f t="shared" ref="X25:X30" si="112">O25/L25</f>
        <v>#DIV/0!</v>
      </c>
      <c r="Y25" s="96"/>
      <c r="Z25" s="96"/>
      <c r="AA25" s="96"/>
      <c r="AB25" s="119"/>
      <c r="AC25" s="119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/>
      <c r="C26" s="101" t="s">
        <v>242</v>
      </c>
      <c r="D26" s="122" t="s">
        <v>243</v>
      </c>
      <c r="E26" s="116">
        <v>8404</v>
      </c>
      <c r="F26" s="116"/>
      <c r="G26" s="94">
        <f t="shared" si="78"/>
        <v>0</v>
      </c>
      <c r="H26" s="94">
        <f t="shared" si="106"/>
        <v>0</v>
      </c>
      <c r="I26" s="96"/>
      <c r="J26" s="117"/>
      <c r="K26" s="117"/>
      <c r="L26" s="118"/>
      <c r="M26" s="97">
        <f t="shared" si="82"/>
        <v>0</v>
      </c>
      <c r="N26" s="97">
        <f t="shared" ref="N26:O26" si="113">Z26+AC26+AF26+AI26+AL26+AO26+AR26+AU26+AX26+BA26+BD26+BG26</f>
        <v>0</v>
      </c>
      <c r="O26" s="97">
        <f t="shared" si="113"/>
        <v>0</v>
      </c>
      <c r="P26" s="82">
        <f t="shared" ref="P26:R26" si="114">IF(BI26=0,SUM(Y26+AB26+AE26+AH26+AK26+AN26+AQ26+AT26+AW26+AZ26+BC26+BF26),BI26)</f>
        <v>0</v>
      </c>
      <c r="Q26" s="82">
        <f t="shared" si="114"/>
        <v>0</v>
      </c>
      <c r="R26" s="82">
        <f t="shared" si="114"/>
        <v>0</v>
      </c>
      <c r="S26" s="97">
        <f t="shared" ref="S26:T26" si="115">I26-M26</f>
        <v>0</v>
      </c>
      <c r="T26" s="97">
        <f t="shared" si="115"/>
        <v>0</v>
      </c>
      <c r="U26" s="97">
        <f t="shared" si="110"/>
        <v>0</v>
      </c>
      <c r="V26" s="98" t="e">
        <f t="shared" ref="V26:W26" si="116">M26/I26</f>
        <v>#DIV/0!</v>
      </c>
      <c r="W26" s="98" t="e">
        <f t="shared" si="116"/>
        <v>#DIV/0!</v>
      </c>
      <c r="X26" s="98" t="e">
        <f t="shared" si="112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78"/>
        <v>0</v>
      </c>
      <c r="H27" s="94">
        <f t="shared" si="106"/>
        <v>0</v>
      </c>
      <c r="I27" s="96"/>
      <c r="J27" s="117">
        <v>13095</v>
      </c>
      <c r="K27" s="117"/>
      <c r="L27" s="118"/>
      <c r="M27" s="97">
        <f t="shared" si="82"/>
        <v>0</v>
      </c>
      <c r="N27" s="97">
        <f t="shared" ref="N27:O27" si="117">Z27+AC27+AF27+AI27+AL27+AO27+AR27+AU27+AX27+BA27+BD27+BG27</f>
        <v>13095</v>
      </c>
      <c r="O27" s="97">
        <f t="shared" si="117"/>
        <v>0</v>
      </c>
      <c r="P27" s="82">
        <f t="shared" ref="P27:R27" si="118">IF(BI27=0,SUM(Y27+AB27+AE27+AH27+AK27+AN27+AQ27+AT27+AW27+AZ27+BC27+BF27),BI27)</f>
        <v>0</v>
      </c>
      <c r="Q27" s="82">
        <f t="shared" si="118"/>
        <v>13095</v>
      </c>
      <c r="R27" s="82">
        <f t="shared" si="118"/>
        <v>0</v>
      </c>
      <c r="S27" s="97">
        <f t="shared" ref="S27:T27" si="119">I27-M27</f>
        <v>0</v>
      </c>
      <c r="T27" s="97">
        <f t="shared" si="119"/>
        <v>0</v>
      </c>
      <c r="U27" s="97">
        <f t="shared" si="110"/>
        <v>0</v>
      </c>
      <c r="V27" s="98" t="e">
        <f t="shared" ref="V27:W27" si="120">M27/I27</f>
        <v>#DIV/0!</v>
      </c>
      <c r="W27" s="98">
        <f t="shared" si="120"/>
        <v>1</v>
      </c>
      <c r="X27" s="98" t="e">
        <f t="shared" si="112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78"/>
        <v>0</v>
      </c>
      <c r="H28" s="94">
        <f t="shared" si="106"/>
        <v>0</v>
      </c>
      <c r="I28" s="96"/>
      <c r="J28" s="117">
        <v>16850</v>
      </c>
      <c r="K28" s="117"/>
      <c r="L28" s="118"/>
      <c r="M28" s="97">
        <f t="shared" si="82"/>
        <v>0</v>
      </c>
      <c r="N28" s="97">
        <f t="shared" ref="N28:O28" si="121">Z28+AC28+AF28+AI28+AL28+AO28+AR28+AU28+AX28+BA28+BD28+BG28</f>
        <v>0</v>
      </c>
      <c r="O28" s="97">
        <f t="shared" si="121"/>
        <v>0</v>
      </c>
      <c r="P28" s="82">
        <f t="shared" ref="P28:R28" si="122">IF(BI28=0,SUM(Y28+AB28+AE28+AH28+AK28+AN28+AQ28+AT28+AW28+AZ28+BC28+BF28),BI28)</f>
        <v>0</v>
      </c>
      <c r="Q28" s="82">
        <f t="shared" si="122"/>
        <v>0</v>
      </c>
      <c r="R28" s="82">
        <f t="shared" si="122"/>
        <v>0</v>
      </c>
      <c r="S28" s="97">
        <f t="shared" ref="S28:T28" si="123">I28-M28</f>
        <v>0</v>
      </c>
      <c r="T28" s="97">
        <f t="shared" si="123"/>
        <v>16850</v>
      </c>
      <c r="U28" s="97">
        <f t="shared" si="110"/>
        <v>0</v>
      </c>
      <c r="V28" s="98" t="e">
        <f t="shared" ref="V28:W28" si="124">M28/I28</f>
        <v>#DIV/0!</v>
      </c>
      <c r="W28" s="98">
        <f t="shared" si="124"/>
        <v>0</v>
      </c>
      <c r="X28" s="98" t="e">
        <f t="shared" si="112"/>
        <v>#DIV/0!</v>
      </c>
      <c r="Y28" s="96"/>
      <c r="Z28" s="96"/>
      <c r="AA28" s="96"/>
      <c r="AB28" s="119"/>
      <c r="AC28" s="119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78"/>
        <v>0</v>
      </c>
      <c r="H29" s="94">
        <f t="shared" si="106"/>
        <v>0</v>
      </c>
      <c r="I29" s="96"/>
      <c r="J29" s="117"/>
      <c r="K29" s="117"/>
      <c r="L29" s="118"/>
      <c r="M29" s="97">
        <f t="shared" si="82"/>
        <v>0</v>
      </c>
      <c r="N29" s="97">
        <f t="shared" ref="N29:O29" si="125">Z29+AC29+AF29+AI29+AL29+AO29+AR29+AU29+AX29+BA29+BD29+BG29</f>
        <v>0</v>
      </c>
      <c r="O29" s="97">
        <f t="shared" si="125"/>
        <v>0</v>
      </c>
      <c r="P29" s="82">
        <f t="shared" ref="P29:R29" si="126">IF(BI29=0,SUM(Y29+AB29+AE29+AH29+AK29+AN29+AQ29+AT29+AW29+AZ29+BC29+BF29),BI29)</f>
        <v>0</v>
      </c>
      <c r="Q29" s="82">
        <f t="shared" si="126"/>
        <v>0</v>
      </c>
      <c r="R29" s="82">
        <f t="shared" si="126"/>
        <v>0</v>
      </c>
      <c r="S29" s="97">
        <f t="shared" ref="S29:T29" si="127">I29-M29</f>
        <v>0</v>
      </c>
      <c r="T29" s="97">
        <f t="shared" si="127"/>
        <v>0</v>
      </c>
      <c r="U29" s="97">
        <f t="shared" si="110"/>
        <v>0</v>
      </c>
      <c r="V29" s="98" t="e">
        <f t="shared" ref="V29:W29" si="128">M29/I29</f>
        <v>#DIV/0!</v>
      </c>
      <c r="W29" s="98" t="e">
        <f t="shared" si="128"/>
        <v>#DIV/0!</v>
      </c>
      <c r="X29" s="98" t="e">
        <f t="shared" si="112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14" t="s">
        <v>248</v>
      </c>
      <c r="C30" s="101" t="s">
        <v>240</v>
      </c>
      <c r="D30" s="91" t="s">
        <v>249</v>
      </c>
      <c r="E30" s="92">
        <v>18404</v>
      </c>
      <c r="F30" s="92"/>
      <c r="G30" s="94">
        <f t="shared" si="78"/>
        <v>0</v>
      </c>
      <c r="H30" s="94">
        <f t="shared" si="106"/>
        <v>0</v>
      </c>
      <c r="I30" s="96"/>
      <c r="J30" s="117">
        <f>2515+5718.85</f>
        <v>8233.85</v>
      </c>
      <c r="K30" s="117"/>
      <c r="L30" s="118"/>
      <c r="M30" s="97">
        <f t="shared" si="82"/>
        <v>0</v>
      </c>
      <c r="N30" s="97">
        <f t="shared" ref="N30:O30" si="129">Z30+AC30+AF30+AI30+AL30+AO30+AR30+AU30+AX30+BA30+BD30+BG30</f>
        <v>0</v>
      </c>
      <c r="O30" s="97">
        <f t="shared" si="129"/>
        <v>0</v>
      </c>
      <c r="P30" s="82">
        <f t="shared" ref="P30:R30" si="130">IF(BI30=0,SUM(Y30+AB30+AE30+AH30+AK30+AN30+AQ30+AT30+AW30+AZ30+BC30+BF30),BI30)</f>
        <v>0</v>
      </c>
      <c r="Q30" s="82">
        <f t="shared" si="130"/>
        <v>0</v>
      </c>
      <c r="R30" s="82">
        <f t="shared" si="130"/>
        <v>0</v>
      </c>
      <c r="S30" s="97">
        <f t="shared" ref="S30:T30" si="131">I30-M30</f>
        <v>0</v>
      </c>
      <c r="T30" s="97">
        <f t="shared" si="131"/>
        <v>8233.85</v>
      </c>
      <c r="U30" s="97">
        <f t="shared" si="110"/>
        <v>0</v>
      </c>
      <c r="V30" s="98" t="e">
        <f t="shared" ref="V30:W30" si="132">M30/I30</f>
        <v>#DIV/0!</v>
      </c>
      <c r="W30" s="98">
        <f t="shared" si="132"/>
        <v>0</v>
      </c>
      <c r="X30" s="98" t="e">
        <f t="shared" si="112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14" t="s">
        <v>250</v>
      </c>
      <c r="C31" s="101" t="s">
        <v>240</v>
      </c>
      <c r="D31" s="130" t="s">
        <v>251</v>
      </c>
      <c r="E31" s="92"/>
      <c r="F31" s="92"/>
      <c r="G31" s="94" t="e">
        <f t="shared" si="78"/>
        <v>#DIV/0!</v>
      </c>
      <c r="H31" s="94" t="e">
        <f t="shared" si="106"/>
        <v>#DIV/0!</v>
      </c>
      <c r="I31" s="96"/>
      <c r="J31" s="117">
        <f>977.38+2861.28</f>
        <v>3838.6600000000003</v>
      </c>
      <c r="K31" s="117"/>
      <c r="L31" s="118"/>
      <c r="M31" s="97">
        <f t="shared" si="82"/>
        <v>0</v>
      </c>
      <c r="N31" s="97">
        <f t="shared" ref="N31:O31" si="133">Z31+AC31+AF31+AI31+AL31+AO31+AR31+AU31+AX31+BA31+BD31+BG31</f>
        <v>0</v>
      </c>
      <c r="O31" s="97">
        <f t="shared" si="133"/>
        <v>0</v>
      </c>
      <c r="P31" s="82">
        <f t="shared" ref="P31:R31" si="134">IF(BI31=0,SUM(Y31+AB31+AE31+AH31+AK31+AN31+AQ31+AT31+AW31+AZ31+BC31+BF31),BI31)</f>
        <v>0</v>
      </c>
      <c r="Q31" s="82">
        <f t="shared" si="134"/>
        <v>0</v>
      </c>
      <c r="R31" s="82">
        <f t="shared" si="134"/>
        <v>0</v>
      </c>
      <c r="S31" s="97"/>
      <c r="T31" s="97"/>
      <c r="U31" s="97"/>
      <c r="V31" s="98"/>
      <c r="W31" s="98"/>
      <c r="X31" s="98"/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252</v>
      </c>
      <c r="E32" s="92">
        <v>20000</v>
      </c>
      <c r="F32" s="92"/>
      <c r="G32" s="94">
        <f t="shared" si="78"/>
        <v>0</v>
      </c>
      <c r="H32" s="94">
        <f t="shared" si="106"/>
        <v>0</v>
      </c>
      <c r="I32" s="96"/>
      <c r="J32" s="117"/>
      <c r="K32" s="117"/>
      <c r="L32" s="118"/>
      <c r="M32" s="97">
        <f t="shared" si="82"/>
        <v>0</v>
      </c>
      <c r="N32" s="97">
        <f t="shared" ref="N32:O32" si="135">Z32+AC32+AF32+AI32+AL32+AO32+AR32+AU32+AX32+BA32+BD32+BG32</f>
        <v>0</v>
      </c>
      <c r="O32" s="97">
        <f t="shared" si="135"/>
        <v>0</v>
      </c>
      <c r="P32" s="82">
        <f t="shared" ref="P32:R32" si="136">IF(BI32=0,SUM(Y32+AB32+AE32+AH32+AK32+AN32+AQ32+AT32+AW32+AZ32+BC32+BF32),BI32)</f>
        <v>0</v>
      </c>
      <c r="Q32" s="82">
        <f t="shared" si="136"/>
        <v>0</v>
      </c>
      <c r="R32" s="82">
        <f t="shared" si="136"/>
        <v>0</v>
      </c>
      <c r="S32" s="97">
        <f t="shared" ref="S32:T32" si="137">I32-M32</f>
        <v>0</v>
      </c>
      <c r="T32" s="97">
        <f t="shared" si="137"/>
        <v>0</v>
      </c>
      <c r="U32" s="97">
        <f t="shared" ref="U32:U35" si="138">L32-O32</f>
        <v>0</v>
      </c>
      <c r="V32" s="98" t="e">
        <f t="shared" ref="V32:W32" si="139">M32/I32</f>
        <v>#DIV/0!</v>
      </c>
      <c r="W32" s="98" t="e">
        <f t="shared" si="139"/>
        <v>#DIV/0!</v>
      </c>
      <c r="X32" s="98" t="e">
        <f t="shared" ref="X32:X35" si="140">O32/L32</f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78"/>
        <v>0</v>
      </c>
      <c r="H33" s="94">
        <f t="shared" si="106"/>
        <v>0</v>
      </c>
      <c r="I33" s="96"/>
      <c r="J33" s="117">
        <v>3374.7</v>
      </c>
      <c r="K33" s="117"/>
      <c r="L33" s="118"/>
      <c r="M33" s="97">
        <f t="shared" si="82"/>
        <v>0</v>
      </c>
      <c r="N33" s="97">
        <f t="shared" ref="N33:O33" si="141">Z33+AC33+AF33+AI33+AL33+AO33+AR33+AU33+AX33+BA33+BD33+BG33</f>
        <v>0</v>
      </c>
      <c r="O33" s="97">
        <f t="shared" si="141"/>
        <v>0</v>
      </c>
      <c r="P33" s="82">
        <f t="shared" ref="P33:R33" si="142">IF(BI33=0,SUM(Y33+AB33+AE33+AH33+AK33+AN33+AQ33+AT33+AW33+AZ33+BC33+BF33),BI33)</f>
        <v>0</v>
      </c>
      <c r="Q33" s="82">
        <f t="shared" si="142"/>
        <v>0</v>
      </c>
      <c r="R33" s="82">
        <f t="shared" si="142"/>
        <v>0</v>
      </c>
      <c r="S33" s="97">
        <f t="shared" ref="S33:T33" si="143">I33-M33</f>
        <v>0</v>
      </c>
      <c r="T33" s="97">
        <f t="shared" si="143"/>
        <v>3374.7</v>
      </c>
      <c r="U33" s="97">
        <f t="shared" si="138"/>
        <v>0</v>
      </c>
      <c r="V33" s="98" t="e">
        <f t="shared" ref="V33:W33" si="144">M33/I33</f>
        <v>#DIV/0!</v>
      </c>
      <c r="W33" s="98">
        <f t="shared" si="144"/>
        <v>0</v>
      </c>
      <c r="X33" s="98" t="e">
        <f t="shared" si="140"/>
        <v>#DIV/0!</v>
      </c>
      <c r="Y33" s="96"/>
      <c r="Z33" s="96"/>
      <c r="AA33" s="96"/>
      <c r="AB33" s="119"/>
      <c r="AC33" s="131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78"/>
        <v>0</v>
      </c>
      <c r="H34" s="94">
        <f t="shared" si="106"/>
        <v>0</v>
      </c>
      <c r="I34" s="133"/>
      <c r="J34" s="117">
        <v>4100</v>
      </c>
      <c r="K34" s="117"/>
      <c r="L34" s="118"/>
      <c r="M34" s="97">
        <f t="shared" si="82"/>
        <v>0</v>
      </c>
      <c r="N34" s="97">
        <f t="shared" ref="N34:O34" si="145">Z34+AC34+AF34+AI34+AL34+AO34+AR34+AU34+AX34+BA34+BD34+BG34</f>
        <v>0</v>
      </c>
      <c r="O34" s="97">
        <f t="shared" si="145"/>
        <v>0</v>
      </c>
      <c r="P34" s="82">
        <f t="shared" ref="P34:R34" si="146">IF(BI34=0,SUM(Y34+AB34+AE34+AH34+AK34+AN34+AQ34+AT34+AW34+AZ34+BC34+BF34),BI34)</f>
        <v>0</v>
      </c>
      <c r="Q34" s="82">
        <f t="shared" si="146"/>
        <v>0</v>
      </c>
      <c r="R34" s="82">
        <f t="shared" si="146"/>
        <v>0</v>
      </c>
      <c r="S34" s="134">
        <f t="shared" ref="S34:T34" si="147">I34-M34</f>
        <v>0</v>
      </c>
      <c r="T34" s="97">
        <f t="shared" si="147"/>
        <v>4100</v>
      </c>
      <c r="U34" s="97">
        <f t="shared" si="138"/>
        <v>0</v>
      </c>
      <c r="V34" s="98" t="e">
        <f t="shared" ref="V34:W34" si="148">M34/I34</f>
        <v>#DIV/0!</v>
      </c>
      <c r="W34" s="98">
        <f t="shared" si="148"/>
        <v>0</v>
      </c>
      <c r="X34" s="98" t="e">
        <f t="shared" si="140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120"/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78"/>
        <v>0</v>
      </c>
      <c r="H35" s="94">
        <f t="shared" si="106"/>
        <v>0</v>
      </c>
      <c r="I35" s="96"/>
      <c r="J35" s="117">
        <f>19903.04+4541.3+16240</f>
        <v>40684.339999999997</v>
      </c>
      <c r="K35" s="135">
        <v>16240</v>
      </c>
      <c r="L35" s="118"/>
      <c r="M35" s="97">
        <f t="shared" si="82"/>
        <v>0</v>
      </c>
      <c r="N35" s="97">
        <f t="shared" ref="N35:O35" si="149">Z35+AC35+AF35+AI35+AL35+AO35+AR35+AU35+AX35+BA35+BD35+BG35</f>
        <v>0</v>
      </c>
      <c r="O35" s="97">
        <f t="shared" si="149"/>
        <v>0</v>
      </c>
      <c r="P35" s="82">
        <f t="shared" ref="P35:R35" si="150">IF(BI35=0,SUM(Y35+AB35+AE35+AH35+AK35+AN35+AQ35+AT35+AW35+AZ35+BC35+BF35),BI35)</f>
        <v>0</v>
      </c>
      <c r="Q35" s="82">
        <f t="shared" si="150"/>
        <v>0</v>
      </c>
      <c r="R35" s="82">
        <f t="shared" si="150"/>
        <v>0</v>
      </c>
      <c r="S35" s="97">
        <f t="shared" ref="S35:T35" si="151">I35-M35</f>
        <v>0</v>
      </c>
      <c r="T35" s="97">
        <f t="shared" si="151"/>
        <v>40684.339999999997</v>
      </c>
      <c r="U35" s="97">
        <f t="shared" si="138"/>
        <v>0</v>
      </c>
      <c r="V35" s="98" t="e">
        <f t="shared" ref="V35:W35" si="152">M35/I35</f>
        <v>#DIV/0!</v>
      </c>
      <c r="W35" s="98">
        <f t="shared" si="152"/>
        <v>0</v>
      </c>
      <c r="X35" s="98" t="e">
        <f t="shared" si="140"/>
        <v>#DIV/0!</v>
      </c>
      <c r="Y35" s="96"/>
      <c r="Z35" s="96"/>
      <c r="AA35" s="96"/>
      <c r="AB35" s="119"/>
      <c r="AC35" s="119"/>
      <c r="AD35" s="96"/>
      <c r="AE35" s="96"/>
      <c r="AF35" s="96"/>
      <c r="AG35" s="96"/>
      <c r="AH35" s="96"/>
      <c r="AI35" s="103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78"/>
        <v>#DIV/0!</v>
      </c>
      <c r="H36" s="94" t="e">
        <f t="shared" si="106"/>
        <v>#DIV/0!</v>
      </c>
      <c r="I36" s="96"/>
      <c r="J36" s="117">
        <v>949.5</v>
      </c>
      <c r="K36" s="117"/>
      <c r="L36" s="118"/>
      <c r="M36" s="97">
        <f t="shared" si="82"/>
        <v>0</v>
      </c>
      <c r="N36" s="97">
        <f t="shared" ref="N36:O36" si="153">Z36+AC36+AF36+AI36+AL36+AO36+AR36+AU36+AX36+BA36+BD36+BG36</f>
        <v>0</v>
      </c>
      <c r="O36" s="97">
        <f t="shared" si="153"/>
        <v>0</v>
      </c>
      <c r="P36" s="82">
        <f t="shared" ref="P36:R36" si="154">IF(BI36=0,SUM(Y36+AB36+AE36+AH36+AK36+AN36+AQ36+AT36+AW36+AZ36+BC36+BF36),BI36)</f>
        <v>0</v>
      </c>
      <c r="Q36" s="82">
        <f t="shared" si="154"/>
        <v>0</v>
      </c>
      <c r="R36" s="82">
        <f t="shared" si="154"/>
        <v>0</v>
      </c>
      <c r="S36" s="97"/>
      <c r="T36" s="97"/>
      <c r="U36" s="97"/>
      <c r="V36" s="98"/>
      <c r="W36" s="98"/>
      <c r="X36" s="98"/>
      <c r="Y36" s="96"/>
      <c r="Z36" s="96"/>
      <c r="AA36" s="96"/>
      <c r="AB36" s="119"/>
      <c r="AC36" s="119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78"/>
        <v>0</v>
      </c>
      <c r="H37" s="94">
        <f t="shared" si="106"/>
        <v>0</v>
      </c>
      <c r="I37" s="96"/>
      <c r="J37" s="135">
        <v>50813</v>
      </c>
      <c r="K37" s="117"/>
      <c r="L37" s="118"/>
      <c r="M37" s="97">
        <f t="shared" si="82"/>
        <v>0</v>
      </c>
      <c r="N37" s="97">
        <f t="shared" ref="N37:O37" si="155">Z37+AC37+AF37+AI37+AL37+AO37+AR37+AU37+AX37+BA37+BD37+BG37</f>
        <v>0</v>
      </c>
      <c r="O37" s="97">
        <f t="shared" si="155"/>
        <v>0</v>
      </c>
      <c r="P37" s="82">
        <f t="shared" ref="P37:R37" si="156">IF(BI37=0,SUM(Y37+AB37+AE37+AH37+AK37+AN37+AQ37+AT37+AW37+AZ37+BC37+BF37),BI37)</f>
        <v>0</v>
      </c>
      <c r="Q37" s="82">
        <f t="shared" si="156"/>
        <v>0</v>
      </c>
      <c r="R37" s="82">
        <f t="shared" si="156"/>
        <v>0</v>
      </c>
      <c r="S37" s="138">
        <f t="shared" ref="S37:T37" si="157">I37-M37</f>
        <v>0</v>
      </c>
      <c r="T37" s="97">
        <f t="shared" si="157"/>
        <v>50813</v>
      </c>
      <c r="U37" s="97">
        <f t="shared" ref="U37:U47" si="158">L37-O37</f>
        <v>0</v>
      </c>
      <c r="V37" s="98" t="e">
        <f t="shared" ref="V37:W37" si="159">M37/I37</f>
        <v>#DIV/0!</v>
      </c>
      <c r="W37" s="98">
        <f t="shared" si="159"/>
        <v>0</v>
      </c>
      <c r="X37" s="98" t="e">
        <f t="shared" ref="X37:X47" si="160">O37/L37</f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3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38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78"/>
        <v>0</v>
      </c>
      <c r="H38" s="94">
        <f t="shared" si="106"/>
        <v>0</v>
      </c>
      <c r="I38" s="96"/>
      <c r="J38" s="117"/>
      <c r="K38" s="117"/>
      <c r="L38" s="118"/>
      <c r="M38" s="97">
        <f t="shared" si="82"/>
        <v>0</v>
      </c>
      <c r="N38" s="97">
        <f t="shared" ref="N38:O38" si="161">Z38+AC38+AF38+AI38+AL38+AO38+AR38+AU38+AX38+BA38+BD38+BG38</f>
        <v>0</v>
      </c>
      <c r="O38" s="97">
        <f t="shared" si="161"/>
        <v>0</v>
      </c>
      <c r="P38" s="82">
        <f t="shared" ref="P38:R38" si="162">IF(BI38=0,SUM(Y38+AB38+AE38+AH38+AK38+AN38+AQ38+AT38+AW38+AZ38+BC38+BF38),BI38)</f>
        <v>0</v>
      </c>
      <c r="Q38" s="82">
        <f t="shared" si="162"/>
        <v>0</v>
      </c>
      <c r="R38" s="82">
        <f t="shared" si="162"/>
        <v>0</v>
      </c>
      <c r="S38" s="97">
        <f t="shared" ref="S38:T38" si="163">I38-M38</f>
        <v>0</v>
      </c>
      <c r="T38" s="97">
        <f t="shared" si="163"/>
        <v>0</v>
      </c>
      <c r="U38" s="97">
        <f t="shared" si="158"/>
        <v>0</v>
      </c>
      <c r="V38" s="98" t="e">
        <f t="shared" ref="V38:W38" si="164">M38/I38</f>
        <v>#DIV/0!</v>
      </c>
      <c r="W38" s="98" t="e">
        <f t="shared" si="164"/>
        <v>#DIV/0!</v>
      </c>
      <c r="X38" s="98" t="e">
        <f t="shared" si="160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264</v>
      </c>
      <c r="E39" s="116">
        <v>2344.5</v>
      </c>
      <c r="F39" s="92"/>
      <c r="G39" s="94">
        <f t="shared" si="78"/>
        <v>0</v>
      </c>
      <c r="H39" s="94">
        <f t="shared" si="106"/>
        <v>0</v>
      </c>
      <c r="I39" s="96"/>
      <c r="J39" s="117">
        <v>1424.02</v>
      </c>
      <c r="K39" s="117"/>
      <c r="L39" s="118"/>
      <c r="M39" s="97">
        <f t="shared" si="82"/>
        <v>0</v>
      </c>
      <c r="N39" s="97">
        <f t="shared" ref="N39:O39" si="165">Z39+AC39+AF39+AI39+AL39+AO39+AR39+AU39+AX39+BA39+BD39+BG39</f>
        <v>0</v>
      </c>
      <c r="O39" s="97">
        <f t="shared" si="165"/>
        <v>0</v>
      </c>
      <c r="P39" s="82">
        <f t="shared" ref="P39:R39" si="166">IF(BI39=0,SUM(Y39+AB39+AE39+AH39+AK39+AN39+AQ39+AT39+AW39+AZ39+BC39+BF39),BI39)</f>
        <v>0</v>
      </c>
      <c r="Q39" s="82">
        <f t="shared" si="166"/>
        <v>0</v>
      </c>
      <c r="R39" s="82">
        <f t="shared" si="166"/>
        <v>0</v>
      </c>
      <c r="S39" s="97">
        <f t="shared" ref="S39:T39" si="167">I39-M39</f>
        <v>0</v>
      </c>
      <c r="T39" s="97">
        <f t="shared" si="167"/>
        <v>1424.02</v>
      </c>
      <c r="U39" s="97">
        <f t="shared" si="158"/>
        <v>0</v>
      </c>
      <c r="V39" s="98" t="e">
        <f t="shared" ref="V39:W39" si="168">M39/I39</f>
        <v>#DIV/0!</v>
      </c>
      <c r="W39" s="98">
        <f t="shared" si="168"/>
        <v>0</v>
      </c>
      <c r="X39" s="98" t="e">
        <f t="shared" si="160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/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78"/>
        <v>0</v>
      </c>
      <c r="H40" s="94">
        <f t="shared" si="106"/>
        <v>0</v>
      </c>
      <c r="I40" s="96"/>
      <c r="J40" s="117">
        <v>576.45000000000005</v>
      </c>
      <c r="K40" s="117"/>
      <c r="L40" s="118"/>
      <c r="M40" s="97">
        <f t="shared" si="82"/>
        <v>0</v>
      </c>
      <c r="N40" s="97">
        <f t="shared" ref="N40:O40" si="169">Z40+AC40+AF40+AI40+AL40+AO40+AR40+AU40+AX40+BA40+BD40+BG40</f>
        <v>0</v>
      </c>
      <c r="O40" s="97">
        <f t="shared" si="169"/>
        <v>0</v>
      </c>
      <c r="P40" s="82">
        <f t="shared" ref="P40:R40" si="170">IF(BI40=0,SUM(Y40+AB40+AE40+AH40+AK40+AN40+AQ40+AT40+AW40+AZ40+BC40+BF40),BI40)</f>
        <v>0</v>
      </c>
      <c r="Q40" s="82">
        <f t="shared" si="170"/>
        <v>0</v>
      </c>
      <c r="R40" s="82">
        <f t="shared" si="170"/>
        <v>0</v>
      </c>
      <c r="S40" s="97">
        <f t="shared" ref="S40:T40" si="171">I40-M40</f>
        <v>0</v>
      </c>
      <c r="T40" s="97">
        <f t="shared" si="171"/>
        <v>576.45000000000005</v>
      </c>
      <c r="U40" s="97">
        <f t="shared" si="158"/>
        <v>0</v>
      </c>
      <c r="V40" s="98" t="e">
        <f t="shared" ref="V40:W40" si="172">M40/I40</f>
        <v>#DIV/0!</v>
      </c>
      <c r="W40" s="98">
        <f t="shared" si="172"/>
        <v>0</v>
      </c>
      <c r="X40" s="98" t="e">
        <f t="shared" si="160"/>
        <v>#DIV/0!</v>
      </c>
      <c r="Y40" s="96"/>
      <c r="Z40" s="96"/>
      <c r="AA40" s="96"/>
      <c r="AB40" s="119"/>
      <c r="AC40" s="119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113"/>
      <c r="B41" s="114"/>
      <c r="C41" s="101" t="s">
        <v>268</v>
      </c>
      <c r="D41" s="91" t="s">
        <v>269</v>
      </c>
      <c r="E41" s="116">
        <f>5000+1000</f>
        <v>6000</v>
      </c>
      <c r="F41" s="92"/>
      <c r="G41" s="94">
        <f t="shared" si="78"/>
        <v>0</v>
      </c>
      <c r="H41" s="94">
        <f t="shared" si="106"/>
        <v>0</v>
      </c>
      <c r="I41" s="96"/>
      <c r="J41" s="117"/>
      <c r="K41" s="117"/>
      <c r="L41" s="118"/>
      <c r="M41" s="97">
        <f t="shared" si="82"/>
        <v>0</v>
      </c>
      <c r="N41" s="97">
        <f t="shared" ref="N41:O41" si="173">Z41+AC41+AF41+AI41+AL41+AO41+AR41+AU41+AX41+BA41+BD41+BG41</f>
        <v>0</v>
      </c>
      <c r="O41" s="97">
        <f t="shared" si="173"/>
        <v>0</v>
      </c>
      <c r="P41" s="82">
        <f t="shared" ref="P41:R41" si="174">IF(BI41=0,SUM(Y41+AB41+AE41+AH41+AK41+AN41+AQ41+AT41+AW41+AZ41+BC41+BF41),BI41)</f>
        <v>0</v>
      </c>
      <c r="Q41" s="82">
        <f t="shared" si="174"/>
        <v>0</v>
      </c>
      <c r="R41" s="82">
        <f t="shared" si="174"/>
        <v>0</v>
      </c>
      <c r="S41" s="97">
        <f t="shared" ref="S41:T41" si="175">I41-M41</f>
        <v>0</v>
      </c>
      <c r="T41" s="97">
        <f t="shared" si="175"/>
        <v>0</v>
      </c>
      <c r="U41" s="97">
        <f t="shared" si="158"/>
        <v>0</v>
      </c>
      <c r="V41" s="98" t="e">
        <f t="shared" ref="V41:W41" si="176">M41/I41</f>
        <v>#DIV/0!</v>
      </c>
      <c r="W41" s="98" t="e">
        <f t="shared" si="176"/>
        <v>#DIV/0!</v>
      </c>
      <c r="X41" s="98" t="e">
        <f t="shared" si="160"/>
        <v>#DIV/0!</v>
      </c>
      <c r="Y41" s="96"/>
      <c r="Z41" s="96"/>
      <c r="AA41" s="96"/>
      <c r="AB41" s="119"/>
      <c r="AC41" s="119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120"/>
      <c r="B42" s="136" t="s">
        <v>270</v>
      </c>
      <c r="C42" s="101" t="s">
        <v>271</v>
      </c>
      <c r="D42" s="91" t="s">
        <v>272</v>
      </c>
      <c r="E42" s="116">
        <v>30000</v>
      </c>
      <c r="F42" s="92"/>
      <c r="G42" s="94">
        <f t="shared" si="78"/>
        <v>0</v>
      </c>
      <c r="H42" s="94">
        <f t="shared" si="106"/>
        <v>0</v>
      </c>
      <c r="I42" s="96"/>
      <c r="J42" s="135">
        <v>362.4</v>
      </c>
      <c r="K42" s="117"/>
      <c r="L42" s="118"/>
      <c r="M42" s="97">
        <f t="shared" si="82"/>
        <v>0</v>
      </c>
      <c r="N42" s="97">
        <f t="shared" ref="N42:O42" si="177">Z42+AC42+AF42+AI42+AL42+AO42+AR42+AU42+AX42+BA42+BD42+BG42</f>
        <v>0</v>
      </c>
      <c r="O42" s="97">
        <f t="shared" si="177"/>
        <v>0</v>
      </c>
      <c r="P42" s="82">
        <f t="shared" ref="P42:R42" si="178">IF(BI42=0,SUM(Y42+AB42+AE42+AH42+AK42+AN42+AQ42+AT42+AW42+AZ42+BC42+BF42),BI42)</f>
        <v>0</v>
      </c>
      <c r="Q42" s="82">
        <f t="shared" si="178"/>
        <v>0</v>
      </c>
      <c r="R42" s="82">
        <f t="shared" si="178"/>
        <v>0</v>
      </c>
      <c r="S42" s="97">
        <f t="shared" ref="S42:T42" si="179">I42-M42</f>
        <v>0</v>
      </c>
      <c r="T42" s="97">
        <f t="shared" si="179"/>
        <v>362.4</v>
      </c>
      <c r="U42" s="97">
        <f t="shared" si="158"/>
        <v>0</v>
      </c>
      <c r="V42" s="98" t="e">
        <f t="shared" ref="V42:W42" si="180">M42/I42</f>
        <v>#DIV/0!</v>
      </c>
      <c r="W42" s="98">
        <f t="shared" si="180"/>
        <v>0</v>
      </c>
      <c r="X42" s="98" t="e">
        <f t="shared" si="160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78"/>
        <v>0</v>
      </c>
      <c r="H43" s="94">
        <f t="shared" si="106"/>
        <v>0</v>
      </c>
      <c r="I43" s="96"/>
      <c r="J43" s="117">
        <f>1256.9+740+1407.15+678.68+610.54+4654.38+742.72+1006.2+186.96</f>
        <v>11283.53</v>
      </c>
      <c r="K43" s="117"/>
      <c r="L43" s="118"/>
      <c r="M43" s="97">
        <f t="shared" si="82"/>
        <v>0</v>
      </c>
      <c r="N43" s="97">
        <f t="shared" ref="N43:O43" si="181">Z43+AC43+AF43+AI43+AL43+AO43+AR43+AU43+AX43+BA43+BD43+BG43</f>
        <v>0</v>
      </c>
      <c r="O43" s="97">
        <f t="shared" si="181"/>
        <v>0</v>
      </c>
      <c r="P43" s="82">
        <f t="shared" ref="P43:R43" si="182">IF(BI43=0,SUM(Y43+AB43+AE43+AH43+AK43+AN43+AQ43+AT43+AW43+AZ43+BC43+BF43),BI43)</f>
        <v>0</v>
      </c>
      <c r="Q43" s="82">
        <f t="shared" si="182"/>
        <v>0</v>
      </c>
      <c r="R43" s="82">
        <f t="shared" si="182"/>
        <v>0</v>
      </c>
      <c r="S43" s="97">
        <f t="shared" ref="S43:T43" si="183">I43-M43</f>
        <v>0</v>
      </c>
      <c r="T43" s="97">
        <f t="shared" si="183"/>
        <v>11283.53</v>
      </c>
      <c r="U43" s="97">
        <f t="shared" si="158"/>
        <v>0</v>
      </c>
      <c r="V43" s="98" t="e">
        <f t="shared" ref="V43:W43" si="184">M43/I43</f>
        <v>#DIV/0!</v>
      </c>
      <c r="W43" s="98">
        <f t="shared" si="184"/>
        <v>0</v>
      </c>
      <c r="X43" s="98" t="e">
        <f t="shared" si="160"/>
        <v>#DIV/0!</v>
      </c>
      <c r="Y43" s="96"/>
      <c r="Z43" s="96"/>
      <c r="AA43" s="96"/>
      <c r="AB43" s="119"/>
      <c r="AC43" s="119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120"/>
      <c r="B44" s="141" t="s">
        <v>274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78"/>
        <v>0</v>
      </c>
      <c r="H44" s="94">
        <f t="shared" si="106"/>
        <v>0</v>
      </c>
      <c r="I44" s="142"/>
      <c r="J44" s="117">
        <f>4740+413+1266+3806.39</f>
        <v>10225.39</v>
      </c>
      <c r="K44" s="117"/>
      <c r="L44" s="118"/>
      <c r="M44" s="97">
        <f t="shared" si="82"/>
        <v>0</v>
      </c>
      <c r="N44" s="97">
        <f t="shared" ref="N44:O44" si="185">Z44+AC44+AF44+AI44+AL44+AO44+AR44+AU44+AX44+BA44+BD44+BG44</f>
        <v>4740</v>
      </c>
      <c r="O44" s="97">
        <f t="shared" si="185"/>
        <v>0</v>
      </c>
      <c r="P44" s="82">
        <f t="shared" ref="P44:R44" si="186">IF(BI44=0,SUM(Y44+AB44+AE44+AH44+AK44+AN44+AQ44+AT44+AW44+AZ44+BC44+BF44),BI44)</f>
        <v>0</v>
      </c>
      <c r="Q44" s="82">
        <f t="shared" si="186"/>
        <v>4740</v>
      </c>
      <c r="R44" s="82">
        <f t="shared" si="186"/>
        <v>0</v>
      </c>
      <c r="S44" s="97">
        <f t="shared" ref="S44:T44" si="187">I44-M44</f>
        <v>0</v>
      </c>
      <c r="T44" s="97">
        <f t="shared" si="187"/>
        <v>5485.3899999999994</v>
      </c>
      <c r="U44" s="97">
        <f t="shared" si="158"/>
        <v>0</v>
      </c>
      <c r="V44" s="98" t="e">
        <f t="shared" ref="V44:W44" si="188">M44/I44</f>
        <v>#DIV/0!</v>
      </c>
      <c r="W44" s="98">
        <f t="shared" si="188"/>
        <v>0.46355200143955394</v>
      </c>
      <c r="X44" s="98" t="e">
        <f t="shared" si="160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111"/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78"/>
        <v>0</v>
      </c>
      <c r="H45" s="94">
        <f t="shared" si="106"/>
        <v>0</v>
      </c>
      <c r="I45" s="96"/>
      <c r="J45" s="117">
        <f>30000</f>
        <v>30000</v>
      </c>
      <c r="K45" s="117"/>
      <c r="L45" s="118"/>
      <c r="M45" s="97">
        <f t="shared" si="82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89">IF(BI45=0,SUM(Y45+AB45+AE45+AH45+AK45+AN45+AQ45+AT45+AW45+AZ45+BC45+BF45),BI45)</f>
        <v>0</v>
      </c>
      <c r="Q45" s="82">
        <f t="shared" si="189"/>
        <v>0</v>
      </c>
      <c r="R45" s="82">
        <f t="shared" si="189"/>
        <v>0</v>
      </c>
      <c r="S45" s="97">
        <f t="shared" ref="S45:T45" si="190">I45-M45</f>
        <v>0</v>
      </c>
      <c r="T45" s="97">
        <f t="shared" si="190"/>
        <v>30000</v>
      </c>
      <c r="U45" s="97">
        <f t="shared" si="158"/>
        <v>0</v>
      </c>
      <c r="V45" s="98" t="e">
        <f t="shared" ref="V45:W45" si="191">M45/I45</f>
        <v>#DIV/0!</v>
      </c>
      <c r="W45" s="98">
        <f t="shared" si="191"/>
        <v>0</v>
      </c>
      <c r="X45" s="98" t="e">
        <f t="shared" si="160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279</v>
      </c>
      <c r="E46" s="116"/>
      <c r="F46" s="93"/>
      <c r="G46" s="94" t="e">
        <f t="shared" si="78"/>
        <v>#DIV/0!</v>
      </c>
      <c r="H46" s="94" t="e">
        <f t="shared" si="106"/>
        <v>#DIV/0!</v>
      </c>
      <c r="I46" s="96"/>
      <c r="J46" s="117">
        <v>22098.39</v>
      </c>
      <c r="K46" s="117"/>
      <c r="L46" s="118"/>
      <c r="M46" s="97">
        <f t="shared" si="82"/>
        <v>0</v>
      </c>
      <c r="N46" s="97">
        <f t="shared" ref="N46:O46" si="192">Z46+AC46+AF46+AI46+AL46+AO46+AR46+AU46+AX46+BA46+BD46+BG46</f>
        <v>0</v>
      </c>
      <c r="O46" s="97">
        <f t="shared" si="192"/>
        <v>0</v>
      </c>
      <c r="P46" s="82">
        <f t="shared" ref="P46:R46" si="193">IF(BI46=0,SUM(Y46+AB46+AE46+AH46+AK46+AN46+AQ46+AT46+AW46+AZ46+BC46+BF46),BI46)</f>
        <v>0</v>
      </c>
      <c r="Q46" s="82">
        <f t="shared" si="193"/>
        <v>0</v>
      </c>
      <c r="R46" s="82">
        <f t="shared" si="193"/>
        <v>0</v>
      </c>
      <c r="S46" s="97">
        <f t="shared" ref="S46:T46" si="194">I46-M46</f>
        <v>0</v>
      </c>
      <c r="T46" s="97">
        <f t="shared" si="194"/>
        <v>22098.39</v>
      </c>
      <c r="U46" s="97">
        <f t="shared" si="158"/>
        <v>0</v>
      </c>
      <c r="V46" s="98" t="e">
        <f t="shared" ref="V46:W46" si="195">M46/I46</f>
        <v>#DIV/0!</v>
      </c>
      <c r="W46" s="98">
        <f t="shared" si="195"/>
        <v>0</v>
      </c>
      <c r="X46" s="98" t="e">
        <f t="shared" si="160"/>
        <v>#DIV/0!</v>
      </c>
      <c r="Y46" s="129"/>
      <c r="Z46" s="9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280</v>
      </c>
      <c r="C47" s="101" t="s">
        <v>278</v>
      </c>
      <c r="D47" s="91" t="s">
        <v>281</v>
      </c>
      <c r="E47" s="116"/>
      <c r="F47" s="92"/>
      <c r="G47" s="94" t="e">
        <f t="shared" si="78"/>
        <v>#DIV/0!</v>
      </c>
      <c r="H47" s="94" t="e">
        <f t="shared" si="106"/>
        <v>#DIV/0!</v>
      </c>
      <c r="I47" s="96"/>
      <c r="J47" s="117">
        <f>50068.66+42203.34</f>
        <v>92272</v>
      </c>
      <c r="K47" s="117"/>
      <c r="L47" s="96"/>
      <c r="M47" s="97">
        <f t="shared" si="82"/>
        <v>0</v>
      </c>
      <c r="N47" s="97">
        <f t="shared" ref="N47:O47" si="196">Z47+AC47+AF47+AI47+AL47+AO47+AR47+AU47+AX47+BA47+BD47+BG47</f>
        <v>49298.9</v>
      </c>
      <c r="O47" s="97">
        <f t="shared" si="196"/>
        <v>0</v>
      </c>
      <c r="P47" s="82">
        <f t="shared" ref="P47:R47" si="197">IF(BI47=0,SUM(Y47+AB47+AE47+AH47+AK47+AN47+AQ47+AT47+AW47+AZ47+BC47+BF47),BI47)</f>
        <v>0</v>
      </c>
      <c r="Q47" s="82">
        <f t="shared" si="197"/>
        <v>49298.9</v>
      </c>
      <c r="R47" s="82">
        <f t="shared" si="197"/>
        <v>0</v>
      </c>
      <c r="S47" s="134">
        <f t="shared" ref="S47:T47" si="198">I47-M47</f>
        <v>0</v>
      </c>
      <c r="T47" s="97">
        <f t="shared" si="198"/>
        <v>42973.1</v>
      </c>
      <c r="U47" s="97">
        <f t="shared" si="158"/>
        <v>0</v>
      </c>
      <c r="V47" s="98" t="e">
        <f t="shared" ref="V47:W47" si="199">M47/I47</f>
        <v>#DIV/0!</v>
      </c>
      <c r="W47" s="98">
        <f t="shared" si="199"/>
        <v>0.5342780041616092</v>
      </c>
      <c r="X47" s="98" t="e">
        <f t="shared" si="160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283</v>
      </c>
      <c r="E48" s="116"/>
      <c r="F48" s="92"/>
      <c r="G48" s="94" t="e">
        <f t="shared" si="78"/>
        <v>#DIV/0!</v>
      </c>
      <c r="H48" s="94" t="e">
        <f t="shared" si="106"/>
        <v>#DIV/0!</v>
      </c>
      <c r="I48" s="96"/>
      <c r="J48" s="117">
        <v>6782.31</v>
      </c>
      <c r="K48" s="117"/>
      <c r="L48" s="96"/>
      <c r="M48" s="97">
        <f t="shared" si="82"/>
        <v>0</v>
      </c>
      <c r="N48" s="97">
        <f t="shared" ref="N48:O48" si="200">Z48+AC48+AF48+AI48+AL48+AO48+AR48+AU48+AX48+BA48+BD48+BG48</f>
        <v>0</v>
      </c>
      <c r="O48" s="97">
        <f t="shared" si="200"/>
        <v>0</v>
      </c>
      <c r="P48" s="82">
        <f t="shared" ref="P48:R48" si="201">IF(BI48=0,SUM(Y48+AB48+AE48+AH48+AK48+AN48+AQ48+AT48+AW48+AZ48+BC48+BF48),BI48)</f>
        <v>0</v>
      </c>
      <c r="Q48" s="82">
        <f t="shared" si="201"/>
        <v>0</v>
      </c>
      <c r="R48" s="82">
        <f t="shared" si="201"/>
        <v>0</v>
      </c>
      <c r="S48" s="134"/>
      <c r="T48" s="97"/>
      <c r="U48" s="97"/>
      <c r="V48" s="98"/>
      <c r="W48" s="98"/>
      <c r="X48" s="98"/>
      <c r="Y48" s="129"/>
      <c r="Z48" s="96"/>
      <c r="AA48" s="129"/>
      <c r="AB48" s="119"/>
      <c r="AC48" s="11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285</v>
      </c>
      <c r="E49" s="116"/>
      <c r="F49" s="92"/>
      <c r="G49" s="94" t="e">
        <f t="shared" si="78"/>
        <v>#DIV/0!</v>
      </c>
      <c r="H49" s="94" t="e">
        <f t="shared" si="106"/>
        <v>#DIV/0!</v>
      </c>
      <c r="I49" s="133"/>
      <c r="J49" s="117">
        <f>51880+30383</f>
        <v>82263</v>
      </c>
      <c r="K49" s="117"/>
      <c r="L49" s="96"/>
      <c r="M49" s="97">
        <f t="shared" si="82"/>
        <v>0</v>
      </c>
      <c r="N49" s="97">
        <f t="shared" ref="N49:O49" si="202">Z49+AC49+AF49+AI49+AL49+AO49+AR49+AU49+AX49+BA49+BD49+BG49</f>
        <v>0</v>
      </c>
      <c r="O49" s="97">
        <f t="shared" si="202"/>
        <v>0</v>
      </c>
      <c r="P49" s="82">
        <f t="shared" ref="P49:R49" si="203">IF(BI49=0,SUM(Y49+AB49+AE49+AH49+AK49+AN49+AQ49+AT49+AW49+AZ49+BC49+BF49),BI49)</f>
        <v>0</v>
      </c>
      <c r="Q49" s="82">
        <f t="shared" si="203"/>
        <v>0</v>
      </c>
      <c r="R49" s="82">
        <f t="shared" si="203"/>
        <v>0</v>
      </c>
      <c r="S49" s="134">
        <f t="shared" ref="S49:T49" si="204">I49-M49</f>
        <v>0</v>
      </c>
      <c r="T49" s="97">
        <f t="shared" si="204"/>
        <v>82263</v>
      </c>
      <c r="U49" s="97">
        <f t="shared" ref="U49:U52" si="205">L49-O49</f>
        <v>0</v>
      </c>
      <c r="V49" s="98" t="e">
        <f t="shared" ref="V49:W49" si="206">M49/I49</f>
        <v>#DIV/0!</v>
      </c>
      <c r="W49" s="98">
        <f t="shared" si="206"/>
        <v>0</v>
      </c>
      <c r="X49" s="98" t="e">
        <f t="shared" ref="X49:X52" si="207">O49/L49</f>
        <v>#DIV/0!</v>
      </c>
      <c r="Y49" s="129"/>
      <c r="Z49" s="96"/>
      <c r="AA49" s="129"/>
      <c r="AB49" s="119"/>
      <c r="AC49" s="11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286</v>
      </c>
      <c r="C50" s="101" t="s">
        <v>278</v>
      </c>
      <c r="D50" s="144" t="s">
        <v>287</v>
      </c>
      <c r="E50" s="116"/>
      <c r="F50" s="92"/>
      <c r="G50" s="94" t="e">
        <f t="shared" si="78"/>
        <v>#DIV/0!</v>
      </c>
      <c r="H50" s="94" t="e">
        <f t="shared" si="106"/>
        <v>#DIV/0!</v>
      </c>
      <c r="I50" s="133"/>
      <c r="J50" s="117">
        <f>572638.78+46434.84</f>
        <v>619073.62</v>
      </c>
      <c r="K50" s="117"/>
      <c r="L50" s="118"/>
      <c r="M50" s="97">
        <f t="shared" si="82"/>
        <v>0</v>
      </c>
      <c r="N50" s="97">
        <f t="shared" ref="N50:O50" si="208">Z50+AC50+AF50+AI50+AL50+AO50+AR50+AU50+AX50+BA50+BD50+BG50</f>
        <v>0</v>
      </c>
      <c r="O50" s="97">
        <f t="shared" si="208"/>
        <v>0</v>
      </c>
      <c r="P50" s="82">
        <f t="shared" ref="P50:R50" si="209">IF(BI50=0,SUM(Y50+AB50+AE50+AH50+AK50+AN50+AQ50+AT50+AW50+AZ50+BC50+BF50),BI50)</f>
        <v>0</v>
      </c>
      <c r="Q50" s="82">
        <f t="shared" si="209"/>
        <v>0</v>
      </c>
      <c r="R50" s="82">
        <f t="shared" si="209"/>
        <v>0</v>
      </c>
      <c r="S50" s="134">
        <f t="shared" ref="S50:T50" si="210">I50-M50</f>
        <v>0</v>
      </c>
      <c r="T50" s="97">
        <f t="shared" si="210"/>
        <v>619073.62</v>
      </c>
      <c r="U50" s="97">
        <f t="shared" si="205"/>
        <v>0</v>
      </c>
      <c r="V50" s="98" t="e">
        <f t="shared" ref="V50:W50" si="211">M50/I50</f>
        <v>#DIV/0!</v>
      </c>
      <c r="W50" s="98">
        <f t="shared" si="211"/>
        <v>0</v>
      </c>
      <c r="X50" s="98" t="e">
        <f t="shared" si="207"/>
        <v>#DIV/0!</v>
      </c>
      <c r="Y50" s="129"/>
      <c r="Z50" s="96"/>
      <c r="AA50" s="129"/>
      <c r="AB50" s="119"/>
      <c r="AC50" s="11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288</v>
      </c>
      <c r="C51" s="101" t="s">
        <v>165</v>
      </c>
      <c r="D51" s="91" t="s">
        <v>289</v>
      </c>
      <c r="E51" s="116"/>
      <c r="F51" s="92"/>
      <c r="G51" s="94" t="e">
        <f t="shared" si="78"/>
        <v>#DIV/0!</v>
      </c>
      <c r="H51" s="94" t="e">
        <f t="shared" si="106"/>
        <v>#DIV/0!</v>
      </c>
      <c r="I51" s="133"/>
      <c r="J51" s="117">
        <f>5855+6447</f>
        <v>12302</v>
      </c>
      <c r="K51" s="117"/>
      <c r="L51" s="96"/>
      <c r="M51" s="97">
        <f t="shared" si="82"/>
        <v>0</v>
      </c>
      <c r="N51" s="97">
        <f t="shared" ref="N51:O51" si="212">Z51+AC51+AF51+AI51+AL51+AO51+AR51+AU51+AX51+BA51+BD51+BG51</f>
        <v>5855</v>
      </c>
      <c r="O51" s="97">
        <f t="shared" si="212"/>
        <v>0</v>
      </c>
      <c r="P51" s="82">
        <f t="shared" ref="P51:R51" si="213">IF(BI51=0,SUM(Y51+AB51+AE51+AH51+AK51+AN51+AQ51+AT51+AW51+AZ51+BC51+BF51),BI51)</f>
        <v>0</v>
      </c>
      <c r="Q51" s="82">
        <f t="shared" si="213"/>
        <v>5855</v>
      </c>
      <c r="R51" s="82">
        <f t="shared" si="213"/>
        <v>0</v>
      </c>
      <c r="S51" s="134">
        <f t="shared" ref="S51:T51" si="214">I51-M51</f>
        <v>0</v>
      </c>
      <c r="T51" s="97">
        <f t="shared" si="214"/>
        <v>6447</v>
      </c>
      <c r="U51" s="97">
        <f t="shared" si="205"/>
        <v>0</v>
      </c>
      <c r="V51" s="98" t="e">
        <f t="shared" ref="V51:W51" si="215">M51/I51</f>
        <v>#DIV/0!</v>
      </c>
      <c r="W51" s="98">
        <f t="shared" si="215"/>
        <v>0.47593887172817428</v>
      </c>
      <c r="X51" s="98" t="e">
        <f t="shared" si="207"/>
        <v>#DIV/0!</v>
      </c>
      <c r="Y51" s="129"/>
      <c r="Z51" s="103">
        <v>5855</v>
      </c>
      <c r="AA51" s="129"/>
      <c r="AB51" s="119"/>
      <c r="AC51" s="11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290</v>
      </c>
      <c r="C52" s="101" t="s">
        <v>165</v>
      </c>
      <c r="D52" s="91" t="s">
        <v>291</v>
      </c>
      <c r="E52" s="116"/>
      <c r="F52" s="92"/>
      <c r="G52" s="94" t="e">
        <f t="shared" si="78"/>
        <v>#DIV/0!</v>
      </c>
      <c r="H52" s="94" t="e">
        <f t="shared" si="106"/>
        <v>#DIV/0!</v>
      </c>
      <c r="I52" s="133"/>
      <c r="J52" s="117">
        <f>2874.45+8500+15300+2420</f>
        <v>29094.45</v>
      </c>
      <c r="K52" s="117"/>
      <c r="L52" s="145"/>
      <c r="M52" s="97">
        <f t="shared" si="82"/>
        <v>0</v>
      </c>
      <c r="N52" s="97">
        <f t="shared" ref="N52:O52" si="216">Z52+AC52+AF52+AI52+AL52+AO52+AR52+AU52+AX52+BA52+BD52+BG52</f>
        <v>17720</v>
      </c>
      <c r="O52" s="97">
        <f t="shared" si="216"/>
        <v>0</v>
      </c>
      <c r="P52" s="82">
        <f t="shared" ref="P52:R52" si="217">IF(BI52=0,SUM(Y52+AB52+AE52+AH52+AK52+AN52+AQ52+AT52+AW52+AZ52+BC52+BF52),BI52)</f>
        <v>0</v>
      </c>
      <c r="Q52" s="82">
        <f t="shared" si="217"/>
        <v>17720</v>
      </c>
      <c r="R52" s="82">
        <f t="shared" si="217"/>
        <v>0</v>
      </c>
      <c r="S52" s="134">
        <f t="shared" ref="S52:T52" si="218">I52-M52</f>
        <v>0</v>
      </c>
      <c r="T52" s="97">
        <f t="shared" si="218"/>
        <v>11374.45</v>
      </c>
      <c r="U52" s="97">
        <f t="shared" si="205"/>
        <v>0</v>
      </c>
      <c r="V52" s="98" t="e">
        <f t="shared" ref="V52:W52" si="219">M52/I52</f>
        <v>#DIV/0!</v>
      </c>
      <c r="W52" s="98">
        <f t="shared" si="219"/>
        <v>0.60905086708977141</v>
      </c>
      <c r="X52" s="98" t="e">
        <f t="shared" si="207"/>
        <v>#DIV/0!</v>
      </c>
      <c r="Y52" s="129"/>
      <c r="Z52" s="103">
        <f>2420+15300</f>
        <v>17720</v>
      </c>
      <c r="AA52" s="129"/>
      <c r="AB52" s="119"/>
      <c r="AC52" s="11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78"/>
        <v>#DIV/0!</v>
      </c>
      <c r="H53" s="94" t="e">
        <f t="shared" si="106"/>
        <v>#DIV/0!</v>
      </c>
      <c r="I53" s="133"/>
      <c r="J53" s="117"/>
      <c r="K53" s="117"/>
      <c r="L53" s="145"/>
      <c r="M53" s="97">
        <f t="shared" si="82"/>
        <v>0</v>
      </c>
      <c r="N53" s="97">
        <f t="shared" ref="N53:O53" si="220">Z53+AC53+AF53+AI53+AL53+AO53+AR53+AU53+AX53+BA53+BD53+BG53</f>
        <v>0</v>
      </c>
      <c r="O53" s="97">
        <f t="shared" si="220"/>
        <v>0</v>
      </c>
      <c r="P53" s="82">
        <f t="shared" ref="P53:R53" si="221">IF(BI53=0,SUM(Y53+AB53+AE53+AH53+AK53+AN53+AQ53+AT53+AW53+AZ53+BC53+BF53),BI53)</f>
        <v>0</v>
      </c>
      <c r="Q53" s="82">
        <f t="shared" si="221"/>
        <v>0</v>
      </c>
      <c r="R53" s="82">
        <f t="shared" si="221"/>
        <v>0</v>
      </c>
      <c r="S53" s="134"/>
      <c r="T53" s="97"/>
      <c r="U53" s="97"/>
      <c r="V53" s="98"/>
      <c r="W53" s="98"/>
      <c r="X53" s="98"/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78"/>
        <v>#DIV/0!</v>
      </c>
      <c r="H54" s="94" t="e">
        <f t="shared" si="106"/>
        <v>#DIV/0!</v>
      </c>
      <c r="I54" s="133"/>
      <c r="J54" s="117"/>
      <c r="K54" s="117"/>
      <c r="L54" s="145"/>
      <c r="M54" s="97">
        <f t="shared" si="82"/>
        <v>0</v>
      </c>
      <c r="N54" s="97">
        <f t="shared" ref="N54:O54" si="222">Z54+AC54+AF54+AI54+AL54+AO54+AR54+AU54+AX54+BA54+BD54+BG54</f>
        <v>0</v>
      </c>
      <c r="O54" s="97">
        <f t="shared" si="222"/>
        <v>0</v>
      </c>
      <c r="P54" s="82">
        <f t="shared" ref="P54:R54" si="223">IF(BI54=0,SUM(Y54+AB54+AE54+AH54+AK54+AN54+AQ54+AT54+AW54+AZ54+BC54+BF54),BI54)</f>
        <v>0</v>
      </c>
      <c r="Q54" s="82">
        <f t="shared" si="223"/>
        <v>0</v>
      </c>
      <c r="R54" s="82">
        <f t="shared" si="223"/>
        <v>0</v>
      </c>
      <c r="S54" s="134"/>
      <c r="T54" s="97"/>
      <c r="U54" s="97"/>
      <c r="V54" s="98"/>
      <c r="W54" s="98"/>
      <c r="X54" s="98"/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78"/>
        <v>#DIV/0!</v>
      </c>
      <c r="H55" s="94">
        <f t="shared" ref="H55:H60" si="224">M55/F55</f>
        <v>0</v>
      </c>
      <c r="I55" s="96"/>
      <c r="J55" s="117"/>
      <c r="K55" s="117"/>
      <c r="L55" s="118"/>
      <c r="M55" s="97">
        <f t="shared" si="82"/>
        <v>0</v>
      </c>
      <c r="N55" s="97">
        <f t="shared" ref="N55:O55" si="225">Z55+AC55+AF55+AI55+AL55+AO55+AR55+AU55+AX55+BA55+BD55+BG55</f>
        <v>0</v>
      </c>
      <c r="O55" s="97">
        <f t="shared" si="225"/>
        <v>0</v>
      </c>
      <c r="P55" s="82">
        <f t="shared" ref="P55:R55" si="226">IF(BI55=0,SUM(Y55+AB55+AE55+AH55+AK55+AN55+AQ55+AT55+AW55+AZ55+BC55+BF55),BI55)</f>
        <v>0</v>
      </c>
      <c r="Q55" s="82">
        <f t="shared" si="226"/>
        <v>0</v>
      </c>
      <c r="R55" s="82">
        <f t="shared" si="226"/>
        <v>0</v>
      </c>
      <c r="S55" s="97">
        <f t="shared" ref="S55:T55" si="227">I55-M55</f>
        <v>0</v>
      </c>
      <c r="T55" s="97">
        <f t="shared" si="227"/>
        <v>0</v>
      </c>
      <c r="U55" s="97">
        <f t="shared" ref="U55:U60" si="228">L55-O55</f>
        <v>0</v>
      </c>
      <c r="V55" s="98" t="e">
        <f t="shared" ref="V55:W55" si="229">M55/I55</f>
        <v>#DIV/0!</v>
      </c>
      <c r="W55" s="98" t="e">
        <f t="shared" si="229"/>
        <v>#DIV/0!</v>
      </c>
      <c r="X55" s="98" t="e">
        <f t="shared" ref="X55:X60" si="230">O55/L55</f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78"/>
        <v>#DIV/0!</v>
      </c>
      <c r="H56" s="94">
        <f t="shared" si="224"/>
        <v>0</v>
      </c>
      <c r="I56" s="96"/>
      <c r="J56" s="117">
        <v>1817.8</v>
      </c>
      <c r="K56" s="117"/>
      <c r="L56" s="118"/>
      <c r="M56" s="97">
        <f t="shared" si="82"/>
        <v>0</v>
      </c>
      <c r="N56" s="97">
        <f t="shared" ref="N56:O56" si="231">Z56+AC56+AF56+AI56+AL56+AO56+AR56+AU56+AX56+BA56+BD56+BG56</f>
        <v>0</v>
      </c>
      <c r="O56" s="97">
        <f t="shared" si="231"/>
        <v>0</v>
      </c>
      <c r="P56" s="82">
        <f t="shared" ref="P56:R56" si="232">IF(BI56=0,SUM(Y56+AB56+AE56+AH56+AK56+AN56+AQ56+AT56+AW56+AZ56+BC56+BF56),BI56)</f>
        <v>0</v>
      </c>
      <c r="Q56" s="82">
        <f t="shared" si="232"/>
        <v>0</v>
      </c>
      <c r="R56" s="82">
        <f t="shared" si="232"/>
        <v>0</v>
      </c>
      <c r="S56" s="97">
        <f t="shared" ref="S56:T56" si="233">I56-M56</f>
        <v>0</v>
      </c>
      <c r="T56" s="97">
        <f t="shared" si="233"/>
        <v>1817.8</v>
      </c>
      <c r="U56" s="97">
        <f t="shared" si="228"/>
        <v>0</v>
      </c>
      <c r="V56" s="98" t="e">
        <f t="shared" ref="V56:W56" si="234">M56/I56</f>
        <v>#DIV/0!</v>
      </c>
      <c r="W56" s="98">
        <f t="shared" si="234"/>
        <v>0</v>
      </c>
      <c r="X56" s="98" t="e">
        <f t="shared" si="230"/>
        <v>#DIV/0!</v>
      </c>
      <c r="Y56" s="129"/>
      <c r="Z56" s="96"/>
      <c r="AA56" s="129"/>
      <c r="AB56" s="119"/>
      <c r="AC56" s="11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35">I57/F57</f>
        <v>0</v>
      </c>
      <c r="H57" s="94">
        <f t="shared" si="224"/>
        <v>0</v>
      </c>
      <c r="I57" s="96"/>
      <c r="J57" s="117"/>
      <c r="K57" s="117"/>
      <c r="L57" s="118"/>
      <c r="M57" s="97">
        <f t="shared" si="82"/>
        <v>0</v>
      </c>
      <c r="N57" s="97">
        <f t="shared" ref="N57:O57" si="236">Z57+AC57+AF57+AI57+AL57+AO57+AR57+AU57+AX57+BA57+BD57+BG57</f>
        <v>0</v>
      </c>
      <c r="O57" s="97">
        <f t="shared" si="236"/>
        <v>0</v>
      </c>
      <c r="P57" s="82">
        <f t="shared" ref="P57:R57" si="237">IF(BI57=0,SUM(Y57+AB57+AE57+AH57+AK57+AN57+AQ57+AT57+AW57+AZ57+BC57+BF57),BI57)</f>
        <v>0</v>
      </c>
      <c r="Q57" s="82">
        <f t="shared" si="237"/>
        <v>0</v>
      </c>
      <c r="R57" s="82">
        <f t="shared" si="237"/>
        <v>0</v>
      </c>
      <c r="S57" s="97">
        <f t="shared" ref="S57:T57" si="238">I57-M57</f>
        <v>0</v>
      </c>
      <c r="T57" s="97">
        <f t="shared" si="238"/>
        <v>0</v>
      </c>
      <c r="U57" s="97">
        <f t="shared" si="228"/>
        <v>0</v>
      </c>
      <c r="V57" s="98" t="e">
        <f t="shared" ref="V57:W57" si="239">M57/I57</f>
        <v>#DIV/0!</v>
      </c>
      <c r="W57" s="98" t="e">
        <f t="shared" si="239"/>
        <v>#DIV/0!</v>
      </c>
      <c r="X57" s="98" t="e">
        <f t="shared" si="230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A58" s="89"/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35"/>
        <v>0</v>
      </c>
      <c r="H58" s="94">
        <f t="shared" si="224"/>
        <v>0</v>
      </c>
      <c r="I58" s="142"/>
      <c r="J58" s="117"/>
      <c r="K58" s="117"/>
      <c r="L58" s="118"/>
      <c r="M58" s="97">
        <f t="shared" si="82"/>
        <v>0</v>
      </c>
      <c r="N58" s="97">
        <f t="shared" ref="N58:O58" si="240">Z58+AC58+AF58+AI58+AL58+AO58+AR58+AU58+AX58+BA58+BD58+BG58</f>
        <v>0</v>
      </c>
      <c r="O58" s="97">
        <f t="shared" si="240"/>
        <v>0</v>
      </c>
      <c r="P58" s="82">
        <f t="shared" ref="P58:R58" si="241">IF(BI58=0,SUM(Y58+AB58+AE58+AH58+AK58+AN58+AQ58+AT58+AW58+AZ58+BC58+BF58),BI58)</f>
        <v>0</v>
      </c>
      <c r="Q58" s="82">
        <f t="shared" si="241"/>
        <v>0</v>
      </c>
      <c r="R58" s="82">
        <f t="shared" si="241"/>
        <v>0</v>
      </c>
      <c r="S58" s="97">
        <f t="shared" ref="S58:T58" si="242">I58-M58</f>
        <v>0</v>
      </c>
      <c r="T58" s="97">
        <f t="shared" si="242"/>
        <v>0</v>
      </c>
      <c r="U58" s="97">
        <f t="shared" si="228"/>
        <v>0</v>
      </c>
      <c r="V58" s="98" t="e">
        <f t="shared" ref="V58:W58" si="243">M58/I58</f>
        <v>#DIV/0!</v>
      </c>
      <c r="W58" s="98" t="e">
        <f t="shared" si="243"/>
        <v>#DIV/0!</v>
      </c>
      <c r="X58" s="98" t="e">
        <f t="shared" si="230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35"/>
        <v>0</v>
      </c>
      <c r="H59" s="94">
        <f t="shared" si="224"/>
        <v>0</v>
      </c>
      <c r="I59" s="96"/>
      <c r="J59" s="117"/>
      <c r="K59" s="117"/>
      <c r="L59" s="118"/>
      <c r="M59" s="97">
        <f t="shared" si="82"/>
        <v>0</v>
      </c>
      <c r="N59" s="97">
        <f t="shared" ref="N59:O59" si="244">Z59+AC59+AF59+AI59+AL59+AO59+AR59+AU59+AX59+BA59+BD59+BG59</f>
        <v>0</v>
      </c>
      <c r="O59" s="97">
        <f t="shared" si="244"/>
        <v>0</v>
      </c>
      <c r="P59" s="82">
        <f t="shared" ref="P59:R59" si="245">IF(BI59=0,SUM(Y59+AB59+AE59+AH59+AK59+AN59+AQ59+AT59+AW59+AZ59+BC59+BF59),BI59)</f>
        <v>0</v>
      </c>
      <c r="Q59" s="82">
        <f t="shared" si="245"/>
        <v>0</v>
      </c>
      <c r="R59" s="82">
        <f t="shared" si="245"/>
        <v>0</v>
      </c>
      <c r="S59" s="97">
        <f t="shared" ref="S59:T59" si="246">I59-M59</f>
        <v>0</v>
      </c>
      <c r="T59" s="97">
        <f t="shared" si="246"/>
        <v>0</v>
      </c>
      <c r="U59" s="97">
        <f t="shared" si="228"/>
        <v>0</v>
      </c>
      <c r="V59" s="98" t="e">
        <f t="shared" ref="V59:W59" si="247">M59/I59</f>
        <v>#DIV/0!</v>
      </c>
      <c r="W59" s="98" t="e">
        <f t="shared" si="247"/>
        <v>#DIV/0!</v>
      </c>
      <c r="X59" s="98" t="e">
        <f t="shared" si="230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35"/>
        <v>0</v>
      </c>
      <c r="H60" s="94">
        <f t="shared" si="224"/>
        <v>0</v>
      </c>
      <c r="I60" s="96"/>
      <c r="J60" s="146"/>
      <c r="K60" s="146"/>
      <c r="L60" s="118"/>
      <c r="M60" s="97">
        <f t="shared" si="82"/>
        <v>0</v>
      </c>
      <c r="N60" s="97">
        <f t="shared" ref="N60:O60" si="248">Z60+AC60+AF60+AI60+AL60+AO60+AR60+AU60+AX60+BA60+BD60+BG60</f>
        <v>0</v>
      </c>
      <c r="O60" s="97">
        <f t="shared" si="248"/>
        <v>0</v>
      </c>
      <c r="P60" s="82">
        <f t="shared" ref="P60:R60" si="249">IF(BI60=0,SUM(Y60+AB60+AE60+AH60+AK60+AN60+AQ60+AT60+AW60+AZ60+BC60+BF60),BI60)</f>
        <v>0</v>
      </c>
      <c r="Q60" s="82">
        <f t="shared" si="249"/>
        <v>0</v>
      </c>
      <c r="R60" s="82">
        <f t="shared" si="249"/>
        <v>0</v>
      </c>
      <c r="S60" s="97">
        <f t="shared" ref="S60:T60" si="250">I60-M60</f>
        <v>0</v>
      </c>
      <c r="T60" s="97">
        <f t="shared" si="250"/>
        <v>0</v>
      </c>
      <c r="U60" s="97">
        <f t="shared" si="228"/>
        <v>0</v>
      </c>
      <c r="V60" s="98" t="e">
        <f t="shared" ref="V60:W60" si="251">M60/I60</f>
        <v>#DIV/0!</v>
      </c>
      <c r="W60" s="98" t="e">
        <f t="shared" si="251"/>
        <v>#DIV/0!</v>
      </c>
      <c r="X60" s="98" t="e">
        <f t="shared" si="230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35"/>
        <v>0</v>
      </c>
      <c r="H61" s="94"/>
      <c r="I61" s="96"/>
      <c r="J61" s="146"/>
      <c r="K61" s="146"/>
      <c r="L61" s="118"/>
      <c r="M61" s="97">
        <f t="shared" si="82"/>
        <v>0</v>
      </c>
      <c r="N61" s="97">
        <f t="shared" ref="N61:O61" si="252">Z61+AC61+AF61+AI61+AL61+AO61+AR61+AU61+AX61+BA61+BD61+BG61</f>
        <v>0</v>
      </c>
      <c r="O61" s="97">
        <f t="shared" si="252"/>
        <v>0</v>
      </c>
      <c r="P61" s="82">
        <f t="shared" ref="P61:R61" si="253">IF(BI61=0,SUM(Y61+AB61+AE61+AH61+AK61+AN61+AQ61+AT61+AW61+AZ61+BC61+BF61),BI61)</f>
        <v>0</v>
      </c>
      <c r="Q61" s="82">
        <f t="shared" si="253"/>
        <v>0</v>
      </c>
      <c r="R61" s="82">
        <f t="shared" si="253"/>
        <v>0</v>
      </c>
      <c r="S61" s="97"/>
      <c r="T61" s="97"/>
      <c r="U61" s="97"/>
      <c r="V61" s="98"/>
      <c r="W61" s="98"/>
      <c r="X61" s="98"/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35"/>
        <v>0</v>
      </c>
      <c r="H62" s="94"/>
      <c r="I62" s="96"/>
      <c r="J62" s="146"/>
      <c r="K62" s="146"/>
      <c r="L62" s="118"/>
      <c r="M62" s="97">
        <f t="shared" si="82"/>
        <v>0</v>
      </c>
      <c r="N62" s="97">
        <f t="shared" ref="N62:O62" si="254">Z62+AC62+AF62+AI62+AL62+AO62+AR62+AU62+AX62+BA62+BD62+BG62</f>
        <v>0</v>
      </c>
      <c r="O62" s="97">
        <f t="shared" si="254"/>
        <v>0</v>
      </c>
      <c r="P62" s="82">
        <f t="shared" ref="P62:R62" si="255">IF(BI62=0,SUM(Y62+AB62+AE62+AH62+AK62+AN62+AQ62+AT62+AW62+AZ62+BC62+BF62),BI62)</f>
        <v>0</v>
      </c>
      <c r="Q62" s="82">
        <f t="shared" si="255"/>
        <v>0</v>
      </c>
      <c r="R62" s="82">
        <f t="shared" si="255"/>
        <v>0</v>
      </c>
      <c r="S62" s="97"/>
      <c r="T62" s="97"/>
      <c r="U62" s="97"/>
      <c r="V62" s="98"/>
      <c r="W62" s="98"/>
      <c r="X62" s="98"/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56">I63/E63</f>
        <v>#DIV/0!</v>
      </c>
      <c r="H63" s="94" t="e">
        <f t="shared" ref="H63:H80" si="257">M63/E63</f>
        <v>#DIV/0!</v>
      </c>
      <c r="I63" s="96"/>
      <c r="J63" s="146"/>
      <c r="K63" s="146"/>
      <c r="L63" s="118"/>
      <c r="M63" s="97">
        <f t="shared" si="82"/>
        <v>0</v>
      </c>
      <c r="N63" s="97">
        <f t="shared" ref="N63:O63" si="258">Z63+AC63+AF63+AI63+AL63+AO63+AR63+AU63+AX63+BA63+BD63+BG63</f>
        <v>0</v>
      </c>
      <c r="O63" s="97">
        <f t="shared" si="258"/>
        <v>0</v>
      </c>
      <c r="P63" s="82">
        <f t="shared" ref="P63:R63" si="259">IF(BI63=0,SUM(Y63+AB63+AE63+AH63+AK63+AN63+AQ63+AT63+AW63+AZ63+BC63+BF63),BI63)</f>
        <v>0</v>
      </c>
      <c r="Q63" s="82">
        <f t="shared" si="259"/>
        <v>0</v>
      </c>
      <c r="R63" s="82">
        <f t="shared" si="259"/>
        <v>0</v>
      </c>
      <c r="S63" s="97">
        <f t="shared" ref="S63:T63" si="260">I63-M63</f>
        <v>0</v>
      </c>
      <c r="T63" s="97">
        <f t="shared" si="260"/>
        <v>0</v>
      </c>
      <c r="U63" s="97">
        <f t="shared" ref="U63:U66" si="261">L63-O63</f>
        <v>0</v>
      </c>
      <c r="V63" s="98" t="e">
        <f t="shared" ref="V63:W63" si="262">M63/I63</f>
        <v>#DIV/0!</v>
      </c>
      <c r="W63" s="98" t="e">
        <f t="shared" si="262"/>
        <v>#DIV/0!</v>
      </c>
      <c r="X63" s="98" t="e">
        <f t="shared" ref="X63:X89" si="263">O63/L63</f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56"/>
        <v>#DIV/0!</v>
      </c>
      <c r="H64" s="94" t="e">
        <f t="shared" si="257"/>
        <v>#DIV/0!</v>
      </c>
      <c r="I64" s="96"/>
      <c r="J64" s="146"/>
      <c r="K64" s="146"/>
      <c r="L64" s="118"/>
      <c r="M64" s="97">
        <f t="shared" si="82"/>
        <v>0</v>
      </c>
      <c r="N64" s="97">
        <f t="shared" ref="N64:O64" si="264">Z64+AC64+AF64+AI64+AL64+AO64+AR64+AU64+AX64+BA64+BD64+BG64</f>
        <v>0</v>
      </c>
      <c r="O64" s="97">
        <f t="shared" si="264"/>
        <v>0</v>
      </c>
      <c r="P64" s="82">
        <f t="shared" ref="P64:R64" si="265">IF(BI64=0,SUM(Y64+AB64+AE64+AH64+AK64+AN64+AQ64+AT64+AW64+AZ64+BC64+BF64),BI64)</f>
        <v>0</v>
      </c>
      <c r="Q64" s="82">
        <f t="shared" si="265"/>
        <v>0</v>
      </c>
      <c r="R64" s="82">
        <f t="shared" si="265"/>
        <v>0</v>
      </c>
      <c r="S64" s="97">
        <f t="shared" ref="S64:T64" si="266">I64-M64</f>
        <v>0</v>
      </c>
      <c r="T64" s="97">
        <f t="shared" si="266"/>
        <v>0</v>
      </c>
      <c r="U64" s="97">
        <f t="shared" si="261"/>
        <v>0</v>
      </c>
      <c r="V64" s="98" t="e">
        <f t="shared" ref="V64:W64" si="267">M64/I64</f>
        <v>#DIV/0!</v>
      </c>
      <c r="W64" s="98" t="e">
        <f t="shared" si="267"/>
        <v>#DIV/0!</v>
      </c>
      <c r="X64" s="98" t="e">
        <f t="shared" si="263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56"/>
        <v>#DIV/0!</v>
      </c>
      <c r="H65" s="94" t="e">
        <f t="shared" si="257"/>
        <v>#DIV/0!</v>
      </c>
      <c r="I65" s="96"/>
      <c r="J65" s="126"/>
      <c r="K65" s="126"/>
      <c r="L65" s="118"/>
      <c r="M65" s="97">
        <f t="shared" si="82"/>
        <v>0</v>
      </c>
      <c r="N65" s="97">
        <f t="shared" ref="N65:O65" si="268">Z65+AC65+AF65+AI65+AL65+AO65+AR65+AU65+AX65+BA65+BD65+BG65</f>
        <v>0</v>
      </c>
      <c r="O65" s="97">
        <f t="shared" si="268"/>
        <v>0</v>
      </c>
      <c r="P65" s="82">
        <f t="shared" ref="P65:R65" si="269">IF(BI65=0,SUM(Y65+AB65+AE65+AH65+AK65+AN65+AQ65+AT65+AW65+AZ65+BC65+BF65),BI65)</f>
        <v>0</v>
      </c>
      <c r="Q65" s="82">
        <f t="shared" si="269"/>
        <v>0</v>
      </c>
      <c r="R65" s="82">
        <f t="shared" si="269"/>
        <v>0</v>
      </c>
      <c r="S65" s="97">
        <f t="shared" ref="S65:T65" si="270">I65-M65</f>
        <v>0</v>
      </c>
      <c r="T65" s="97">
        <f t="shared" si="270"/>
        <v>0</v>
      </c>
      <c r="U65" s="97">
        <f t="shared" si="261"/>
        <v>0</v>
      </c>
      <c r="V65" s="98" t="e">
        <f t="shared" ref="V65:W65" si="271">M65/I65</f>
        <v>#DIV/0!</v>
      </c>
      <c r="W65" s="98" t="e">
        <f t="shared" si="271"/>
        <v>#DIV/0!</v>
      </c>
      <c r="X65" s="98" t="e">
        <f t="shared" si="263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56"/>
        <v>#DIV/0!</v>
      </c>
      <c r="H66" s="94" t="e">
        <f t="shared" si="257"/>
        <v>#DIV/0!</v>
      </c>
      <c r="I66" s="96"/>
      <c r="J66" s="146"/>
      <c r="K66" s="146"/>
      <c r="L66" s="95"/>
      <c r="M66" s="97">
        <f t="shared" si="82"/>
        <v>0</v>
      </c>
      <c r="N66" s="97">
        <f t="shared" ref="N66:O66" si="272">Z66+AC66+AF66+AI66+AL66+AO66+AR66+AU66+AX66+BA66+BD66+BG66</f>
        <v>0</v>
      </c>
      <c r="O66" s="97">
        <f t="shared" si="272"/>
        <v>0</v>
      </c>
      <c r="P66" s="82">
        <f t="shared" ref="P66:R66" si="273">IF(BI66=0,SUM(Y66+AB66+AE66+AH66+AK66+AN66+AQ66+AT66+AW66+AZ66+BC66+BF66),BI66)</f>
        <v>0</v>
      </c>
      <c r="Q66" s="82">
        <f t="shared" si="273"/>
        <v>0</v>
      </c>
      <c r="R66" s="82">
        <f t="shared" si="273"/>
        <v>0</v>
      </c>
      <c r="S66" s="97">
        <f t="shared" ref="S66:T66" si="274">I66-M66</f>
        <v>0</v>
      </c>
      <c r="T66" s="97">
        <f t="shared" si="274"/>
        <v>0</v>
      </c>
      <c r="U66" s="97">
        <f t="shared" si="261"/>
        <v>0</v>
      </c>
      <c r="V66" s="98" t="e">
        <f t="shared" ref="V66:W66" si="275">M66/I66</f>
        <v>#DIV/0!</v>
      </c>
      <c r="W66" s="98" t="e">
        <f t="shared" si="275"/>
        <v>#DIV/0!</v>
      </c>
      <c r="X66" s="98" t="e">
        <f t="shared" si="263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56"/>
        <v>0</v>
      </c>
      <c r="H67" s="107">
        <f t="shared" si="257"/>
        <v>0</v>
      </c>
      <c r="I67" s="87">
        <f t="shared" ref="I67:O67" si="276">I68+I75+I76+I77+I80+I84+I89</f>
        <v>0</v>
      </c>
      <c r="J67" s="87">
        <f t="shared" si="276"/>
        <v>84340.34</v>
      </c>
      <c r="K67" s="87">
        <f t="shared" si="276"/>
        <v>0</v>
      </c>
      <c r="L67" s="87">
        <f t="shared" si="276"/>
        <v>0</v>
      </c>
      <c r="M67" s="87">
        <f t="shared" si="276"/>
        <v>0</v>
      </c>
      <c r="N67" s="87">
        <f t="shared" si="276"/>
        <v>4595.8899999999994</v>
      </c>
      <c r="O67" s="87">
        <f t="shared" si="276"/>
        <v>0</v>
      </c>
      <c r="P67" s="87">
        <f t="shared" ref="P67:R67" si="277">IF(BI67=0,SUM(Y67+AB67+AE67+AH67+AK67+AN67+AQ67+AT67+AW67+AZ67+BC67+BF67),BI67)</f>
        <v>0</v>
      </c>
      <c r="Q67" s="87">
        <f t="shared" si="277"/>
        <v>4595.8899999999994</v>
      </c>
      <c r="R67" s="87">
        <f t="shared" si="277"/>
        <v>0</v>
      </c>
      <c r="S67" s="87" t="e">
        <f t="shared" ref="S67:U67" si="278">S68+S75+S76+#REF!+#REF!+S77+S80+S84+S89</f>
        <v>#REF!</v>
      </c>
      <c r="T67" s="87" t="e">
        <f t="shared" si="278"/>
        <v>#REF!</v>
      </c>
      <c r="U67" s="87" t="e">
        <f t="shared" si="278"/>
        <v>#REF!</v>
      </c>
      <c r="V67" s="88" t="e">
        <f t="shared" ref="V67:W67" si="279">M67/I67</f>
        <v>#DIV/0!</v>
      </c>
      <c r="W67" s="88">
        <f t="shared" si="279"/>
        <v>5.4492191992586224E-2</v>
      </c>
      <c r="X67" s="88" t="e">
        <f t="shared" si="263"/>
        <v>#DIV/0!</v>
      </c>
      <c r="Y67" s="87">
        <f t="shared" ref="Y67:BK67" si="280">Y68+Y75+Y76+Y77+Y80+Y84+Y89</f>
        <v>0</v>
      </c>
      <c r="Z67" s="87">
        <f t="shared" si="280"/>
        <v>4595.8899999999994</v>
      </c>
      <c r="AA67" s="87">
        <f t="shared" si="280"/>
        <v>0</v>
      </c>
      <c r="AB67" s="87">
        <f t="shared" si="280"/>
        <v>0</v>
      </c>
      <c r="AC67" s="87">
        <f t="shared" si="280"/>
        <v>0</v>
      </c>
      <c r="AD67" s="87">
        <f t="shared" si="280"/>
        <v>0</v>
      </c>
      <c r="AE67" s="87">
        <f t="shared" si="280"/>
        <v>0</v>
      </c>
      <c r="AF67" s="87">
        <f t="shared" si="280"/>
        <v>0</v>
      </c>
      <c r="AG67" s="87">
        <f t="shared" si="280"/>
        <v>0</v>
      </c>
      <c r="AH67" s="87">
        <f t="shared" si="280"/>
        <v>0</v>
      </c>
      <c r="AI67" s="87">
        <f t="shared" si="280"/>
        <v>0</v>
      </c>
      <c r="AJ67" s="87">
        <f t="shared" si="280"/>
        <v>0</v>
      </c>
      <c r="AK67" s="87">
        <f t="shared" si="280"/>
        <v>0</v>
      </c>
      <c r="AL67" s="87">
        <f t="shared" si="280"/>
        <v>0</v>
      </c>
      <c r="AM67" s="87">
        <f t="shared" si="280"/>
        <v>0</v>
      </c>
      <c r="AN67" s="87">
        <f t="shared" si="280"/>
        <v>0</v>
      </c>
      <c r="AO67" s="87">
        <f t="shared" si="280"/>
        <v>0</v>
      </c>
      <c r="AP67" s="87">
        <f t="shared" si="280"/>
        <v>0</v>
      </c>
      <c r="AQ67" s="87">
        <f t="shared" si="280"/>
        <v>0</v>
      </c>
      <c r="AR67" s="87">
        <f t="shared" si="280"/>
        <v>0</v>
      </c>
      <c r="AS67" s="87">
        <f t="shared" si="280"/>
        <v>0</v>
      </c>
      <c r="AT67" s="87">
        <f t="shared" si="280"/>
        <v>0</v>
      </c>
      <c r="AU67" s="87">
        <f t="shared" si="280"/>
        <v>0</v>
      </c>
      <c r="AV67" s="87">
        <f t="shared" si="280"/>
        <v>0</v>
      </c>
      <c r="AW67" s="87">
        <f t="shared" si="280"/>
        <v>0</v>
      </c>
      <c r="AX67" s="87">
        <f t="shared" si="280"/>
        <v>0</v>
      </c>
      <c r="AY67" s="87">
        <f t="shared" si="280"/>
        <v>0</v>
      </c>
      <c r="AZ67" s="87">
        <f t="shared" si="280"/>
        <v>0</v>
      </c>
      <c r="BA67" s="87">
        <f t="shared" si="280"/>
        <v>0</v>
      </c>
      <c r="BB67" s="87">
        <f t="shared" si="280"/>
        <v>0</v>
      </c>
      <c r="BC67" s="87">
        <f t="shared" si="280"/>
        <v>0</v>
      </c>
      <c r="BD67" s="87">
        <f t="shared" si="280"/>
        <v>0</v>
      </c>
      <c r="BE67" s="87">
        <f t="shared" si="280"/>
        <v>0</v>
      </c>
      <c r="BF67" s="87">
        <f t="shared" si="280"/>
        <v>0</v>
      </c>
      <c r="BG67" s="87">
        <f t="shared" si="280"/>
        <v>0</v>
      </c>
      <c r="BH67" s="87">
        <f t="shared" si="280"/>
        <v>0</v>
      </c>
      <c r="BI67" s="87">
        <f t="shared" si="280"/>
        <v>0</v>
      </c>
      <c r="BJ67" s="87">
        <f t="shared" si="280"/>
        <v>0</v>
      </c>
      <c r="BK67" s="87">
        <f t="shared" si="280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56"/>
        <v>0</v>
      </c>
      <c r="H68" s="155">
        <f t="shared" si="257"/>
        <v>0</v>
      </c>
      <c r="I68" s="154">
        <f>SUM(I69:I74)</f>
        <v>0</v>
      </c>
      <c r="J68" s="154">
        <f t="shared" ref="J68:K68" si="281">SUM(J70:J74)</f>
        <v>10402.67</v>
      </c>
      <c r="K68" s="154">
        <f t="shared" si="281"/>
        <v>0</v>
      </c>
      <c r="L68" s="154">
        <f>SUM(L70:L71)</f>
        <v>0</v>
      </c>
      <c r="M68" s="154">
        <f>SUM(M69:M74)</f>
        <v>0</v>
      </c>
      <c r="N68" s="154">
        <f>SUM(N70:N74)</f>
        <v>324.49</v>
      </c>
      <c r="O68" s="154">
        <f>SUM(O69:O74)</f>
        <v>0</v>
      </c>
      <c r="P68" s="81">
        <f t="shared" ref="P68:R68" si="282">IF(BI68=0,SUM(Y68+AB68+AE68+AH68+AK68+AN68+AQ68+AT68+AW68+AZ68+BC68+BF68),BI68)</f>
        <v>0</v>
      </c>
      <c r="Q68" s="81">
        <f t="shared" si="282"/>
        <v>324.49</v>
      </c>
      <c r="R68" s="81">
        <f t="shared" si="282"/>
        <v>0</v>
      </c>
      <c r="S68" s="154">
        <f t="shared" ref="S68:U68" si="283">SUM(S70:S74)</f>
        <v>0</v>
      </c>
      <c r="T68" s="154">
        <f t="shared" si="283"/>
        <v>10078.18</v>
      </c>
      <c r="U68" s="154">
        <f t="shared" si="283"/>
        <v>0</v>
      </c>
      <c r="V68" s="156" t="e">
        <f t="shared" ref="V68:W68" si="284">M68/I68</f>
        <v>#DIV/0!</v>
      </c>
      <c r="W68" s="156">
        <f t="shared" si="284"/>
        <v>3.1192953347554044E-2</v>
      </c>
      <c r="X68" s="156" t="e">
        <f t="shared" si="263"/>
        <v>#DIV/0!</v>
      </c>
      <c r="Y68" s="154">
        <f>SUM(Y70:Y71)</f>
        <v>0</v>
      </c>
      <c r="Z68" s="154">
        <f>SUM(Z70:Z74)</f>
        <v>324.49</v>
      </c>
      <c r="AA68" s="154">
        <f t="shared" ref="AA68:AB68" si="285">SUM(AA70:AA71)</f>
        <v>0</v>
      </c>
      <c r="AB68" s="154">
        <f t="shared" si="285"/>
        <v>0</v>
      </c>
      <c r="AC68" s="154">
        <f>SUM(AC70:AC74)</f>
        <v>0</v>
      </c>
      <c r="AD68" s="154">
        <f>SUM(AD70:AD71)</f>
        <v>0</v>
      </c>
      <c r="AE68" s="154">
        <f t="shared" ref="AE68:AF68" si="286">SUM(AE70:AE74)</f>
        <v>0</v>
      </c>
      <c r="AF68" s="154">
        <f t="shared" si="286"/>
        <v>0</v>
      </c>
      <c r="AG68" s="154">
        <f>SUM(AG70:AG71)</f>
        <v>0</v>
      </c>
      <c r="AH68" s="154">
        <f t="shared" ref="AH68:AI68" si="287">SUM(AH70:AH74)</f>
        <v>0</v>
      </c>
      <c r="AI68" s="154">
        <f t="shared" si="287"/>
        <v>0</v>
      </c>
      <c r="AJ68" s="154">
        <f>SUM(AJ70:AJ71)</f>
        <v>0</v>
      </c>
      <c r="AK68" s="154">
        <f t="shared" ref="AK68:AL68" si="288">SUM(AK70:AK74)</f>
        <v>0</v>
      </c>
      <c r="AL68" s="154">
        <f t="shared" si="288"/>
        <v>0</v>
      </c>
      <c r="AM68" s="154">
        <f>SUM(AM70:AM71)</f>
        <v>0</v>
      </c>
      <c r="AN68" s="154">
        <f t="shared" ref="AN68:AO68" si="289">SUM(AN70:AN74)</f>
        <v>0</v>
      </c>
      <c r="AO68" s="154">
        <f t="shared" si="289"/>
        <v>0</v>
      </c>
      <c r="AP68" s="154">
        <f>SUM(AP70:AP71)</f>
        <v>0</v>
      </c>
      <c r="AQ68" s="154">
        <f>SUM(AQ70:AQ74)</f>
        <v>0</v>
      </c>
      <c r="AR68" s="154">
        <f t="shared" ref="AR68:AS68" si="290">SUM(AR70:AR71)</f>
        <v>0</v>
      </c>
      <c r="AS68" s="154">
        <f t="shared" si="290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91">SUM(AW70:AW74)</f>
        <v>0</v>
      </c>
      <c r="AX68" s="154">
        <f t="shared" si="291"/>
        <v>0</v>
      </c>
      <c r="AY68" s="154">
        <f t="shared" ref="AY68:AZ68" si="292">SUM(AY70:AY71)</f>
        <v>0</v>
      </c>
      <c r="AZ68" s="154">
        <f t="shared" si="292"/>
        <v>0</v>
      </c>
      <c r="BA68" s="154">
        <f>SUM(BA70:BA76)</f>
        <v>0</v>
      </c>
      <c r="BB68" s="154">
        <f t="shared" ref="BB68:BH68" si="293">SUM(BB70:BB71)</f>
        <v>0</v>
      </c>
      <c r="BC68" s="154">
        <f t="shared" si="293"/>
        <v>0</v>
      </c>
      <c r="BD68" s="154">
        <f t="shared" si="293"/>
        <v>0</v>
      </c>
      <c r="BE68" s="154">
        <f t="shared" si="293"/>
        <v>0</v>
      </c>
      <c r="BF68" s="154">
        <f t="shared" si="293"/>
        <v>0</v>
      </c>
      <c r="BG68" s="154">
        <f t="shared" si="293"/>
        <v>0</v>
      </c>
      <c r="BH68" s="154">
        <f t="shared" si="293"/>
        <v>0</v>
      </c>
      <c r="BI68" s="154">
        <f t="shared" ref="BI68:BK68" si="294">SUM(BI69:BI74)</f>
        <v>0</v>
      </c>
      <c r="BJ68" s="154">
        <f t="shared" si="294"/>
        <v>0</v>
      </c>
      <c r="BK68" s="154">
        <f t="shared" si="294"/>
        <v>0</v>
      </c>
      <c r="BL68" s="157"/>
      <c r="BM68" s="158"/>
      <c r="BN68" s="158"/>
      <c r="BO68" s="158"/>
      <c r="BP68" s="158"/>
    </row>
    <row r="69" spans="1:68" ht="15.75" customHeight="1">
      <c r="A69" s="89"/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56"/>
        <v>0</v>
      </c>
      <c r="H69" s="94">
        <f t="shared" si="257"/>
        <v>0</v>
      </c>
      <c r="I69" s="142"/>
      <c r="J69" s="117"/>
      <c r="K69" s="117"/>
      <c r="L69" s="118"/>
      <c r="M69" s="97">
        <f t="shared" ref="M69:O69" si="295">Y69+AB69+AE69+AH69+AK69+AN69+AQ69+AT69+AW69+AZ69+BC69+BF69</f>
        <v>0</v>
      </c>
      <c r="N69" s="97">
        <f t="shared" si="295"/>
        <v>0</v>
      </c>
      <c r="O69" s="97">
        <f t="shared" si="295"/>
        <v>0</v>
      </c>
      <c r="P69" s="82">
        <f t="shared" ref="P69:Q69" si="296">IF(BI69=0,SUM(Y69+AB69+AE69+AH69+AK69+AN69+AQ69+AT69+AW69+AZ69+BC69+BF69),BI69)</f>
        <v>0</v>
      </c>
      <c r="Q69" s="82">
        <f t="shared" si="296"/>
        <v>0</v>
      </c>
      <c r="R69" s="83"/>
      <c r="S69" s="96"/>
      <c r="T69" s="96"/>
      <c r="U69" s="96"/>
      <c r="V69" s="163"/>
      <c r="W69" s="163"/>
      <c r="X69" s="163" t="e">
        <f t="shared" si="263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305</v>
      </c>
      <c r="E70" s="162">
        <v>10000</v>
      </c>
      <c r="F70" s="142"/>
      <c r="G70" s="94">
        <f t="shared" si="256"/>
        <v>0</v>
      </c>
      <c r="H70" s="94">
        <f t="shared" si="257"/>
        <v>0</v>
      </c>
      <c r="I70" s="142"/>
      <c r="J70" s="117">
        <v>5435.51</v>
      </c>
      <c r="K70" s="117"/>
      <c r="L70" s="118"/>
      <c r="M70" s="97">
        <f t="shared" ref="M70:O70" si="297">Y70+AB70+AE70+AH70+AK70+AN70+AQ70+AT70+AW70+AZ70+BC70+BF70</f>
        <v>0</v>
      </c>
      <c r="N70" s="97">
        <f t="shared" si="297"/>
        <v>324.49</v>
      </c>
      <c r="O70" s="97">
        <f t="shared" si="297"/>
        <v>0</v>
      </c>
      <c r="P70" s="82">
        <f t="shared" ref="P70:R70" si="298">IF(BI70=0,SUM(Y70+AB70+AE70+AH70+AK70+AN70+AQ70+AT70+AW70+AZ70+BC70+BF70),BI70)</f>
        <v>0</v>
      </c>
      <c r="Q70" s="82">
        <f t="shared" si="298"/>
        <v>324.49</v>
      </c>
      <c r="R70" s="83">
        <f t="shared" si="298"/>
        <v>0</v>
      </c>
      <c r="S70" s="96">
        <f t="shared" ref="S70:T70" si="299">I70-M70</f>
        <v>0</v>
      </c>
      <c r="T70" s="96">
        <f t="shared" si="299"/>
        <v>5111.0200000000004</v>
      </c>
      <c r="U70" s="96">
        <f t="shared" ref="U70:U76" si="300">L70-O70</f>
        <v>0</v>
      </c>
      <c r="V70" s="163" t="e">
        <f t="shared" ref="V70:W70" si="301">M70/I70</f>
        <v>#DIV/0!</v>
      </c>
      <c r="W70" s="163">
        <f t="shared" si="301"/>
        <v>5.9698169996927612E-2</v>
      </c>
      <c r="X70" s="163" t="e">
        <f t="shared" si="263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0</v>
      </c>
      <c r="AG70" s="96"/>
      <c r="AH70" s="96"/>
      <c r="AI70" s="103">
        <v>0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89"/>
      <c r="B71" s="136"/>
      <c r="C71" s="101" t="s">
        <v>306</v>
      </c>
      <c r="D71" s="91" t="s">
        <v>307</v>
      </c>
      <c r="E71" s="92">
        <v>30000</v>
      </c>
      <c r="F71" s="166"/>
      <c r="G71" s="94">
        <f t="shared" si="256"/>
        <v>0</v>
      </c>
      <c r="H71" s="94">
        <f t="shared" si="257"/>
        <v>0</v>
      </c>
      <c r="I71" s="96"/>
      <c r="J71" s="117"/>
      <c r="K71" s="117"/>
      <c r="L71" s="118"/>
      <c r="M71" s="97">
        <f t="shared" ref="M71:O71" si="302">Y71+AB71+AE71+AH71+AK71+AN71+AQ71+AT71+AW71+AZ71+BC71+BF71</f>
        <v>0</v>
      </c>
      <c r="N71" s="97">
        <f t="shared" si="302"/>
        <v>0</v>
      </c>
      <c r="O71" s="97">
        <f t="shared" si="302"/>
        <v>0</v>
      </c>
      <c r="P71" s="82">
        <f t="shared" ref="P71:R71" si="303">IF(BI71=0,SUM(Y71+AB71+AE71+AH71+AK71+AN71+AQ71+AT71+AW71+AZ71+BC71+BF71),BI71)</f>
        <v>0</v>
      </c>
      <c r="Q71" s="82">
        <f t="shared" si="303"/>
        <v>0</v>
      </c>
      <c r="R71" s="82">
        <f t="shared" si="303"/>
        <v>0</v>
      </c>
      <c r="S71" s="97">
        <f t="shared" ref="S71:T71" si="304">I71-M71</f>
        <v>0</v>
      </c>
      <c r="T71" s="97">
        <f t="shared" si="304"/>
        <v>0</v>
      </c>
      <c r="U71" s="97">
        <f t="shared" si="300"/>
        <v>0</v>
      </c>
      <c r="V71" s="98" t="e">
        <f t="shared" ref="V71:W71" si="305">M71/I71</f>
        <v>#DIV/0!</v>
      </c>
      <c r="W71" s="98" t="e">
        <f t="shared" si="305"/>
        <v>#DIV/0!</v>
      </c>
      <c r="X71" s="98" t="e">
        <f t="shared" si="263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309</v>
      </c>
      <c r="E72" s="92">
        <v>5200</v>
      </c>
      <c r="F72" s="166"/>
      <c r="G72" s="94">
        <f t="shared" si="256"/>
        <v>0</v>
      </c>
      <c r="H72" s="94">
        <f t="shared" si="257"/>
        <v>0</v>
      </c>
      <c r="I72" s="96"/>
      <c r="J72" s="117">
        <v>2723.27</v>
      </c>
      <c r="K72" s="117"/>
      <c r="L72" s="118"/>
      <c r="M72" s="97">
        <f t="shared" ref="M72:O72" si="306">Y72+AB72+AE72+AH72+AK72+AN72+AQ72+AT72+AW72+AZ72+BC72+BF72</f>
        <v>0</v>
      </c>
      <c r="N72" s="97">
        <f t="shared" si="306"/>
        <v>0</v>
      </c>
      <c r="O72" s="97">
        <f t="shared" si="306"/>
        <v>0</v>
      </c>
      <c r="P72" s="82">
        <f t="shared" ref="P72:P87" si="307">IF(BI72=0,SUM(Y72+AB72+AE72+AH72+AK72+AN72+AQ72+AT72+AW72+AZ72+BC72+BF72),BI72)</f>
        <v>0</v>
      </c>
      <c r="Q72" s="82">
        <f>IF(BJ72=0,SUM(Z72+AC72+AF72+AI72+AL72+AO72+AR72+AT72+AX72+BA72+BD72+BG72),BJ72)</f>
        <v>0</v>
      </c>
      <c r="R72" s="82">
        <f>IF(BK72=0,SUM(AA72+AD72+AG72+AJ72+AM72+AP72+AS72+AV72+AY72+BB72+BE72+BH72),BK72)</f>
        <v>0</v>
      </c>
      <c r="S72" s="97">
        <f t="shared" ref="S72:T72" si="308">I72-M72</f>
        <v>0</v>
      </c>
      <c r="T72" s="97">
        <f t="shared" si="308"/>
        <v>2723.27</v>
      </c>
      <c r="U72" s="97">
        <f t="shared" si="300"/>
        <v>0</v>
      </c>
      <c r="V72" s="98" t="e">
        <f t="shared" ref="V72:W72" si="309">M72/I72</f>
        <v>#DIV/0!</v>
      </c>
      <c r="W72" s="98">
        <f t="shared" si="309"/>
        <v>0</v>
      </c>
      <c r="X72" s="98" t="e">
        <f t="shared" si="263"/>
        <v>#DIV/0!</v>
      </c>
      <c r="Y72" s="96"/>
      <c r="Z72" s="103">
        <v>0</v>
      </c>
      <c r="AA72" s="96"/>
      <c r="AB72" s="96"/>
      <c r="AC72" s="131">
        <v>0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56"/>
        <v>0</v>
      </c>
      <c r="H73" s="94">
        <f t="shared" si="257"/>
        <v>0</v>
      </c>
      <c r="I73" s="96"/>
      <c r="J73" s="117"/>
      <c r="K73" s="117"/>
      <c r="L73" s="118"/>
      <c r="M73" s="97">
        <f t="shared" ref="M73:O73" si="310">Y73+AB73+AE73+AH73+AK73+AN73+AQ73+AT73+AW73+AZ73+BC73+BF73</f>
        <v>0</v>
      </c>
      <c r="N73" s="97">
        <f t="shared" si="310"/>
        <v>0</v>
      </c>
      <c r="O73" s="97">
        <f t="shared" si="310"/>
        <v>0</v>
      </c>
      <c r="P73" s="82">
        <f t="shared" si="307"/>
        <v>0</v>
      </c>
      <c r="Q73" s="82">
        <f t="shared" ref="Q73:R73" si="311">IF(BJ73=0,SUM(Z73+AC73+AF73+AI73+AL73+AO73+AR73+AU73+AX73+BA73+BD73+BG73),BJ73)</f>
        <v>0</v>
      </c>
      <c r="R73" s="82">
        <f t="shared" si="311"/>
        <v>0</v>
      </c>
      <c r="S73" s="97">
        <f t="shared" ref="S73:T73" si="312">I73-M73</f>
        <v>0</v>
      </c>
      <c r="T73" s="97">
        <f t="shared" si="312"/>
        <v>0</v>
      </c>
      <c r="U73" s="97">
        <f t="shared" si="300"/>
        <v>0</v>
      </c>
      <c r="V73" s="98" t="e">
        <f t="shared" ref="V73:W73" si="313">M73/I73</f>
        <v>#DIV/0!</v>
      </c>
      <c r="W73" s="98" t="e">
        <f t="shared" si="313"/>
        <v>#DIV/0!</v>
      </c>
      <c r="X73" s="98" t="e">
        <f t="shared" si="263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/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56"/>
        <v>0</v>
      </c>
      <c r="H74" s="94">
        <f t="shared" si="257"/>
        <v>0</v>
      </c>
      <c r="I74" s="96"/>
      <c r="J74" s="167">
        <v>2243.89</v>
      </c>
      <c r="K74" s="117"/>
      <c r="L74" s="118"/>
      <c r="M74" s="97">
        <f t="shared" ref="M74:O74" si="314">Y74+AB74+AE74+AH74+AK74+AN74+AQ74+AT74+AW74+AZ74+BC74+BF74</f>
        <v>0</v>
      </c>
      <c r="N74" s="97">
        <f t="shared" si="314"/>
        <v>0</v>
      </c>
      <c r="O74" s="97">
        <f t="shared" si="314"/>
        <v>0</v>
      </c>
      <c r="P74" s="82">
        <f t="shared" si="307"/>
        <v>0</v>
      </c>
      <c r="Q74" s="82">
        <f t="shared" ref="Q74:R74" si="315">IF(BJ74=0,SUM(Z74+AC74+AF74+AI74+AL74+AO74+AR74+AU74+AX74+BA74+BD74+BG74),BJ74)</f>
        <v>0</v>
      </c>
      <c r="R74" s="82">
        <f t="shared" si="315"/>
        <v>0</v>
      </c>
      <c r="S74" s="97">
        <f t="shared" ref="S74:T74" si="316">I74-M74</f>
        <v>0</v>
      </c>
      <c r="T74" s="97">
        <f t="shared" si="316"/>
        <v>2243.89</v>
      </c>
      <c r="U74" s="97">
        <f t="shared" si="300"/>
        <v>0</v>
      </c>
      <c r="V74" s="98" t="e">
        <f t="shared" ref="V74:W74" si="317">M74/I74</f>
        <v>#DIV/0!</v>
      </c>
      <c r="W74" s="98">
        <f t="shared" si="317"/>
        <v>0</v>
      </c>
      <c r="X74" s="98" t="e">
        <f t="shared" si="263"/>
        <v>#DIV/0!</v>
      </c>
      <c r="Y74" s="96"/>
      <c r="Z74" s="103">
        <v>0</v>
      </c>
      <c r="AA74" s="96"/>
      <c r="AB74" s="96"/>
      <c r="AC74" s="131">
        <v>0</v>
      </c>
      <c r="AD74" s="96"/>
      <c r="AE74" s="96"/>
      <c r="AF74" s="103">
        <v>0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56"/>
        <v>0</v>
      </c>
      <c r="H75" s="94">
        <f t="shared" si="257"/>
        <v>0</v>
      </c>
      <c r="I75" s="173"/>
      <c r="J75" s="174"/>
      <c r="K75" s="174"/>
      <c r="L75" s="174"/>
      <c r="M75" s="97">
        <f t="shared" ref="M75:O75" si="318">Y75+AB75+AE75+AH75+AK75+AN75+AQ75+AT75+AW75+AZ75+BC75+BF75</f>
        <v>0</v>
      </c>
      <c r="N75" s="97">
        <f t="shared" si="318"/>
        <v>0</v>
      </c>
      <c r="O75" s="175">
        <f t="shared" si="318"/>
        <v>0</v>
      </c>
      <c r="P75" s="82">
        <f t="shared" si="307"/>
        <v>0</v>
      </c>
      <c r="Q75" s="82">
        <f t="shared" ref="Q75:R75" si="319">IF(BJ75=0,SUM(Z75+AC75+AF75+AI75+AL75+AO75+AR75+AU75+AX75+BA75+BD75+BG75),BJ75)</f>
        <v>0</v>
      </c>
      <c r="R75" s="82">
        <f t="shared" si="319"/>
        <v>0</v>
      </c>
      <c r="S75" s="175">
        <f t="shared" ref="S75:T75" si="320">I75-M75</f>
        <v>0</v>
      </c>
      <c r="T75" s="97">
        <f t="shared" si="320"/>
        <v>0</v>
      </c>
      <c r="U75" s="175">
        <f t="shared" si="300"/>
        <v>0</v>
      </c>
      <c r="V75" s="176" t="e">
        <f t="shared" ref="V75:W75" si="321">M75/I75</f>
        <v>#DIV/0!</v>
      </c>
      <c r="W75" s="176" t="e">
        <f t="shared" si="321"/>
        <v>#DIV/0!</v>
      </c>
      <c r="X75" s="176" t="e">
        <f t="shared" si="263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56"/>
        <v>0</v>
      </c>
      <c r="H76" s="94">
        <f t="shared" si="257"/>
        <v>0</v>
      </c>
      <c r="I76" s="174"/>
      <c r="J76" s="174"/>
      <c r="K76" s="174"/>
      <c r="L76" s="174"/>
      <c r="M76" s="175">
        <f t="shared" ref="M76:O76" si="322">Y76+AB76+AE76+AH76+AK76+AN76+AQ76+AT76+AW76+AZ76+BC76+BF76</f>
        <v>0</v>
      </c>
      <c r="N76" s="175">
        <f t="shared" si="322"/>
        <v>0</v>
      </c>
      <c r="O76" s="175">
        <f t="shared" si="322"/>
        <v>0</v>
      </c>
      <c r="P76" s="82">
        <f t="shared" si="307"/>
        <v>0</v>
      </c>
      <c r="Q76" s="82">
        <f t="shared" ref="Q76:R76" si="323">IF(BJ76=0,SUM(Z76+AC76+AF76+AI76+AL76+AO76+AR76+AU76+AX76+BA76+BD76+BG76),BJ76)</f>
        <v>0</v>
      </c>
      <c r="R76" s="82">
        <f t="shared" si="323"/>
        <v>0</v>
      </c>
      <c r="S76" s="175">
        <f t="shared" ref="S76:T76" si="324">I76-M76</f>
        <v>0</v>
      </c>
      <c r="T76" s="175">
        <f t="shared" si="324"/>
        <v>0</v>
      </c>
      <c r="U76" s="175">
        <f t="shared" si="300"/>
        <v>0</v>
      </c>
      <c r="V76" s="176" t="e">
        <f t="shared" ref="V76:W76" si="325">M76/I76</f>
        <v>#DIV/0!</v>
      </c>
      <c r="W76" s="176" t="e">
        <f t="shared" si="325"/>
        <v>#DIV/0!</v>
      </c>
      <c r="X76" s="176" t="e">
        <f t="shared" si="263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56"/>
        <v>0</v>
      </c>
      <c r="H77" s="188">
        <f t="shared" si="257"/>
        <v>0</v>
      </c>
      <c r="I77" s="186">
        <f t="shared" ref="I77:O77" si="326">SUM(I78:I79)</f>
        <v>0</v>
      </c>
      <c r="J77" s="186">
        <f t="shared" si="326"/>
        <v>0</v>
      </c>
      <c r="K77" s="186">
        <f t="shared" si="326"/>
        <v>0</v>
      </c>
      <c r="L77" s="186">
        <f t="shared" si="326"/>
        <v>0</v>
      </c>
      <c r="M77" s="186">
        <f t="shared" si="326"/>
        <v>0</v>
      </c>
      <c r="N77" s="186">
        <f t="shared" si="326"/>
        <v>0</v>
      </c>
      <c r="O77" s="186">
        <f t="shared" si="326"/>
        <v>0</v>
      </c>
      <c r="P77" s="81">
        <f t="shared" si="307"/>
        <v>0</v>
      </c>
      <c r="Q77" s="81">
        <f t="shared" ref="Q77:R77" si="327">IF(BJ77=0,SUM(Z77+AC77+AF77+AI77+AL77+AO77+AR77+AU77+AX77+BA77+BD77+BG77),BJ77)</f>
        <v>0</v>
      </c>
      <c r="R77" s="81">
        <f t="shared" si="327"/>
        <v>0</v>
      </c>
      <c r="S77" s="186">
        <f t="shared" ref="S77:U77" si="328">SUM(S78:S79)</f>
        <v>0</v>
      </c>
      <c r="T77" s="186">
        <f t="shared" si="328"/>
        <v>0</v>
      </c>
      <c r="U77" s="186">
        <f t="shared" si="328"/>
        <v>0</v>
      </c>
      <c r="V77" s="189" t="e">
        <f t="shared" ref="V77:W77" si="329">M77/I77</f>
        <v>#DIV/0!</v>
      </c>
      <c r="W77" s="189" t="e">
        <f t="shared" si="329"/>
        <v>#DIV/0!</v>
      </c>
      <c r="X77" s="189" t="e">
        <f t="shared" si="263"/>
        <v>#DIV/0!</v>
      </c>
      <c r="Y77" s="186">
        <f t="shared" ref="Y77:BK77" si="330">SUM(Y78:Y79)</f>
        <v>0</v>
      </c>
      <c r="Z77" s="186">
        <f t="shared" si="330"/>
        <v>0</v>
      </c>
      <c r="AA77" s="186">
        <f t="shared" si="330"/>
        <v>0</v>
      </c>
      <c r="AB77" s="186">
        <f t="shared" si="330"/>
        <v>0</v>
      </c>
      <c r="AC77" s="186">
        <f t="shared" si="330"/>
        <v>0</v>
      </c>
      <c r="AD77" s="186">
        <f t="shared" si="330"/>
        <v>0</v>
      </c>
      <c r="AE77" s="186">
        <f t="shared" si="330"/>
        <v>0</v>
      </c>
      <c r="AF77" s="186">
        <f t="shared" si="330"/>
        <v>0</v>
      </c>
      <c r="AG77" s="186">
        <f t="shared" si="330"/>
        <v>0</v>
      </c>
      <c r="AH77" s="186">
        <f t="shared" si="330"/>
        <v>0</v>
      </c>
      <c r="AI77" s="186">
        <f t="shared" si="330"/>
        <v>0</v>
      </c>
      <c r="AJ77" s="186">
        <f t="shared" si="330"/>
        <v>0</v>
      </c>
      <c r="AK77" s="186">
        <f t="shared" si="330"/>
        <v>0</v>
      </c>
      <c r="AL77" s="186">
        <f t="shared" si="330"/>
        <v>0</v>
      </c>
      <c r="AM77" s="186">
        <f t="shared" si="330"/>
        <v>0</v>
      </c>
      <c r="AN77" s="186">
        <f t="shared" si="330"/>
        <v>0</v>
      </c>
      <c r="AO77" s="186">
        <f t="shared" si="330"/>
        <v>0</v>
      </c>
      <c r="AP77" s="186">
        <f t="shared" si="330"/>
        <v>0</v>
      </c>
      <c r="AQ77" s="186">
        <f t="shared" si="330"/>
        <v>0</v>
      </c>
      <c r="AR77" s="186">
        <f t="shared" si="330"/>
        <v>0</v>
      </c>
      <c r="AS77" s="186">
        <f t="shared" si="330"/>
        <v>0</v>
      </c>
      <c r="AT77" s="186">
        <f t="shared" si="330"/>
        <v>0</v>
      </c>
      <c r="AU77" s="186">
        <f t="shared" si="330"/>
        <v>0</v>
      </c>
      <c r="AV77" s="186">
        <f t="shared" si="330"/>
        <v>0</v>
      </c>
      <c r="AW77" s="186">
        <f t="shared" si="330"/>
        <v>0</v>
      </c>
      <c r="AX77" s="186">
        <f t="shared" si="330"/>
        <v>0</v>
      </c>
      <c r="AY77" s="186">
        <f t="shared" si="330"/>
        <v>0</v>
      </c>
      <c r="AZ77" s="186">
        <f t="shared" si="330"/>
        <v>0</v>
      </c>
      <c r="BA77" s="186">
        <f t="shared" si="330"/>
        <v>0</v>
      </c>
      <c r="BB77" s="186">
        <f t="shared" si="330"/>
        <v>0</v>
      </c>
      <c r="BC77" s="186">
        <f t="shared" si="330"/>
        <v>0</v>
      </c>
      <c r="BD77" s="186">
        <f t="shared" si="330"/>
        <v>0</v>
      </c>
      <c r="BE77" s="186">
        <f t="shared" si="330"/>
        <v>0</v>
      </c>
      <c r="BF77" s="186">
        <f t="shared" si="330"/>
        <v>0</v>
      </c>
      <c r="BG77" s="186">
        <f t="shared" si="330"/>
        <v>0</v>
      </c>
      <c r="BH77" s="186">
        <f t="shared" si="330"/>
        <v>0</v>
      </c>
      <c r="BI77" s="186">
        <f t="shared" si="330"/>
        <v>0</v>
      </c>
      <c r="BJ77" s="186">
        <f t="shared" si="330"/>
        <v>0</v>
      </c>
      <c r="BK77" s="186">
        <f t="shared" si="330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56"/>
        <v>#DIV/0!</v>
      </c>
      <c r="H78" s="94" t="e">
        <f t="shared" si="257"/>
        <v>#DIV/0!</v>
      </c>
      <c r="I78" s="96"/>
      <c r="J78" s="190"/>
      <c r="K78" s="190"/>
      <c r="L78" s="190"/>
      <c r="M78" s="97">
        <f t="shared" ref="M78:O78" si="331">Y78+AB78+AE78+AH78+AK78+AN78+AQ78+AT78+AW78+AZ78+BC78+BF78</f>
        <v>0</v>
      </c>
      <c r="N78" s="97">
        <f t="shared" si="331"/>
        <v>0</v>
      </c>
      <c r="O78" s="97">
        <f t="shared" si="331"/>
        <v>0</v>
      </c>
      <c r="P78" s="82">
        <f t="shared" si="307"/>
        <v>0</v>
      </c>
      <c r="Q78" s="82">
        <f t="shared" ref="Q78:R78" si="332">IF(BJ78=0,SUM(Z78+AC78+AF78+AI78+AL78+AO78+AR78+AU78+AX78+BA78+BD78+BG78),BJ78)</f>
        <v>0</v>
      </c>
      <c r="R78" s="82">
        <f t="shared" si="332"/>
        <v>0</v>
      </c>
      <c r="S78" s="97">
        <f t="shared" ref="S78:T78" si="333">I78-M78</f>
        <v>0</v>
      </c>
      <c r="T78" s="97">
        <f t="shared" si="333"/>
        <v>0</v>
      </c>
      <c r="U78" s="97">
        <f t="shared" ref="U78:U79" si="334">L78-O78</f>
        <v>0</v>
      </c>
      <c r="V78" s="98" t="e">
        <f t="shared" ref="V78:W78" si="335">M78/I78</f>
        <v>#DIV/0!</v>
      </c>
      <c r="W78" s="98" t="e">
        <f t="shared" si="335"/>
        <v>#DIV/0!</v>
      </c>
      <c r="X78" s="98" t="e">
        <f t="shared" si="263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56"/>
        <v>#DIV/0!</v>
      </c>
      <c r="H79" s="94" t="e">
        <f t="shared" si="257"/>
        <v>#DIV/0!</v>
      </c>
      <c r="I79" s="96"/>
      <c r="J79" s="190"/>
      <c r="K79" s="190"/>
      <c r="L79" s="190"/>
      <c r="M79" s="97">
        <f t="shared" ref="M79:O79" si="336">Y79+AB79+AE79+AH79+AK79+AN79+AQ79+AT79+AW79+AZ79+BC79+BF79</f>
        <v>0</v>
      </c>
      <c r="N79" s="97">
        <f t="shared" si="336"/>
        <v>0</v>
      </c>
      <c r="O79" s="97">
        <f t="shared" si="336"/>
        <v>0</v>
      </c>
      <c r="P79" s="82">
        <f t="shared" si="307"/>
        <v>0</v>
      </c>
      <c r="Q79" s="82">
        <f t="shared" ref="Q79:R79" si="337">IF(BJ79=0,SUM(Z79+AC79+AF79+AI79+AL79+AO79+AR79+AU79+AX79+BA79+BD79+BG79),BJ79)</f>
        <v>0</v>
      </c>
      <c r="R79" s="82">
        <f t="shared" si="337"/>
        <v>0</v>
      </c>
      <c r="S79" s="97">
        <f t="shared" ref="S79:T79" si="338">I79-M79</f>
        <v>0</v>
      </c>
      <c r="T79" s="97">
        <f t="shared" si="338"/>
        <v>0</v>
      </c>
      <c r="U79" s="97">
        <f t="shared" si="334"/>
        <v>0</v>
      </c>
      <c r="V79" s="98" t="e">
        <f t="shared" ref="V79:W79" si="339">M79/I79</f>
        <v>#DIV/0!</v>
      </c>
      <c r="W79" s="98" t="e">
        <f t="shared" si="339"/>
        <v>#DIV/0!</v>
      </c>
      <c r="X79" s="98" t="e">
        <f t="shared" si="263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40">SUM(E81:E83)</f>
        <v>13808</v>
      </c>
      <c r="F80" s="154">
        <f t="shared" si="340"/>
        <v>0</v>
      </c>
      <c r="G80" s="192">
        <f t="shared" si="256"/>
        <v>0</v>
      </c>
      <c r="H80" s="192">
        <f t="shared" si="257"/>
        <v>0</v>
      </c>
      <c r="I80" s="154">
        <f t="shared" ref="I80:O80" si="341">SUM(I81:I83)</f>
        <v>0</v>
      </c>
      <c r="J80" s="154">
        <f t="shared" si="341"/>
        <v>0</v>
      </c>
      <c r="K80" s="154">
        <f t="shared" si="341"/>
        <v>0</v>
      </c>
      <c r="L80" s="154">
        <f t="shared" si="341"/>
        <v>0</v>
      </c>
      <c r="M80" s="154">
        <f t="shared" si="341"/>
        <v>0</v>
      </c>
      <c r="N80" s="154">
        <f t="shared" si="341"/>
        <v>0</v>
      </c>
      <c r="O80" s="154">
        <f t="shared" si="341"/>
        <v>0</v>
      </c>
      <c r="P80" s="81">
        <f t="shared" si="307"/>
        <v>0</v>
      </c>
      <c r="Q80" s="81">
        <f t="shared" ref="Q80:R80" si="342">IF(BJ80=0,SUM(Z80+AC80+AF80+AI80+AL80+AO80+AR80+AU80+AX80+BA80+BD80+BG80),BJ80)</f>
        <v>0</v>
      </c>
      <c r="R80" s="81">
        <f t="shared" si="342"/>
        <v>0</v>
      </c>
      <c r="S80" s="154">
        <f t="shared" ref="S80:U80" si="343">SUM(S81:S83)</f>
        <v>0</v>
      </c>
      <c r="T80" s="154">
        <f t="shared" si="343"/>
        <v>0</v>
      </c>
      <c r="U80" s="154">
        <f t="shared" si="343"/>
        <v>0</v>
      </c>
      <c r="V80" s="193" t="e">
        <f t="shared" ref="V80:W80" si="344">M80/I80</f>
        <v>#DIV/0!</v>
      </c>
      <c r="W80" s="193" t="e">
        <f t="shared" si="344"/>
        <v>#DIV/0!</v>
      </c>
      <c r="X80" s="193" t="e">
        <f t="shared" si="263"/>
        <v>#DIV/0!</v>
      </c>
      <c r="Y80" s="154">
        <f t="shared" ref="Y80:BK80" si="345">SUM(Y81:Y83)</f>
        <v>0</v>
      </c>
      <c r="Z80" s="154">
        <f t="shared" si="345"/>
        <v>0</v>
      </c>
      <c r="AA80" s="154">
        <f t="shared" si="345"/>
        <v>0</v>
      </c>
      <c r="AB80" s="154">
        <f t="shared" si="345"/>
        <v>0</v>
      </c>
      <c r="AC80" s="154">
        <f t="shared" si="345"/>
        <v>0</v>
      </c>
      <c r="AD80" s="154">
        <f t="shared" si="345"/>
        <v>0</v>
      </c>
      <c r="AE80" s="154">
        <f t="shared" si="345"/>
        <v>0</v>
      </c>
      <c r="AF80" s="154">
        <f t="shared" si="345"/>
        <v>0</v>
      </c>
      <c r="AG80" s="154">
        <f t="shared" si="345"/>
        <v>0</v>
      </c>
      <c r="AH80" s="154">
        <f t="shared" si="345"/>
        <v>0</v>
      </c>
      <c r="AI80" s="154">
        <f t="shared" si="345"/>
        <v>0</v>
      </c>
      <c r="AJ80" s="154">
        <f t="shared" si="345"/>
        <v>0</v>
      </c>
      <c r="AK80" s="154">
        <f t="shared" si="345"/>
        <v>0</v>
      </c>
      <c r="AL80" s="154">
        <f t="shared" si="345"/>
        <v>0</v>
      </c>
      <c r="AM80" s="154">
        <f t="shared" si="345"/>
        <v>0</v>
      </c>
      <c r="AN80" s="154">
        <f t="shared" si="345"/>
        <v>0</v>
      </c>
      <c r="AO80" s="154">
        <f t="shared" si="345"/>
        <v>0</v>
      </c>
      <c r="AP80" s="154">
        <f t="shared" si="345"/>
        <v>0</v>
      </c>
      <c r="AQ80" s="154">
        <f t="shared" si="345"/>
        <v>0</v>
      </c>
      <c r="AR80" s="154">
        <f t="shared" si="345"/>
        <v>0</v>
      </c>
      <c r="AS80" s="154">
        <f t="shared" si="345"/>
        <v>0</v>
      </c>
      <c r="AT80" s="154">
        <f t="shared" si="345"/>
        <v>0</v>
      </c>
      <c r="AU80" s="154">
        <f t="shared" si="345"/>
        <v>0</v>
      </c>
      <c r="AV80" s="154">
        <f t="shared" si="345"/>
        <v>0</v>
      </c>
      <c r="AW80" s="154">
        <f t="shared" si="345"/>
        <v>0</v>
      </c>
      <c r="AX80" s="154">
        <f t="shared" si="345"/>
        <v>0</v>
      </c>
      <c r="AY80" s="154">
        <f t="shared" si="345"/>
        <v>0</v>
      </c>
      <c r="AZ80" s="154">
        <f t="shared" si="345"/>
        <v>0</v>
      </c>
      <c r="BA80" s="154">
        <f t="shared" si="345"/>
        <v>0</v>
      </c>
      <c r="BB80" s="154">
        <f t="shared" si="345"/>
        <v>0</v>
      </c>
      <c r="BC80" s="154">
        <f t="shared" si="345"/>
        <v>0</v>
      </c>
      <c r="BD80" s="154">
        <f t="shared" si="345"/>
        <v>0</v>
      </c>
      <c r="BE80" s="154">
        <f t="shared" si="345"/>
        <v>0</v>
      </c>
      <c r="BF80" s="154">
        <f t="shared" si="345"/>
        <v>0</v>
      </c>
      <c r="BG80" s="154">
        <f t="shared" si="345"/>
        <v>0</v>
      </c>
      <c r="BH80" s="154">
        <f t="shared" si="345"/>
        <v>0</v>
      </c>
      <c r="BI80" s="154">
        <f t="shared" si="345"/>
        <v>0</v>
      </c>
      <c r="BJ80" s="154">
        <f t="shared" si="345"/>
        <v>0</v>
      </c>
      <c r="BK80" s="154">
        <f t="shared" si="345"/>
        <v>0</v>
      </c>
      <c r="BL80" s="157"/>
      <c r="BM80" s="158"/>
      <c r="BN80" s="158"/>
      <c r="BO80" s="158"/>
      <c r="BP80" s="158"/>
    </row>
    <row r="81" spans="1:68" ht="15.75" customHeight="1">
      <c r="A81" s="89"/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/>
      <c r="J81" s="96"/>
      <c r="K81" s="96"/>
      <c r="L81" s="95"/>
      <c r="M81" s="97">
        <f t="shared" ref="M81:O81" si="346">Y81+AB81+AE81+AH81+AK81+AN81+AQ81+AT81+AW81+AZ81+BC81+BF81</f>
        <v>0</v>
      </c>
      <c r="N81" s="97">
        <f t="shared" si="346"/>
        <v>0</v>
      </c>
      <c r="O81" s="97">
        <f t="shared" si="346"/>
        <v>0</v>
      </c>
      <c r="P81" s="82">
        <f t="shared" si="307"/>
        <v>0</v>
      </c>
      <c r="Q81" s="82">
        <f t="shared" ref="Q81:R81" si="347">IF(BJ81=0,SUM(Z81+AC81+AF81+AI81+AL81+AO81+AR81+AU81+AX81+BA81+BD81+BG81),BJ81)</f>
        <v>0</v>
      </c>
      <c r="R81" s="82">
        <f t="shared" si="347"/>
        <v>0</v>
      </c>
      <c r="S81" s="97">
        <f t="shared" ref="S81:T81" si="348">I81-M81</f>
        <v>0</v>
      </c>
      <c r="T81" s="97">
        <f t="shared" si="348"/>
        <v>0</v>
      </c>
      <c r="U81" s="97">
        <f t="shared" ref="U81:U83" si="349">L81-O81</f>
        <v>0</v>
      </c>
      <c r="V81" s="98" t="e">
        <f t="shared" ref="V81:W81" si="350">M81/I81</f>
        <v>#DIV/0!</v>
      </c>
      <c r="W81" s="98" t="e">
        <f t="shared" si="350"/>
        <v>#DIV/0!</v>
      </c>
      <c r="X81" s="98" t="e">
        <f t="shared" si="263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138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51">I82/E82</f>
        <v>#DIV/0!</v>
      </c>
      <c r="H82" s="94" t="e">
        <f t="shared" ref="H82:H89" si="352">M82/E82</f>
        <v>#DIV/0!</v>
      </c>
      <c r="I82" s="96"/>
      <c r="J82" s="96"/>
      <c r="K82" s="96"/>
      <c r="L82" s="95"/>
      <c r="M82" s="97">
        <f t="shared" ref="M82:O82" si="353">Y82+AB82+AE82+AH82+AK82+AN82+AQ82+AT82+AW82+AZ82+BC82+BF82</f>
        <v>0</v>
      </c>
      <c r="N82" s="97">
        <f t="shared" si="353"/>
        <v>0</v>
      </c>
      <c r="O82" s="97">
        <f t="shared" si="353"/>
        <v>0</v>
      </c>
      <c r="P82" s="82">
        <f t="shared" si="307"/>
        <v>0</v>
      </c>
      <c r="Q82" s="82">
        <f t="shared" ref="Q82:R82" si="354">IF(BJ82=0,SUM(Z82+AC82+AF82+AI82+AL82+AO82+AR82+AU82+AX82+BA82+BD82+BG82),BJ82)</f>
        <v>0</v>
      </c>
      <c r="R82" s="82">
        <f t="shared" si="354"/>
        <v>0</v>
      </c>
      <c r="S82" s="97">
        <f t="shared" ref="S82:T82" si="355">I82-M82</f>
        <v>0</v>
      </c>
      <c r="T82" s="97">
        <f t="shared" si="355"/>
        <v>0</v>
      </c>
      <c r="U82" s="97">
        <f t="shared" si="349"/>
        <v>0</v>
      </c>
      <c r="V82" s="98" t="e">
        <f t="shared" ref="V82:W82" si="356">M82/I82</f>
        <v>#DIV/0!</v>
      </c>
      <c r="W82" s="98" t="e">
        <f t="shared" si="356"/>
        <v>#DIV/0!</v>
      </c>
      <c r="X82" s="98" t="e">
        <f t="shared" si="263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51"/>
        <v>0</v>
      </c>
      <c r="H83" s="94">
        <f t="shared" si="352"/>
        <v>0</v>
      </c>
      <c r="I83" s="142"/>
      <c r="J83" s="96"/>
      <c r="K83" s="96"/>
      <c r="L83" s="95"/>
      <c r="M83" s="97">
        <f t="shared" ref="M83:O83" si="357">Y83+AB83+AE83+AH83+AK83+AN83+AQ83+AT83+AW83+AZ83+BC83+BF83</f>
        <v>0</v>
      </c>
      <c r="N83" s="97">
        <f t="shared" si="357"/>
        <v>0</v>
      </c>
      <c r="O83" s="97">
        <f t="shared" si="357"/>
        <v>0</v>
      </c>
      <c r="P83" s="82">
        <f t="shared" si="307"/>
        <v>0</v>
      </c>
      <c r="Q83" s="82">
        <f t="shared" ref="Q83:R83" si="358">IF(BJ83=0,SUM(Z83+AC83+AF83+AI83+AL83+AO83+AR83+AU83+AX83+BA83+BD83+BG83),BJ83)</f>
        <v>0</v>
      </c>
      <c r="R83" s="82">
        <f t="shared" si="358"/>
        <v>0</v>
      </c>
      <c r="S83" s="97">
        <f t="shared" ref="S83:T83" si="359">I83-M83</f>
        <v>0</v>
      </c>
      <c r="T83" s="97">
        <f t="shared" si="359"/>
        <v>0</v>
      </c>
      <c r="U83" s="97">
        <f t="shared" si="349"/>
        <v>0</v>
      </c>
      <c r="V83" s="98" t="e">
        <f t="shared" ref="V83:W83" si="360">M83/I83</f>
        <v>#DIV/0!</v>
      </c>
      <c r="W83" s="98" t="e">
        <f t="shared" si="360"/>
        <v>#DIV/0!</v>
      </c>
      <c r="X83" s="98" t="e">
        <f t="shared" si="263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51"/>
        <v>0</v>
      </c>
      <c r="H84" s="192">
        <f t="shared" si="352"/>
        <v>0</v>
      </c>
      <c r="I84" s="154">
        <f t="shared" ref="I84:K84" si="361">SUM(I85:I88)</f>
        <v>0</v>
      </c>
      <c r="J84" s="154">
        <f t="shared" si="361"/>
        <v>73937.67</v>
      </c>
      <c r="K84" s="154">
        <f t="shared" si="361"/>
        <v>0</v>
      </c>
      <c r="L84" s="154">
        <f t="shared" ref="L84:O84" si="362">SUM(L85:L87)</f>
        <v>0</v>
      </c>
      <c r="M84" s="154">
        <f t="shared" si="362"/>
        <v>0</v>
      </c>
      <c r="N84" s="154">
        <f t="shared" si="362"/>
        <v>4271.3999999999996</v>
      </c>
      <c r="O84" s="154">
        <f t="shared" si="362"/>
        <v>0</v>
      </c>
      <c r="P84" s="81">
        <f t="shared" si="307"/>
        <v>0</v>
      </c>
      <c r="Q84" s="81">
        <f t="shared" ref="Q84:R84" si="363">IF(BJ84=0,SUM(Z84+AC84+AF84+AI84+AL84+AO84+AR84+AU84+AX84+BA84+BD84+BG84),BJ84)</f>
        <v>4271.3999999999996</v>
      </c>
      <c r="R84" s="81">
        <f t="shared" si="363"/>
        <v>0</v>
      </c>
      <c r="S84" s="154">
        <f t="shared" ref="S84:T84" si="364">SUM(S85:S88)</f>
        <v>0</v>
      </c>
      <c r="T84" s="154">
        <f t="shared" si="364"/>
        <v>69666.27</v>
      </c>
      <c r="U84" s="154">
        <f>SUM(U85:U87)</f>
        <v>0</v>
      </c>
      <c r="V84" s="193" t="e">
        <f t="shared" ref="V84:W84" si="365">M84/I84</f>
        <v>#DIV/0!</v>
      </c>
      <c r="W84" s="193">
        <f t="shared" si="365"/>
        <v>5.7770281373486609E-2</v>
      </c>
      <c r="X84" s="193" t="e">
        <f t="shared" si="263"/>
        <v>#DIV/0!</v>
      </c>
      <c r="Y84" s="154">
        <f t="shared" ref="Y84:BK84" si="366">SUM(Y85:Y87)</f>
        <v>0</v>
      </c>
      <c r="Z84" s="154">
        <f t="shared" si="366"/>
        <v>4271.3999999999996</v>
      </c>
      <c r="AA84" s="154">
        <f t="shared" si="366"/>
        <v>0</v>
      </c>
      <c r="AB84" s="154">
        <f t="shared" si="366"/>
        <v>0</v>
      </c>
      <c r="AC84" s="154">
        <f t="shared" si="366"/>
        <v>0</v>
      </c>
      <c r="AD84" s="154">
        <f t="shared" si="366"/>
        <v>0</v>
      </c>
      <c r="AE84" s="154">
        <f t="shared" si="366"/>
        <v>0</v>
      </c>
      <c r="AF84" s="154">
        <f t="shared" si="366"/>
        <v>0</v>
      </c>
      <c r="AG84" s="154">
        <f t="shared" si="366"/>
        <v>0</v>
      </c>
      <c r="AH84" s="154">
        <f t="shared" si="366"/>
        <v>0</v>
      </c>
      <c r="AI84" s="154">
        <f t="shared" si="366"/>
        <v>0</v>
      </c>
      <c r="AJ84" s="154">
        <f t="shared" si="366"/>
        <v>0</v>
      </c>
      <c r="AK84" s="154">
        <f t="shared" si="366"/>
        <v>0</v>
      </c>
      <c r="AL84" s="154">
        <f t="shared" si="366"/>
        <v>0</v>
      </c>
      <c r="AM84" s="154">
        <f t="shared" si="366"/>
        <v>0</v>
      </c>
      <c r="AN84" s="154">
        <f t="shared" si="366"/>
        <v>0</v>
      </c>
      <c r="AO84" s="154">
        <f t="shared" si="366"/>
        <v>0</v>
      </c>
      <c r="AP84" s="154">
        <f t="shared" si="366"/>
        <v>0</v>
      </c>
      <c r="AQ84" s="154">
        <f t="shared" si="366"/>
        <v>0</v>
      </c>
      <c r="AR84" s="154">
        <f t="shared" si="366"/>
        <v>0</v>
      </c>
      <c r="AS84" s="154">
        <f t="shared" si="366"/>
        <v>0</v>
      </c>
      <c r="AT84" s="154">
        <f t="shared" si="366"/>
        <v>0</v>
      </c>
      <c r="AU84" s="154">
        <f t="shared" si="366"/>
        <v>0</v>
      </c>
      <c r="AV84" s="154">
        <f t="shared" si="366"/>
        <v>0</v>
      </c>
      <c r="AW84" s="154">
        <f t="shared" si="366"/>
        <v>0</v>
      </c>
      <c r="AX84" s="154">
        <f t="shared" si="366"/>
        <v>0</v>
      </c>
      <c r="AY84" s="154">
        <f t="shared" si="366"/>
        <v>0</v>
      </c>
      <c r="AZ84" s="154">
        <f t="shared" si="366"/>
        <v>0</v>
      </c>
      <c r="BA84" s="154">
        <f t="shared" si="366"/>
        <v>0</v>
      </c>
      <c r="BB84" s="154">
        <f t="shared" si="366"/>
        <v>0</v>
      </c>
      <c r="BC84" s="154">
        <f t="shared" si="366"/>
        <v>0</v>
      </c>
      <c r="BD84" s="154">
        <f t="shared" si="366"/>
        <v>0</v>
      </c>
      <c r="BE84" s="154">
        <f t="shared" si="366"/>
        <v>0</v>
      </c>
      <c r="BF84" s="154">
        <f t="shared" si="366"/>
        <v>0</v>
      </c>
      <c r="BG84" s="154">
        <f t="shared" si="366"/>
        <v>0</v>
      </c>
      <c r="BH84" s="154">
        <f t="shared" si="366"/>
        <v>0</v>
      </c>
      <c r="BI84" s="154">
        <f t="shared" si="366"/>
        <v>0</v>
      </c>
      <c r="BJ84" s="154">
        <f t="shared" si="366"/>
        <v>0</v>
      </c>
      <c r="BK84" s="154">
        <f t="shared" si="366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51"/>
        <v>0</v>
      </c>
      <c r="H85" s="94">
        <f t="shared" si="352"/>
        <v>0</v>
      </c>
      <c r="I85" s="142"/>
      <c r="J85" s="96"/>
      <c r="K85" s="96"/>
      <c r="L85" s="95"/>
      <c r="M85" s="97">
        <f t="shared" ref="M85:O85" si="367">Y85+AB85+AE85+AH85+AK85+AN85+AQ85+AT85+AW85+AZ85+BC85+BF85</f>
        <v>0</v>
      </c>
      <c r="N85" s="97">
        <f t="shared" si="367"/>
        <v>0</v>
      </c>
      <c r="O85" s="97">
        <f t="shared" si="367"/>
        <v>0</v>
      </c>
      <c r="P85" s="82">
        <f t="shared" si="307"/>
        <v>0</v>
      </c>
      <c r="Q85" s="82">
        <f t="shared" ref="Q85:R85" si="368">IF(BJ85=0,SUM(Z85+AC85+AF85+AI85+AL85+AO85+AR85+AU85+AX85+BA85+BD85+BG85),BJ85)</f>
        <v>0</v>
      </c>
      <c r="R85" s="82">
        <f t="shared" si="368"/>
        <v>0</v>
      </c>
      <c r="S85" s="97">
        <f t="shared" ref="S85:T85" si="369">I85-M85</f>
        <v>0</v>
      </c>
      <c r="T85" s="97">
        <f t="shared" si="369"/>
        <v>0</v>
      </c>
      <c r="U85" s="97">
        <f t="shared" ref="U85:U88" si="370">L85-O85</f>
        <v>0</v>
      </c>
      <c r="V85" s="98" t="e">
        <f t="shared" ref="V85:W85" si="371">M85/I85</f>
        <v>#DIV/0!</v>
      </c>
      <c r="W85" s="98" t="e">
        <f t="shared" si="371"/>
        <v>#DIV/0!</v>
      </c>
      <c r="X85" s="98" t="e">
        <f t="shared" si="263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51"/>
        <v>0</v>
      </c>
      <c r="H86" s="94">
        <f t="shared" si="352"/>
        <v>0</v>
      </c>
      <c r="I86" s="95"/>
      <c r="J86" s="119"/>
      <c r="K86" s="119"/>
      <c r="L86" s="95"/>
      <c r="M86" s="97">
        <f t="shared" ref="M86:O86" si="372">Y86+AB86+AE86+AH86+AK86+AN86+AQ86+AT86+AW86+AZ86+BC86+BF86</f>
        <v>0</v>
      </c>
      <c r="N86" s="97">
        <f t="shared" si="372"/>
        <v>0</v>
      </c>
      <c r="O86" s="97">
        <f t="shared" si="372"/>
        <v>0</v>
      </c>
      <c r="P86" s="82">
        <f t="shared" si="307"/>
        <v>0</v>
      </c>
      <c r="Q86" s="82">
        <f t="shared" ref="Q86:R86" si="373">IF(BJ86=0,SUM(Z86+AC86+AF86+AI86+AL86+AO86+AR86+AU86+AX86+BA86+BD86+BG86),BJ86)</f>
        <v>0</v>
      </c>
      <c r="R86" s="82">
        <f t="shared" si="373"/>
        <v>0</v>
      </c>
      <c r="S86" s="97">
        <f t="shared" ref="S86:T86" si="374">I86-M86</f>
        <v>0</v>
      </c>
      <c r="T86" s="97">
        <f t="shared" si="374"/>
        <v>0</v>
      </c>
      <c r="U86" s="97">
        <f t="shared" si="370"/>
        <v>0</v>
      </c>
      <c r="V86" s="98" t="e">
        <f t="shared" ref="V86:W86" si="375">M86/I86</f>
        <v>#DIV/0!</v>
      </c>
      <c r="W86" s="98" t="e">
        <f t="shared" si="375"/>
        <v>#DIV/0!</v>
      </c>
      <c r="X86" s="98" t="e">
        <f t="shared" si="263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51"/>
        <v>0</v>
      </c>
      <c r="H87" s="94">
        <f t="shared" si="352"/>
        <v>0</v>
      </c>
      <c r="I87" s="96"/>
      <c r="J87" s="117">
        <v>73937.67</v>
      </c>
      <c r="K87" s="117"/>
      <c r="L87" s="95"/>
      <c r="M87" s="97">
        <f t="shared" ref="M87:O87" si="376">Y87+AB87+AE87+AH87+AK87+AN87+AQ87+AT87+AW87+AZ87+BC87+BF87</f>
        <v>0</v>
      </c>
      <c r="N87" s="97">
        <f t="shared" si="376"/>
        <v>4271.3999999999996</v>
      </c>
      <c r="O87" s="97">
        <f t="shared" si="376"/>
        <v>0</v>
      </c>
      <c r="P87" s="82">
        <f t="shared" si="307"/>
        <v>0</v>
      </c>
      <c r="Q87" s="82">
        <f t="shared" ref="Q87:R87" si="377">IF(BJ87=0,SUM(Z87+AC87+AF87+AI87+AL87+AO87+AR87+AU87+AX87+BA87+BD87+BG87),BJ87)</f>
        <v>4271.3999999999996</v>
      </c>
      <c r="R87" s="82">
        <f t="shared" si="377"/>
        <v>0</v>
      </c>
      <c r="S87" s="97">
        <f t="shared" ref="S87:T87" si="378">I87-M87</f>
        <v>0</v>
      </c>
      <c r="T87" s="97">
        <f t="shared" si="378"/>
        <v>69666.27</v>
      </c>
      <c r="U87" s="97">
        <f t="shared" si="370"/>
        <v>0</v>
      </c>
      <c r="V87" s="98" t="e">
        <f t="shared" ref="V87:W87" si="379">M87/I87</f>
        <v>#DIV/0!</v>
      </c>
      <c r="W87" s="98">
        <f t="shared" si="379"/>
        <v>5.7770281373486609E-2</v>
      </c>
      <c r="X87" s="98" t="e">
        <f t="shared" si="263"/>
        <v>#DIV/0!</v>
      </c>
      <c r="Y87" s="96"/>
      <c r="Z87" s="96">
        <f>363.4+2000+900+1008</f>
        <v>4271.3999999999996</v>
      </c>
      <c r="AA87" s="96"/>
      <c r="AB87" s="96"/>
      <c r="AC87" s="103">
        <v>0</v>
      </c>
      <c r="AD87" s="96"/>
      <c r="AE87" s="96"/>
      <c r="AF87" s="103">
        <v>0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51"/>
        <v>0</v>
      </c>
      <c r="H88" s="94">
        <f t="shared" si="352"/>
        <v>0</v>
      </c>
      <c r="I88" s="126"/>
      <c r="J88" s="126"/>
      <c r="K88" s="117"/>
      <c r="L88" s="95"/>
      <c r="M88" s="196">
        <f t="shared" ref="M88:N88" si="380">Y88+AE88+AH88+AK88+AN88+AQ88+AT88+AW88+AZ88+BC88+BF88</f>
        <v>0</v>
      </c>
      <c r="N88" s="97">
        <f t="shared" si="380"/>
        <v>0</v>
      </c>
      <c r="O88" s="97">
        <f>AA88+AD88+AG88+AJ88+AM88+AP88+AS88+AV88+AY88+BB88+BE88+BH88</f>
        <v>0</v>
      </c>
      <c r="P88" s="82">
        <f t="shared" ref="P88:Q88" si="381">IF(BI88=0,SUM(Y88+AE88+AH88+AK88+AN88+AQ88+AT88+AW88+AZ88+BC88+BF88),BI88)</f>
        <v>0</v>
      </c>
      <c r="Q88" s="82">
        <f t="shared" si="381"/>
        <v>0</v>
      </c>
      <c r="R88" s="82">
        <f>IF(BK88=0,SUM(AA88+AD88+AG88+AJ88+AM88+AP88+AS88+AV88+AY88+BB88+BE88+BH88),BK88)</f>
        <v>0</v>
      </c>
      <c r="S88" s="97">
        <f t="shared" ref="S88:T88" si="382">I88-M88</f>
        <v>0</v>
      </c>
      <c r="T88" s="97">
        <f t="shared" si="382"/>
        <v>0</v>
      </c>
      <c r="U88" s="97">
        <f t="shared" si="370"/>
        <v>0</v>
      </c>
      <c r="V88" s="98" t="e">
        <f t="shared" ref="V88:W88" si="383">M88/I39</f>
        <v>#DIV/0!</v>
      </c>
      <c r="W88" s="98">
        <f t="shared" si="383"/>
        <v>0</v>
      </c>
      <c r="X88" s="98" t="e">
        <f t="shared" si="263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84">SUM(E90:E95)</f>
        <v>69491.34</v>
      </c>
      <c r="F89" s="154">
        <f t="shared" si="384"/>
        <v>21041.95</v>
      </c>
      <c r="G89" s="192">
        <f t="shared" si="351"/>
        <v>0</v>
      </c>
      <c r="H89" s="192">
        <f t="shared" si="352"/>
        <v>0</v>
      </c>
      <c r="I89" s="154">
        <f t="shared" ref="I89:O89" si="385">SUM(I91:I95)</f>
        <v>0</v>
      </c>
      <c r="J89" s="154">
        <f t="shared" si="385"/>
        <v>0</v>
      </c>
      <c r="K89" s="154">
        <f t="shared" si="385"/>
        <v>0</v>
      </c>
      <c r="L89" s="154">
        <f t="shared" si="385"/>
        <v>0</v>
      </c>
      <c r="M89" s="154">
        <f t="shared" si="385"/>
        <v>0</v>
      </c>
      <c r="N89" s="154">
        <f t="shared" si="385"/>
        <v>0</v>
      </c>
      <c r="O89" s="154">
        <f t="shared" si="385"/>
        <v>0</v>
      </c>
      <c r="P89" s="81">
        <f t="shared" ref="P89:R89" si="386">IF(BI89=0,SUM(Y89+AB89+AE89+AH89+AK89+AN89+AQ89+AT89+AW89+AZ89+BC89+BF89),BI89)</f>
        <v>0</v>
      </c>
      <c r="Q89" s="81">
        <f t="shared" si="386"/>
        <v>0</v>
      </c>
      <c r="R89" s="81">
        <f t="shared" si="386"/>
        <v>0</v>
      </c>
      <c r="S89" s="154">
        <f t="shared" ref="S89:U89" si="387">SUM(S91:S95)</f>
        <v>0</v>
      </c>
      <c r="T89" s="154">
        <f t="shared" si="387"/>
        <v>0</v>
      </c>
      <c r="U89" s="154">
        <f t="shared" si="387"/>
        <v>0</v>
      </c>
      <c r="V89" s="193" t="e">
        <f t="shared" ref="V89:W89" si="388">M89/I89</f>
        <v>#DIV/0!</v>
      </c>
      <c r="W89" s="193" t="e">
        <f t="shared" si="388"/>
        <v>#DIV/0!</v>
      </c>
      <c r="X89" s="193" t="e">
        <f t="shared" si="263"/>
        <v>#DIV/0!</v>
      </c>
      <c r="Y89" s="154">
        <f t="shared" ref="Y89:BK89" si="389">SUM(Y91:Y95)</f>
        <v>0</v>
      </c>
      <c r="Z89" s="154">
        <f t="shared" si="389"/>
        <v>0</v>
      </c>
      <c r="AA89" s="154">
        <f t="shared" si="389"/>
        <v>0</v>
      </c>
      <c r="AB89" s="154">
        <f t="shared" si="389"/>
        <v>0</v>
      </c>
      <c r="AC89" s="154">
        <f t="shared" si="389"/>
        <v>0</v>
      </c>
      <c r="AD89" s="154">
        <f t="shared" si="389"/>
        <v>0</v>
      </c>
      <c r="AE89" s="154">
        <f t="shared" si="389"/>
        <v>0</v>
      </c>
      <c r="AF89" s="154">
        <f t="shared" si="389"/>
        <v>0</v>
      </c>
      <c r="AG89" s="154">
        <f t="shared" si="389"/>
        <v>0</v>
      </c>
      <c r="AH89" s="154">
        <f t="shared" si="389"/>
        <v>0</v>
      </c>
      <c r="AI89" s="154">
        <f t="shared" si="389"/>
        <v>0</v>
      </c>
      <c r="AJ89" s="154">
        <f t="shared" si="389"/>
        <v>0</v>
      </c>
      <c r="AK89" s="154">
        <f t="shared" si="389"/>
        <v>0</v>
      </c>
      <c r="AL89" s="154">
        <f t="shared" si="389"/>
        <v>0</v>
      </c>
      <c r="AM89" s="154">
        <f t="shared" si="389"/>
        <v>0</v>
      </c>
      <c r="AN89" s="154">
        <f t="shared" si="389"/>
        <v>0</v>
      </c>
      <c r="AO89" s="154">
        <f t="shared" si="389"/>
        <v>0</v>
      </c>
      <c r="AP89" s="154">
        <f t="shared" si="389"/>
        <v>0</v>
      </c>
      <c r="AQ89" s="154">
        <f t="shared" si="389"/>
        <v>0</v>
      </c>
      <c r="AR89" s="154">
        <f t="shared" si="389"/>
        <v>0</v>
      </c>
      <c r="AS89" s="154">
        <f t="shared" si="389"/>
        <v>0</v>
      </c>
      <c r="AT89" s="154">
        <f t="shared" si="389"/>
        <v>0</v>
      </c>
      <c r="AU89" s="154">
        <f t="shared" si="389"/>
        <v>0</v>
      </c>
      <c r="AV89" s="154">
        <f t="shared" si="389"/>
        <v>0</v>
      </c>
      <c r="AW89" s="154">
        <f t="shared" si="389"/>
        <v>0</v>
      </c>
      <c r="AX89" s="154">
        <f t="shared" si="389"/>
        <v>0</v>
      </c>
      <c r="AY89" s="154">
        <f t="shared" si="389"/>
        <v>0</v>
      </c>
      <c r="AZ89" s="154">
        <f t="shared" si="389"/>
        <v>0</v>
      </c>
      <c r="BA89" s="154">
        <f t="shared" si="389"/>
        <v>0</v>
      </c>
      <c r="BB89" s="154">
        <f t="shared" si="389"/>
        <v>0</v>
      </c>
      <c r="BC89" s="154">
        <f t="shared" si="389"/>
        <v>0</v>
      </c>
      <c r="BD89" s="154">
        <f t="shared" si="389"/>
        <v>0</v>
      </c>
      <c r="BE89" s="154">
        <f t="shared" si="389"/>
        <v>0</v>
      </c>
      <c r="BF89" s="154">
        <f t="shared" si="389"/>
        <v>0</v>
      </c>
      <c r="BG89" s="154">
        <f t="shared" si="389"/>
        <v>0</v>
      </c>
      <c r="BH89" s="154">
        <f t="shared" si="389"/>
        <v>0</v>
      </c>
      <c r="BI89" s="154">
        <f t="shared" si="389"/>
        <v>0</v>
      </c>
      <c r="BJ89" s="154">
        <f t="shared" si="389"/>
        <v>0</v>
      </c>
      <c r="BK89" s="154">
        <f t="shared" si="389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>
        <f>AA90+AD90+AG90+AJ90+AM90+AP90+AS90+AV90+AY90+BB90+BE90+BH90</f>
        <v>0</v>
      </c>
      <c r="P90" s="82">
        <f t="shared" ref="P90:Q90" si="390">IF(BI90=0,SUM(Y90+AB90+AE90+AH90+AK90+AN90+AQ90+AT90+AW90+AZ90+BC90+BF90),BI90)</f>
        <v>0</v>
      </c>
      <c r="Q90" s="82">
        <f t="shared" si="390"/>
        <v>0</v>
      </c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197"/>
      <c r="B91" s="197"/>
      <c r="C91" s="198" t="s">
        <v>165</v>
      </c>
      <c r="D91" s="199" t="s">
        <v>329</v>
      </c>
      <c r="E91" s="200">
        <v>10000</v>
      </c>
      <c r="F91" s="172"/>
      <c r="G91" s="94">
        <f>I91/E91</f>
        <v>0</v>
      </c>
      <c r="H91" s="94">
        <f>M91/E91</f>
        <v>0</v>
      </c>
      <c r="I91" s="174"/>
      <c r="J91" s="174"/>
      <c r="K91" s="174"/>
      <c r="L91" s="174"/>
      <c r="M91" s="175">
        <f t="shared" ref="M91:O91" si="391">Y91+AB91+AE91+AH91+AK91+AN91+AQ91+AT91+AW91+AZ91+BC91+BF91</f>
        <v>0</v>
      </c>
      <c r="N91" s="175">
        <f t="shared" si="391"/>
        <v>0</v>
      </c>
      <c r="O91" s="175">
        <f t="shared" si="391"/>
        <v>0</v>
      </c>
      <c r="P91" s="82">
        <f t="shared" ref="P91:R91" si="392">IF(BI91=0,SUM(Y91+AB91+AE91+AH91+AK91+AN91+AQ91+AT91+AW91+AZ91+BC91+BF91),BI91)</f>
        <v>0</v>
      </c>
      <c r="Q91" s="82">
        <f t="shared" si="392"/>
        <v>0</v>
      </c>
      <c r="R91" s="82">
        <f t="shared" si="392"/>
        <v>0</v>
      </c>
      <c r="S91" s="175">
        <f t="shared" ref="S91:T91" si="393">I91-M91</f>
        <v>0</v>
      </c>
      <c r="T91" s="175">
        <f t="shared" si="393"/>
        <v>0</v>
      </c>
      <c r="U91" s="175">
        <f>L91-O91</f>
        <v>0</v>
      </c>
      <c r="V91" s="176" t="e">
        <f t="shared" ref="V91:W91" si="394">M91/I91</f>
        <v>#DIV/0!</v>
      </c>
      <c r="W91" s="176" t="e">
        <f t="shared" si="394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175">
        <f t="shared" ref="O92:O93" si="395">AA92+AD92+AG92+AJ92+AM92+AP92+AS92+AV92+AY92+BB92+BE92+BH92</f>
        <v>0</v>
      </c>
      <c r="P92" s="82">
        <f t="shared" ref="P92:R92" si="396">IF(BI92=0,SUM(Y92+AB92+AE92+AH92+AK92+AN92+AQ92+AT92+AW92+AZ92+BC92+BF92),BI92)</f>
        <v>0</v>
      </c>
      <c r="Q92" s="82">
        <f t="shared" si="396"/>
        <v>0</v>
      </c>
      <c r="R92" s="82">
        <f t="shared" si="396"/>
        <v>0</v>
      </c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136"/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/>
      <c r="J93" s="203"/>
      <c r="K93" s="203"/>
      <c r="L93" s="204"/>
      <c r="M93" s="97"/>
      <c r="N93" s="97"/>
      <c r="O93" s="175">
        <f t="shared" si="395"/>
        <v>0</v>
      </c>
      <c r="P93" s="82">
        <f t="shared" ref="P93:R93" si="397">IF(BI93=0,SUM(Y93+AB93+AE93+AH93+AK93+AN93+AQ93+AT93+AW93+AZ93+BC93+BF93),BI93)</f>
        <v>0</v>
      </c>
      <c r="Q93" s="82">
        <f t="shared" si="397"/>
        <v>0</v>
      </c>
      <c r="R93" s="82">
        <f t="shared" si="397"/>
        <v>0</v>
      </c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98">I94/E94</f>
        <v>#DIV/0!</v>
      </c>
      <c r="H94" s="94" t="e">
        <f t="shared" ref="H94:H116" si="399">M94/E94</f>
        <v>#DIV/0!</v>
      </c>
      <c r="I94" s="96"/>
      <c r="J94" s="96"/>
      <c r="K94" s="96"/>
      <c r="L94" s="96"/>
      <c r="M94" s="97">
        <f t="shared" ref="M94:O94" si="400">Y94+AB94+AE94+AH94+AK94+AN94+AQ94+AT94+AW94+AZ94+BC94+BF94</f>
        <v>0</v>
      </c>
      <c r="N94" s="97">
        <f t="shared" si="400"/>
        <v>0</v>
      </c>
      <c r="O94" s="175">
        <f t="shared" si="400"/>
        <v>0</v>
      </c>
      <c r="P94" s="82">
        <f t="shared" ref="P94:R94" si="401">IF(BI94=0,SUM(Y94+AB94+AE94+AH94+AK94+AN94+AQ94+AT94+AW94+AZ94+BC94+BF94),BI94)</f>
        <v>0</v>
      </c>
      <c r="Q94" s="82">
        <f t="shared" si="401"/>
        <v>0</v>
      </c>
      <c r="R94" s="82">
        <f t="shared" si="401"/>
        <v>0</v>
      </c>
      <c r="S94" s="97">
        <f t="shared" ref="S94:T94" si="402">I94-M94</f>
        <v>0</v>
      </c>
      <c r="T94" s="97">
        <f t="shared" si="402"/>
        <v>0</v>
      </c>
      <c r="U94" s="97">
        <f t="shared" ref="U94:U95" si="403">L94-O94</f>
        <v>0</v>
      </c>
      <c r="V94" s="98" t="e">
        <f t="shared" ref="V94:W94" si="404">M94/I94</f>
        <v>#DIV/0!</v>
      </c>
      <c r="W94" s="98" t="e">
        <f t="shared" si="404"/>
        <v>#DIV/0!</v>
      </c>
      <c r="X94" s="98" t="e">
        <f t="shared" ref="X94:X102" si="40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98"/>
        <v>#DIV/0!</v>
      </c>
      <c r="H95" s="94" t="e">
        <f t="shared" si="399"/>
        <v>#DIV/0!</v>
      </c>
      <c r="I95" s="96"/>
      <c r="J95" s="96"/>
      <c r="K95" s="96"/>
      <c r="L95" s="96"/>
      <c r="M95" s="97">
        <f t="shared" ref="M95:O95" si="406">Y95+AB95+AE95+AH95+AK95+AN95+AQ95+AT95+AW95+AZ95+BC95+BF95</f>
        <v>0</v>
      </c>
      <c r="N95" s="97">
        <f t="shared" si="406"/>
        <v>0</v>
      </c>
      <c r="O95" s="97">
        <f t="shared" si="406"/>
        <v>0</v>
      </c>
      <c r="P95" s="82">
        <f t="shared" ref="P95:R95" si="407">IF(BI95=0,SUM(Y95+AB95+AE95+AH95+AK95+AN95+AQ95+AT95+AW95+AZ95+BC95+BF95),BI95)</f>
        <v>0</v>
      </c>
      <c r="Q95" s="82">
        <f t="shared" si="407"/>
        <v>0</v>
      </c>
      <c r="R95" s="82">
        <f t="shared" si="407"/>
        <v>0</v>
      </c>
      <c r="S95" s="97">
        <f t="shared" ref="S95:T95" si="408">I95-M95</f>
        <v>0</v>
      </c>
      <c r="T95" s="97">
        <f t="shared" si="408"/>
        <v>0</v>
      </c>
      <c r="U95" s="97">
        <f t="shared" si="403"/>
        <v>0</v>
      </c>
      <c r="V95" s="98" t="e">
        <f t="shared" ref="V95:W95" si="409">M95/I95</f>
        <v>#DIV/0!</v>
      </c>
      <c r="W95" s="98" t="e">
        <f t="shared" si="409"/>
        <v>#DIV/0!</v>
      </c>
      <c r="X95" s="98" t="e">
        <f t="shared" si="40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410">E97+E114+E119+E145+E150+E154</f>
        <v>273274.02</v>
      </c>
      <c r="F96" s="87">
        <f t="shared" si="410"/>
        <v>1183964.47</v>
      </c>
      <c r="G96" s="107">
        <f t="shared" si="398"/>
        <v>0</v>
      </c>
      <c r="H96" s="107">
        <f t="shared" si="399"/>
        <v>0</v>
      </c>
      <c r="I96" s="87">
        <f t="shared" ref="I96:O96" si="411">I97+I114+I119+I145+I150+I154</f>
        <v>0</v>
      </c>
      <c r="J96" s="87">
        <f t="shared" si="411"/>
        <v>751131.49</v>
      </c>
      <c r="K96" s="87">
        <f t="shared" si="411"/>
        <v>0</v>
      </c>
      <c r="L96" s="87">
        <f t="shared" si="411"/>
        <v>0</v>
      </c>
      <c r="M96" s="87">
        <f t="shared" si="411"/>
        <v>0</v>
      </c>
      <c r="N96" s="87">
        <f t="shared" si="411"/>
        <v>52560</v>
      </c>
      <c r="O96" s="87">
        <f t="shared" si="411"/>
        <v>0</v>
      </c>
      <c r="P96" s="87">
        <f t="shared" ref="P96:R96" si="412">IF(BI96=0,SUM(Y96+AB96+AE96+AH96+AK96+AN96+AQ96+AT96+AW96+AZ96+BC96+BF96),BI96)</f>
        <v>0</v>
      </c>
      <c r="Q96" s="87">
        <f t="shared" si="412"/>
        <v>53060</v>
      </c>
      <c r="R96" s="87">
        <f t="shared" si="412"/>
        <v>0</v>
      </c>
      <c r="S96" s="87">
        <f t="shared" ref="S96:U96" si="413">S97+S114+S119+S145+S150+S154</f>
        <v>0</v>
      </c>
      <c r="T96" s="87">
        <f t="shared" si="413"/>
        <v>241063.8</v>
      </c>
      <c r="U96" s="87">
        <f t="shared" si="413"/>
        <v>0</v>
      </c>
      <c r="V96" s="88" t="e">
        <f t="shared" ref="V96:W96" si="414">M96/I96</f>
        <v>#DIV/0!</v>
      </c>
      <c r="W96" s="88">
        <f t="shared" si="414"/>
        <v>6.9974432838649861E-2</v>
      </c>
      <c r="X96" s="88" t="e">
        <f t="shared" si="405"/>
        <v>#DIV/0!</v>
      </c>
      <c r="Y96" s="87">
        <f t="shared" ref="Y96:BK96" si="415">Y97+Y114+Y119+Y145+Y150+Y154</f>
        <v>0</v>
      </c>
      <c r="Z96" s="87">
        <f t="shared" si="415"/>
        <v>53060</v>
      </c>
      <c r="AA96" s="87">
        <f t="shared" si="415"/>
        <v>0</v>
      </c>
      <c r="AB96" s="87">
        <f t="shared" si="415"/>
        <v>0</v>
      </c>
      <c r="AC96" s="87">
        <f t="shared" si="415"/>
        <v>0</v>
      </c>
      <c r="AD96" s="87">
        <f t="shared" si="415"/>
        <v>0</v>
      </c>
      <c r="AE96" s="87">
        <f t="shared" si="415"/>
        <v>0</v>
      </c>
      <c r="AF96" s="87">
        <f t="shared" si="415"/>
        <v>0</v>
      </c>
      <c r="AG96" s="87">
        <f t="shared" si="415"/>
        <v>0</v>
      </c>
      <c r="AH96" s="87">
        <f t="shared" si="415"/>
        <v>0</v>
      </c>
      <c r="AI96" s="87">
        <f t="shared" si="415"/>
        <v>0</v>
      </c>
      <c r="AJ96" s="87">
        <f t="shared" si="415"/>
        <v>0</v>
      </c>
      <c r="AK96" s="87">
        <f t="shared" si="415"/>
        <v>0</v>
      </c>
      <c r="AL96" s="87">
        <f t="shared" si="415"/>
        <v>0</v>
      </c>
      <c r="AM96" s="87">
        <f t="shared" si="415"/>
        <v>0</v>
      </c>
      <c r="AN96" s="87">
        <f t="shared" si="415"/>
        <v>0</v>
      </c>
      <c r="AO96" s="87">
        <f t="shared" si="415"/>
        <v>0</v>
      </c>
      <c r="AP96" s="87">
        <f t="shared" si="415"/>
        <v>0</v>
      </c>
      <c r="AQ96" s="87">
        <f t="shared" si="415"/>
        <v>0</v>
      </c>
      <c r="AR96" s="87">
        <f t="shared" si="415"/>
        <v>0</v>
      </c>
      <c r="AS96" s="87">
        <f t="shared" si="415"/>
        <v>0</v>
      </c>
      <c r="AT96" s="87">
        <f t="shared" si="415"/>
        <v>0</v>
      </c>
      <c r="AU96" s="87">
        <f t="shared" si="415"/>
        <v>0</v>
      </c>
      <c r="AV96" s="87">
        <f t="shared" si="415"/>
        <v>0</v>
      </c>
      <c r="AW96" s="87">
        <f t="shared" si="415"/>
        <v>0</v>
      </c>
      <c r="AX96" s="87">
        <f t="shared" si="415"/>
        <v>0</v>
      </c>
      <c r="AY96" s="87">
        <f t="shared" si="415"/>
        <v>0</v>
      </c>
      <c r="AZ96" s="87">
        <f t="shared" si="415"/>
        <v>0</v>
      </c>
      <c r="BA96" s="87">
        <f t="shared" si="415"/>
        <v>0</v>
      </c>
      <c r="BB96" s="87">
        <f t="shared" si="415"/>
        <v>0</v>
      </c>
      <c r="BC96" s="87">
        <f t="shared" si="415"/>
        <v>0</v>
      </c>
      <c r="BD96" s="87">
        <f t="shared" si="415"/>
        <v>0</v>
      </c>
      <c r="BE96" s="87">
        <f t="shared" si="415"/>
        <v>0</v>
      </c>
      <c r="BF96" s="87">
        <f t="shared" si="415"/>
        <v>0</v>
      </c>
      <c r="BG96" s="87">
        <f t="shared" si="415"/>
        <v>0</v>
      </c>
      <c r="BH96" s="87">
        <f t="shared" si="415"/>
        <v>0</v>
      </c>
      <c r="BI96" s="87">
        <f t="shared" si="415"/>
        <v>0</v>
      </c>
      <c r="BJ96" s="87">
        <f t="shared" si="415"/>
        <v>0</v>
      </c>
      <c r="BK96" s="87">
        <f t="shared" si="41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416">SUM(E98:E113)</f>
        <v>97800</v>
      </c>
      <c r="F97" s="154">
        <f t="shared" si="416"/>
        <v>10000</v>
      </c>
      <c r="G97" s="192">
        <f t="shared" si="398"/>
        <v>0</v>
      </c>
      <c r="H97" s="192">
        <f t="shared" si="399"/>
        <v>0</v>
      </c>
      <c r="I97" s="154">
        <f t="shared" ref="I97:O97" si="417">SUM(I98:I113)</f>
        <v>0</v>
      </c>
      <c r="J97" s="154">
        <f t="shared" si="417"/>
        <v>75763.899999999994</v>
      </c>
      <c r="K97" s="154">
        <f t="shared" si="417"/>
        <v>0</v>
      </c>
      <c r="L97" s="154">
        <f t="shared" si="417"/>
        <v>0</v>
      </c>
      <c r="M97" s="154">
        <f t="shared" si="417"/>
        <v>0</v>
      </c>
      <c r="N97" s="154">
        <f t="shared" si="417"/>
        <v>52560</v>
      </c>
      <c r="O97" s="154">
        <f t="shared" si="417"/>
        <v>0</v>
      </c>
      <c r="P97" s="81">
        <f t="shared" ref="P97:R97" si="418">IF(BI97=0,SUM(Y97+AB97+AE97+AH97+AK97+AN97+AQ97+AT97+AW97+AZ97+BC97+BF97),BI97)</f>
        <v>0</v>
      </c>
      <c r="Q97" s="81">
        <f t="shared" si="418"/>
        <v>52560</v>
      </c>
      <c r="R97" s="81">
        <f t="shared" si="418"/>
        <v>0</v>
      </c>
      <c r="S97" s="154">
        <f t="shared" ref="S97:U97" si="419">SUM(S98:S113)</f>
        <v>0</v>
      </c>
      <c r="T97" s="154">
        <f t="shared" si="419"/>
        <v>23203.9</v>
      </c>
      <c r="U97" s="154">
        <f t="shared" si="419"/>
        <v>0</v>
      </c>
      <c r="V97" s="193" t="e">
        <f t="shared" ref="V97:W97" si="420">M97/I97</f>
        <v>#DIV/0!</v>
      </c>
      <c r="W97" s="193">
        <f t="shared" si="420"/>
        <v>0.69373408707841078</v>
      </c>
      <c r="X97" s="193" t="e">
        <f t="shared" si="405"/>
        <v>#DIV/0!</v>
      </c>
      <c r="Y97" s="154">
        <f t="shared" ref="Y97:BK97" si="421">SUM(Y98:Y113)</f>
        <v>0</v>
      </c>
      <c r="Z97" s="154">
        <f t="shared" si="421"/>
        <v>52560</v>
      </c>
      <c r="AA97" s="154">
        <f t="shared" si="421"/>
        <v>0</v>
      </c>
      <c r="AB97" s="154">
        <f t="shared" si="421"/>
        <v>0</v>
      </c>
      <c r="AC97" s="154">
        <f t="shared" si="421"/>
        <v>0</v>
      </c>
      <c r="AD97" s="154">
        <f t="shared" si="421"/>
        <v>0</v>
      </c>
      <c r="AE97" s="154">
        <f t="shared" si="421"/>
        <v>0</v>
      </c>
      <c r="AF97" s="154">
        <f t="shared" si="421"/>
        <v>0</v>
      </c>
      <c r="AG97" s="154">
        <f t="shared" si="421"/>
        <v>0</v>
      </c>
      <c r="AH97" s="154">
        <f t="shared" si="421"/>
        <v>0</v>
      </c>
      <c r="AI97" s="154">
        <f t="shared" si="421"/>
        <v>0</v>
      </c>
      <c r="AJ97" s="154">
        <f t="shared" si="421"/>
        <v>0</v>
      </c>
      <c r="AK97" s="154">
        <f t="shared" si="421"/>
        <v>0</v>
      </c>
      <c r="AL97" s="154">
        <f t="shared" si="421"/>
        <v>0</v>
      </c>
      <c r="AM97" s="154">
        <f t="shared" si="421"/>
        <v>0</v>
      </c>
      <c r="AN97" s="154">
        <f t="shared" si="421"/>
        <v>0</v>
      </c>
      <c r="AO97" s="154">
        <f t="shared" si="421"/>
        <v>0</v>
      </c>
      <c r="AP97" s="154">
        <f t="shared" si="421"/>
        <v>0</v>
      </c>
      <c r="AQ97" s="154">
        <f t="shared" si="421"/>
        <v>0</v>
      </c>
      <c r="AR97" s="154">
        <f t="shared" si="421"/>
        <v>0</v>
      </c>
      <c r="AS97" s="154">
        <f t="shared" si="421"/>
        <v>0</v>
      </c>
      <c r="AT97" s="154">
        <f t="shared" si="421"/>
        <v>0</v>
      </c>
      <c r="AU97" s="154">
        <f t="shared" si="421"/>
        <v>0</v>
      </c>
      <c r="AV97" s="154">
        <f t="shared" si="421"/>
        <v>0</v>
      </c>
      <c r="AW97" s="154">
        <f t="shared" si="421"/>
        <v>0</v>
      </c>
      <c r="AX97" s="154">
        <f t="shared" si="421"/>
        <v>0</v>
      </c>
      <c r="AY97" s="154">
        <f t="shared" si="421"/>
        <v>0</v>
      </c>
      <c r="AZ97" s="154">
        <f t="shared" si="421"/>
        <v>0</v>
      </c>
      <c r="BA97" s="154">
        <f t="shared" si="421"/>
        <v>0</v>
      </c>
      <c r="BB97" s="154">
        <f t="shared" si="421"/>
        <v>0</v>
      </c>
      <c r="BC97" s="154">
        <f t="shared" si="421"/>
        <v>0</v>
      </c>
      <c r="BD97" s="154">
        <f t="shared" si="421"/>
        <v>0</v>
      </c>
      <c r="BE97" s="154">
        <f t="shared" si="421"/>
        <v>0</v>
      </c>
      <c r="BF97" s="154">
        <f t="shared" si="421"/>
        <v>0</v>
      </c>
      <c r="BG97" s="154">
        <f t="shared" si="421"/>
        <v>0</v>
      </c>
      <c r="BH97" s="154">
        <f t="shared" si="421"/>
        <v>0</v>
      </c>
      <c r="BI97" s="154">
        <f t="shared" si="421"/>
        <v>0</v>
      </c>
      <c r="BJ97" s="154">
        <f t="shared" si="421"/>
        <v>0</v>
      </c>
      <c r="BK97" s="154">
        <f t="shared" si="421"/>
        <v>0</v>
      </c>
      <c r="BL97" s="157"/>
      <c r="BM97" s="158"/>
      <c r="BN97" s="158"/>
      <c r="BO97" s="158"/>
      <c r="BP97" s="158"/>
    </row>
    <row r="98" spans="1:68" ht="15.75" customHeight="1">
      <c r="A98" s="89"/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98"/>
        <v>0</v>
      </c>
      <c r="H98" s="94">
        <f t="shared" si="399"/>
        <v>0</v>
      </c>
      <c r="I98" s="96"/>
      <c r="J98" s="96"/>
      <c r="K98" s="96"/>
      <c r="L98" s="96"/>
      <c r="M98" s="97">
        <f t="shared" ref="M98:O98" si="422">Y98+AB98+AE98+AH98+AK98+AN98+AQ98+AT98+AW98+AZ98+BC98+BF98</f>
        <v>0</v>
      </c>
      <c r="N98" s="97">
        <f t="shared" si="422"/>
        <v>0</v>
      </c>
      <c r="O98" s="97">
        <f t="shared" si="422"/>
        <v>0</v>
      </c>
      <c r="P98" s="97">
        <f t="shared" ref="P98:R98" si="423">IF(BI98=0,SUM(Y98+AB98+AE98+AH98+AK98+AN98+AQ98+AT98+AW98+AZ98+BC98+BF98),BI98)</f>
        <v>0</v>
      </c>
      <c r="Q98" s="97">
        <f t="shared" si="423"/>
        <v>0</v>
      </c>
      <c r="R98" s="97">
        <f t="shared" si="423"/>
        <v>0</v>
      </c>
      <c r="S98" s="97">
        <f t="shared" ref="S98:T98" si="424">I98-M98</f>
        <v>0</v>
      </c>
      <c r="T98" s="97">
        <f t="shared" si="424"/>
        <v>0</v>
      </c>
      <c r="U98" s="97">
        <f t="shared" ref="U98:U113" si="425">L98-O98</f>
        <v>0</v>
      </c>
      <c r="V98" s="98" t="e">
        <f t="shared" ref="V98:W98" si="426">M98/I98</f>
        <v>#DIV/0!</v>
      </c>
      <c r="W98" s="98" t="e">
        <f t="shared" si="426"/>
        <v>#DIV/0!</v>
      </c>
      <c r="X98" s="98" t="e">
        <f t="shared" si="40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/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98"/>
        <v>0</v>
      </c>
      <c r="H99" s="94">
        <f t="shared" si="399"/>
        <v>0</v>
      </c>
      <c r="I99" s="96"/>
      <c r="J99" s="96"/>
      <c r="K99" s="96"/>
      <c r="L99" s="96"/>
      <c r="M99" s="97">
        <f t="shared" ref="M99:O99" si="427">Y99+AB99+AE99+AH99+AK99+AN99+AQ99+AT99+AW99+AZ99+BC99+BF99</f>
        <v>0</v>
      </c>
      <c r="N99" s="97">
        <f t="shared" si="427"/>
        <v>0</v>
      </c>
      <c r="O99" s="97">
        <f t="shared" si="427"/>
        <v>0</v>
      </c>
      <c r="P99" s="97">
        <f t="shared" ref="P99:R99" si="428">IF(BI99=0,SUM(Y99+AB99+AE99+AH99+AK99+AN99+AQ99+AT99+AW99+AZ99+BC99+BF99),BI99)</f>
        <v>0</v>
      </c>
      <c r="Q99" s="97">
        <f t="shared" si="428"/>
        <v>0</v>
      </c>
      <c r="R99" s="97">
        <f t="shared" si="428"/>
        <v>0</v>
      </c>
      <c r="S99" s="97">
        <f t="shared" ref="S99:T99" si="429">I99-M99</f>
        <v>0</v>
      </c>
      <c r="T99" s="97">
        <f t="shared" si="429"/>
        <v>0</v>
      </c>
      <c r="U99" s="97">
        <f t="shared" si="425"/>
        <v>0</v>
      </c>
      <c r="V99" s="98" t="e">
        <f t="shared" ref="V99:W99" si="430">M99/I99</f>
        <v>#DIV/0!</v>
      </c>
      <c r="W99" s="98" t="e">
        <f t="shared" si="430"/>
        <v>#DIV/0!</v>
      </c>
      <c r="X99" s="98" t="e">
        <f t="shared" si="40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98"/>
        <v>#DIV/0!</v>
      </c>
      <c r="H100" s="94" t="e">
        <f t="shared" si="399"/>
        <v>#DIV/0!</v>
      </c>
      <c r="I100" s="96"/>
      <c r="J100" s="96"/>
      <c r="K100" s="96"/>
      <c r="L100" s="96"/>
      <c r="M100" s="97">
        <f t="shared" ref="M100:O100" si="431">Y100+AB100+AE100+AH100+AK100+AN100+AQ100+AT100+AW100+AZ100+BC100+BF100</f>
        <v>0</v>
      </c>
      <c r="N100" s="97">
        <f t="shared" si="431"/>
        <v>0</v>
      </c>
      <c r="O100" s="97">
        <f t="shared" si="431"/>
        <v>0</v>
      </c>
      <c r="P100" s="97">
        <f t="shared" ref="P100:R100" si="432">IF(BI100=0,SUM(Y100+AB100+AE100+AH100+AK100+AN100+AQ100+AT100+AW100+AZ100+BC100+BF100),BI100)</f>
        <v>0</v>
      </c>
      <c r="Q100" s="97">
        <f t="shared" si="432"/>
        <v>0</v>
      </c>
      <c r="R100" s="97">
        <f t="shared" si="432"/>
        <v>0</v>
      </c>
      <c r="S100" s="97">
        <f t="shared" ref="S100:T100" si="433">I100-M100</f>
        <v>0</v>
      </c>
      <c r="T100" s="97">
        <f t="shared" si="433"/>
        <v>0</v>
      </c>
      <c r="U100" s="97">
        <f t="shared" si="425"/>
        <v>0</v>
      </c>
      <c r="V100" s="98" t="e">
        <f t="shared" ref="V100:W100" si="434">M100/I100</f>
        <v>#DIV/0!</v>
      </c>
      <c r="W100" s="98" t="e">
        <f t="shared" si="434"/>
        <v>#DIV/0!</v>
      </c>
      <c r="X100" s="98" t="e">
        <f t="shared" si="40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337</v>
      </c>
      <c r="E101" s="208"/>
      <c r="F101" s="208"/>
      <c r="G101" s="94" t="e">
        <f t="shared" si="398"/>
        <v>#DIV/0!</v>
      </c>
      <c r="H101" s="94" t="e">
        <f t="shared" si="399"/>
        <v>#DIV/0!</v>
      </c>
      <c r="I101" s="202"/>
      <c r="J101" s="204"/>
      <c r="K101" s="204"/>
      <c r="L101" s="202"/>
      <c r="M101" s="97">
        <f t="shared" ref="M101:O101" si="435">Y101+AB101+AE101+AH101+AK101+AN101+AQ101+AT101+AW101+AZ101+BC101+BF101</f>
        <v>0</v>
      </c>
      <c r="N101" s="97">
        <f t="shared" si="435"/>
        <v>0</v>
      </c>
      <c r="O101" s="97">
        <f t="shared" si="435"/>
        <v>0</v>
      </c>
      <c r="P101" s="97">
        <f t="shared" ref="P101:R101" si="436">IF(BI101=0,SUM(Y101+AB101+AE101+AH101+AK101+AN101+AQ101+AT101+AW101+AZ101+BC101+BF101),BI101)</f>
        <v>0</v>
      </c>
      <c r="Q101" s="97">
        <f t="shared" si="436"/>
        <v>0</v>
      </c>
      <c r="R101" s="97">
        <f t="shared" si="436"/>
        <v>0</v>
      </c>
      <c r="S101" s="97">
        <f t="shared" ref="S101:T101" si="437">I101-M101</f>
        <v>0</v>
      </c>
      <c r="T101" s="97">
        <f t="shared" si="437"/>
        <v>0</v>
      </c>
      <c r="U101" s="97">
        <f t="shared" si="425"/>
        <v>0</v>
      </c>
      <c r="V101" s="98" t="e">
        <f t="shared" ref="V101:W101" si="438">M101/I101</f>
        <v>#DIV/0!</v>
      </c>
      <c r="W101" s="98" t="e">
        <f t="shared" si="438"/>
        <v>#DIV/0!</v>
      </c>
      <c r="X101" s="98" t="e">
        <f t="shared" si="40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338</v>
      </c>
      <c r="E102" s="166"/>
      <c r="F102" s="147"/>
      <c r="G102" s="94" t="e">
        <f t="shared" si="398"/>
        <v>#DIV/0!</v>
      </c>
      <c r="H102" s="94" t="e">
        <f t="shared" si="399"/>
        <v>#DIV/0!</v>
      </c>
      <c r="I102" s="96"/>
      <c r="J102" s="96"/>
      <c r="K102" s="96"/>
      <c r="L102" s="96"/>
      <c r="M102" s="97">
        <f t="shared" ref="M102:O102" si="439">Y102+AB102+AE102+AH102+AK102+AN102+AQ102+AT102+AW102+AZ102+BC102+BF102</f>
        <v>0</v>
      </c>
      <c r="N102" s="97">
        <f t="shared" si="439"/>
        <v>0</v>
      </c>
      <c r="O102" s="97">
        <f t="shared" si="439"/>
        <v>0</v>
      </c>
      <c r="P102" s="97">
        <f t="shared" ref="P102:R102" si="440">IF(BI102=0,SUM(Y102+AB102+AE102+AH102+AK102+AN102+AQ102+AT102+AW102+AZ102+BC102+BF102),BI102)</f>
        <v>0</v>
      </c>
      <c r="Q102" s="97">
        <f t="shared" si="440"/>
        <v>0</v>
      </c>
      <c r="R102" s="97">
        <f t="shared" si="440"/>
        <v>0</v>
      </c>
      <c r="S102" s="97">
        <f t="shared" ref="S102:T102" si="441">I102-M102</f>
        <v>0</v>
      </c>
      <c r="T102" s="97">
        <f t="shared" si="441"/>
        <v>0</v>
      </c>
      <c r="U102" s="97">
        <f t="shared" si="425"/>
        <v>0</v>
      </c>
      <c r="V102" s="98" t="e">
        <f t="shared" ref="V102:W102" si="442">M102/I102</f>
        <v>#DIV/0!</v>
      </c>
      <c r="W102" s="98" t="e">
        <f t="shared" si="442"/>
        <v>#DIV/0!</v>
      </c>
      <c r="X102" s="98" t="e">
        <f t="shared" si="40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98"/>
        <v>0</v>
      </c>
      <c r="H103" s="94">
        <f t="shared" si="399"/>
        <v>0</v>
      </c>
      <c r="I103" s="96"/>
      <c r="J103" s="96"/>
      <c r="K103" s="96"/>
      <c r="L103" s="96"/>
      <c r="M103" s="97">
        <f t="shared" ref="M103:O103" si="443">Y103+AB103+AE103+AH103+AK103+AN103+AQ103+AT103+AW103+AZ103+BC103+BF103</f>
        <v>0</v>
      </c>
      <c r="N103" s="97">
        <f t="shared" si="443"/>
        <v>0</v>
      </c>
      <c r="O103" s="97">
        <f t="shared" si="443"/>
        <v>0</v>
      </c>
      <c r="P103" s="97">
        <f t="shared" ref="P103:R103" si="444">IF(BI103=0,SUM(Y103+AB103+AE103+AH103+AK103+AN103+AQ103+AT103+AW103+AZ103+BC103+BF103),BI103)</f>
        <v>0</v>
      </c>
      <c r="Q103" s="97">
        <f t="shared" si="444"/>
        <v>0</v>
      </c>
      <c r="R103" s="97">
        <f t="shared" si="444"/>
        <v>0</v>
      </c>
      <c r="S103" s="97">
        <f t="shared" ref="S103:T103" si="445">I103-M103</f>
        <v>0</v>
      </c>
      <c r="T103" s="97">
        <f t="shared" si="445"/>
        <v>0</v>
      </c>
      <c r="U103" s="97">
        <f t="shared" si="425"/>
        <v>0</v>
      </c>
      <c r="V103" s="98" t="e">
        <f t="shared" ref="V103:W103" si="446">M103/I103</f>
        <v>#DIV/0!</v>
      </c>
      <c r="W103" s="98" t="e">
        <f t="shared" si="44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98"/>
        <v>#DIV/0!</v>
      </c>
      <c r="H104" s="94" t="e">
        <f t="shared" si="399"/>
        <v>#DIV/0!</v>
      </c>
      <c r="I104" s="96"/>
      <c r="J104" s="96"/>
      <c r="K104" s="96"/>
      <c r="L104" s="96"/>
      <c r="M104" s="97">
        <f t="shared" ref="M104:O104" si="447">Y104+AB104+AE104+AH104+AK104+AN104+AQ104+AT104+AW104+AZ104+BC104+BF104</f>
        <v>0</v>
      </c>
      <c r="N104" s="97">
        <f t="shared" si="447"/>
        <v>0</v>
      </c>
      <c r="O104" s="97">
        <f t="shared" si="447"/>
        <v>0</v>
      </c>
      <c r="P104" s="97">
        <f t="shared" ref="P104:R104" si="448">IF(BI104=0,SUM(Y104+AB104+AE104+AH104+AK104+AN104+AQ104+AT104+AW104+AZ104+BC104+BF104),BI104)</f>
        <v>0</v>
      </c>
      <c r="Q104" s="97">
        <f t="shared" si="448"/>
        <v>0</v>
      </c>
      <c r="R104" s="97">
        <f t="shared" si="448"/>
        <v>0</v>
      </c>
      <c r="S104" s="97">
        <f t="shared" ref="S104:T104" si="449">I104-M104</f>
        <v>0</v>
      </c>
      <c r="T104" s="97">
        <f t="shared" si="449"/>
        <v>0</v>
      </c>
      <c r="U104" s="97">
        <f t="shared" si="425"/>
        <v>0</v>
      </c>
      <c r="V104" s="98" t="e">
        <f t="shared" ref="V104:W104" si="450">M104/I104</f>
        <v>#DIV/0!</v>
      </c>
      <c r="W104" s="98" t="e">
        <f t="shared" si="450"/>
        <v>#DIV/0!</v>
      </c>
      <c r="X104" s="98" t="e">
        <f t="shared" ref="X104:X116" si="45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98"/>
        <v>0</v>
      </c>
      <c r="H105" s="94">
        <f t="shared" si="399"/>
        <v>0</v>
      </c>
      <c r="I105" s="96"/>
      <c r="J105" s="96"/>
      <c r="K105" s="96"/>
      <c r="L105" s="96"/>
      <c r="M105" s="97">
        <f t="shared" ref="M105:O105" si="452">Y105+AB105+AE105+AH105+AK105+AN105+AQ105+AT105+AW105+AZ105+BC105+BF105</f>
        <v>0</v>
      </c>
      <c r="N105" s="97">
        <f t="shared" si="452"/>
        <v>0</v>
      </c>
      <c r="O105" s="97">
        <f t="shared" si="452"/>
        <v>0</v>
      </c>
      <c r="P105" s="97">
        <f t="shared" ref="P105:R105" si="453">IF(BI105=0,SUM(Y105+AB105+AE105+AH105+AK105+AN105+AQ105+AT105+AW105+AZ105+BC105+BF105),BI105)</f>
        <v>0</v>
      </c>
      <c r="Q105" s="97">
        <f t="shared" si="453"/>
        <v>0</v>
      </c>
      <c r="R105" s="97">
        <f t="shared" si="453"/>
        <v>0</v>
      </c>
      <c r="S105" s="97">
        <f t="shared" ref="S105:T105" si="454">I105-M105</f>
        <v>0</v>
      </c>
      <c r="T105" s="97">
        <f t="shared" si="454"/>
        <v>0</v>
      </c>
      <c r="U105" s="97">
        <f t="shared" si="425"/>
        <v>0</v>
      </c>
      <c r="V105" s="98" t="e">
        <f t="shared" ref="V105:W105" si="455">M105/I105</f>
        <v>#DIV/0!</v>
      </c>
      <c r="W105" s="98" t="e">
        <f t="shared" si="455"/>
        <v>#DIV/0!</v>
      </c>
      <c r="X105" s="98" t="e">
        <f t="shared" si="45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98"/>
        <v>0</v>
      </c>
      <c r="H106" s="94">
        <f t="shared" si="399"/>
        <v>0</v>
      </c>
      <c r="I106" s="96"/>
      <c r="J106" s="96"/>
      <c r="K106" s="96"/>
      <c r="L106" s="96"/>
      <c r="M106" s="97">
        <f t="shared" ref="M106:O106" si="456">Y106+AB106+AE106+AH106+AK106+AN106+AQ106+AT106+AW106+AZ106+BC106+BF106</f>
        <v>0</v>
      </c>
      <c r="N106" s="97">
        <f t="shared" si="456"/>
        <v>0</v>
      </c>
      <c r="O106" s="97">
        <f t="shared" si="456"/>
        <v>0</v>
      </c>
      <c r="P106" s="97">
        <f t="shared" ref="P106:R106" si="457">IF(BI106=0,SUM(Y106+AB106+AE106+AH106+AK106+AN106+AQ106+AT106+AW106+AZ106+BC106+BF106),BI106)</f>
        <v>0</v>
      </c>
      <c r="Q106" s="97">
        <f t="shared" si="457"/>
        <v>0</v>
      </c>
      <c r="R106" s="97">
        <f t="shared" si="457"/>
        <v>0</v>
      </c>
      <c r="S106" s="97">
        <f t="shared" ref="S106:S113" si="458">I106-M106</f>
        <v>0</v>
      </c>
      <c r="T106" s="97">
        <f>J106-N106-K106</f>
        <v>0</v>
      </c>
      <c r="U106" s="97">
        <f t="shared" si="425"/>
        <v>0</v>
      </c>
      <c r="V106" s="98" t="e">
        <f t="shared" ref="V106:W106" si="459">M106/I106</f>
        <v>#DIV/0!</v>
      </c>
      <c r="W106" s="98" t="e">
        <f t="shared" si="459"/>
        <v>#DIV/0!</v>
      </c>
      <c r="X106" s="98" t="e">
        <f t="shared" si="45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98"/>
        <v>0</v>
      </c>
      <c r="H107" s="94">
        <f t="shared" si="399"/>
        <v>0</v>
      </c>
      <c r="I107" s="96"/>
      <c r="J107" s="96"/>
      <c r="K107" s="96"/>
      <c r="L107" s="96"/>
      <c r="M107" s="97">
        <f t="shared" ref="M107:O107" si="460">Y107+AB107+AE107+AH107+AK107+AN107+AQ107+AT107+AW107+AZ107+BC107+BF107</f>
        <v>0</v>
      </c>
      <c r="N107" s="97">
        <f t="shared" si="460"/>
        <v>0</v>
      </c>
      <c r="O107" s="97">
        <f t="shared" si="460"/>
        <v>0</v>
      </c>
      <c r="P107" s="97">
        <f t="shared" ref="P107:R107" si="461">IF(BI107=0,SUM(Y107+AB107+AE107+AH107+AK107+AN107+AQ107+AT107+AW107+AZ107+BC107+BF107),BI107)</f>
        <v>0</v>
      </c>
      <c r="Q107" s="97">
        <f t="shared" si="461"/>
        <v>0</v>
      </c>
      <c r="R107" s="97">
        <f t="shared" si="461"/>
        <v>0</v>
      </c>
      <c r="S107" s="97">
        <f t="shared" si="458"/>
        <v>0</v>
      </c>
      <c r="T107" s="97">
        <f t="shared" ref="T107:T113" si="462">J107-N107</f>
        <v>0</v>
      </c>
      <c r="U107" s="97">
        <f t="shared" si="425"/>
        <v>0</v>
      </c>
      <c r="V107" s="98" t="e">
        <f t="shared" ref="V107:W107" si="463">M107/I107</f>
        <v>#DIV/0!</v>
      </c>
      <c r="W107" s="98" t="e">
        <f t="shared" si="463"/>
        <v>#DIV/0!</v>
      </c>
      <c r="X107" s="98" t="e">
        <f t="shared" si="45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345</v>
      </c>
      <c r="E108" s="92">
        <v>3000</v>
      </c>
      <c r="F108" s="93">
        <v>10000</v>
      </c>
      <c r="G108" s="94">
        <f t="shared" si="398"/>
        <v>0</v>
      </c>
      <c r="H108" s="94">
        <f t="shared" si="399"/>
        <v>0</v>
      </c>
      <c r="I108" s="96"/>
      <c r="J108" s="96">
        <v>19996.900000000001</v>
      </c>
      <c r="K108" s="96"/>
      <c r="L108" s="96"/>
      <c r="M108" s="97">
        <f t="shared" ref="M108:O108" si="464">Y108+AB108+AE108+AH108+AK108+AN108+AQ108+AT108+AW108+AZ108+BC108+BF108</f>
        <v>0</v>
      </c>
      <c r="N108" s="97">
        <f t="shared" si="464"/>
        <v>0</v>
      </c>
      <c r="O108" s="97">
        <f t="shared" si="464"/>
        <v>0</v>
      </c>
      <c r="P108" s="97">
        <f t="shared" ref="P108:R108" si="465">IF(BI108=0,SUM(Y108+AB108+AE108+AH108+AK108+AN108+AQ108+AT108+AW108+AZ108+BC108+BF108),BI108)</f>
        <v>0</v>
      </c>
      <c r="Q108" s="97">
        <f t="shared" si="465"/>
        <v>0</v>
      </c>
      <c r="R108" s="97">
        <f t="shared" si="465"/>
        <v>0</v>
      </c>
      <c r="S108" s="97">
        <f t="shared" si="458"/>
        <v>0</v>
      </c>
      <c r="T108" s="97">
        <f t="shared" si="462"/>
        <v>19996.900000000001</v>
      </c>
      <c r="U108" s="97">
        <f t="shared" si="425"/>
        <v>0</v>
      </c>
      <c r="V108" s="98" t="e">
        <f t="shared" ref="V108:W108" si="466">M108/I108</f>
        <v>#DIV/0!</v>
      </c>
      <c r="W108" s="98">
        <f t="shared" si="466"/>
        <v>0</v>
      </c>
      <c r="X108" s="98" t="e">
        <f t="shared" si="45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348</v>
      </c>
      <c r="E109" s="92"/>
      <c r="F109" s="93"/>
      <c r="G109" s="94" t="e">
        <f t="shared" si="398"/>
        <v>#DIV/0!</v>
      </c>
      <c r="H109" s="94" t="e">
        <f t="shared" si="399"/>
        <v>#DIV/0!</v>
      </c>
      <c r="I109" s="96"/>
      <c r="J109" s="117">
        <v>52560</v>
      </c>
      <c r="K109" s="117"/>
      <c r="L109" s="96"/>
      <c r="M109" s="97">
        <f t="shared" ref="M109:O109" si="467">Y109+AB109+AE109+AH109+AK109+AN109+AQ109+AT109+AW109+AZ109+BC109+BF109</f>
        <v>0</v>
      </c>
      <c r="N109" s="97">
        <f t="shared" si="467"/>
        <v>52560</v>
      </c>
      <c r="O109" s="97">
        <f t="shared" si="467"/>
        <v>0</v>
      </c>
      <c r="P109" s="97">
        <f t="shared" ref="P109:R109" si="468">IF(BI109=0,SUM(Y109+AB109+AE109+AH109+AK109+AN109+AQ109+AT109+AW109+AZ109+BC109+BF109),BI109)</f>
        <v>0</v>
      </c>
      <c r="Q109" s="97">
        <f t="shared" si="468"/>
        <v>52560</v>
      </c>
      <c r="R109" s="97">
        <f t="shared" si="468"/>
        <v>0</v>
      </c>
      <c r="S109" s="97">
        <f t="shared" si="458"/>
        <v>0</v>
      </c>
      <c r="T109" s="97">
        <f t="shared" si="462"/>
        <v>0</v>
      </c>
      <c r="U109" s="97">
        <f t="shared" si="425"/>
        <v>0</v>
      </c>
      <c r="V109" s="98" t="e">
        <f t="shared" ref="V109:W109" si="469">M109/I109</f>
        <v>#DIV/0!</v>
      </c>
      <c r="W109" s="98">
        <f t="shared" si="469"/>
        <v>1</v>
      </c>
      <c r="X109" s="98" t="e">
        <f t="shared" si="45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350</v>
      </c>
      <c r="E110" s="166"/>
      <c r="F110" s="147"/>
      <c r="G110" s="94" t="e">
        <f t="shared" si="398"/>
        <v>#DIV/0!</v>
      </c>
      <c r="H110" s="94" t="e">
        <f t="shared" si="399"/>
        <v>#DIV/0!</v>
      </c>
      <c r="I110" s="96"/>
      <c r="J110" s="96"/>
      <c r="K110" s="96"/>
      <c r="L110" s="96"/>
      <c r="M110" s="97">
        <f t="shared" ref="M110:O110" si="470">Y110+AB110+AE110+AH110+AK110+AN110+AQ110+AT110+AW110+AZ110+BC110+BF110</f>
        <v>0</v>
      </c>
      <c r="N110" s="97">
        <f t="shared" si="470"/>
        <v>0</v>
      </c>
      <c r="O110" s="97">
        <f t="shared" si="470"/>
        <v>0</v>
      </c>
      <c r="P110" s="97">
        <f t="shared" ref="P110:R110" si="471">IF(BI110=0,SUM(Y110+AB110+AE110+AH110+AK110+AN110+AQ110+AT110+AW110+AZ110+BC110+BF110),BI110)</f>
        <v>0</v>
      </c>
      <c r="Q110" s="97">
        <f t="shared" si="471"/>
        <v>0</v>
      </c>
      <c r="R110" s="97">
        <f t="shared" si="471"/>
        <v>0</v>
      </c>
      <c r="S110" s="97">
        <f t="shared" si="458"/>
        <v>0</v>
      </c>
      <c r="T110" s="97">
        <f t="shared" si="462"/>
        <v>0</v>
      </c>
      <c r="U110" s="97">
        <f t="shared" si="425"/>
        <v>0</v>
      </c>
      <c r="V110" s="98" t="e">
        <f t="shared" ref="V110:W110" si="472">M110/I110</f>
        <v>#DIV/0!</v>
      </c>
      <c r="W110" s="98" t="e">
        <f t="shared" si="472"/>
        <v>#DIV/0!</v>
      </c>
      <c r="X110" s="98" t="e">
        <f t="shared" si="45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351</v>
      </c>
      <c r="E111" s="166"/>
      <c r="F111" s="213"/>
      <c r="G111" s="94" t="e">
        <f t="shared" si="398"/>
        <v>#DIV/0!</v>
      </c>
      <c r="H111" s="94" t="e">
        <f t="shared" si="399"/>
        <v>#DIV/0!</v>
      </c>
      <c r="I111" s="96"/>
      <c r="J111" s="96"/>
      <c r="K111" s="96"/>
      <c r="L111" s="96"/>
      <c r="M111" s="97">
        <f t="shared" ref="M111:O111" si="473">Y111+AB111+AE111+AH111+AK111+AN111+AQ111+AT111+AW111+AZ111+BC111+BF111</f>
        <v>0</v>
      </c>
      <c r="N111" s="97">
        <f t="shared" si="473"/>
        <v>0</v>
      </c>
      <c r="O111" s="97">
        <f t="shared" si="473"/>
        <v>0</v>
      </c>
      <c r="P111" s="97">
        <f t="shared" ref="P111:R111" si="474">IF(BI111=0,SUM(Y111+AB111+AE111+AH111+AK111+AN111+AQ111+AT111+AW111+AZ111+BC111+BF111),BI111)</f>
        <v>0</v>
      </c>
      <c r="Q111" s="97">
        <f t="shared" si="474"/>
        <v>0</v>
      </c>
      <c r="R111" s="97">
        <f t="shared" si="474"/>
        <v>0</v>
      </c>
      <c r="S111" s="97">
        <f t="shared" si="458"/>
        <v>0</v>
      </c>
      <c r="T111" s="97">
        <f t="shared" si="462"/>
        <v>0</v>
      </c>
      <c r="U111" s="97">
        <f t="shared" si="425"/>
        <v>0</v>
      </c>
      <c r="V111" s="98" t="e">
        <f t="shared" ref="V111:W111" si="475">M111/I111</f>
        <v>#DIV/0!</v>
      </c>
      <c r="W111" s="98" t="e">
        <f t="shared" si="475"/>
        <v>#DIV/0!</v>
      </c>
      <c r="X111" s="98" t="e">
        <f t="shared" si="45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98"/>
        <v>#DIV/0!</v>
      </c>
      <c r="H112" s="94" t="e">
        <f t="shared" si="399"/>
        <v>#DIV/0!</v>
      </c>
      <c r="I112" s="96"/>
      <c r="J112" s="96">
        <v>3207</v>
      </c>
      <c r="K112" s="96"/>
      <c r="L112" s="214"/>
      <c r="M112" s="97">
        <f t="shared" ref="M112:O112" si="476">Y112+AB112+AE112+AH112+AK112+AN112+AQ112+AT112+AW112+AZ112+BC112+BF112</f>
        <v>0</v>
      </c>
      <c r="N112" s="97">
        <f t="shared" si="476"/>
        <v>0</v>
      </c>
      <c r="O112" s="97">
        <f t="shared" si="476"/>
        <v>0</v>
      </c>
      <c r="P112" s="97">
        <f t="shared" ref="P112:R112" si="477">IF(BI112=0,SUM(Y112+AB112+AE112+AH112+AK112+AN112+AQ112+AT112+AW112+AZ112+BC112+BF112),BI112)</f>
        <v>0</v>
      </c>
      <c r="Q112" s="97">
        <f t="shared" si="477"/>
        <v>0</v>
      </c>
      <c r="R112" s="97">
        <f t="shared" si="477"/>
        <v>0</v>
      </c>
      <c r="S112" s="97">
        <f t="shared" si="458"/>
        <v>0</v>
      </c>
      <c r="T112" s="97">
        <f t="shared" si="462"/>
        <v>3207</v>
      </c>
      <c r="U112" s="97">
        <f t="shared" si="425"/>
        <v>0</v>
      </c>
      <c r="V112" s="98" t="e">
        <f t="shared" ref="V112:W112" si="478">M112/I112</f>
        <v>#DIV/0!</v>
      </c>
      <c r="W112" s="98">
        <f t="shared" si="478"/>
        <v>0</v>
      </c>
      <c r="X112" s="98" t="e">
        <f t="shared" si="45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98"/>
        <v>#DIV/0!</v>
      </c>
      <c r="H113" s="155" t="e">
        <f t="shared" si="399"/>
        <v>#DIV/0!</v>
      </c>
      <c r="I113" s="218"/>
      <c r="J113" s="219"/>
      <c r="K113" s="219"/>
      <c r="L113" s="219"/>
      <c r="M113" s="82">
        <f t="shared" ref="M113:O113" si="479">Y113+AB113+AE113+AH113+AK113+AN113+AQ113+AT113+AW113+AZ113+BC113+BF113</f>
        <v>0</v>
      </c>
      <c r="N113" s="82">
        <f t="shared" si="479"/>
        <v>0</v>
      </c>
      <c r="O113" s="82">
        <f t="shared" si="479"/>
        <v>0</v>
      </c>
      <c r="P113" s="97">
        <f t="shared" ref="P113:R113" si="480">IF(BI113=0,SUM(Y113+AB113+AE113+AH113+AK113+AN113+AQ113+AT113+AW113+AZ113+BC113+BF113),BI113)</f>
        <v>0</v>
      </c>
      <c r="Q113" s="97">
        <f t="shared" si="480"/>
        <v>0</v>
      </c>
      <c r="R113" s="97">
        <f t="shared" si="480"/>
        <v>0</v>
      </c>
      <c r="S113" s="97">
        <f t="shared" si="458"/>
        <v>0</v>
      </c>
      <c r="T113" s="97">
        <f t="shared" si="462"/>
        <v>0</v>
      </c>
      <c r="U113" s="97">
        <f t="shared" si="425"/>
        <v>0</v>
      </c>
      <c r="V113" s="79" t="e">
        <f t="shared" ref="V113:W113" si="481">M113/I113</f>
        <v>#DIV/0!</v>
      </c>
      <c r="W113" s="79" t="e">
        <f t="shared" si="481"/>
        <v>#DIV/0!</v>
      </c>
      <c r="X113" s="79" t="e">
        <f t="shared" si="45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82">SUM(E115:E118)</f>
        <v>23296.54</v>
      </c>
      <c r="F114" s="186">
        <f t="shared" si="482"/>
        <v>0</v>
      </c>
      <c r="G114" s="223">
        <f t="shared" si="398"/>
        <v>0</v>
      </c>
      <c r="H114" s="223">
        <f t="shared" si="399"/>
        <v>0</v>
      </c>
      <c r="I114" s="186">
        <f t="shared" ref="I114:J114" si="483">SUM(I115:I118)</f>
        <v>0</v>
      </c>
      <c r="J114" s="186">
        <f t="shared" si="483"/>
        <v>0</v>
      </c>
      <c r="K114" s="186"/>
      <c r="L114" s="186">
        <f t="shared" ref="L114:O114" si="484">SUM(L115:L118)</f>
        <v>0</v>
      </c>
      <c r="M114" s="186">
        <f t="shared" si="484"/>
        <v>0</v>
      </c>
      <c r="N114" s="186">
        <f t="shared" si="484"/>
        <v>0</v>
      </c>
      <c r="O114" s="186">
        <f t="shared" si="484"/>
        <v>0</v>
      </c>
      <c r="P114" s="186">
        <f t="shared" ref="P114:R114" si="485">IF(BI114=0,SUM(Y114+AB114+AE114+AH114+AK114+AN114+AQ114+AT114+AW114+AZ114+BC114+BF114),BI114)</f>
        <v>0</v>
      </c>
      <c r="Q114" s="186">
        <f t="shared" si="485"/>
        <v>0</v>
      </c>
      <c r="R114" s="186">
        <f t="shared" si="485"/>
        <v>0</v>
      </c>
      <c r="S114" s="186">
        <f t="shared" ref="S114:U114" si="486">SUM(S115:S118)</f>
        <v>0</v>
      </c>
      <c r="T114" s="186">
        <f t="shared" si="486"/>
        <v>0</v>
      </c>
      <c r="U114" s="186">
        <f t="shared" si="486"/>
        <v>0</v>
      </c>
      <c r="V114" s="189" t="e">
        <f t="shared" ref="V114:W114" si="487">M114/I114</f>
        <v>#DIV/0!</v>
      </c>
      <c r="W114" s="189" t="e">
        <f t="shared" si="487"/>
        <v>#DIV/0!</v>
      </c>
      <c r="X114" s="189" t="e">
        <f t="shared" si="451"/>
        <v>#DIV/0!</v>
      </c>
      <c r="Y114" s="186">
        <f t="shared" ref="Y114:BK114" si="488">SUM(Y115:Y118)</f>
        <v>0</v>
      </c>
      <c r="Z114" s="186">
        <f t="shared" si="488"/>
        <v>0</v>
      </c>
      <c r="AA114" s="186">
        <f t="shared" si="488"/>
        <v>0</v>
      </c>
      <c r="AB114" s="186">
        <f t="shared" si="488"/>
        <v>0</v>
      </c>
      <c r="AC114" s="186">
        <f t="shared" si="488"/>
        <v>0</v>
      </c>
      <c r="AD114" s="186">
        <f t="shared" si="488"/>
        <v>0</v>
      </c>
      <c r="AE114" s="186">
        <f t="shared" si="488"/>
        <v>0</v>
      </c>
      <c r="AF114" s="186">
        <f t="shared" si="488"/>
        <v>0</v>
      </c>
      <c r="AG114" s="186">
        <f t="shared" si="488"/>
        <v>0</v>
      </c>
      <c r="AH114" s="186">
        <f t="shared" si="488"/>
        <v>0</v>
      </c>
      <c r="AI114" s="186">
        <f t="shared" si="488"/>
        <v>0</v>
      </c>
      <c r="AJ114" s="186">
        <f t="shared" si="488"/>
        <v>0</v>
      </c>
      <c r="AK114" s="186">
        <f t="shared" si="488"/>
        <v>0</v>
      </c>
      <c r="AL114" s="186">
        <f t="shared" si="488"/>
        <v>0</v>
      </c>
      <c r="AM114" s="186">
        <f t="shared" si="488"/>
        <v>0</v>
      </c>
      <c r="AN114" s="186">
        <f t="shared" si="488"/>
        <v>0</v>
      </c>
      <c r="AO114" s="186">
        <f t="shared" si="488"/>
        <v>0</v>
      </c>
      <c r="AP114" s="186">
        <f t="shared" si="488"/>
        <v>0</v>
      </c>
      <c r="AQ114" s="186">
        <f t="shared" si="488"/>
        <v>0</v>
      </c>
      <c r="AR114" s="186">
        <f t="shared" si="488"/>
        <v>0</v>
      </c>
      <c r="AS114" s="186">
        <f t="shared" si="488"/>
        <v>0</v>
      </c>
      <c r="AT114" s="186">
        <f t="shared" si="488"/>
        <v>0</v>
      </c>
      <c r="AU114" s="186">
        <f t="shared" si="488"/>
        <v>0</v>
      </c>
      <c r="AV114" s="186">
        <f t="shared" si="488"/>
        <v>0</v>
      </c>
      <c r="AW114" s="186">
        <f t="shared" si="488"/>
        <v>0</v>
      </c>
      <c r="AX114" s="186">
        <f t="shared" si="488"/>
        <v>0</v>
      </c>
      <c r="AY114" s="186">
        <f t="shared" si="488"/>
        <v>0</v>
      </c>
      <c r="AZ114" s="186">
        <f t="shared" si="488"/>
        <v>0</v>
      </c>
      <c r="BA114" s="186">
        <f t="shared" si="488"/>
        <v>0</v>
      </c>
      <c r="BB114" s="186">
        <f t="shared" si="488"/>
        <v>0</v>
      </c>
      <c r="BC114" s="186">
        <f t="shared" si="488"/>
        <v>0</v>
      </c>
      <c r="BD114" s="186">
        <f t="shared" si="488"/>
        <v>0</v>
      </c>
      <c r="BE114" s="186">
        <f t="shared" si="488"/>
        <v>0</v>
      </c>
      <c r="BF114" s="186">
        <f t="shared" si="488"/>
        <v>0</v>
      </c>
      <c r="BG114" s="186">
        <f t="shared" si="488"/>
        <v>0</v>
      </c>
      <c r="BH114" s="186">
        <f t="shared" si="488"/>
        <v>0</v>
      </c>
      <c r="BI114" s="186">
        <f t="shared" si="488"/>
        <v>0</v>
      </c>
      <c r="BJ114" s="186">
        <f t="shared" si="488"/>
        <v>0</v>
      </c>
      <c r="BK114" s="186">
        <f t="shared" si="488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98"/>
        <v>0</v>
      </c>
      <c r="H115" s="94">
        <f t="shared" si="399"/>
        <v>0</v>
      </c>
      <c r="I115" s="142"/>
      <c r="J115" s="96"/>
      <c r="K115" s="96"/>
      <c r="L115" s="95"/>
      <c r="M115" s="97">
        <f t="shared" ref="M115:O115" si="489">Y115+AB115+AE115+AH115+AK115+AN115+AQ115+AT115+AW115+AZ115+BC115+BF115</f>
        <v>0</v>
      </c>
      <c r="N115" s="97">
        <f t="shared" si="489"/>
        <v>0</v>
      </c>
      <c r="O115" s="97">
        <f t="shared" si="489"/>
        <v>0</v>
      </c>
      <c r="P115" s="97">
        <f t="shared" ref="P115:R115" si="490">IF(BI115=0,SUM(Y115+AB115+AE115+AH115+AK115+AN115+AQ115+AT115+AW115+AZ115+BC115+BF115),BI115)</f>
        <v>0</v>
      </c>
      <c r="Q115" s="97">
        <f t="shared" si="490"/>
        <v>0</v>
      </c>
      <c r="R115" s="97">
        <f t="shared" si="490"/>
        <v>0</v>
      </c>
      <c r="S115" s="138">
        <f t="shared" ref="S115:T115" si="491">I115-M115</f>
        <v>0</v>
      </c>
      <c r="T115" s="97">
        <f t="shared" si="491"/>
        <v>0</v>
      </c>
      <c r="U115" s="97">
        <f t="shared" ref="U115:U116" si="492">L115-O115</f>
        <v>0</v>
      </c>
      <c r="V115" s="98" t="e">
        <f t="shared" ref="V115:W115" si="493">M115/I115</f>
        <v>#DIV/0!</v>
      </c>
      <c r="W115" s="98" t="e">
        <f t="shared" si="493"/>
        <v>#DIV/0!</v>
      </c>
      <c r="X115" s="98" t="e">
        <f t="shared" si="45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98"/>
        <v>0</v>
      </c>
      <c r="H116" s="94">
        <f t="shared" si="399"/>
        <v>0</v>
      </c>
      <c r="I116" s="96"/>
      <c r="J116" s="96"/>
      <c r="K116" s="96"/>
      <c r="L116" s="95"/>
      <c r="M116" s="97">
        <f t="shared" ref="M116:O116" si="494">Y116+AB116+AE116+AH116+AK116+AN116+AQ116+AT116+AW116+AZ116+BC116+BF116</f>
        <v>0</v>
      </c>
      <c r="N116" s="97">
        <f t="shared" si="494"/>
        <v>0</v>
      </c>
      <c r="O116" s="97">
        <f t="shared" si="494"/>
        <v>0</v>
      </c>
      <c r="P116" s="97">
        <f t="shared" ref="P116:R116" si="495">IF(BI116=0,SUM(Y116+AB116+AE116+AH116+AK116+AN116+AQ116+AT116+AW116+AZ116+BC116+BF116),BI116)</f>
        <v>0</v>
      </c>
      <c r="Q116" s="97">
        <f t="shared" si="495"/>
        <v>0</v>
      </c>
      <c r="R116" s="97">
        <f t="shared" si="495"/>
        <v>0</v>
      </c>
      <c r="S116" s="138">
        <f t="shared" ref="S116:T116" si="496">I116-M116</f>
        <v>0</v>
      </c>
      <c r="T116" s="97">
        <f t="shared" si="496"/>
        <v>0</v>
      </c>
      <c r="U116" s="97">
        <f t="shared" si="492"/>
        <v>0</v>
      </c>
      <c r="V116" s="98" t="e">
        <f t="shared" ref="V116:W116" si="497">M116/I116</f>
        <v>#DIV/0!</v>
      </c>
      <c r="W116" s="98" t="e">
        <f t="shared" si="497"/>
        <v>#DIV/0!</v>
      </c>
      <c r="X116" s="98" t="e">
        <f t="shared" si="45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98">Y117+AB117+AE117+AH117+AK117+AN117+AQ117+AT117+AW117+AZ117+BC117+BF117</f>
        <v>0</v>
      </c>
      <c r="N117" s="97">
        <f t="shared" si="498"/>
        <v>0</v>
      </c>
      <c r="O117" s="97">
        <f t="shared" si="498"/>
        <v>0</v>
      </c>
      <c r="P117" s="97">
        <f t="shared" ref="P117:Q117" si="499">IF(BI117=0,SUM(Y117+AB117+AE117+AH117+AK117+AN117+AQ117+AT117+AW117+AZ117+BC117+BF117),BI117)</f>
        <v>0</v>
      </c>
      <c r="Q117" s="97">
        <f t="shared" si="499"/>
        <v>0</v>
      </c>
      <c r="R117" s="97"/>
      <c r="S117" s="97"/>
      <c r="T117" s="97"/>
      <c r="U117" s="97"/>
      <c r="V117" s="98"/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500">M118/E118</f>
        <v>#DIV/0!</v>
      </c>
      <c r="I118" s="96"/>
      <c r="J118" s="96"/>
      <c r="K118" s="96"/>
      <c r="L118" s="95"/>
      <c r="M118" s="97">
        <f t="shared" ref="M118:O118" si="501">Y118+AB118+AE118+AH118+AK118+AN118+AQ118+AT118+AW118+AZ118+BC118+BF118</f>
        <v>0</v>
      </c>
      <c r="N118" s="97">
        <f t="shared" si="501"/>
        <v>0</v>
      </c>
      <c r="O118" s="97">
        <f t="shared" si="501"/>
        <v>0</v>
      </c>
      <c r="P118" s="97">
        <f t="shared" ref="P118:R118" si="502">IF(BI118=0,SUM(Y118+AB118+AE118+AH118+AK118+AN118+AQ118+AT118+AW118+AZ118+BC118+BF118),BI118)</f>
        <v>0</v>
      </c>
      <c r="Q118" s="97">
        <f t="shared" si="502"/>
        <v>0</v>
      </c>
      <c r="R118" s="97">
        <f t="shared" si="502"/>
        <v>0</v>
      </c>
      <c r="S118" s="97">
        <f t="shared" ref="S118:T118" si="503">I118-M118</f>
        <v>0</v>
      </c>
      <c r="T118" s="97">
        <f t="shared" si="503"/>
        <v>0</v>
      </c>
      <c r="U118" s="97">
        <f>L118-O118</f>
        <v>0</v>
      </c>
      <c r="V118" s="98" t="e">
        <f t="shared" ref="V118:W118" si="504">M118/I118</f>
        <v>#DIV/0!</v>
      </c>
      <c r="W118" s="98" t="e">
        <f t="shared" si="504"/>
        <v>#DIV/0!</v>
      </c>
      <c r="X118" s="98" t="e">
        <f t="shared" ref="X118:X127" si="505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506">E120+E130+E136+E140</f>
        <v>152177.47999999998</v>
      </c>
      <c r="F119" s="186">
        <f t="shared" si="506"/>
        <v>1173964.47</v>
      </c>
      <c r="G119" s="225" t="e">
        <f t="shared" si="506"/>
        <v>#DIV/0!</v>
      </c>
      <c r="H119" s="223">
        <f t="shared" si="500"/>
        <v>0</v>
      </c>
      <c r="I119" s="186">
        <f t="shared" ref="I119:U119" si="507">I120+I130+I136+I140</f>
        <v>0</v>
      </c>
      <c r="J119" s="186">
        <f t="shared" si="507"/>
        <v>665873.97</v>
      </c>
      <c r="K119" s="186">
        <f t="shared" si="507"/>
        <v>0</v>
      </c>
      <c r="L119" s="186">
        <f t="shared" si="507"/>
        <v>0</v>
      </c>
      <c r="M119" s="186">
        <f t="shared" si="507"/>
        <v>0</v>
      </c>
      <c r="N119" s="186">
        <f t="shared" si="507"/>
        <v>0</v>
      </c>
      <c r="O119" s="186">
        <f t="shared" si="507"/>
        <v>0</v>
      </c>
      <c r="P119" s="186">
        <f t="shared" si="507"/>
        <v>0</v>
      </c>
      <c r="Q119" s="186">
        <f t="shared" si="507"/>
        <v>0</v>
      </c>
      <c r="R119" s="186">
        <f t="shared" si="507"/>
        <v>0</v>
      </c>
      <c r="S119" s="186">
        <f t="shared" si="507"/>
        <v>0</v>
      </c>
      <c r="T119" s="186">
        <f t="shared" si="507"/>
        <v>208866.28</v>
      </c>
      <c r="U119" s="186">
        <f t="shared" si="507"/>
        <v>0</v>
      </c>
      <c r="V119" s="189" t="e">
        <f t="shared" ref="V119:W119" si="508">M119/I119</f>
        <v>#DIV/0!</v>
      </c>
      <c r="W119" s="189">
        <f t="shared" si="508"/>
        <v>0</v>
      </c>
      <c r="X119" s="189" t="e">
        <f t="shared" si="505"/>
        <v>#DIV/0!</v>
      </c>
      <c r="Y119" s="186">
        <f t="shared" ref="Y119:BK119" si="509">Y120+Y130+Y136+Y140</f>
        <v>0</v>
      </c>
      <c r="Z119" s="186">
        <f t="shared" si="509"/>
        <v>0</v>
      </c>
      <c r="AA119" s="186">
        <f t="shared" si="509"/>
        <v>0</v>
      </c>
      <c r="AB119" s="186">
        <f t="shared" si="509"/>
        <v>0</v>
      </c>
      <c r="AC119" s="186">
        <f t="shared" si="509"/>
        <v>0</v>
      </c>
      <c r="AD119" s="186">
        <f t="shared" si="509"/>
        <v>0</v>
      </c>
      <c r="AE119" s="186">
        <f t="shared" si="509"/>
        <v>0</v>
      </c>
      <c r="AF119" s="186">
        <f t="shared" si="509"/>
        <v>0</v>
      </c>
      <c r="AG119" s="186">
        <f t="shared" si="509"/>
        <v>0</v>
      </c>
      <c r="AH119" s="186">
        <f t="shared" si="509"/>
        <v>0</v>
      </c>
      <c r="AI119" s="186">
        <f t="shared" si="509"/>
        <v>0</v>
      </c>
      <c r="AJ119" s="186">
        <f t="shared" si="509"/>
        <v>0</v>
      </c>
      <c r="AK119" s="186">
        <f t="shared" si="509"/>
        <v>0</v>
      </c>
      <c r="AL119" s="186">
        <f t="shared" si="509"/>
        <v>0</v>
      </c>
      <c r="AM119" s="186">
        <f t="shared" si="509"/>
        <v>0</v>
      </c>
      <c r="AN119" s="186">
        <f t="shared" si="509"/>
        <v>0</v>
      </c>
      <c r="AO119" s="186">
        <f t="shared" si="509"/>
        <v>0</v>
      </c>
      <c r="AP119" s="186">
        <f t="shared" si="509"/>
        <v>0</v>
      </c>
      <c r="AQ119" s="186">
        <f t="shared" si="509"/>
        <v>0</v>
      </c>
      <c r="AR119" s="186">
        <f t="shared" si="509"/>
        <v>0</v>
      </c>
      <c r="AS119" s="186">
        <f t="shared" si="509"/>
        <v>0</v>
      </c>
      <c r="AT119" s="186">
        <f t="shared" si="509"/>
        <v>0</v>
      </c>
      <c r="AU119" s="186">
        <f t="shared" si="509"/>
        <v>0</v>
      </c>
      <c r="AV119" s="186">
        <f t="shared" si="509"/>
        <v>0</v>
      </c>
      <c r="AW119" s="186">
        <f t="shared" si="509"/>
        <v>0</v>
      </c>
      <c r="AX119" s="186">
        <f t="shared" si="509"/>
        <v>0</v>
      </c>
      <c r="AY119" s="186">
        <f t="shared" si="509"/>
        <v>0</v>
      </c>
      <c r="AZ119" s="186">
        <f t="shared" si="509"/>
        <v>0</v>
      </c>
      <c r="BA119" s="186">
        <f t="shared" si="509"/>
        <v>0</v>
      </c>
      <c r="BB119" s="186">
        <f t="shared" si="509"/>
        <v>0</v>
      </c>
      <c r="BC119" s="186">
        <f t="shared" si="509"/>
        <v>0</v>
      </c>
      <c r="BD119" s="186">
        <f t="shared" si="509"/>
        <v>0</v>
      </c>
      <c r="BE119" s="186">
        <f t="shared" si="509"/>
        <v>0</v>
      </c>
      <c r="BF119" s="186">
        <f t="shared" si="509"/>
        <v>0</v>
      </c>
      <c r="BG119" s="186">
        <f t="shared" si="509"/>
        <v>0</v>
      </c>
      <c r="BH119" s="186">
        <f t="shared" si="509"/>
        <v>0</v>
      </c>
      <c r="BI119" s="186">
        <f t="shared" si="509"/>
        <v>0</v>
      </c>
      <c r="BJ119" s="186">
        <f t="shared" si="509"/>
        <v>0</v>
      </c>
      <c r="BK119" s="186">
        <f t="shared" si="509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510">SUM(E121:E129)</f>
        <v>152177.47999999998</v>
      </c>
      <c r="F120" s="231">
        <f t="shared" si="510"/>
        <v>0</v>
      </c>
      <c r="G120" s="187">
        <f t="shared" ref="G120:G127" si="511">I120/E120</f>
        <v>0</v>
      </c>
      <c r="H120" s="187">
        <f t="shared" si="500"/>
        <v>0</v>
      </c>
      <c r="I120" s="231">
        <f t="shared" ref="I120:O120" si="512">SUM(I121:I129)</f>
        <v>0</v>
      </c>
      <c r="J120" s="231">
        <f t="shared" si="512"/>
        <v>457969.89</v>
      </c>
      <c r="K120" s="231">
        <f t="shared" si="512"/>
        <v>0</v>
      </c>
      <c r="L120" s="231">
        <f t="shared" si="512"/>
        <v>0</v>
      </c>
      <c r="M120" s="231">
        <f t="shared" si="512"/>
        <v>0</v>
      </c>
      <c r="N120" s="231">
        <f t="shared" si="512"/>
        <v>0</v>
      </c>
      <c r="O120" s="231">
        <f t="shared" si="512"/>
        <v>0</v>
      </c>
      <c r="P120" s="232">
        <f t="shared" ref="P120:R120" si="513">IF(BI120=0,SUM(Y120+AB120+AE120+AH120+AK120+AN120+AQ120+AT120+AW120+AZ120+BC120+BF120),BI120)</f>
        <v>0</v>
      </c>
      <c r="Q120" s="232">
        <f t="shared" si="513"/>
        <v>0</v>
      </c>
      <c r="R120" s="232">
        <f t="shared" si="513"/>
        <v>0</v>
      </c>
      <c r="S120" s="231">
        <f t="shared" ref="S120:U120" si="514">SUM(S121:S129)</f>
        <v>0</v>
      </c>
      <c r="T120" s="231">
        <f t="shared" si="514"/>
        <v>5199.4000000000005</v>
      </c>
      <c r="U120" s="231">
        <f t="shared" si="514"/>
        <v>0</v>
      </c>
      <c r="V120" s="188" t="e">
        <f t="shared" ref="V120:W120" si="515">M120/I120</f>
        <v>#DIV/0!</v>
      </c>
      <c r="W120" s="188">
        <f t="shared" si="515"/>
        <v>0</v>
      </c>
      <c r="X120" s="188" t="e">
        <f t="shared" si="505"/>
        <v>#DIV/0!</v>
      </c>
      <c r="Y120" s="231">
        <f t="shared" ref="Y120:BK120" si="516">SUM(Y121:Y129)</f>
        <v>0</v>
      </c>
      <c r="Z120" s="231">
        <f t="shared" si="516"/>
        <v>0</v>
      </c>
      <c r="AA120" s="231">
        <f t="shared" si="516"/>
        <v>0</v>
      </c>
      <c r="AB120" s="231">
        <f t="shared" si="516"/>
        <v>0</v>
      </c>
      <c r="AC120" s="231">
        <f t="shared" si="516"/>
        <v>0</v>
      </c>
      <c r="AD120" s="231">
        <f t="shared" si="516"/>
        <v>0</v>
      </c>
      <c r="AE120" s="231">
        <f t="shared" si="516"/>
        <v>0</v>
      </c>
      <c r="AF120" s="231">
        <f t="shared" si="516"/>
        <v>0</v>
      </c>
      <c r="AG120" s="231">
        <f t="shared" si="516"/>
        <v>0</v>
      </c>
      <c r="AH120" s="231">
        <f t="shared" si="516"/>
        <v>0</v>
      </c>
      <c r="AI120" s="231">
        <f t="shared" si="516"/>
        <v>0</v>
      </c>
      <c r="AJ120" s="231">
        <f t="shared" si="516"/>
        <v>0</v>
      </c>
      <c r="AK120" s="231">
        <f t="shared" si="516"/>
        <v>0</v>
      </c>
      <c r="AL120" s="231">
        <f t="shared" si="516"/>
        <v>0</v>
      </c>
      <c r="AM120" s="231">
        <f t="shared" si="516"/>
        <v>0</v>
      </c>
      <c r="AN120" s="231">
        <f t="shared" si="516"/>
        <v>0</v>
      </c>
      <c r="AO120" s="231">
        <f t="shared" si="516"/>
        <v>0</v>
      </c>
      <c r="AP120" s="231">
        <f t="shared" si="516"/>
        <v>0</v>
      </c>
      <c r="AQ120" s="231">
        <f t="shared" si="516"/>
        <v>0</v>
      </c>
      <c r="AR120" s="231">
        <f t="shared" si="516"/>
        <v>0</v>
      </c>
      <c r="AS120" s="231">
        <f t="shared" si="516"/>
        <v>0</v>
      </c>
      <c r="AT120" s="231">
        <f t="shared" si="516"/>
        <v>0</v>
      </c>
      <c r="AU120" s="231">
        <f t="shared" si="516"/>
        <v>0</v>
      </c>
      <c r="AV120" s="231">
        <f t="shared" si="516"/>
        <v>0</v>
      </c>
      <c r="AW120" s="231">
        <f t="shared" si="516"/>
        <v>0</v>
      </c>
      <c r="AX120" s="231">
        <f t="shared" si="516"/>
        <v>0</v>
      </c>
      <c r="AY120" s="231">
        <f t="shared" si="516"/>
        <v>0</v>
      </c>
      <c r="AZ120" s="231">
        <f t="shared" si="516"/>
        <v>0</v>
      </c>
      <c r="BA120" s="231">
        <f t="shared" si="516"/>
        <v>0</v>
      </c>
      <c r="BB120" s="231">
        <f t="shared" si="516"/>
        <v>0</v>
      </c>
      <c r="BC120" s="231">
        <f t="shared" si="516"/>
        <v>0</v>
      </c>
      <c r="BD120" s="231">
        <f t="shared" si="516"/>
        <v>0</v>
      </c>
      <c r="BE120" s="231">
        <f t="shared" si="516"/>
        <v>0</v>
      </c>
      <c r="BF120" s="231">
        <f t="shared" si="516"/>
        <v>0</v>
      </c>
      <c r="BG120" s="231">
        <f t="shared" si="516"/>
        <v>0</v>
      </c>
      <c r="BH120" s="231">
        <f t="shared" si="516"/>
        <v>0</v>
      </c>
      <c r="BI120" s="231">
        <f t="shared" si="516"/>
        <v>0</v>
      </c>
      <c r="BJ120" s="231">
        <f t="shared" si="516"/>
        <v>0</v>
      </c>
      <c r="BK120" s="231">
        <f t="shared" si="516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511"/>
        <v>0</v>
      </c>
      <c r="H121" s="94">
        <f t="shared" si="500"/>
        <v>0</v>
      </c>
      <c r="I121" s="96"/>
      <c r="J121" s="96"/>
      <c r="K121" s="96"/>
      <c r="L121" s="96"/>
      <c r="M121" s="97">
        <f t="shared" ref="M121:O121" si="517">Y121+AB121+AE121+AH121+AK121+AN121+AQ121+AT121+AW121+AZ121+BC121+BF121</f>
        <v>0</v>
      </c>
      <c r="N121" s="97">
        <f t="shared" si="517"/>
        <v>0</v>
      </c>
      <c r="O121" s="97">
        <f t="shared" si="517"/>
        <v>0</v>
      </c>
      <c r="P121" s="97">
        <f t="shared" ref="P121:R121" si="518">IF(BI121=0,SUM(Y121+AB121+AE121+AH121+AK121+AN121+AQ121+AT121+AW121+AZ121+BC121+BF121),BI121)</f>
        <v>0</v>
      </c>
      <c r="Q121" s="97">
        <f t="shared" si="518"/>
        <v>0</v>
      </c>
      <c r="R121" s="97">
        <f t="shared" si="518"/>
        <v>0</v>
      </c>
      <c r="S121" s="97">
        <f t="shared" ref="S121:T121" si="519">I121-M121</f>
        <v>0</v>
      </c>
      <c r="T121" s="97">
        <f t="shared" si="519"/>
        <v>0</v>
      </c>
      <c r="U121" s="97">
        <f t="shared" ref="U121:U127" si="520">L121-O121</f>
        <v>0</v>
      </c>
      <c r="V121" s="94" t="e">
        <f t="shared" ref="V121:W121" si="521">M121/I121</f>
        <v>#DIV/0!</v>
      </c>
      <c r="W121" s="94" t="e">
        <f t="shared" si="521"/>
        <v>#DIV/0!</v>
      </c>
      <c r="X121" s="94" t="e">
        <f t="shared" si="505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511"/>
        <v>#DIV/0!</v>
      </c>
      <c r="H122" s="94" t="e">
        <f t="shared" si="500"/>
        <v>#DIV/0!</v>
      </c>
      <c r="I122" s="96"/>
      <c r="J122" s="96"/>
      <c r="K122" s="96"/>
      <c r="L122" s="96"/>
      <c r="M122" s="97">
        <f t="shared" ref="M122:O122" si="522">Y122+AB122+AE122+AH122+AK122+AN122+AQ122+AT122+AW122+AZ122+BC122+BF122</f>
        <v>0</v>
      </c>
      <c r="N122" s="97">
        <f t="shared" si="522"/>
        <v>0</v>
      </c>
      <c r="O122" s="97">
        <f t="shared" si="522"/>
        <v>0</v>
      </c>
      <c r="P122" s="97">
        <f t="shared" ref="P122:R122" si="523">IF(BI122=0,SUM(Y122+AB122+AE122+AH122+AK122+AN122+AQ122+AT122+AW122+AZ122+BC122+BF122),BI122)</f>
        <v>0</v>
      </c>
      <c r="Q122" s="97">
        <f t="shared" si="523"/>
        <v>0</v>
      </c>
      <c r="R122" s="97">
        <f t="shared" si="523"/>
        <v>0</v>
      </c>
      <c r="S122" s="97">
        <f t="shared" ref="S122:T122" si="524">I122-M122</f>
        <v>0</v>
      </c>
      <c r="T122" s="97">
        <f t="shared" si="524"/>
        <v>0</v>
      </c>
      <c r="U122" s="97">
        <f t="shared" si="520"/>
        <v>0</v>
      </c>
      <c r="V122" s="94" t="e">
        <f t="shared" ref="V122:W122" si="525">M122/I122</f>
        <v>#DIV/0!</v>
      </c>
      <c r="W122" s="94" t="e">
        <f t="shared" si="525"/>
        <v>#DIV/0!</v>
      </c>
      <c r="X122" s="94" t="e">
        <f t="shared" si="505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511"/>
        <v>#DIV/0!</v>
      </c>
      <c r="H123" s="94" t="e">
        <f t="shared" si="500"/>
        <v>#DIV/0!</v>
      </c>
      <c r="I123" s="96"/>
      <c r="J123" s="96"/>
      <c r="K123" s="96"/>
      <c r="L123" s="96"/>
      <c r="M123" s="97">
        <f t="shared" ref="M123:O123" si="526">Y123+AB123+AE123+AH123+AK123+AN123+AQ123+AT123+AW123+AZ123+BC123+BF123</f>
        <v>0</v>
      </c>
      <c r="N123" s="97">
        <f t="shared" si="526"/>
        <v>0</v>
      </c>
      <c r="O123" s="97">
        <f t="shared" si="526"/>
        <v>0</v>
      </c>
      <c r="P123" s="97">
        <f t="shared" ref="P123:R123" si="527">IF(BI123=0,SUM(Y123+AB123+AE123+AH123+AK123+AN123+AQ123+AT123+AW123+AZ123+BC123+BF123),BI123)</f>
        <v>0</v>
      </c>
      <c r="Q123" s="97">
        <f t="shared" si="527"/>
        <v>0</v>
      </c>
      <c r="R123" s="97">
        <f t="shared" si="527"/>
        <v>0</v>
      </c>
      <c r="S123" s="97">
        <f t="shared" ref="S123:T123" si="528">I123-M123</f>
        <v>0</v>
      </c>
      <c r="T123" s="97">
        <f t="shared" si="528"/>
        <v>0</v>
      </c>
      <c r="U123" s="97">
        <f t="shared" si="520"/>
        <v>0</v>
      </c>
      <c r="V123" s="94" t="e">
        <f t="shared" ref="V123:W123" si="529">M123/I123</f>
        <v>#DIV/0!</v>
      </c>
      <c r="W123" s="94" t="e">
        <f t="shared" si="529"/>
        <v>#DIV/0!</v>
      </c>
      <c r="X123" s="94" t="e">
        <f t="shared" si="505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511"/>
        <v>#DIV/0!</v>
      </c>
      <c r="H124" s="94" t="e">
        <f t="shared" si="500"/>
        <v>#DIV/0!</v>
      </c>
      <c r="I124" s="96"/>
      <c r="J124" s="96"/>
      <c r="K124" s="96"/>
      <c r="L124" s="96"/>
      <c r="M124" s="97">
        <f t="shared" ref="M124:O124" si="530">Y124+AB124+AE124+AH124+AK124+AN124+AQ124+AT124+AW124+AZ124+BC124+BF124</f>
        <v>0</v>
      </c>
      <c r="N124" s="97">
        <f t="shared" si="530"/>
        <v>0</v>
      </c>
      <c r="O124" s="97">
        <f t="shared" si="530"/>
        <v>0</v>
      </c>
      <c r="P124" s="97">
        <f t="shared" ref="P124:R124" si="531">IF(BI124=0,SUM(Y124+AB124+AE124+AH124+AK124+AN124+AQ124+AT124+AW124+AZ124+BC124+BF124),BI124)</f>
        <v>0</v>
      </c>
      <c r="Q124" s="97">
        <f t="shared" si="531"/>
        <v>0</v>
      </c>
      <c r="R124" s="97">
        <f t="shared" si="531"/>
        <v>0</v>
      </c>
      <c r="S124" s="97">
        <f t="shared" ref="S124:T124" si="532">I124-M124</f>
        <v>0</v>
      </c>
      <c r="T124" s="97">
        <f t="shared" si="532"/>
        <v>0</v>
      </c>
      <c r="U124" s="97">
        <f t="shared" si="520"/>
        <v>0</v>
      </c>
      <c r="V124" s="94" t="e">
        <f t="shared" ref="V124:W124" si="533">M124/I124</f>
        <v>#DIV/0!</v>
      </c>
      <c r="W124" s="94" t="e">
        <f t="shared" si="533"/>
        <v>#DIV/0!</v>
      </c>
      <c r="X124" s="94" t="e">
        <f t="shared" si="505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371</v>
      </c>
      <c r="E125" s="166"/>
      <c r="F125" s="166"/>
      <c r="G125" s="94" t="e">
        <f t="shared" si="511"/>
        <v>#DIV/0!</v>
      </c>
      <c r="H125" s="94" t="e">
        <f t="shared" si="500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34">Y125+AB125+AE125+AH125+AK125+AN125+AQ125+AT125+AW125+AZ125+BC125+BF125</f>
        <v>0</v>
      </c>
      <c r="N125" s="97">
        <f t="shared" si="534"/>
        <v>0</v>
      </c>
      <c r="O125" s="97">
        <f t="shared" si="534"/>
        <v>0</v>
      </c>
      <c r="P125" s="97">
        <f t="shared" ref="P125:R125" si="535">IF(BI125=0,SUM(Y125+AB125+AE125+AH125+AK125+AN125+AQ125+AT125+AW125+AZ125+BC125+BF125),BI125)</f>
        <v>0</v>
      </c>
      <c r="Q125" s="97">
        <f t="shared" si="535"/>
        <v>0</v>
      </c>
      <c r="R125" s="97">
        <f t="shared" si="535"/>
        <v>0</v>
      </c>
      <c r="S125" s="97">
        <f t="shared" ref="S125:T125" si="536">I125-M125</f>
        <v>0</v>
      </c>
      <c r="T125" s="97">
        <f t="shared" si="536"/>
        <v>5199.4000000000005</v>
      </c>
      <c r="U125" s="97">
        <f t="shared" si="520"/>
        <v>0</v>
      </c>
      <c r="V125" s="94" t="e">
        <f t="shared" ref="V125:W125" si="537">M125/I125</f>
        <v>#DIV/0!</v>
      </c>
      <c r="W125" s="94">
        <f t="shared" si="537"/>
        <v>0</v>
      </c>
      <c r="X125" s="94" t="e">
        <f t="shared" si="505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>
        <v>0</v>
      </c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511"/>
        <v>0</v>
      </c>
      <c r="H126" s="94">
        <f t="shared" si="500"/>
        <v>0</v>
      </c>
      <c r="I126" s="96"/>
      <c r="J126" s="96"/>
      <c r="K126" s="96"/>
      <c r="L126" s="96"/>
      <c r="M126" s="97">
        <f t="shared" ref="M126:O126" si="538">Y126+AB126+AE126+AH126+AK126+AN126+AQ126+AT126+AW126+AZ126+BC126+BF126</f>
        <v>0</v>
      </c>
      <c r="N126" s="97">
        <f t="shared" si="538"/>
        <v>0</v>
      </c>
      <c r="O126" s="97">
        <f t="shared" si="538"/>
        <v>0</v>
      </c>
      <c r="P126" s="97">
        <f t="shared" ref="P126:R126" si="539">IF(BI126=0,SUM(Y126+AB126+AE126+AH126+AK126+AN126+AQ126+AT126+AW126+AZ126+BC126+BF126),BI126)</f>
        <v>0</v>
      </c>
      <c r="Q126" s="97">
        <f t="shared" si="539"/>
        <v>0</v>
      </c>
      <c r="R126" s="97">
        <f t="shared" si="539"/>
        <v>0</v>
      </c>
      <c r="S126" s="97">
        <f t="shared" ref="S126:T126" si="540">I126-M126</f>
        <v>0</v>
      </c>
      <c r="T126" s="97">
        <f t="shared" si="540"/>
        <v>0</v>
      </c>
      <c r="U126" s="97">
        <f t="shared" si="520"/>
        <v>0</v>
      </c>
      <c r="V126" s="94" t="e">
        <f t="shared" ref="V126:W126" si="541">M126/I126</f>
        <v>#DIV/0!</v>
      </c>
      <c r="W126" s="94" t="e">
        <f t="shared" si="541"/>
        <v>#DIV/0!</v>
      </c>
      <c r="X126" s="94" t="e">
        <f t="shared" si="505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511"/>
        <v>#DIV/0!</v>
      </c>
      <c r="H127" s="94" t="e">
        <f t="shared" si="500"/>
        <v>#DIV/0!</v>
      </c>
      <c r="I127" s="96"/>
      <c r="J127" s="96"/>
      <c r="K127" s="96"/>
      <c r="L127" s="96"/>
      <c r="M127" s="97">
        <f t="shared" ref="M127:O127" si="542">Y127+AB127+AE127+AH127+AK127+AN127+AQ127+AT127+AW127+AZ127+BC127+BF127</f>
        <v>0</v>
      </c>
      <c r="N127" s="97">
        <f t="shared" si="542"/>
        <v>0</v>
      </c>
      <c r="O127" s="97">
        <f t="shared" si="542"/>
        <v>0</v>
      </c>
      <c r="P127" s="97">
        <f t="shared" ref="P127:R127" si="543">IF(BI127=0,SUM(Y127+AB127+AE127+AH127+AK127+AN127+AQ127+AT127+AW127+AZ127+BC127+BF127),BI127)</f>
        <v>0</v>
      </c>
      <c r="Q127" s="97">
        <f t="shared" si="543"/>
        <v>0</v>
      </c>
      <c r="R127" s="97">
        <f t="shared" si="543"/>
        <v>0</v>
      </c>
      <c r="S127" s="97">
        <f t="shared" ref="S127:T127" si="544">I127-M127</f>
        <v>0</v>
      </c>
      <c r="T127" s="97">
        <f t="shared" si="544"/>
        <v>0</v>
      </c>
      <c r="U127" s="97">
        <f t="shared" si="520"/>
        <v>0</v>
      </c>
      <c r="V127" s="94" t="e">
        <f t="shared" ref="V127:W127" si="545">M127/I127</f>
        <v>#DIV/0!</v>
      </c>
      <c r="W127" s="94" t="e">
        <f t="shared" si="545"/>
        <v>#DIV/0!</v>
      </c>
      <c r="X127" s="94" t="e">
        <f t="shared" si="505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377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/>
      <c r="N128" s="97"/>
      <c r="O128" s="97"/>
      <c r="P128" s="97"/>
      <c r="Q128" s="97"/>
      <c r="R128" s="97"/>
      <c r="S128" s="97"/>
      <c r="T128" s="97"/>
      <c r="U128" s="97"/>
      <c r="V128" s="94"/>
      <c r="W128" s="94"/>
      <c r="X128" s="94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46">I129/E129</f>
        <v>#DIV/0!</v>
      </c>
      <c r="H129" s="94" t="e">
        <f t="shared" ref="H129:H136" si="547">M129/E129</f>
        <v>#DIV/0!</v>
      </c>
      <c r="I129" s="96"/>
      <c r="J129" s="96"/>
      <c r="K129" s="96"/>
      <c r="L129" s="237"/>
      <c r="M129" s="97">
        <f t="shared" ref="M129:O129" si="548">Y129+AB129+AE129+AH129+AK129+AN129+AQ129+AT129+AW129+AZ129+BC129+BF129</f>
        <v>0</v>
      </c>
      <c r="N129" s="97">
        <f t="shared" si="548"/>
        <v>0</v>
      </c>
      <c r="O129" s="97">
        <f t="shared" si="548"/>
        <v>0</v>
      </c>
      <c r="P129" s="97">
        <f t="shared" ref="P129:R129" si="549">IF(BI129=0,SUM(Y129+AB129+AE129+AH129+AK129+AN129+AQ129+AT129+AW129+AZ129+BC129+BF129),BI129)</f>
        <v>0</v>
      </c>
      <c r="Q129" s="97">
        <f t="shared" si="549"/>
        <v>0</v>
      </c>
      <c r="R129" s="97">
        <f t="shared" si="549"/>
        <v>0</v>
      </c>
      <c r="S129" s="97">
        <f t="shared" ref="S129:T129" si="550">I129-M129</f>
        <v>0</v>
      </c>
      <c r="T129" s="97">
        <f t="shared" si="550"/>
        <v>0</v>
      </c>
      <c r="U129" s="97">
        <f>L129-O129</f>
        <v>0</v>
      </c>
      <c r="V129" s="94" t="e">
        <f t="shared" ref="V129:W129" si="551">M129/I129</f>
        <v>#DIV/0!</v>
      </c>
      <c r="W129" s="94" t="e">
        <f t="shared" si="551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52">SUM(E131:E135)</f>
        <v>0</v>
      </c>
      <c r="F130" s="231">
        <f t="shared" si="552"/>
        <v>216000</v>
      </c>
      <c r="G130" s="187" t="e">
        <f t="shared" si="546"/>
        <v>#DIV/0!</v>
      </c>
      <c r="H130" s="187" t="e">
        <f t="shared" si="547"/>
        <v>#DIV/0!</v>
      </c>
      <c r="I130" s="231">
        <f t="shared" ref="I130:O130" si="553">SUM(I131:I135)</f>
        <v>0</v>
      </c>
      <c r="J130" s="231">
        <f t="shared" si="553"/>
        <v>0</v>
      </c>
      <c r="K130" s="231">
        <f t="shared" si="553"/>
        <v>0</v>
      </c>
      <c r="L130" s="231">
        <f t="shared" si="553"/>
        <v>0</v>
      </c>
      <c r="M130" s="231">
        <f t="shared" si="553"/>
        <v>0</v>
      </c>
      <c r="N130" s="238">
        <f t="shared" si="553"/>
        <v>0</v>
      </c>
      <c r="O130" s="238">
        <f t="shared" si="553"/>
        <v>0</v>
      </c>
      <c r="P130" s="238">
        <f t="shared" ref="P130:R130" si="554">IF(BI130=0,SUM(Y130+AB130+AE130+AH130+AK130+AN130+AQ130+AT130+AW130+AZ130+BC130+BF130),BI130)</f>
        <v>0</v>
      </c>
      <c r="Q130" s="238">
        <f t="shared" si="554"/>
        <v>0</v>
      </c>
      <c r="R130" s="238">
        <f t="shared" si="554"/>
        <v>0</v>
      </c>
      <c r="S130" s="238">
        <f t="shared" ref="S130:BK130" si="555">SUM(S131:S135)</f>
        <v>0</v>
      </c>
      <c r="T130" s="238">
        <f t="shared" si="555"/>
        <v>0</v>
      </c>
      <c r="U130" s="238">
        <f t="shared" si="555"/>
        <v>0</v>
      </c>
      <c r="V130" s="238" t="e">
        <f t="shared" si="555"/>
        <v>#DIV/0!</v>
      </c>
      <c r="W130" s="238" t="e">
        <f t="shared" si="555"/>
        <v>#DIV/0!</v>
      </c>
      <c r="X130" s="238" t="e">
        <f t="shared" si="555"/>
        <v>#DIV/0!</v>
      </c>
      <c r="Y130" s="231">
        <f t="shared" si="555"/>
        <v>0</v>
      </c>
      <c r="Z130" s="231">
        <f t="shared" si="555"/>
        <v>0</v>
      </c>
      <c r="AA130" s="231">
        <f t="shared" si="555"/>
        <v>0</v>
      </c>
      <c r="AB130" s="231">
        <f t="shared" si="555"/>
        <v>0</v>
      </c>
      <c r="AC130" s="231">
        <f t="shared" si="555"/>
        <v>0</v>
      </c>
      <c r="AD130" s="231">
        <f t="shared" si="555"/>
        <v>0</v>
      </c>
      <c r="AE130" s="231">
        <f t="shared" si="555"/>
        <v>0</v>
      </c>
      <c r="AF130" s="231">
        <f t="shared" si="555"/>
        <v>0</v>
      </c>
      <c r="AG130" s="231">
        <f t="shared" si="555"/>
        <v>0</v>
      </c>
      <c r="AH130" s="231">
        <f t="shared" si="555"/>
        <v>0</v>
      </c>
      <c r="AI130" s="231">
        <f t="shared" si="555"/>
        <v>0</v>
      </c>
      <c r="AJ130" s="231">
        <f t="shared" si="555"/>
        <v>0</v>
      </c>
      <c r="AK130" s="231">
        <f t="shared" si="555"/>
        <v>0</v>
      </c>
      <c r="AL130" s="231">
        <f t="shared" si="555"/>
        <v>0</v>
      </c>
      <c r="AM130" s="231">
        <f t="shared" si="555"/>
        <v>0</v>
      </c>
      <c r="AN130" s="231">
        <f t="shared" si="555"/>
        <v>0</v>
      </c>
      <c r="AO130" s="231">
        <f t="shared" si="555"/>
        <v>0</v>
      </c>
      <c r="AP130" s="231">
        <f t="shared" si="555"/>
        <v>0</v>
      </c>
      <c r="AQ130" s="231">
        <f t="shared" si="555"/>
        <v>0</v>
      </c>
      <c r="AR130" s="231">
        <f t="shared" si="555"/>
        <v>0</v>
      </c>
      <c r="AS130" s="231">
        <f t="shared" si="555"/>
        <v>0</v>
      </c>
      <c r="AT130" s="231">
        <f t="shared" si="555"/>
        <v>0</v>
      </c>
      <c r="AU130" s="231">
        <f t="shared" si="555"/>
        <v>0</v>
      </c>
      <c r="AV130" s="231">
        <f t="shared" si="555"/>
        <v>0</v>
      </c>
      <c r="AW130" s="231">
        <f t="shared" si="555"/>
        <v>0</v>
      </c>
      <c r="AX130" s="231">
        <f t="shared" si="555"/>
        <v>0</v>
      </c>
      <c r="AY130" s="231">
        <f t="shared" si="555"/>
        <v>0</v>
      </c>
      <c r="AZ130" s="231">
        <f t="shared" si="555"/>
        <v>0</v>
      </c>
      <c r="BA130" s="231">
        <f t="shared" si="555"/>
        <v>0</v>
      </c>
      <c r="BB130" s="231">
        <f t="shared" si="555"/>
        <v>0</v>
      </c>
      <c r="BC130" s="231">
        <f t="shared" si="555"/>
        <v>0</v>
      </c>
      <c r="BD130" s="231">
        <f t="shared" si="555"/>
        <v>0</v>
      </c>
      <c r="BE130" s="231">
        <f t="shared" si="555"/>
        <v>0</v>
      </c>
      <c r="BF130" s="231">
        <f t="shared" si="555"/>
        <v>0</v>
      </c>
      <c r="BG130" s="231">
        <f t="shared" si="555"/>
        <v>0</v>
      </c>
      <c r="BH130" s="231">
        <f t="shared" si="555"/>
        <v>0</v>
      </c>
      <c r="BI130" s="231">
        <f t="shared" si="555"/>
        <v>0</v>
      </c>
      <c r="BJ130" s="231">
        <f t="shared" si="555"/>
        <v>0</v>
      </c>
      <c r="BK130" s="231">
        <f t="shared" si="555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46"/>
        <v>#DIV/0!</v>
      </c>
      <c r="H131" s="94" t="e">
        <f t="shared" si="547"/>
        <v>#DIV/0!</v>
      </c>
      <c r="I131" s="96"/>
      <c r="J131" s="96"/>
      <c r="K131" s="96"/>
      <c r="L131" s="96"/>
      <c r="M131" s="97">
        <f t="shared" ref="M131:O131" si="556">Y131+AB131+AE131+AH131+AK131+AN131+AQ131+AT131+AW131+AZ131+BC131+BF131</f>
        <v>0</v>
      </c>
      <c r="N131" s="97">
        <f t="shared" si="556"/>
        <v>0</v>
      </c>
      <c r="O131" s="97">
        <f t="shared" si="556"/>
        <v>0</v>
      </c>
      <c r="P131" s="97">
        <f t="shared" ref="P131:R131" si="557">IF(BI131=0,SUM(Y131+AB131+AE131+AH131+AK131+AN131+AQ131+AT131+AW131+AZ131+BC131+BF131),BI131)</f>
        <v>0</v>
      </c>
      <c r="Q131" s="97">
        <f t="shared" si="557"/>
        <v>0</v>
      </c>
      <c r="R131" s="97">
        <f t="shared" si="557"/>
        <v>0</v>
      </c>
      <c r="S131" s="97">
        <f t="shared" ref="S131:T131" si="558">I131-M131</f>
        <v>0</v>
      </c>
      <c r="T131" s="97">
        <f t="shared" si="558"/>
        <v>0</v>
      </c>
      <c r="U131" s="97">
        <f t="shared" ref="U131:U135" si="559">L131-O131</f>
        <v>0</v>
      </c>
      <c r="V131" s="98" t="e">
        <f t="shared" ref="V131:W131" si="560">M131/I131</f>
        <v>#DIV/0!</v>
      </c>
      <c r="W131" s="98" t="e">
        <f t="shared" si="560"/>
        <v>#DIV/0!</v>
      </c>
      <c r="X131" s="98" t="e">
        <f t="shared" ref="X131:X135" si="561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46"/>
        <v>#DIV/0!</v>
      </c>
      <c r="H132" s="94" t="e">
        <f t="shared" si="547"/>
        <v>#DIV/0!</v>
      </c>
      <c r="I132" s="96"/>
      <c r="J132" s="96"/>
      <c r="K132" s="96"/>
      <c r="L132" s="83"/>
      <c r="M132" s="97">
        <f t="shared" ref="M132:O132" si="562">Y132+AB132+AE132+AH132+AK132+AN132+AQ132+AT132+AW132+AZ132+BC132+BF132</f>
        <v>0</v>
      </c>
      <c r="N132" s="97">
        <f t="shared" si="562"/>
        <v>0</v>
      </c>
      <c r="O132" s="97">
        <f t="shared" si="562"/>
        <v>0</v>
      </c>
      <c r="P132" s="97">
        <f t="shared" ref="P132:R132" si="563">IF(BI132=0,SUM(Y132+AB132+AE132+AH132+AK132+AN132+AQ132+AT132+AW132+AZ132+BC132+BF132),BI132)</f>
        <v>0</v>
      </c>
      <c r="Q132" s="97">
        <f t="shared" si="563"/>
        <v>0</v>
      </c>
      <c r="R132" s="97">
        <f t="shared" si="563"/>
        <v>0</v>
      </c>
      <c r="S132" s="97">
        <f t="shared" ref="S132:T132" si="564">I132-M132</f>
        <v>0</v>
      </c>
      <c r="T132" s="97">
        <f t="shared" si="564"/>
        <v>0</v>
      </c>
      <c r="U132" s="97">
        <f t="shared" si="559"/>
        <v>0</v>
      </c>
      <c r="V132" s="98" t="e">
        <f t="shared" ref="V132:W132" si="565">M132/I132</f>
        <v>#DIV/0!</v>
      </c>
      <c r="W132" s="98" t="e">
        <f t="shared" si="565"/>
        <v>#DIV/0!</v>
      </c>
      <c r="X132" s="98" t="e">
        <f t="shared" si="561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46"/>
        <v>#DIV/0!</v>
      </c>
      <c r="H133" s="94" t="e">
        <f t="shared" si="547"/>
        <v>#DIV/0!</v>
      </c>
      <c r="I133" s="96"/>
      <c r="J133" s="96"/>
      <c r="K133" s="96"/>
      <c r="L133" s="96"/>
      <c r="M133" s="97">
        <f t="shared" ref="M133:O133" si="566">Y133+AB133+AE133+AH133+AK133+AN133+AQ133+AT133+AW133+AZ133+BC133+BF133</f>
        <v>0</v>
      </c>
      <c r="N133" s="97">
        <f t="shared" si="566"/>
        <v>0</v>
      </c>
      <c r="O133" s="97">
        <f t="shared" si="566"/>
        <v>0</v>
      </c>
      <c r="P133" s="97">
        <f t="shared" ref="P133:R133" si="567">IF(BI133=0,SUM(Y133+AB133+AE133+AH133+AK133+AN133+AQ133+AT133+AW133+AZ133+BC133+BF133),BI133)</f>
        <v>0</v>
      </c>
      <c r="Q133" s="97">
        <f t="shared" si="567"/>
        <v>0</v>
      </c>
      <c r="R133" s="97">
        <f t="shared" si="567"/>
        <v>0</v>
      </c>
      <c r="S133" s="97">
        <f t="shared" ref="S133:T133" si="568">I133-M133</f>
        <v>0</v>
      </c>
      <c r="T133" s="97">
        <f t="shared" si="568"/>
        <v>0</v>
      </c>
      <c r="U133" s="97">
        <f t="shared" si="559"/>
        <v>0</v>
      </c>
      <c r="V133" s="98" t="e">
        <f t="shared" ref="V133:W133" si="569">M133/I133</f>
        <v>#DIV/0!</v>
      </c>
      <c r="W133" s="98" t="e">
        <f t="shared" si="569"/>
        <v>#DIV/0!</v>
      </c>
      <c r="X133" s="98" t="e">
        <f t="shared" si="561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46"/>
        <v>#DIV/0!</v>
      </c>
      <c r="H134" s="94" t="e">
        <f t="shared" si="547"/>
        <v>#DIV/0!</v>
      </c>
      <c r="I134" s="96"/>
      <c r="J134" s="96"/>
      <c r="K134" s="96"/>
      <c r="L134" s="96"/>
      <c r="M134" s="97">
        <f t="shared" ref="M134:O134" si="570">Y134+AB134+AE134+AH134+AK134+AN134+AQ134+AT134+AW134+AZ134+BC134+BF134</f>
        <v>0</v>
      </c>
      <c r="N134" s="97">
        <f t="shared" si="570"/>
        <v>0</v>
      </c>
      <c r="O134" s="97">
        <f t="shared" si="570"/>
        <v>0</v>
      </c>
      <c r="P134" s="97">
        <f t="shared" ref="P134:R134" si="571">IF(BI134=0,SUM(Y134+AB134+AE134+AH134+AK134+AN134+AQ134+AT134+AW134+AZ134+BC134+BF134),BI134)</f>
        <v>0</v>
      </c>
      <c r="Q134" s="97">
        <f t="shared" si="571"/>
        <v>0</v>
      </c>
      <c r="R134" s="97">
        <f t="shared" si="571"/>
        <v>0</v>
      </c>
      <c r="S134" s="97">
        <f t="shared" ref="S134:T134" si="572">I134-M134</f>
        <v>0</v>
      </c>
      <c r="T134" s="97">
        <f t="shared" si="572"/>
        <v>0</v>
      </c>
      <c r="U134" s="97">
        <f t="shared" si="559"/>
        <v>0</v>
      </c>
      <c r="V134" s="98" t="e">
        <f t="shared" ref="V134:W134" si="573">M134/I134</f>
        <v>#DIV/0!</v>
      </c>
      <c r="W134" s="98" t="e">
        <f t="shared" si="573"/>
        <v>#DIV/0!</v>
      </c>
      <c r="X134" s="98" t="e">
        <f t="shared" si="561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46"/>
        <v>#DIV/0!</v>
      </c>
      <c r="H135" s="94" t="e">
        <f t="shared" si="547"/>
        <v>#DIV/0!</v>
      </c>
      <c r="I135" s="96"/>
      <c r="J135" s="96"/>
      <c r="K135" s="96"/>
      <c r="L135" s="239"/>
      <c r="M135" s="97">
        <f t="shared" ref="M135:O135" si="574">Y135+AB135+AE135+AH135+AK135+AN135+AQ135+AT135+AW135+AZ135+BC135+BF135</f>
        <v>0</v>
      </c>
      <c r="N135" s="97">
        <f t="shared" si="574"/>
        <v>0</v>
      </c>
      <c r="O135" s="97">
        <f t="shared" si="574"/>
        <v>0</v>
      </c>
      <c r="P135" s="97">
        <f t="shared" ref="P135:R135" si="575">IF(BI135=0,SUM(Y135+AB135+AE135+AH135+AK135+AN135+AQ135+AT135+AW135+AZ135+BC135+BF135),BI135)</f>
        <v>0</v>
      </c>
      <c r="Q135" s="97">
        <f t="shared" si="575"/>
        <v>0</v>
      </c>
      <c r="R135" s="97">
        <f t="shared" si="575"/>
        <v>0</v>
      </c>
      <c r="S135" s="97">
        <f t="shared" ref="S135:T135" si="576">I135-M135</f>
        <v>0</v>
      </c>
      <c r="T135" s="97">
        <f t="shared" si="576"/>
        <v>0</v>
      </c>
      <c r="U135" s="97">
        <f t="shared" si="559"/>
        <v>0</v>
      </c>
      <c r="V135" s="98" t="e">
        <f t="shared" ref="V135:W135" si="577">M135/I135</f>
        <v>#DIV/0!</v>
      </c>
      <c r="W135" s="98" t="e">
        <f t="shared" si="577"/>
        <v>#DIV/0!</v>
      </c>
      <c r="X135" s="98" t="e">
        <f t="shared" si="561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78">SUM(E137:E139)</f>
        <v>0</v>
      </c>
      <c r="F136" s="242">
        <f t="shared" si="578"/>
        <v>867964.47</v>
      </c>
      <c r="G136" s="187" t="e">
        <f t="shared" si="546"/>
        <v>#DIV/0!</v>
      </c>
      <c r="H136" s="187" t="e">
        <f t="shared" si="547"/>
        <v>#DIV/0!</v>
      </c>
      <c r="I136" s="242">
        <f t="shared" ref="I136:O136" si="579">SUM(I137:I139)</f>
        <v>0</v>
      </c>
      <c r="J136" s="242">
        <f t="shared" si="579"/>
        <v>203666.88</v>
      </c>
      <c r="K136" s="242">
        <f t="shared" si="579"/>
        <v>0</v>
      </c>
      <c r="L136" s="242">
        <f t="shared" si="579"/>
        <v>0</v>
      </c>
      <c r="M136" s="242">
        <f t="shared" si="579"/>
        <v>0</v>
      </c>
      <c r="N136" s="243">
        <f t="shared" si="579"/>
        <v>0</v>
      </c>
      <c r="O136" s="243">
        <f t="shared" si="579"/>
        <v>0</v>
      </c>
      <c r="P136" s="243">
        <f t="shared" ref="P136:R136" si="580">IF(BI136=0,SUM(Y136+AB136+AE136+AH136+AK136+AN136+AQ136+AT136+AW136+AZ136+BC136+BF136),BI136)</f>
        <v>0</v>
      </c>
      <c r="Q136" s="243">
        <f t="shared" si="580"/>
        <v>0</v>
      </c>
      <c r="R136" s="243">
        <f t="shared" si="580"/>
        <v>0</v>
      </c>
      <c r="S136" s="242">
        <f t="shared" ref="S136:BK136" si="581">SUM(S137:S139)</f>
        <v>0</v>
      </c>
      <c r="T136" s="186">
        <f t="shared" si="581"/>
        <v>203666.88</v>
      </c>
      <c r="U136" s="186">
        <f t="shared" si="581"/>
        <v>0</v>
      </c>
      <c r="V136" s="186" t="e">
        <f t="shared" si="581"/>
        <v>#DIV/0!</v>
      </c>
      <c r="W136" s="186" t="e">
        <f t="shared" si="581"/>
        <v>#DIV/0!</v>
      </c>
      <c r="X136" s="186" t="e">
        <f t="shared" si="581"/>
        <v>#DIV/0!</v>
      </c>
      <c r="Y136" s="242">
        <f t="shared" si="581"/>
        <v>0</v>
      </c>
      <c r="Z136" s="242">
        <f t="shared" si="581"/>
        <v>0</v>
      </c>
      <c r="AA136" s="242">
        <f t="shared" si="581"/>
        <v>0</v>
      </c>
      <c r="AB136" s="242">
        <f t="shared" si="581"/>
        <v>0</v>
      </c>
      <c r="AC136" s="242">
        <f t="shared" si="581"/>
        <v>0</v>
      </c>
      <c r="AD136" s="242">
        <f t="shared" si="581"/>
        <v>0</v>
      </c>
      <c r="AE136" s="242">
        <f t="shared" si="581"/>
        <v>0</v>
      </c>
      <c r="AF136" s="242">
        <f t="shared" si="581"/>
        <v>0</v>
      </c>
      <c r="AG136" s="242">
        <f t="shared" si="581"/>
        <v>0</v>
      </c>
      <c r="AH136" s="242">
        <f t="shared" si="581"/>
        <v>0</v>
      </c>
      <c r="AI136" s="242">
        <f t="shared" si="581"/>
        <v>0</v>
      </c>
      <c r="AJ136" s="242">
        <f t="shared" si="581"/>
        <v>0</v>
      </c>
      <c r="AK136" s="242">
        <f t="shared" si="581"/>
        <v>0</v>
      </c>
      <c r="AL136" s="242">
        <f t="shared" si="581"/>
        <v>0</v>
      </c>
      <c r="AM136" s="242">
        <f t="shared" si="581"/>
        <v>0</v>
      </c>
      <c r="AN136" s="242">
        <f t="shared" si="581"/>
        <v>0</v>
      </c>
      <c r="AO136" s="242">
        <f t="shared" si="581"/>
        <v>0</v>
      </c>
      <c r="AP136" s="242">
        <f t="shared" si="581"/>
        <v>0</v>
      </c>
      <c r="AQ136" s="242">
        <f t="shared" si="581"/>
        <v>0</v>
      </c>
      <c r="AR136" s="242">
        <f t="shared" si="581"/>
        <v>0</v>
      </c>
      <c r="AS136" s="242">
        <f t="shared" si="581"/>
        <v>0</v>
      </c>
      <c r="AT136" s="242">
        <f t="shared" si="581"/>
        <v>0</v>
      </c>
      <c r="AU136" s="242">
        <f t="shared" si="581"/>
        <v>0</v>
      </c>
      <c r="AV136" s="242">
        <f t="shared" si="581"/>
        <v>0</v>
      </c>
      <c r="AW136" s="242">
        <f t="shared" si="581"/>
        <v>0</v>
      </c>
      <c r="AX136" s="242">
        <f t="shared" si="581"/>
        <v>0</v>
      </c>
      <c r="AY136" s="242">
        <f t="shared" si="581"/>
        <v>0</v>
      </c>
      <c r="AZ136" s="242">
        <f t="shared" si="581"/>
        <v>0</v>
      </c>
      <c r="BA136" s="242">
        <f t="shared" si="581"/>
        <v>0</v>
      </c>
      <c r="BB136" s="242">
        <f t="shared" si="581"/>
        <v>0</v>
      </c>
      <c r="BC136" s="242">
        <f t="shared" si="581"/>
        <v>0</v>
      </c>
      <c r="BD136" s="242">
        <f t="shared" si="581"/>
        <v>0</v>
      </c>
      <c r="BE136" s="242">
        <f t="shared" si="581"/>
        <v>0</v>
      </c>
      <c r="BF136" s="242">
        <f t="shared" si="581"/>
        <v>0</v>
      </c>
      <c r="BG136" s="242">
        <f t="shared" si="581"/>
        <v>0</v>
      </c>
      <c r="BH136" s="242">
        <f t="shared" si="581"/>
        <v>0</v>
      </c>
      <c r="BI136" s="242">
        <f t="shared" si="581"/>
        <v>0</v>
      </c>
      <c r="BJ136" s="242">
        <f t="shared" si="581"/>
        <v>0</v>
      </c>
      <c r="BK136" s="242">
        <f t="shared" si="581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82">I137/#REF!</f>
        <v>#REF!</v>
      </c>
      <c r="H137" s="94" t="e">
        <f t="shared" ref="H137:H138" si="583">M137/#REF!</f>
        <v>#REF!</v>
      </c>
      <c r="I137" s="96"/>
      <c r="J137" s="96">
        <v>193192.78</v>
      </c>
      <c r="K137" s="96"/>
      <c r="L137" s="96"/>
      <c r="M137" s="97">
        <f t="shared" ref="M137:O137" si="584">Y137+AB137+AE137+AH137+AK137+AN137+AQ137+AT137+AW137+AZ137+BC137+BF137</f>
        <v>0</v>
      </c>
      <c r="N137" s="97">
        <f t="shared" si="584"/>
        <v>0</v>
      </c>
      <c r="O137" s="97">
        <f t="shared" si="584"/>
        <v>0</v>
      </c>
      <c r="P137" s="97">
        <f t="shared" ref="P137:R137" si="585">IF(BI137=0,SUM(Y137+AB137+AE137+AH137+AK137+AN137+AQ137+AT137+AW137+AZ137+BC137+BF137),BI137)</f>
        <v>0</v>
      </c>
      <c r="Q137" s="97">
        <f t="shared" si="585"/>
        <v>0</v>
      </c>
      <c r="R137" s="97">
        <f t="shared" si="585"/>
        <v>0</v>
      </c>
      <c r="S137" s="97">
        <f t="shared" ref="S137:T137" si="586">I137-M137</f>
        <v>0</v>
      </c>
      <c r="T137" s="97">
        <f t="shared" si="586"/>
        <v>193192.78</v>
      </c>
      <c r="U137" s="97">
        <f t="shared" ref="U137:U139" si="587">L137-O137</f>
        <v>0</v>
      </c>
      <c r="V137" s="98" t="e">
        <f t="shared" ref="V137:W137" si="588">M137/I137</f>
        <v>#DIV/0!</v>
      </c>
      <c r="W137" s="98">
        <f t="shared" si="588"/>
        <v>0</v>
      </c>
      <c r="X137" s="98" t="e">
        <f t="shared" ref="X137:X139" si="589">O137/L137</f>
        <v>#DIV/0!</v>
      </c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82"/>
        <v>#REF!</v>
      </c>
      <c r="H138" s="94" t="e">
        <f t="shared" si="583"/>
        <v>#REF!</v>
      </c>
      <c r="I138" s="119"/>
      <c r="J138" s="96"/>
      <c r="K138" s="96"/>
      <c r="L138" s="202"/>
      <c r="M138" s="97">
        <f t="shared" ref="M138:O138" si="590">Y138+AB138+AE138+AH138+AK138+AN138+AQ138+AT138+AW138+AZ138+BC138+BF138</f>
        <v>0</v>
      </c>
      <c r="N138" s="97">
        <f t="shared" si="590"/>
        <v>0</v>
      </c>
      <c r="O138" s="97">
        <f t="shared" si="590"/>
        <v>0</v>
      </c>
      <c r="P138" s="97">
        <f t="shared" ref="P138:R138" si="591">IF(BI138=0,SUM(Y138+AB138+AE138+AH138+AK138+AN138+AQ138+AT138+AW138+AZ138+BC138+BF138),BI138)</f>
        <v>0</v>
      </c>
      <c r="Q138" s="97">
        <f t="shared" si="591"/>
        <v>0</v>
      </c>
      <c r="R138" s="97">
        <f t="shared" si="591"/>
        <v>0</v>
      </c>
      <c r="S138" s="97">
        <f t="shared" ref="S138:T138" si="592">I138-M138</f>
        <v>0</v>
      </c>
      <c r="T138" s="97">
        <f t="shared" si="592"/>
        <v>0</v>
      </c>
      <c r="U138" s="97">
        <f t="shared" si="587"/>
        <v>0</v>
      </c>
      <c r="V138" s="98" t="e">
        <f t="shared" ref="V138:W138" si="593">M138/I138</f>
        <v>#DIV/0!</v>
      </c>
      <c r="W138" s="98" t="e">
        <f t="shared" si="593"/>
        <v>#DIV/0!</v>
      </c>
      <c r="X138" s="98" t="e">
        <f t="shared" si="589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94">I139/E139</f>
        <v>#DIV/0!</v>
      </c>
      <c r="H139" s="94" t="e">
        <f t="shared" ref="H139:H143" si="595">M139/E139</f>
        <v>#DIV/0!</v>
      </c>
      <c r="I139" s="96"/>
      <c r="J139" s="96">
        <v>10474.1</v>
      </c>
      <c r="K139" s="96"/>
      <c r="L139" s="244"/>
      <c r="M139" s="97">
        <f t="shared" ref="M139:O139" si="596">Y139+AB139+AE139+AH139+AK139+AN139+AQ139+AT139+AW139+AZ139+BC139+BF139</f>
        <v>0</v>
      </c>
      <c r="N139" s="97">
        <f t="shared" si="596"/>
        <v>0</v>
      </c>
      <c r="O139" s="97">
        <f t="shared" si="596"/>
        <v>0</v>
      </c>
      <c r="P139" s="97">
        <f t="shared" ref="P139:R139" si="597">IF(BI139=0,SUM(Y139+AB139+AE139+AH139+AK139+AN139+AQ139+AT139+AW139+AZ139+BC139+BF139),BI139)</f>
        <v>0</v>
      </c>
      <c r="Q139" s="97">
        <f t="shared" si="597"/>
        <v>0</v>
      </c>
      <c r="R139" s="97">
        <f t="shared" si="597"/>
        <v>0</v>
      </c>
      <c r="S139" s="97">
        <f t="shared" ref="S139:T139" si="598">I139-M139</f>
        <v>0</v>
      </c>
      <c r="T139" s="97">
        <f t="shared" si="598"/>
        <v>10474.1</v>
      </c>
      <c r="U139" s="97">
        <f t="shared" si="587"/>
        <v>0</v>
      </c>
      <c r="V139" s="98" t="e">
        <f t="shared" ref="V139:W139" si="599">M139/I139</f>
        <v>#DIV/0!</v>
      </c>
      <c r="W139" s="98">
        <f t="shared" si="599"/>
        <v>0</v>
      </c>
      <c r="X139" s="98" t="e">
        <f t="shared" si="589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600">SUM(E141:E143)</f>
        <v>0</v>
      </c>
      <c r="F140" s="242">
        <f t="shared" si="600"/>
        <v>90000</v>
      </c>
      <c r="G140" s="187" t="e">
        <f t="shared" si="594"/>
        <v>#DIV/0!</v>
      </c>
      <c r="H140" s="187" t="e">
        <f t="shared" si="595"/>
        <v>#DIV/0!</v>
      </c>
      <c r="I140" s="242">
        <f>SUM(I141:I143)</f>
        <v>0</v>
      </c>
      <c r="J140" s="242">
        <f t="shared" ref="J140:K140" si="601">SUM(J141:J144)</f>
        <v>4237.2</v>
      </c>
      <c r="K140" s="242">
        <f t="shared" si="601"/>
        <v>0</v>
      </c>
      <c r="L140" s="242">
        <f t="shared" ref="L140:O140" si="602">SUM(L141:L143)</f>
        <v>0</v>
      </c>
      <c r="M140" s="242">
        <f t="shared" si="602"/>
        <v>0</v>
      </c>
      <c r="N140" s="243">
        <f t="shared" si="602"/>
        <v>0</v>
      </c>
      <c r="O140" s="243">
        <f t="shared" si="602"/>
        <v>0</v>
      </c>
      <c r="P140" s="243">
        <f t="shared" ref="P140:R140" si="603">IF(BI140=0,SUM(Y140+AB140+AE140+AH140+AK140+AN140+AQ140+AT140+AW140+AZ140+BC140+BF140),BI140)</f>
        <v>0</v>
      </c>
      <c r="Q140" s="243">
        <f t="shared" si="603"/>
        <v>0</v>
      </c>
      <c r="R140" s="243">
        <f t="shared" si="603"/>
        <v>0</v>
      </c>
      <c r="S140" s="242">
        <f t="shared" ref="S140:BK140" si="604">SUM(S141:S143)</f>
        <v>0</v>
      </c>
      <c r="T140" s="186">
        <f t="shared" si="604"/>
        <v>0</v>
      </c>
      <c r="U140" s="186">
        <f t="shared" si="604"/>
        <v>0</v>
      </c>
      <c r="V140" s="186" t="e">
        <f t="shared" si="604"/>
        <v>#DIV/0!</v>
      </c>
      <c r="W140" s="186" t="e">
        <f t="shared" si="604"/>
        <v>#DIV/0!</v>
      </c>
      <c r="X140" s="186" t="e">
        <f t="shared" si="604"/>
        <v>#DIV/0!</v>
      </c>
      <c r="Y140" s="242">
        <f t="shared" si="604"/>
        <v>0</v>
      </c>
      <c r="Z140" s="242">
        <f t="shared" si="604"/>
        <v>0</v>
      </c>
      <c r="AA140" s="242">
        <f t="shared" si="604"/>
        <v>0</v>
      </c>
      <c r="AB140" s="242">
        <f t="shared" si="604"/>
        <v>0</v>
      </c>
      <c r="AC140" s="242">
        <f t="shared" si="604"/>
        <v>0</v>
      </c>
      <c r="AD140" s="242">
        <f t="shared" si="604"/>
        <v>0</v>
      </c>
      <c r="AE140" s="242">
        <f t="shared" si="604"/>
        <v>0</v>
      </c>
      <c r="AF140" s="242">
        <f t="shared" si="604"/>
        <v>0</v>
      </c>
      <c r="AG140" s="242">
        <f t="shared" si="604"/>
        <v>0</v>
      </c>
      <c r="AH140" s="242">
        <f t="shared" si="604"/>
        <v>0</v>
      </c>
      <c r="AI140" s="242">
        <f t="shared" si="604"/>
        <v>0</v>
      </c>
      <c r="AJ140" s="242">
        <f t="shared" si="604"/>
        <v>0</v>
      </c>
      <c r="AK140" s="242">
        <f t="shared" si="604"/>
        <v>0</v>
      </c>
      <c r="AL140" s="242">
        <f t="shared" si="604"/>
        <v>0</v>
      </c>
      <c r="AM140" s="242">
        <f t="shared" si="604"/>
        <v>0</v>
      </c>
      <c r="AN140" s="242">
        <f t="shared" si="604"/>
        <v>0</v>
      </c>
      <c r="AO140" s="242">
        <f t="shared" si="604"/>
        <v>0</v>
      </c>
      <c r="AP140" s="242">
        <f t="shared" si="604"/>
        <v>0</v>
      </c>
      <c r="AQ140" s="242">
        <f t="shared" si="604"/>
        <v>0</v>
      </c>
      <c r="AR140" s="242">
        <f t="shared" si="604"/>
        <v>0</v>
      </c>
      <c r="AS140" s="242">
        <f t="shared" si="604"/>
        <v>0</v>
      </c>
      <c r="AT140" s="242">
        <f t="shared" si="604"/>
        <v>0</v>
      </c>
      <c r="AU140" s="242">
        <f t="shared" si="604"/>
        <v>0</v>
      </c>
      <c r="AV140" s="242">
        <f t="shared" si="604"/>
        <v>0</v>
      </c>
      <c r="AW140" s="242">
        <f t="shared" si="604"/>
        <v>0</v>
      </c>
      <c r="AX140" s="242">
        <f t="shared" si="604"/>
        <v>0</v>
      </c>
      <c r="AY140" s="242">
        <f t="shared" si="604"/>
        <v>0</v>
      </c>
      <c r="AZ140" s="242">
        <f t="shared" si="604"/>
        <v>0</v>
      </c>
      <c r="BA140" s="242">
        <f t="shared" si="604"/>
        <v>0</v>
      </c>
      <c r="BB140" s="242">
        <f t="shared" si="604"/>
        <v>0</v>
      </c>
      <c r="BC140" s="242">
        <f t="shared" si="604"/>
        <v>0</v>
      </c>
      <c r="BD140" s="242">
        <f t="shared" si="604"/>
        <v>0</v>
      </c>
      <c r="BE140" s="242">
        <f t="shared" si="604"/>
        <v>0</v>
      </c>
      <c r="BF140" s="242">
        <f t="shared" si="604"/>
        <v>0</v>
      </c>
      <c r="BG140" s="242">
        <f t="shared" si="604"/>
        <v>0</v>
      </c>
      <c r="BH140" s="242">
        <f t="shared" si="604"/>
        <v>0</v>
      </c>
      <c r="BI140" s="242">
        <f t="shared" si="604"/>
        <v>0</v>
      </c>
      <c r="BJ140" s="242">
        <f t="shared" si="604"/>
        <v>0</v>
      </c>
      <c r="BK140" s="242">
        <f t="shared" si="604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391</v>
      </c>
      <c r="E141" s="166"/>
      <c r="F141" s="147">
        <v>90000</v>
      </c>
      <c r="G141" s="94" t="e">
        <f t="shared" si="594"/>
        <v>#DIV/0!</v>
      </c>
      <c r="H141" s="94" t="e">
        <f t="shared" si="595"/>
        <v>#DIV/0!</v>
      </c>
      <c r="I141" s="96"/>
      <c r="J141" s="96"/>
      <c r="K141" s="96"/>
      <c r="L141" s="202"/>
      <c r="M141" s="97">
        <f t="shared" ref="M141:O141" si="605">Y141+AB141+AE141+AH141+AK141+AN141+AQ141+AT141+AW141+AZ141+BC141+BF141</f>
        <v>0</v>
      </c>
      <c r="N141" s="97">
        <f t="shared" si="605"/>
        <v>0</v>
      </c>
      <c r="O141" s="97">
        <f t="shared" si="605"/>
        <v>0</v>
      </c>
      <c r="P141" s="97">
        <f t="shared" ref="P141:R141" si="606">IF(BI141=0,SUM(Y141+AB141+AE141+AH141+AK141+AN141+AQ141+AT141+AW141+AZ141+BC141+BF141),BI141)</f>
        <v>0</v>
      </c>
      <c r="Q141" s="97">
        <f t="shared" si="606"/>
        <v>0</v>
      </c>
      <c r="R141" s="97">
        <f t="shared" si="606"/>
        <v>0</v>
      </c>
      <c r="S141" s="97">
        <f t="shared" ref="S141:T141" si="607">I141-M141</f>
        <v>0</v>
      </c>
      <c r="T141" s="97">
        <f t="shared" si="607"/>
        <v>0</v>
      </c>
      <c r="U141" s="97">
        <f t="shared" ref="U141:U143" si="608">L141-O141</f>
        <v>0</v>
      </c>
      <c r="V141" s="98" t="e">
        <f t="shared" ref="V141:W141" si="609">M141/I141</f>
        <v>#DIV/0!</v>
      </c>
      <c r="W141" s="98" t="e">
        <f t="shared" si="609"/>
        <v>#DIV/0!</v>
      </c>
      <c r="X141" s="98" t="e">
        <f t="shared" ref="X141:X143" si="610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94"/>
        <v>#DIV/0!</v>
      </c>
      <c r="H142" s="94" t="e">
        <f t="shared" si="595"/>
        <v>#DIV/0!</v>
      </c>
      <c r="I142" s="202"/>
      <c r="J142" s="96"/>
      <c r="K142" s="96"/>
      <c r="L142" s="202"/>
      <c r="M142" s="97">
        <f t="shared" ref="M142:O142" si="611">Y142+AB142+AE142+AH142+AK142+AN142+AQ142+AT142+AW142+AZ142+BC142+BF142</f>
        <v>0</v>
      </c>
      <c r="N142" s="97">
        <f t="shared" si="611"/>
        <v>0</v>
      </c>
      <c r="O142" s="97">
        <f t="shared" si="611"/>
        <v>0</v>
      </c>
      <c r="P142" s="97">
        <f t="shared" ref="P142:R142" si="612">IF(BI142=0,SUM(Y142+AB142+AE142+AH142+AK142+AN142+AQ142+AT142+AW142+AZ142+BC142+BF142),BI142)</f>
        <v>0</v>
      </c>
      <c r="Q142" s="97">
        <f t="shared" si="612"/>
        <v>0</v>
      </c>
      <c r="R142" s="97">
        <f t="shared" si="612"/>
        <v>0</v>
      </c>
      <c r="S142" s="97">
        <f t="shared" ref="S142:T142" si="613">I142-M142</f>
        <v>0</v>
      </c>
      <c r="T142" s="97">
        <f t="shared" si="613"/>
        <v>0</v>
      </c>
      <c r="U142" s="97">
        <f t="shared" si="608"/>
        <v>0</v>
      </c>
      <c r="V142" s="98" t="e">
        <f t="shared" ref="V142:W142" si="614">M142/I142</f>
        <v>#DIV/0!</v>
      </c>
      <c r="W142" s="98" t="e">
        <f t="shared" si="614"/>
        <v>#DIV/0!</v>
      </c>
      <c r="X142" s="98" t="e">
        <f t="shared" si="610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94"/>
        <v>#DIV/0!</v>
      </c>
      <c r="H143" s="94" t="e">
        <f t="shared" si="595"/>
        <v>#DIV/0!</v>
      </c>
      <c r="I143" s="96"/>
      <c r="J143" s="96"/>
      <c r="K143" s="96"/>
      <c r="L143" s="244"/>
      <c r="M143" s="97">
        <f t="shared" ref="M143:O143" si="615">Y143+AB143+AE143+AH143+AK143+AN143+AQ143+AT143+AW143+AZ143+BC143+BF143</f>
        <v>0</v>
      </c>
      <c r="N143" s="97">
        <f t="shared" si="615"/>
        <v>0</v>
      </c>
      <c r="O143" s="97">
        <f t="shared" si="615"/>
        <v>0</v>
      </c>
      <c r="P143" s="97">
        <f t="shared" ref="P143:R143" si="616">IF(BI143=0,SUM(Y143+AB143+AE143+AH143+AK143+AN143+AQ143+AT143+AW143+AZ143+BC143+BF143),BI143)</f>
        <v>0</v>
      </c>
      <c r="Q143" s="97">
        <f t="shared" si="616"/>
        <v>0</v>
      </c>
      <c r="R143" s="97">
        <f t="shared" si="616"/>
        <v>0</v>
      </c>
      <c r="S143" s="97">
        <f t="shared" ref="S143:T143" si="617">I143-M143</f>
        <v>0</v>
      </c>
      <c r="T143" s="97">
        <f t="shared" si="617"/>
        <v>0</v>
      </c>
      <c r="U143" s="97">
        <f t="shared" si="608"/>
        <v>0</v>
      </c>
      <c r="V143" s="98" t="e">
        <f t="shared" ref="V143:W143" si="618">M143/I143</f>
        <v>#DIV/0!</v>
      </c>
      <c r="W143" s="98" t="e">
        <f t="shared" si="618"/>
        <v>#DIV/0!</v>
      </c>
      <c r="X143" s="98" t="e">
        <f t="shared" si="610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/>
      <c r="O144" s="97"/>
      <c r="P144" s="97"/>
      <c r="Q144" s="97"/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619">SUM(E146:E149)</f>
        <v>0</v>
      </c>
      <c r="F145" s="186">
        <f t="shared" si="619"/>
        <v>0</v>
      </c>
      <c r="G145" s="223" t="e">
        <f t="shared" ref="G145:G147" si="620">I145/E145</f>
        <v>#DIV/0!</v>
      </c>
      <c r="H145" s="187" t="e">
        <f t="shared" ref="H145:H147" si="621">M145/E145</f>
        <v>#DIV/0!</v>
      </c>
      <c r="I145" s="186">
        <f t="shared" ref="I145:O145" si="622">SUM(I146:I149)</f>
        <v>0</v>
      </c>
      <c r="J145" s="186">
        <f t="shared" si="622"/>
        <v>500</v>
      </c>
      <c r="K145" s="186">
        <f t="shared" si="622"/>
        <v>0</v>
      </c>
      <c r="L145" s="186">
        <f t="shared" si="622"/>
        <v>0</v>
      </c>
      <c r="M145" s="186">
        <f t="shared" si="622"/>
        <v>0</v>
      </c>
      <c r="N145" s="186">
        <f t="shared" si="622"/>
        <v>0</v>
      </c>
      <c r="O145" s="186">
        <f t="shared" si="622"/>
        <v>0</v>
      </c>
      <c r="P145" s="245">
        <f t="shared" ref="P145:R145" si="623">IF(BI145=0,SUM(Y145+AB145+AE145+AH145+AK145+AN145+AQ145+AT145+AW145+AZ145+BC145+BF145),BI145)</f>
        <v>0</v>
      </c>
      <c r="Q145" s="245">
        <f t="shared" si="623"/>
        <v>500</v>
      </c>
      <c r="R145" s="245">
        <f t="shared" si="623"/>
        <v>0</v>
      </c>
      <c r="S145" s="186">
        <f t="shared" ref="S145:U145" si="624">SUM(S146:S149)</f>
        <v>0</v>
      </c>
      <c r="T145" s="186">
        <f t="shared" si="624"/>
        <v>0</v>
      </c>
      <c r="U145" s="186">
        <f t="shared" si="624"/>
        <v>0</v>
      </c>
      <c r="V145" s="189" t="e">
        <f t="shared" ref="V145:W145" si="625">M145/I145</f>
        <v>#DIV/0!</v>
      </c>
      <c r="W145" s="189">
        <f t="shared" si="625"/>
        <v>0</v>
      </c>
      <c r="X145" s="189" t="e">
        <f t="shared" ref="X145:X147" si="626">O145/L145</f>
        <v>#DIV/0!</v>
      </c>
      <c r="Y145" s="186">
        <f t="shared" ref="Y145:BK145" si="627">SUM(Y146:Y149)</f>
        <v>0</v>
      </c>
      <c r="Z145" s="186">
        <f t="shared" si="627"/>
        <v>500</v>
      </c>
      <c r="AA145" s="186">
        <f t="shared" si="627"/>
        <v>0</v>
      </c>
      <c r="AB145" s="186">
        <f t="shared" si="627"/>
        <v>0</v>
      </c>
      <c r="AC145" s="186">
        <f t="shared" si="627"/>
        <v>0</v>
      </c>
      <c r="AD145" s="186">
        <f t="shared" si="627"/>
        <v>0</v>
      </c>
      <c r="AE145" s="186">
        <f t="shared" si="627"/>
        <v>0</v>
      </c>
      <c r="AF145" s="186">
        <f t="shared" si="627"/>
        <v>0</v>
      </c>
      <c r="AG145" s="186">
        <f t="shared" si="627"/>
        <v>0</v>
      </c>
      <c r="AH145" s="186">
        <f t="shared" si="627"/>
        <v>0</v>
      </c>
      <c r="AI145" s="186">
        <f t="shared" si="627"/>
        <v>0</v>
      </c>
      <c r="AJ145" s="186">
        <f t="shared" si="627"/>
        <v>0</v>
      </c>
      <c r="AK145" s="186">
        <f t="shared" si="627"/>
        <v>0</v>
      </c>
      <c r="AL145" s="186">
        <f t="shared" si="627"/>
        <v>0</v>
      </c>
      <c r="AM145" s="186">
        <f t="shared" si="627"/>
        <v>0</v>
      </c>
      <c r="AN145" s="186">
        <f t="shared" si="627"/>
        <v>0</v>
      </c>
      <c r="AO145" s="186">
        <f t="shared" si="627"/>
        <v>0</v>
      </c>
      <c r="AP145" s="186">
        <f t="shared" si="627"/>
        <v>0</v>
      </c>
      <c r="AQ145" s="186">
        <f t="shared" si="627"/>
        <v>0</v>
      </c>
      <c r="AR145" s="186">
        <f t="shared" si="627"/>
        <v>0</v>
      </c>
      <c r="AS145" s="186">
        <f t="shared" si="627"/>
        <v>0</v>
      </c>
      <c r="AT145" s="186">
        <f t="shared" si="627"/>
        <v>0</v>
      </c>
      <c r="AU145" s="186">
        <f t="shared" si="627"/>
        <v>0</v>
      </c>
      <c r="AV145" s="186">
        <f t="shared" si="627"/>
        <v>0</v>
      </c>
      <c r="AW145" s="186">
        <f t="shared" si="627"/>
        <v>0</v>
      </c>
      <c r="AX145" s="186">
        <f t="shared" si="627"/>
        <v>0</v>
      </c>
      <c r="AY145" s="186">
        <f t="shared" si="627"/>
        <v>0</v>
      </c>
      <c r="AZ145" s="186">
        <f t="shared" si="627"/>
        <v>0</v>
      </c>
      <c r="BA145" s="186">
        <f t="shared" si="627"/>
        <v>0</v>
      </c>
      <c r="BB145" s="186">
        <f t="shared" si="627"/>
        <v>0</v>
      </c>
      <c r="BC145" s="186">
        <f t="shared" si="627"/>
        <v>0</v>
      </c>
      <c r="BD145" s="186">
        <f t="shared" si="627"/>
        <v>0</v>
      </c>
      <c r="BE145" s="186">
        <f t="shared" si="627"/>
        <v>0</v>
      </c>
      <c r="BF145" s="186">
        <f t="shared" si="627"/>
        <v>0</v>
      </c>
      <c r="BG145" s="186">
        <f t="shared" si="627"/>
        <v>0</v>
      </c>
      <c r="BH145" s="186">
        <f t="shared" si="627"/>
        <v>0</v>
      </c>
      <c r="BI145" s="186">
        <f t="shared" si="627"/>
        <v>0</v>
      </c>
      <c r="BJ145" s="186">
        <f t="shared" si="627"/>
        <v>0</v>
      </c>
      <c r="BK145" s="186">
        <f t="shared" si="627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620"/>
        <v>#DIV/0!</v>
      </c>
      <c r="H146" s="94" t="e">
        <f t="shared" si="621"/>
        <v>#DIV/0!</v>
      </c>
      <c r="I146" s="142"/>
      <c r="J146" s="96"/>
      <c r="K146" s="96"/>
      <c r="L146" s="202"/>
      <c r="M146" s="97">
        <f t="shared" ref="M146:O146" si="628">Y146+AB146+AE146+AH146+AK146+AN146+AQ146+AT146+AW146+AZ146+BC146+BF146</f>
        <v>0</v>
      </c>
      <c r="N146" s="97">
        <f t="shared" si="628"/>
        <v>0</v>
      </c>
      <c r="O146" s="97">
        <f t="shared" si="628"/>
        <v>0</v>
      </c>
      <c r="P146" s="97">
        <f t="shared" ref="P146:R146" si="629">IF(BI146=0,SUM(Y146+AB146+AE146+AH146+AK146+AN146+AQ146+AT146+AW146+AZ146+BC146+BF146),BI146)</f>
        <v>0</v>
      </c>
      <c r="Q146" s="97">
        <f t="shared" si="629"/>
        <v>0</v>
      </c>
      <c r="R146" s="97">
        <f t="shared" si="629"/>
        <v>0</v>
      </c>
      <c r="S146" s="97">
        <f t="shared" ref="S146:T146" si="630">I146-M146</f>
        <v>0</v>
      </c>
      <c r="T146" s="97">
        <f t="shared" si="630"/>
        <v>0</v>
      </c>
      <c r="U146" s="97">
        <f t="shared" ref="U146:U147" si="631">L146-O146</f>
        <v>0</v>
      </c>
      <c r="V146" s="98" t="e">
        <f t="shared" ref="V146:W146" si="632">M146/I146</f>
        <v>#DIV/0!</v>
      </c>
      <c r="W146" s="98" t="e">
        <f t="shared" si="632"/>
        <v>#DIV/0!</v>
      </c>
      <c r="X146" s="98" t="e">
        <f t="shared" si="626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620"/>
        <v>#DIV/0!</v>
      </c>
      <c r="H147" s="94" t="e">
        <f t="shared" si="621"/>
        <v>#DIV/0!</v>
      </c>
      <c r="I147" s="119"/>
      <c r="J147" s="96"/>
      <c r="K147" s="96"/>
      <c r="L147" s="202"/>
      <c r="M147" s="97">
        <f t="shared" ref="M147:O147" si="633">Y147+AB147+AE147+AH147+AK147+AN147+AQ147+AT147+AW147+AZ147+BC147+BF147</f>
        <v>0</v>
      </c>
      <c r="N147" s="97">
        <f t="shared" si="633"/>
        <v>0</v>
      </c>
      <c r="O147" s="97">
        <f t="shared" si="633"/>
        <v>0</v>
      </c>
      <c r="P147" s="97">
        <f t="shared" ref="P147:R147" si="634">IF(BI147=0,SUM(Y147+AB147+AE147+AH147+AK147+AN147+AQ147+AT147+AW147+AZ147+BC147+BF147),BI147)</f>
        <v>0</v>
      </c>
      <c r="Q147" s="97">
        <f t="shared" si="634"/>
        <v>0</v>
      </c>
      <c r="R147" s="97">
        <f t="shared" si="634"/>
        <v>0</v>
      </c>
      <c r="S147" s="97">
        <f t="shared" ref="S147:T147" si="635">I147-M147</f>
        <v>0</v>
      </c>
      <c r="T147" s="97">
        <f t="shared" si="635"/>
        <v>0</v>
      </c>
      <c r="U147" s="97">
        <f t="shared" si="631"/>
        <v>0</v>
      </c>
      <c r="V147" s="98" t="e">
        <f t="shared" ref="V147:W147" si="636">M147/I147</f>
        <v>#DIV/0!</v>
      </c>
      <c r="W147" s="98" t="e">
        <f t="shared" si="636"/>
        <v>#DIV/0!</v>
      </c>
      <c r="X147" s="98" t="e">
        <f t="shared" si="626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/>
      <c r="O148" s="97"/>
      <c r="P148" s="97"/>
      <c r="Q148" s="97"/>
      <c r="R148" s="97"/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37">I149/E149</f>
        <v>#DIV/0!</v>
      </c>
      <c r="H149" s="94" t="e">
        <f t="shared" ref="H149:H151" si="638">M149/E149</f>
        <v>#DIV/0!</v>
      </c>
      <c r="I149" s="96"/>
      <c r="J149" s="96"/>
      <c r="K149" s="96"/>
      <c r="L149" s="96"/>
      <c r="M149" s="97">
        <f t="shared" ref="M149:O149" si="639">Y149+AB149+AE149+AH149+AK149+AN149+AQ149+AT149+AW149+AZ149+BC149+BF149</f>
        <v>0</v>
      </c>
      <c r="N149" s="97">
        <f t="shared" si="639"/>
        <v>0</v>
      </c>
      <c r="O149" s="97">
        <f t="shared" si="639"/>
        <v>0</v>
      </c>
      <c r="P149" s="97">
        <f t="shared" ref="P149:R149" si="640">IF(BI149=0,SUM(Y149+AB149+AE149+AH149+AK149+AN149+AQ149+AT149+AW149+AZ149+BC149+BF149),BI149)</f>
        <v>0</v>
      </c>
      <c r="Q149" s="97">
        <f t="shared" si="640"/>
        <v>0</v>
      </c>
      <c r="R149" s="97">
        <f t="shared" si="640"/>
        <v>0</v>
      </c>
      <c r="S149" s="97">
        <f t="shared" ref="S149:T149" si="641">I149-M149</f>
        <v>0</v>
      </c>
      <c r="T149" s="97">
        <f t="shared" si="641"/>
        <v>0</v>
      </c>
      <c r="U149" s="97">
        <f>L149-O149</f>
        <v>0</v>
      </c>
      <c r="V149" s="98" t="e">
        <f t="shared" ref="V149:W149" si="642">M149/I149</f>
        <v>#DIV/0!</v>
      </c>
      <c r="W149" s="98" t="e">
        <f t="shared" si="642"/>
        <v>#DIV/0!</v>
      </c>
      <c r="X149" s="98" t="e">
        <f t="shared" ref="X149:X156" si="643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44">SUM(E151:E153)</f>
        <v>0</v>
      </c>
      <c r="F150" s="249">
        <f t="shared" si="644"/>
        <v>0</v>
      </c>
      <c r="G150" s="223" t="e">
        <f t="shared" si="637"/>
        <v>#DIV/0!</v>
      </c>
      <c r="H150" s="187" t="e">
        <f t="shared" si="638"/>
        <v>#DIV/0!</v>
      </c>
      <c r="I150" s="249">
        <f t="shared" ref="I150:O150" si="645">SUM(I151:I153)</f>
        <v>0</v>
      </c>
      <c r="J150" s="249">
        <f t="shared" si="645"/>
        <v>293.62</v>
      </c>
      <c r="K150" s="249">
        <f t="shared" si="645"/>
        <v>0</v>
      </c>
      <c r="L150" s="249">
        <f t="shared" si="645"/>
        <v>0</v>
      </c>
      <c r="M150" s="249">
        <f t="shared" si="645"/>
        <v>0</v>
      </c>
      <c r="N150" s="249">
        <f t="shared" si="645"/>
        <v>0</v>
      </c>
      <c r="O150" s="249">
        <f t="shared" si="645"/>
        <v>0</v>
      </c>
      <c r="P150" s="238">
        <f t="shared" ref="P150:R150" si="646">IF(BI150=0,SUM(Y150+AB150+AE150+AH150+AK150+AN150+AQ150+AT150+AW150+AZ150+BC150+BF150),BI150)</f>
        <v>0</v>
      </c>
      <c r="Q150" s="238">
        <f t="shared" si="646"/>
        <v>0</v>
      </c>
      <c r="R150" s="238">
        <f t="shared" si="646"/>
        <v>0</v>
      </c>
      <c r="S150" s="249">
        <f t="shared" ref="S150:U150" si="647">SUM(S151:S153)</f>
        <v>0</v>
      </c>
      <c r="T150" s="249">
        <f t="shared" si="647"/>
        <v>293.62</v>
      </c>
      <c r="U150" s="249">
        <f t="shared" si="647"/>
        <v>0</v>
      </c>
      <c r="V150" s="250" t="e">
        <f t="shared" ref="V150:W150" si="648">M150/I150</f>
        <v>#DIV/0!</v>
      </c>
      <c r="W150" s="250">
        <f t="shared" si="648"/>
        <v>0</v>
      </c>
      <c r="X150" s="250" t="e">
        <f t="shared" si="643"/>
        <v>#DIV/0!</v>
      </c>
      <c r="Y150" s="249">
        <f t="shared" ref="Y150:BK150" si="649">SUM(Y151:Y153)</f>
        <v>0</v>
      </c>
      <c r="Z150" s="249">
        <f t="shared" si="649"/>
        <v>0</v>
      </c>
      <c r="AA150" s="249">
        <f t="shared" si="649"/>
        <v>0</v>
      </c>
      <c r="AB150" s="249">
        <f t="shared" si="649"/>
        <v>0</v>
      </c>
      <c r="AC150" s="249">
        <f t="shared" si="649"/>
        <v>0</v>
      </c>
      <c r="AD150" s="249">
        <f t="shared" si="649"/>
        <v>0</v>
      </c>
      <c r="AE150" s="249">
        <f t="shared" si="649"/>
        <v>0</v>
      </c>
      <c r="AF150" s="249">
        <f t="shared" si="649"/>
        <v>0</v>
      </c>
      <c r="AG150" s="249">
        <f t="shared" si="649"/>
        <v>0</v>
      </c>
      <c r="AH150" s="249">
        <f t="shared" si="649"/>
        <v>0</v>
      </c>
      <c r="AI150" s="249">
        <f t="shared" si="649"/>
        <v>0</v>
      </c>
      <c r="AJ150" s="249">
        <f t="shared" si="649"/>
        <v>0</v>
      </c>
      <c r="AK150" s="249">
        <f t="shared" si="649"/>
        <v>0</v>
      </c>
      <c r="AL150" s="249">
        <f t="shared" si="649"/>
        <v>0</v>
      </c>
      <c r="AM150" s="249">
        <f t="shared" si="649"/>
        <v>0</v>
      </c>
      <c r="AN150" s="249">
        <f t="shared" si="649"/>
        <v>0</v>
      </c>
      <c r="AO150" s="249">
        <f t="shared" si="649"/>
        <v>0</v>
      </c>
      <c r="AP150" s="249">
        <f t="shared" si="649"/>
        <v>0</v>
      </c>
      <c r="AQ150" s="249">
        <f t="shared" si="649"/>
        <v>0</v>
      </c>
      <c r="AR150" s="249">
        <f t="shared" si="649"/>
        <v>0</v>
      </c>
      <c r="AS150" s="249">
        <f t="shared" si="649"/>
        <v>0</v>
      </c>
      <c r="AT150" s="249">
        <f t="shared" si="649"/>
        <v>0</v>
      </c>
      <c r="AU150" s="249">
        <f t="shared" si="649"/>
        <v>0</v>
      </c>
      <c r="AV150" s="249">
        <f t="shared" si="649"/>
        <v>0</v>
      </c>
      <c r="AW150" s="249">
        <f t="shared" si="649"/>
        <v>0</v>
      </c>
      <c r="AX150" s="249">
        <f t="shared" si="649"/>
        <v>0</v>
      </c>
      <c r="AY150" s="249">
        <f t="shared" si="649"/>
        <v>0</v>
      </c>
      <c r="AZ150" s="249">
        <f t="shared" si="649"/>
        <v>0</v>
      </c>
      <c r="BA150" s="249">
        <f t="shared" si="649"/>
        <v>0</v>
      </c>
      <c r="BB150" s="249">
        <f t="shared" si="649"/>
        <v>0</v>
      </c>
      <c r="BC150" s="249">
        <f t="shared" si="649"/>
        <v>0</v>
      </c>
      <c r="BD150" s="249">
        <f t="shared" si="649"/>
        <v>0</v>
      </c>
      <c r="BE150" s="249">
        <f t="shared" si="649"/>
        <v>0</v>
      </c>
      <c r="BF150" s="249">
        <f t="shared" si="649"/>
        <v>0</v>
      </c>
      <c r="BG150" s="249">
        <f t="shared" si="649"/>
        <v>0</v>
      </c>
      <c r="BH150" s="249">
        <f t="shared" si="649"/>
        <v>0</v>
      </c>
      <c r="BI150" s="249">
        <f t="shared" si="649"/>
        <v>0</v>
      </c>
      <c r="BJ150" s="249">
        <f t="shared" si="649"/>
        <v>0</v>
      </c>
      <c r="BK150" s="249">
        <f t="shared" si="649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37"/>
        <v>#DIV/0!</v>
      </c>
      <c r="H151" s="94" t="e">
        <f t="shared" si="638"/>
        <v>#DIV/0!</v>
      </c>
      <c r="I151" s="142"/>
      <c r="J151" s="131">
        <v>293.62</v>
      </c>
      <c r="K151" s="204"/>
      <c r="L151" s="202"/>
      <c r="M151" s="97">
        <f t="shared" ref="M151:O151" si="650">Y151+AB151+AE151+AH151+AK151+AN151+AQ151+AT151+AW151+AZ151+BC151+BF151</f>
        <v>0</v>
      </c>
      <c r="N151" s="97">
        <f t="shared" si="650"/>
        <v>0</v>
      </c>
      <c r="O151" s="97">
        <f t="shared" si="650"/>
        <v>0</v>
      </c>
      <c r="P151" s="97">
        <f t="shared" ref="P151:R151" si="651">IF(BI151=0,SUM(Y151+AB151+AE151+AH151+AK151+AN151+AQ151+AT151+AW151+AZ151+BC151+BF151),BI151)</f>
        <v>0</v>
      </c>
      <c r="Q151" s="97">
        <f t="shared" si="651"/>
        <v>0</v>
      </c>
      <c r="R151" s="97">
        <f t="shared" si="651"/>
        <v>0</v>
      </c>
      <c r="S151" s="97">
        <f t="shared" ref="S151:T151" si="652">I151-M151</f>
        <v>0</v>
      </c>
      <c r="T151" s="97">
        <f t="shared" si="652"/>
        <v>293.62</v>
      </c>
      <c r="U151" s="97">
        <f t="shared" ref="U151:U153" si="653">L151-O151</f>
        <v>0</v>
      </c>
      <c r="V151" s="98" t="e">
        <f t="shared" ref="V151:W151" si="654">M151/I151</f>
        <v>#DIV/0!</v>
      </c>
      <c r="W151" s="98">
        <f t="shared" si="654"/>
        <v>0</v>
      </c>
      <c r="X151" s="98" t="e">
        <f t="shared" si="643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55">Y152+AB152+AE152+AH152+AK152+AN152+AQ152+AT152+AW152+AZ152+BC152+BF152</f>
        <v>0</v>
      </c>
      <c r="N152" s="97">
        <f t="shared" si="655"/>
        <v>0</v>
      </c>
      <c r="O152" s="97">
        <f t="shared" si="655"/>
        <v>0</v>
      </c>
      <c r="P152" s="97">
        <f t="shared" ref="P152:R152" si="656">IF(BI152=0,SUM(Y152+AB152+AE152+AH152+AK152+AN152+AQ152+AT152+AW152+AZ152+BC152+BF152),BI152)</f>
        <v>0</v>
      </c>
      <c r="Q152" s="97">
        <f t="shared" si="656"/>
        <v>0</v>
      </c>
      <c r="R152" s="97">
        <f t="shared" si="656"/>
        <v>0</v>
      </c>
      <c r="S152" s="97">
        <f t="shared" ref="S152:T152" si="657">I152-M152</f>
        <v>0</v>
      </c>
      <c r="T152" s="97">
        <f t="shared" si="657"/>
        <v>0</v>
      </c>
      <c r="U152" s="97">
        <f t="shared" si="653"/>
        <v>0</v>
      </c>
      <c r="V152" s="98" t="e">
        <f t="shared" ref="V152:W152" si="658">M152/I152</f>
        <v>#DIV/0!</v>
      </c>
      <c r="W152" s="98" t="e">
        <f t="shared" si="658"/>
        <v>#DIV/0!</v>
      </c>
      <c r="X152" s="98" t="e">
        <f t="shared" si="643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59">I153/E153</f>
        <v>#DIV/0!</v>
      </c>
      <c r="H153" s="94" t="e">
        <f t="shared" ref="H153:H156" si="660">M153/E153</f>
        <v>#DIV/0!</v>
      </c>
      <c r="I153" s="96"/>
      <c r="J153" s="96"/>
      <c r="K153" s="96"/>
      <c r="L153" s="96"/>
      <c r="M153" s="97">
        <f t="shared" ref="M153:O153" si="661">Y153+AB153+AE153+AH153+AK153+AN153+AQ153+AT153+AW153+AZ153+BC153+BF153</f>
        <v>0</v>
      </c>
      <c r="N153" s="97">
        <f t="shared" si="661"/>
        <v>0</v>
      </c>
      <c r="O153" s="97">
        <f t="shared" si="661"/>
        <v>0</v>
      </c>
      <c r="P153" s="97">
        <f t="shared" ref="P153:R153" si="662">IF(BI153=0,SUM(Y153+AB153+AE153+AH153+AK153+AN153+AQ153+AT153+AW153+AZ153+BC153+BF153),BI153)</f>
        <v>0</v>
      </c>
      <c r="Q153" s="97">
        <f t="shared" si="662"/>
        <v>0</v>
      </c>
      <c r="R153" s="97">
        <f t="shared" si="662"/>
        <v>0</v>
      </c>
      <c r="S153" s="97">
        <f t="shared" ref="S153:T153" si="663">I153-M153</f>
        <v>0</v>
      </c>
      <c r="T153" s="97">
        <f t="shared" si="663"/>
        <v>0</v>
      </c>
      <c r="U153" s="97">
        <f t="shared" si="653"/>
        <v>0</v>
      </c>
      <c r="V153" s="98" t="e">
        <f t="shared" ref="V153:W153" si="664">M153/I153</f>
        <v>#DIV/0!</v>
      </c>
      <c r="W153" s="98" t="e">
        <f t="shared" si="664"/>
        <v>#DIV/0!</v>
      </c>
      <c r="X153" s="98" t="e">
        <f t="shared" si="643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65">SUM(E155:E158)</f>
        <v>0</v>
      </c>
      <c r="F154" s="249">
        <f t="shared" si="665"/>
        <v>0</v>
      </c>
      <c r="G154" s="223" t="e">
        <f t="shared" si="659"/>
        <v>#DIV/0!</v>
      </c>
      <c r="H154" s="187" t="e">
        <f t="shared" si="660"/>
        <v>#DIV/0!</v>
      </c>
      <c r="I154" s="249">
        <f t="shared" ref="I154:O154" si="666">SUM(I155:I158)</f>
        <v>0</v>
      </c>
      <c r="J154" s="249">
        <f t="shared" si="666"/>
        <v>8700</v>
      </c>
      <c r="K154" s="249">
        <f t="shared" si="666"/>
        <v>0</v>
      </c>
      <c r="L154" s="249">
        <f t="shared" si="666"/>
        <v>0</v>
      </c>
      <c r="M154" s="249">
        <f t="shared" si="666"/>
        <v>0</v>
      </c>
      <c r="N154" s="249">
        <f t="shared" si="666"/>
        <v>0</v>
      </c>
      <c r="O154" s="249">
        <f t="shared" si="666"/>
        <v>0</v>
      </c>
      <c r="P154" s="238">
        <f t="shared" ref="P154:R154" si="667">IF(BI154=0,SUM(Y154+AB154+AE154+AH154+AK154+AN154+AQ154+AT154+AW154+AZ154+BC154+BF154),BI154)</f>
        <v>0</v>
      </c>
      <c r="Q154" s="238">
        <f t="shared" si="667"/>
        <v>0</v>
      </c>
      <c r="R154" s="238">
        <f t="shared" si="667"/>
        <v>0</v>
      </c>
      <c r="S154" s="249">
        <f t="shared" ref="S154:U154" si="668">SUM(S155:S158)</f>
        <v>0</v>
      </c>
      <c r="T154" s="249">
        <f t="shared" si="668"/>
        <v>8700</v>
      </c>
      <c r="U154" s="249">
        <f t="shared" si="668"/>
        <v>0</v>
      </c>
      <c r="V154" s="250" t="e">
        <f t="shared" ref="V154:W154" si="669">M154/I154</f>
        <v>#DIV/0!</v>
      </c>
      <c r="W154" s="250">
        <f t="shared" si="669"/>
        <v>0</v>
      </c>
      <c r="X154" s="250" t="e">
        <f t="shared" si="643"/>
        <v>#DIV/0!</v>
      </c>
      <c r="Y154" s="249">
        <f t="shared" ref="Y154:BK154" si="670">SUM(Y155:Y158)</f>
        <v>0</v>
      </c>
      <c r="Z154" s="249">
        <f t="shared" si="670"/>
        <v>0</v>
      </c>
      <c r="AA154" s="249">
        <f t="shared" si="670"/>
        <v>0</v>
      </c>
      <c r="AB154" s="249">
        <f t="shared" si="670"/>
        <v>0</v>
      </c>
      <c r="AC154" s="249">
        <f t="shared" si="670"/>
        <v>0</v>
      </c>
      <c r="AD154" s="249">
        <f t="shared" si="670"/>
        <v>0</v>
      </c>
      <c r="AE154" s="249">
        <f t="shared" si="670"/>
        <v>0</v>
      </c>
      <c r="AF154" s="249">
        <f t="shared" si="670"/>
        <v>0</v>
      </c>
      <c r="AG154" s="249">
        <f t="shared" si="670"/>
        <v>0</v>
      </c>
      <c r="AH154" s="249">
        <f t="shared" si="670"/>
        <v>0</v>
      </c>
      <c r="AI154" s="249">
        <f t="shared" si="670"/>
        <v>0</v>
      </c>
      <c r="AJ154" s="249">
        <f t="shared" si="670"/>
        <v>0</v>
      </c>
      <c r="AK154" s="249">
        <f t="shared" si="670"/>
        <v>0</v>
      </c>
      <c r="AL154" s="249">
        <f t="shared" si="670"/>
        <v>0</v>
      </c>
      <c r="AM154" s="249">
        <f t="shared" si="670"/>
        <v>0</v>
      </c>
      <c r="AN154" s="249">
        <f t="shared" si="670"/>
        <v>0</v>
      </c>
      <c r="AO154" s="249">
        <f t="shared" si="670"/>
        <v>0</v>
      </c>
      <c r="AP154" s="249">
        <f t="shared" si="670"/>
        <v>0</v>
      </c>
      <c r="AQ154" s="249">
        <f t="shared" si="670"/>
        <v>0</v>
      </c>
      <c r="AR154" s="249">
        <f t="shared" si="670"/>
        <v>0</v>
      </c>
      <c r="AS154" s="249">
        <f t="shared" si="670"/>
        <v>0</v>
      </c>
      <c r="AT154" s="249">
        <f t="shared" si="670"/>
        <v>0</v>
      </c>
      <c r="AU154" s="249">
        <f t="shared" si="670"/>
        <v>0</v>
      </c>
      <c r="AV154" s="249">
        <f t="shared" si="670"/>
        <v>0</v>
      </c>
      <c r="AW154" s="249">
        <f t="shared" si="670"/>
        <v>0</v>
      </c>
      <c r="AX154" s="249">
        <f t="shared" si="670"/>
        <v>0</v>
      </c>
      <c r="AY154" s="249">
        <f t="shared" si="670"/>
        <v>0</v>
      </c>
      <c r="AZ154" s="249">
        <f t="shared" si="670"/>
        <v>0</v>
      </c>
      <c r="BA154" s="249">
        <f t="shared" si="670"/>
        <v>0</v>
      </c>
      <c r="BB154" s="249">
        <f t="shared" si="670"/>
        <v>0</v>
      </c>
      <c r="BC154" s="249">
        <f t="shared" si="670"/>
        <v>0</v>
      </c>
      <c r="BD154" s="249">
        <f t="shared" si="670"/>
        <v>0</v>
      </c>
      <c r="BE154" s="249">
        <f t="shared" si="670"/>
        <v>0</v>
      </c>
      <c r="BF154" s="249">
        <f t="shared" si="670"/>
        <v>0</v>
      </c>
      <c r="BG154" s="249">
        <f t="shared" si="670"/>
        <v>0</v>
      </c>
      <c r="BH154" s="249">
        <f t="shared" si="670"/>
        <v>0</v>
      </c>
      <c r="BI154" s="249">
        <f t="shared" si="670"/>
        <v>0</v>
      </c>
      <c r="BJ154" s="249">
        <f t="shared" si="670"/>
        <v>0</v>
      </c>
      <c r="BK154" s="249">
        <f t="shared" si="670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59"/>
        <v>#DIV/0!</v>
      </c>
      <c r="H155" s="94" t="e">
        <f t="shared" si="660"/>
        <v>#DIV/0!</v>
      </c>
      <c r="I155" s="96"/>
      <c r="J155" s="96"/>
      <c r="K155" s="96"/>
      <c r="L155" s="95"/>
      <c r="M155" s="97">
        <f t="shared" ref="M155:O155" si="671">Y155+AB155+AE155+AH155+AK155+AN155+AQ155+AT155+AW155+AZ155+BC155+BF155</f>
        <v>0</v>
      </c>
      <c r="N155" s="97">
        <f t="shared" si="671"/>
        <v>0</v>
      </c>
      <c r="O155" s="97">
        <f t="shared" si="671"/>
        <v>0</v>
      </c>
      <c r="P155" s="97">
        <f t="shared" ref="P155:R155" si="672">IF(BI155=0,SUM(Y155+AB155+AE155+AH155+AK155+AN155+AQ155+AT155+AW155+AZ155+BC155+BF155),BI155)</f>
        <v>0</v>
      </c>
      <c r="Q155" s="97">
        <f t="shared" si="672"/>
        <v>0</v>
      </c>
      <c r="R155" s="97">
        <f t="shared" si="672"/>
        <v>0</v>
      </c>
      <c r="S155" s="97">
        <f t="shared" ref="S155:T155" si="673">I155-M155</f>
        <v>0</v>
      </c>
      <c r="T155" s="97">
        <f t="shared" si="673"/>
        <v>0</v>
      </c>
      <c r="U155" s="97">
        <f t="shared" ref="U155:U158" si="674">L155-O155</f>
        <v>0</v>
      </c>
      <c r="V155" s="98" t="e">
        <f t="shared" ref="V155:W155" si="675">M155/I155</f>
        <v>#DIV/0!</v>
      </c>
      <c r="W155" s="98" t="e">
        <f t="shared" si="675"/>
        <v>#DIV/0!</v>
      </c>
      <c r="X155" s="98" t="e">
        <f t="shared" si="643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59"/>
        <v>#DIV/0!</v>
      </c>
      <c r="H156" s="94" t="e">
        <f t="shared" si="660"/>
        <v>#DIV/0!</v>
      </c>
      <c r="I156" s="96"/>
      <c r="J156" s="167">
        <v>8700</v>
      </c>
      <c r="K156" s="117"/>
      <c r="L156" s="95"/>
      <c r="M156" s="97">
        <f t="shared" ref="M156:O156" si="676">Y156+AB156+AE156+AH156+AK156+AN156+AQ156+AT156+AW156+AZ156+BC156+BF156</f>
        <v>0</v>
      </c>
      <c r="N156" s="97">
        <f t="shared" si="676"/>
        <v>0</v>
      </c>
      <c r="O156" s="97">
        <f t="shared" si="676"/>
        <v>0</v>
      </c>
      <c r="P156" s="97">
        <f t="shared" ref="P156:R156" si="677">IF(BI156=0,SUM(Y156+AB156+AE156+AH156+AK156+AN156+AQ156+AT156+AW156+AZ156+BC156+BF156),BI156)</f>
        <v>0</v>
      </c>
      <c r="Q156" s="97">
        <f t="shared" si="677"/>
        <v>0</v>
      </c>
      <c r="R156" s="97">
        <f t="shared" si="677"/>
        <v>0</v>
      </c>
      <c r="S156" s="97">
        <f t="shared" ref="S156:T156" si="678">I156-M156</f>
        <v>0</v>
      </c>
      <c r="T156" s="97">
        <f t="shared" si="678"/>
        <v>8700</v>
      </c>
      <c r="U156" s="97">
        <f t="shared" si="674"/>
        <v>0</v>
      </c>
      <c r="V156" s="98" t="e">
        <f t="shared" ref="V156:W156" si="679">M156/I156</f>
        <v>#DIV/0!</v>
      </c>
      <c r="W156" s="98">
        <f t="shared" si="679"/>
        <v>0</v>
      </c>
      <c r="X156" s="98" t="e">
        <f t="shared" si="643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80">Y157+AB157+AE157+AH157+AK157+AN157+AQ157+AT157+AW157+AZ157+BC157+BF157</f>
        <v>0</v>
      </c>
      <c r="N157" s="97">
        <f t="shared" si="680"/>
        <v>0</v>
      </c>
      <c r="O157" s="97">
        <f t="shared" si="680"/>
        <v>0</v>
      </c>
      <c r="P157" s="97">
        <f t="shared" ref="P157:R157" si="681">IF(BI157=0,SUM(Y157+AB157+AE157+AH157+AK157+AN157+AQ157+AT157+AW157+AZ157+BC157+BF157),BI157)</f>
        <v>0</v>
      </c>
      <c r="Q157" s="97">
        <f t="shared" si="681"/>
        <v>0</v>
      </c>
      <c r="R157" s="97">
        <f t="shared" si="681"/>
        <v>0</v>
      </c>
      <c r="S157" s="97">
        <f t="shared" ref="S157:T157" si="682">I157-M157</f>
        <v>0</v>
      </c>
      <c r="T157" s="97">
        <f t="shared" si="682"/>
        <v>0</v>
      </c>
      <c r="U157" s="97">
        <f t="shared" si="674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83">I158/E158</f>
        <v>#DIV/0!</v>
      </c>
      <c r="H158" s="94" t="e">
        <f t="shared" ref="H158:H178" si="684">M158/E158</f>
        <v>#DIV/0!</v>
      </c>
      <c r="I158" s="202"/>
      <c r="J158" s="204"/>
      <c r="K158" s="204"/>
      <c r="L158" s="202"/>
      <c r="M158" s="97">
        <f t="shared" ref="M158:N158" si="685">Y158+AB158+AE158+AH158+AK158+AN158+AQ158+AT158+AW158+AZ158+BC158+BF158</f>
        <v>0</v>
      </c>
      <c r="N158" s="97">
        <f t="shared" si="685"/>
        <v>0</v>
      </c>
      <c r="O158" s="97"/>
      <c r="P158" s="97">
        <f t="shared" ref="P158:Q158" si="686">IF(BI158=0,SUM(Y158+AB158+AE158+AH158+AK158+AN158+AQ158+AT158+AW158+AZ158+BC158+BF158),BI158)</f>
        <v>0</v>
      </c>
      <c r="Q158" s="97">
        <f t="shared" si="686"/>
        <v>0</v>
      </c>
      <c r="R158" s="97"/>
      <c r="S158" s="97">
        <f t="shared" ref="S158:T158" si="687">I158-M158</f>
        <v>0</v>
      </c>
      <c r="T158" s="97">
        <f t="shared" si="687"/>
        <v>0</v>
      </c>
      <c r="U158" s="97">
        <f t="shared" si="674"/>
        <v>0</v>
      </c>
      <c r="V158" s="98" t="e">
        <f t="shared" ref="V158:W158" si="688">M158/I158</f>
        <v>#DIV/0!</v>
      </c>
      <c r="W158" s="98" t="e">
        <f t="shared" si="688"/>
        <v>#DIV/0!</v>
      </c>
      <c r="X158" s="98" t="e">
        <f t="shared" ref="X158:X169" si="689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90">E160+E168+E183</f>
        <v>121389.6</v>
      </c>
      <c r="F159" s="87">
        <f t="shared" si="690"/>
        <v>36000</v>
      </c>
      <c r="G159" s="107">
        <f t="shared" si="683"/>
        <v>0</v>
      </c>
      <c r="H159" s="107">
        <f t="shared" si="684"/>
        <v>0</v>
      </c>
      <c r="I159" s="87">
        <f t="shared" ref="I159:O159" si="691">I160+I168+I183</f>
        <v>0</v>
      </c>
      <c r="J159" s="87">
        <f t="shared" si="691"/>
        <v>984.93000000000006</v>
      </c>
      <c r="K159" s="87">
        <f t="shared" si="691"/>
        <v>0</v>
      </c>
      <c r="L159" s="87">
        <f t="shared" si="691"/>
        <v>0</v>
      </c>
      <c r="M159" s="87">
        <f t="shared" si="691"/>
        <v>0</v>
      </c>
      <c r="N159" s="87">
        <f t="shared" si="691"/>
        <v>0</v>
      </c>
      <c r="O159" s="87">
        <f t="shared" si="691"/>
        <v>0</v>
      </c>
      <c r="P159" s="87">
        <f t="shared" ref="P159:R159" si="692">IF(BI159=0,SUM(Y159+AB159+AE159+AH159+AK159+AN159+AQ159+AT159+AW159+AZ159+BC159+BF159),BI159)</f>
        <v>0</v>
      </c>
      <c r="Q159" s="87">
        <f t="shared" si="692"/>
        <v>250</v>
      </c>
      <c r="R159" s="87">
        <f t="shared" si="692"/>
        <v>0</v>
      </c>
      <c r="S159" s="87">
        <f t="shared" ref="S159:U159" si="693">S160+S168+S183</f>
        <v>0</v>
      </c>
      <c r="T159" s="87">
        <f t="shared" si="693"/>
        <v>734.93000000000006</v>
      </c>
      <c r="U159" s="87">
        <f t="shared" si="693"/>
        <v>0</v>
      </c>
      <c r="V159" s="88" t="e">
        <f t="shared" ref="V159:W159" si="694">M159/I159</f>
        <v>#DIV/0!</v>
      </c>
      <c r="W159" s="88">
        <f t="shared" si="694"/>
        <v>0</v>
      </c>
      <c r="X159" s="88" t="e">
        <f t="shared" si="689"/>
        <v>#DIV/0!</v>
      </c>
      <c r="Y159" s="87">
        <f t="shared" ref="Y159:BK159" si="695">Y160+Y168+Y183</f>
        <v>0</v>
      </c>
      <c r="Z159" s="87">
        <f t="shared" si="695"/>
        <v>250</v>
      </c>
      <c r="AA159" s="87">
        <f t="shared" si="695"/>
        <v>0</v>
      </c>
      <c r="AB159" s="87">
        <f t="shared" si="695"/>
        <v>0</v>
      </c>
      <c r="AC159" s="87">
        <f t="shared" si="695"/>
        <v>0</v>
      </c>
      <c r="AD159" s="87">
        <f t="shared" si="695"/>
        <v>0</v>
      </c>
      <c r="AE159" s="87">
        <f t="shared" si="695"/>
        <v>0</v>
      </c>
      <c r="AF159" s="87">
        <f t="shared" si="695"/>
        <v>0</v>
      </c>
      <c r="AG159" s="87">
        <f t="shared" si="695"/>
        <v>0</v>
      </c>
      <c r="AH159" s="87">
        <f t="shared" si="695"/>
        <v>0</v>
      </c>
      <c r="AI159" s="87">
        <f t="shared" si="695"/>
        <v>0</v>
      </c>
      <c r="AJ159" s="87">
        <f t="shared" si="695"/>
        <v>0</v>
      </c>
      <c r="AK159" s="87">
        <f t="shared" si="695"/>
        <v>0</v>
      </c>
      <c r="AL159" s="87">
        <f t="shared" si="695"/>
        <v>0</v>
      </c>
      <c r="AM159" s="87">
        <f t="shared" si="695"/>
        <v>0</v>
      </c>
      <c r="AN159" s="87">
        <f t="shared" si="695"/>
        <v>0</v>
      </c>
      <c r="AO159" s="87">
        <f t="shared" si="695"/>
        <v>0</v>
      </c>
      <c r="AP159" s="87">
        <f t="shared" si="695"/>
        <v>0</v>
      </c>
      <c r="AQ159" s="87">
        <f t="shared" si="695"/>
        <v>0</v>
      </c>
      <c r="AR159" s="87">
        <f t="shared" si="695"/>
        <v>0</v>
      </c>
      <c r="AS159" s="87">
        <f t="shared" si="695"/>
        <v>0</v>
      </c>
      <c r="AT159" s="87">
        <f t="shared" si="695"/>
        <v>0</v>
      </c>
      <c r="AU159" s="87">
        <f t="shared" si="695"/>
        <v>0</v>
      </c>
      <c r="AV159" s="87">
        <f t="shared" si="695"/>
        <v>0</v>
      </c>
      <c r="AW159" s="87">
        <f t="shared" si="695"/>
        <v>0</v>
      </c>
      <c r="AX159" s="87">
        <f t="shared" si="695"/>
        <v>0</v>
      </c>
      <c r="AY159" s="87">
        <f t="shared" si="695"/>
        <v>0</v>
      </c>
      <c r="AZ159" s="87">
        <f t="shared" si="695"/>
        <v>0</v>
      </c>
      <c r="BA159" s="87">
        <f t="shared" si="695"/>
        <v>0</v>
      </c>
      <c r="BB159" s="87">
        <f t="shared" si="695"/>
        <v>0</v>
      </c>
      <c r="BC159" s="87">
        <f t="shared" si="695"/>
        <v>0</v>
      </c>
      <c r="BD159" s="87">
        <f t="shared" si="695"/>
        <v>0</v>
      </c>
      <c r="BE159" s="87">
        <f t="shared" si="695"/>
        <v>0</v>
      </c>
      <c r="BF159" s="87">
        <f t="shared" si="695"/>
        <v>0</v>
      </c>
      <c r="BG159" s="87">
        <f t="shared" si="695"/>
        <v>0</v>
      </c>
      <c r="BH159" s="87">
        <f t="shared" si="695"/>
        <v>0</v>
      </c>
      <c r="BI159" s="87">
        <f t="shared" si="695"/>
        <v>0</v>
      </c>
      <c r="BJ159" s="87">
        <f t="shared" si="695"/>
        <v>0</v>
      </c>
      <c r="BK159" s="87">
        <f t="shared" si="695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96">E161+E165</f>
        <v>36444.800000000003</v>
      </c>
      <c r="F160" s="255">
        <f t="shared" si="696"/>
        <v>0</v>
      </c>
      <c r="G160" s="223">
        <f t="shared" si="683"/>
        <v>0</v>
      </c>
      <c r="H160" s="223">
        <f t="shared" si="684"/>
        <v>0</v>
      </c>
      <c r="I160" s="255">
        <f t="shared" ref="I160:O160" si="697">I161+I165</f>
        <v>0</v>
      </c>
      <c r="J160" s="255">
        <f t="shared" si="697"/>
        <v>0</v>
      </c>
      <c r="K160" s="255">
        <f t="shared" si="697"/>
        <v>0</v>
      </c>
      <c r="L160" s="255">
        <f t="shared" si="697"/>
        <v>0</v>
      </c>
      <c r="M160" s="255">
        <f t="shared" si="697"/>
        <v>0</v>
      </c>
      <c r="N160" s="255">
        <f t="shared" si="697"/>
        <v>0</v>
      </c>
      <c r="O160" s="255">
        <f t="shared" si="697"/>
        <v>0</v>
      </c>
      <c r="P160" s="245">
        <f t="shared" ref="P160:R160" si="698">IF(BI160=0,SUM(Y160+AB160+AE160+AH160+AK160+AN160+AQ160+AT160+AW160+AZ160+BC160+BF160),BI160)</f>
        <v>0</v>
      </c>
      <c r="Q160" s="245">
        <f t="shared" si="698"/>
        <v>0</v>
      </c>
      <c r="R160" s="245">
        <f t="shared" si="698"/>
        <v>0</v>
      </c>
      <c r="S160" s="255">
        <f t="shared" ref="S160:U160" si="699">S161+S165</f>
        <v>0</v>
      </c>
      <c r="T160" s="255">
        <f t="shared" si="699"/>
        <v>0</v>
      </c>
      <c r="U160" s="255">
        <f t="shared" si="699"/>
        <v>0</v>
      </c>
      <c r="V160" s="256" t="e">
        <f t="shared" ref="V160:W160" si="700">M160/I160</f>
        <v>#DIV/0!</v>
      </c>
      <c r="W160" s="256" t="e">
        <f t="shared" si="700"/>
        <v>#DIV/0!</v>
      </c>
      <c r="X160" s="256" t="e">
        <f t="shared" si="689"/>
        <v>#DIV/0!</v>
      </c>
      <c r="Y160" s="255">
        <f t="shared" ref="Y160:BK160" si="701">Y161+Y165</f>
        <v>0</v>
      </c>
      <c r="Z160" s="255">
        <f t="shared" si="701"/>
        <v>0</v>
      </c>
      <c r="AA160" s="255">
        <f t="shared" si="701"/>
        <v>0</v>
      </c>
      <c r="AB160" s="255">
        <f t="shared" si="701"/>
        <v>0</v>
      </c>
      <c r="AC160" s="255">
        <f t="shared" si="701"/>
        <v>0</v>
      </c>
      <c r="AD160" s="255">
        <f t="shared" si="701"/>
        <v>0</v>
      </c>
      <c r="AE160" s="255">
        <f t="shared" si="701"/>
        <v>0</v>
      </c>
      <c r="AF160" s="255">
        <f t="shared" si="701"/>
        <v>0</v>
      </c>
      <c r="AG160" s="255">
        <f t="shared" si="701"/>
        <v>0</v>
      </c>
      <c r="AH160" s="255">
        <f t="shared" si="701"/>
        <v>0</v>
      </c>
      <c r="AI160" s="255">
        <f t="shared" si="701"/>
        <v>0</v>
      </c>
      <c r="AJ160" s="255">
        <f t="shared" si="701"/>
        <v>0</v>
      </c>
      <c r="AK160" s="255">
        <f t="shared" si="701"/>
        <v>0</v>
      </c>
      <c r="AL160" s="255">
        <f t="shared" si="701"/>
        <v>0</v>
      </c>
      <c r="AM160" s="255">
        <f t="shared" si="701"/>
        <v>0</v>
      </c>
      <c r="AN160" s="255">
        <f t="shared" si="701"/>
        <v>0</v>
      </c>
      <c r="AO160" s="255">
        <f t="shared" si="701"/>
        <v>0</v>
      </c>
      <c r="AP160" s="255">
        <f t="shared" si="701"/>
        <v>0</v>
      </c>
      <c r="AQ160" s="255">
        <f t="shared" si="701"/>
        <v>0</v>
      </c>
      <c r="AR160" s="255">
        <f t="shared" si="701"/>
        <v>0</v>
      </c>
      <c r="AS160" s="255">
        <f t="shared" si="701"/>
        <v>0</v>
      </c>
      <c r="AT160" s="255">
        <f t="shared" si="701"/>
        <v>0</v>
      </c>
      <c r="AU160" s="255">
        <f t="shared" si="701"/>
        <v>0</v>
      </c>
      <c r="AV160" s="255">
        <f t="shared" si="701"/>
        <v>0</v>
      </c>
      <c r="AW160" s="255">
        <f t="shared" si="701"/>
        <v>0</v>
      </c>
      <c r="AX160" s="255">
        <f t="shared" si="701"/>
        <v>0</v>
      </c>
      <c r="AY160" s="255">
        <f t="shared" si="701"/>
        <v>0</v>
      </c>
      <c r="AZ160" s="255">
        <f t="shared" si="701"/>
        <v>0</v>
      </c>
      <c r="BA160" s="255">
        <f t="shared" si="701"/>
        <v>0</v>
      </c>
      <c r="BB160" s="255">
        <f t="shared" si="701"/>
        <v>0</v>
      </c>
      <c r="BC160" s="255">
        <f t="shared" si="701"/>
        <v>0</v>
      </c>
      <c r="BD160" s="255">
        <f t="shared" si="701"/>
        <v>0</v>
      </c>
      <c r="BE160" s="255">
        <f t="shared" si="701"/>
        <v>0</v>
      </c>
      <c r="BF160" s="255">
        <f t="shared" si="701"/>
        <v>0</v>
      </c>
      <c r="BG160" s="255">
        <f t="shared" si="701"/>
        <v>0</v>
      </c>
      <c r="BH160" s="255">
        <f t="shared" si="701"/>
        <v>0</v>
      </c>
      <c r="BI160" s="255">
        <f t="shared" si="701"/>
        <v>0</v>
      </c>
      <c r="BJ160" s="255">
        <f t="shared" si="701"/>
        <v>0</v>
      </c>
      <c r="BK160" s="255">
        <f t="shared" si="701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702">SUM(E162:E164)</f>
        <v>36444.800000000003</v>
      </c>
      <c r="F161" s="231">
        <f t="shared" si="702"/>
        <v>0</v>
      </c>
      <c r="G161" s="187">
        <f t="shared" si="683"/>
        <v>0</v>
      </c>
      <c r="H161" s="187">
        <f t="shared" si="684"/>
        <v>0</v>
      </c>
      <c r="I161" s="231">
        <f t="shared" ref="I161:O161" si="703">SUM(I162:I164)</f>
        <v>0</v>
      </c>
      <c r="J161" s="231">
        <f t="shared" si="703"/>
        <v>0</v>
      </c>
      <c r="K161" s="231">
        <f t="shared" si="703"/>
        <v>0</v>
      </c>
      <c r="L161" s="231">
        <f t="shared" si="703"/>
        <v>0</v>
      </c>
      <c r="M161" s="231">
        <f t="shared" si="703"/>
        <v>0</v>
      </c>
      <c r="N161" s="231">
        <f t="shared" si="703"/>
        <v>0</v>
      </c>
      <c r="O161" s="231">
        <f t="shared" si="703"/>
        <v>0</v>
      </c>
      <c r="P161" s="258">
        <f t="shared" ref="P161:R161" si="704">IF(BI161=0,SUM(Y161+AB161+AE161+AH161+AK161+AN161+AQ161+AT161+AW161+AZ161+BC161+BF161),BI161)</f>
        <v>0</v>
      </c>
      <c r="Q161" s="258">
        <f t="shared" si="704"/>
        <v>0</v>
      </c>
      <c r="R161" s="258">
        <f t="shared" si="704"/>
        <v>0</v>
      </c>
      <c r="S161" s="231">
        <f t="shared" ref="S161:U161" si="705">SUM(S162:S164)</f>
        <v>0</v>
      </c>
      <c r="T161" s="231">
        <f t="shared" si="705"/>
        <v>0</v>
      </c>
      <c r="U161" s="231">
        <f t="shared" si="705"/>
        <v>0</v>
      </c>
      <c r="V161" s="259" t="e">
        <f t="shared" ref="V161:W161" si="706">M161/I161</f>
        <v>#DIV/0!</v>
      </c>
      <c r="W161" s="259" t="e">
        <f t="shared" si="706"/>
        <v>#DIV/0!</v>
      </c>
      <c r="X161" s="259" t="e">
        <f t="shared" si="689"/>
        <v>#DIV/0!</v>
      </c>
      <c r="Y161" s="231">
        <f t="shared" ref="Y161:BK161" si="707">SUM(Y162:Y164)</f>
        <v>0</v>
      </c>
      <c r="Z161" s="231">
        <f t="shared" si="707"/>
        <v>0</v>
      </c>
      <c r="AA161" s="231">
        <f t="shared" si="707"/>
        <v>0</v>
      </c>
      <c r="AB161" s="231">
        <f t="shared" si="707"/>
        <v>0</v>
      </c>
      <c r="AC161" s="231">
        <f t="shared" si="707"/>
        <v>0</v>
      </c>
      <c r="AD161" s="231">
        <f t="shared" si="707"/>
        <v>0</v>
      </c>
      <c r="AE161" s="231">
        <f t="shared" si="707"/>
        <v>0</v>
      </c>
      <c r="AF161" s="231">
        <f t="shared" si="707"/>
        <v>0</v>
      </c>
      <c r="AG161" s="231">
        <f t="shared" si="707"/>
        <v>0</v>
      </c>
      <c r="AH161" s="231">
        <f t="shared" si="707"/>
        <v>0</v>
      </c>
      <c r="AI161" s="231">
        <f t="shared" si="707"/>
        <v>0</v>
      </c>
      <c r="AJ161" s="231">
        <f t="shared" si="707"/>
        <v>0</v>
      </c>
      <c r="AK161" s="231">
        <f t="shared" si="707"/>
        <v>0</v>
      </c>
      <c r="AL161" s="231">
        <f t="shared" si="707"/>
        <v>0</v>
      </c>
      <c r="AM161" s="231">
        <f t="shared" si="707"/>
        <v>0</v>
      </c>
      <c r="AN161" s="231">
        <f t="shared" si="707"/>
        <v>0</v>
      </c>
      <c r="AO161" s="231">
        <f t="shared" si="707"/>
        <v>0</v>
      </c>
      <c r="AP161" s="231">
        <f t="shared" si="707"/>
        <v>0</v>
      </c>
      <c r="AQ161" s="231">
        <f t="shared" si="707"/>
        <v>0</v>
      </c>
      <c r="AR161" s="231">
        <f t="shared" si="707"/>
        <v>0</v>
      </c>
      <c r="AS161" s="231">
        <f t="shared" si="707"/>
        <v>0</v>
      </c>
      <c r="AT161" s="231">
        <f t="shared" si="707"/>
        <v>0</v>
      </c>
      <c r="AU161" s="231">
        <f t="shared" si="707"/>
        <v>0</v>
      </c>
      <c r="AV161" s="231">
        <f t="shared" si="707"/>
        <v>0</v>
      </c>
      <c r="AW161" s="231">
        <f t="shared" si="707"/>
        <v>0</v>
      </c>
      <c r="AX161" s="231">
        <f t="shared" si="707"/>
        <v>0</v>
      </c>
      <c r="AY161" s="231">
        <f t="shared" si="707"/>
        <v>0</v>
      </c>
      <c r="AZ161" s="231">
        <f t="shared" si="707"/>
        <v>0</v>
      </c>
      <c r="BA161" s="231">
        <f t="shared" si="707"/>
        <v>0</v>
      </c>
      <c r="BB161" s="231">
        <f t="shared" si="707"/>
        <v>0</v>
      </c>
      <c r="BC161" s="231">
        <f t="shared" si="707"/>
        <v>0</v>
      </c>
      <c r="BD161" s="231">
        <f t="shared" si="707"/>
        <v>0</v>
      </c>
      <c r="BE161" s="231">
        <f t="shared" si="707"/>
        <v>0</v>
      </c>
      <c r="BF161" s="231">
        <f t="shared" si="707"/>
        <v>0</v>
      </c>
      <c r="BG161" s="231">
        <f t="shared" si="707"/>
        <v>0</v>
      </c>
      <c r="BH161" s="231">
        <f t="shared" si="707"/>
        <v>0</v>
      </c>
      <c r="BI161" s="231">
        <f t="shared" si="707"/>
        <v>0</v>
      </c>
      <c r="BJ161" s="231">
        <f t="shared" si="707"/>
        <v>0</v>
      </c>
      <c r="BK161" s="231">
        <f t="shared" si="707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83"/>
        <v>0</v>
      </c>
      <c r="H162" s="94">
        <f t="shared" si="684"/>
        <v>0</v>
      </c>
      <c r="I162" s="142">
        <v>0</v>
      </c>
      <c r="J162" s="96"/>
      <c r="K162" s="96"/>
      <c r="L162" s="96"/>
      <c r="M162" s="97">
        <f t="shared" ref="M162:O162" si="708">Y162+AB162+AE162+AH162+AK162+AN162+AQ162+AT162+AW162+AZ162+BC162+BF162</f>
        <v>0</v>
      </c>
      <c r="N162" s="97">
        <f t="shared" si="708"/>
        <v>0</v>
      </c>
      <c r="O162" s="97">
        <f t="shared" si="708"/>
        <v>0</v>
      </c>
      <c r="P162" s="97">
        <f t="shared" ref="P162:R162" si="709">IF(BI162=0,SUM(Y162+AB162+AE162+AH162+AK162+AN162+AQ162+AT162+AW162+AZ162+BC162+BF162),BI162)</f>
        <v>0</v>
      </c>
      <c r="Q162" s="97">
        <f t="shared" si="709"/>
        <v>0</v>
      </c>
      <c r="R162" s="97">
        <f t="shared" si="709"/>
        <v>0</v>
      </c>
      <c r="S162" s="138">
        <f t="shared" ref="S162:T162" si="710">I162-M162</f>
        <v>0</v>
      </c>
      <c r="T162" s="97">
        <f t="shared" si="710"/>
        <v>0</v>
      </c>
      <c r="U162" s="97">
        <f t="shared" ref="U162:U164" si="711">L162-O162</f>
        <v>0</v>
      </c>
      <c r="V162" s="98" t="e">
        <f t="shared" ref="V162:W162" si="712">M162/I162</f>
        <v>#DIV/0!</v>
      </c>
      <c r="W162" s="98" t="e">
        <f t="shared" si="712"/>
        <v>#DIV/0!</v>
      </c>
      <c r="X162" s="98" t="e">
        <f t="shared" si="689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/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83"/>
        <v>0</v>
      </c>
      <c r="H163" s="94">
        <f t="shared" si="684"/>
        <v>0</v>
      </c>
      <c r="I163" s="95"/>
      <c r="J163" s="96"/>
      <c r="K163" s="96"/>
      <c r="L163" s="261"/>
      <c r="M163" s="97">
        <f t="shared" ref="M163:O163" si="713">Y163+AB163+AE163+AH163+AK163+AN163+AQ163+AT163+AW163+AZ163+BC163+BF163</f>
        <v>0</v>
      </c>
      <c r="N163" s="97">
        <f t="shared" si="713"/>
        <v>0</v>
      </c>
      <c r="O163" s="97">
        <f t="shared" si="713"/>
        <v>0</v>
      </c>
      <c r="P163" s="97">
        <f t="shared" ref="P163:R163" si="714">IF(BI163=0,SUM(Y163+AB163+AE163+AH163+AK163+AN163+AQ163+AT163+AW163+AZ163+BC163+BF163),BI163)</f>
        <v>0</v>
      </c>
      <c r="Q163" s="97">
        <f t="shared" si="714"/>
        <v>0</v>
      </c>
      <c r="R163" s="97">
        <f t="shared" si="714"/>
        <v>0</v>
      </c>
      <c r="S163" s="97">
        <f t="shared" ref="S163:T163" si="715">I163-M163</f>
        <v>0</v>
      </c>
      <c r="T163" s="97">
        <f t="shared" si="715"/>
        <v>0</v>
      </c>
      <c r="U163" s="97">
        <f t="shared" si="711"/>
        <v>0</v>
      </c>
      <c r="V163" s="98" t="e">
        <f t="shared" ref="V163:W163" si="716">M163/I163</f>
        <v>#DIV/0!</v>
      </c>
      <c r="W163" s="98" t="e">
        <f t="shared" si="716"/>
        <v>#DIV/0!</v>
      </c>
      <c r="X163" s="98" t="e">
        <f t="shared" si="689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83"/>
        <v>#DIV/0!</v>
      </c>
      <c r="H164" s="94" t="e">
        <f t="shared" si="684"/>
        <v>#DIV/0!</v>
      </c>
      <c r="I164" s="95"/>
      <c r="J164" s="96"/>
      <c r="K164" s="96"/>
      <c r="L164" s="95"/>
      <c r="M164" s="97">
        <f t="shared" ref="M164:O164" si="717">Y164+AB164+AE164+AH164+AK164+AN164+AQ164+AT164+AW164+AZ164+BC164+BF164</f>
        <v>0</v>
      </c>
      <c r="N164" s="97">
        <f t="shared" si="717"/>
        <v>0</v>
      </c>
      <c r="O164" s="97">
        <f t="shared" si="717"/>
        <v>0</v>
      </c>
      <c r="P164" s="97">
        <f t="shared" ref="P164:R164" si="718">IF(BI164=0,SUM(Y164+AB164+AE164+AH164+AK164+AN164+AQ164+AT164+AW164+AZ164+BC164+BF164),BI164)</f>
        <v>0</v>
      </c>
      <c r="Q164" s="97">
        <f t="shared" si="718"/>
        <v>0</v>
      </c>
      <c r="R164" s="97">
        <f t="shared" si="718"/>
        <v>0</v>
      </c>
      <c r="S164" s="97">
        <f t="shared" ref="S164:T164" si="719">I164-M164</f>
        <v>0</v>
      </c>
      <c r="T164" s="97">
        <f t="shared" si="719"/>
        <v>0</v>
      </c>
      <c r="U164" s="97">
        <f t="shared" si="711"/>
        <v>0</v>
      </c>
      <c r="V164" s="98" t="e">
        <f t="shared" ref="V164:W164" si="720">M164/I164</f>
        <v>#DIV/0!</v>
      </c>
      <c r="W164" s="98" t="e">
        <f t="shared" si="720"/>
        <v>#DIV/0!</v>
      </c>
      <c r="X164" s="98" t="e">
        <f t="shared" si="689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721">SUM(E166:E167)</f>
        <v>0</v>
      </c>
      <c r="F165" s="231">
        <f t="shared" si="721"/>
        <v>0</v>
      </c>
      <c r="G165" s="188" t="e">
        <f t="shared" si="683"/>
        <v>#DIV/0!</v>
      </c>
      <c r="H165" s="188" t="e">
        <f t="shared" si="684"/>
        <v>#DIV/0!</v>
      </c>
      <c r="I165" s="231">
        <f t="shared" ref="I165:O165" si="722">SUM(I166:I167)</f>
        <v>0</v>
      </c>
      <c r="J165" s="231">
        <f t="shared" si="722"/>
        <v>0</v>
      </c>
      <c r="K165" s="231">
        <f t="shared" si="722"/>
        <v>0</v>
      </c>
      <c r="L165" s="231">
        <f t="shared" si="722"/>
        <v>0</v>
      </c>
      <c r="M165" s="231">
        <f t="shared" si="722"/>
        <v>0</v>
      </c>
      <c r="N165" s="231">
        <f t="shared" si="722"/>
        <v>0</v>
      </c>
      <c r="O165" s="231">
        <f t="shared" si="722"/>
        <v>0</v>
      </c>
      <c r="P165" s="258">
        <f t="shared" ref="P165:R165" si="723">IF(BI165=0,SUM(Y165+AB165+AE165+AH165+AK165+AN165+AQ165+AT165+AW165+AZ165+BC165+BF165),BI165)</f>
        <v>0</v>
      </c>
      <c r="Q165" s="258">
        <f t="shared" si="723"/>
        <v>0</v>
      </c>
      <c r="R165" s="258">
        <f t="shared" si="723"/>
        <v>0</v>
      </c>
      <c r="S165" s="231">
        <f t="shared" ref="S165:U165" si="724">SUM(S166:S167)</f>
        <v>0</v>
      </c>
      <c r="T165" s="231">
        <f t="shared" si="724"/>
        <v>0</v>
      </c>
      <c r="U165" s="231">
        <f t="shared" si="724"/>
        <v>0</v>
      </c>
      <c r="V165" s="259" t="e">
        <f t="shared" ref="V165:W165" si="725">M165/I165</f>
        <v>#DIV/0!</v>
      </c>
      <c r="W165" s="259" t="e">
        <f t="shared" si="725"/>
        <v>#DIV/0!</v>
      </c>
      <c r="X165" s="259" t="e">
        <f t="shared" si="689"/>
        <v>#DIV/0!</v>
      </c>
      <c r="Y165" s="231">
        <f t="shared" ref="Y165:BK165" si="726">SUM(Y166:Y167)</f>
        <v>0</v>
      </c>
      <c r="Z165" s="231">
        <f t="shared" si="726"/>
        <v>0</v>
      </c>
      <c r="AA165" s="231">
        <f t="shared" si="726"/>
        <v>0</v>
      </c>
      <c r="AB165" s="231">
        <f t="shared" si="726"/>
        <v>0</v>
      </c>
      <c r="AC165" s="231">
        <f t="shared" si="726"/>
        <v>0</v>
      </c>
      <c r="AD165" s="231">
        <f t="shared" si="726"/>
        <v>0</v>
      </c>
      <c r="AE165" s="231">
        <f t="shared" si="726"/>
        <v>0</v>
      </c>
      <c r="AF165" s="231">
        <f t="shared" si="726"/>
        <v>0</v>
      </c>
      <c r="AG165" s="231">
        <f t="shared" si="726"/>
        <v>0</v>
      </c>
      <c r="AH165" s="231">
        <f t="shared" si="726"/>
        <v>0</v>
      </c>
      <c r="AI165" s="231">
        <f t="shared" si="726"/>
        <v>0</v>
      </c>
      <c r="AJ165" s="231">
        <f t="shared" si="726"/>
        <v>0</v>
      </c>
      <c r="AK165" s="231">
        <f t="shared" si="726"/>
        <v>0</v>
      </c>
      <c r="AL165" s="231">
        <f t="shared" si="726"/>
        <v>0</v>
      </c>
      <c r="AM165" s="231">
        <f t="shared" si="726"/>
        <v>0</v>
      </c>
      <c r="AN165" s="231">
        <f t="shared" si="726"/>
        <v>0</v>
      </c>
      <c r="AO165" s="231">
        <f t="shared" si="726"/>
        <v>0</v>
      </c>
      <c r="AP165" s="231">
        <f t="shared" si="726"/>
        <v>0</v>
      </c>
      <c r="AQ165" s="231">
        <f t="shared" si="726"/>
        <v>0</v>
      </c>
      <c r="AR165" s="231">
        <f t="shared" si="726"/>
        <v>0</v>
      </c>
      <c r="AS165" s="231">
        <f t="shared" si="726"/>
        <v>0</v>
      </c>
      <c r="AT165" s="231">
        <f t="shared" si="726"/>
        <v>0</v>
      </c>
      <c r="AU165" s="231">
        <f t="shared" si="726"/>
        <v>0</v>
      </c>
      <c r="AV165" s="231">
        <f t="shared" si="726"/>
        <v>0</v>
      </c>
      <c r="AW165" s="231">
        <f t="shared" si="726"/>
        <v>0</v>
      </c>
      <c r="AX165" s="231">
        <f t="shared" si="726"/>
        <v>0</v>
      </c>
      <c r="AY165" s="231">
        <f t="shared" si="726"/>
        <v>0</v>
      </c>
      <c r="AZ165" s="231">
        <f t="shared" si="726"/>
        <v>0</v>
      </c>
      <c r="BA165" s="231">
        <f t="shared" si="726"/>
        <v>0</v>
      </c>
      <c r="BB165" s="231">
        <f t="shared" si="726"/>
        <v>0</v>
      </c>
      <c r="BC165" s="231">
        <f t="shared" si="726"/>
        <v>0</v>
      </c>
      <c r="BD165" s="231">
        <f t="shared" si="726"/>
        <v>0</v>
      </c>
      <c r="BE165" s="231">
        <f t="shared" si="726"/>
        <v>0</v>
      </c>
      <c r="BF165" s="231">
        <f t="shared" si="726"/>
        <v>0</v>
      </c>
      <c r="BG165" s="231">
        <f t="shared" si="726"/>
        <v>0</v>
      </c>
      <c r="BH165" s="231">
        <f t="shared" si="726"/>
        <v>0</v>
      </c>
      <c r="BI165" s="231">
        <f t="shared" si="726"/>
        <v>0</v>
      </c>
      <c r="BJ165" s="231">
        <f t="shared" si="726"/>
        <v>0</v>
      </c>
      <c r="BK165" s="231">
        <f t="shared" si="726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83"/>
        <v>#DIV/0!</v>
      </c>
      <c r="H166" s="94" t="e">
        <f t="shared" si="684"/>
        <v>#DIV/0!</v>
      </c>
      <c r="I166" s="95"/>
      <c r="J166" s="96"/>
      <c r="K166" s="96"/>
      <c r="L166" s="95"/>
      <c r="M166" s="97">
        <f t="shared" ref="M166:O166" si="727">Y166+AB166+AE166+AH166+AK166+AN166+AQ166+AT166+AW166+AZ166+BC166+BF166</f>
        <v>0</v>
      </c>
      <c r="N166" s="97">
        <f t="shared" si="727"/>
        <v>0</v>
      </c>
      <c r="O166" s="97">
        <f t="shared" si="727"/>
        <v>0</v>
      </c>
      <c r="P166" s="97">
        <f t="shared" ref="P166:R166" si="728">IF(BI166=0,SUM(Y166+AB166+AE166+AH166+AK166+AN166+AQ166+AT166+AW166+AZ166+BC166+BF166),BI166)</f>
        <v>0</v>
      </c>
      <c r="Q166" s="97">
        <f t="shared" si="728"/>
        <v>0</v>
      </c>
      <c r="R166" s="97">
        <f t="shared" si="728"/>
        <v>0</v>
      </c>
      <c r="S166" s="97">
        <f t="shared" ref="S166:T166" si="729">I166-M166</f>
        <v>0</v>
      </c>
      <c r="T166" s="97">
        <f t="shared" si="729"/>
        <v>0</v>
      </c>
      <c r="U166" s="97">
        <f t="shared" ref="U166:U167" si="730">L166-O166</f>
        <v>0</v>
      </c>
      <c r="V166" s="98" t="e">
        <f t="shared" ref="V166:W166" si="731">M166/I166</f>
        <v>#DIV/0!</v>
      </c>
      <c r="W166" s="98" t="e">
        <f t="shared" si="731"/>
        <v>#DIV/0!</v>
      </c>
      <c r="X166" s="98" t="e">
        <f t="shared" si="689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83"/>
        <v>#DIV/0!</v>
      </c>
      <c r="H167" s="94" t="e">
        <f t="shared" si="684"/>
        <v>#DIV/0!</v>
      </c>
      <c r="I167" s="95"/>
      <c r="J167" s="96"/>
      <c r="K167" s="96"/>
      <c r="L167" s="95"/>
      <c r="M167" s="97"/>
      <c r="N167" s="97">
        <f t="shared" ref="N167:O167" si="732">Z167+AC167+AF167+AI167+AL167+AO167+AR167+AU167+AX167+BA167+BD167+BG167</f>
        <v>0</v>
      </c>
      <c r="O167" s="97">
        <f t="shared" si="732"/>
        <v>0</v>
      </c>
      <c r="P167" s="97">
        <f t="shared" ref="P167:R167" si="733">IF(BI167=0,SUM(Y167+AB167+AE167+AH167+AK167+AN167+AQ167+AT167+AW167+AZ167+BC167+BF167),BI167)</f>
        <v>0</v>
      </c>
      <c r="Q167" s="97">
        <f t="shared" si="733"/>
        <v>0</v>
      </c>
      <c r="R167" s="97">
        <f t="shared" si="733"/>
        <v>0</v>
      </c>
      <c r="S167" s="97">
        <f t="shared" ref="S167:T167" si="734">I167-M167</f>
        <v>0</v>
      </c>
      <c r="T167" s="97">
        <f t="shared" si="734"/>
        <v>0</v>
      </c>
      <c r="U167" s="97">
        <f t="shared" si="730"/>
        <v>0</v>
      </c>
      <c r="V167" s="98" t="e">
        <f t="shared" ref="V167:W167" si="735">M167/I167</f>
        <v>#DIV/0!</v>
      </c>
      <c r="W167" s="98" t="e">
        <f t="shared" si="735"/>
        <v>#DIV/0!</v>
      </c>
      <c r="X167" s="98" t="e">
        <f t="shared" si="689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36">E169+E176</f>
        <v>84944.8</v>
      </c>
      <c r="F168" s="255">
        <f t="shared" si="736"/>
        <v>36000</v>
      </c>
      <c r="G168" s="223">
        <f t="shared" si="683"/>
        <v>0</v>
      </c>
      <c r="H168" s="223">
        <f t="shared" si="684"/>
        <v>0</v>
      </c>
      <c r="I168" s="255">
        <f t="shared" ref="I168:O168" si="737">I169+I176</f>
        <v>0</v>
      </c>
      <c r="J168" s="255">
        <f t="shared" si="737"/>
        <v>250</v>
      </c>
      <c r="K168" s="255">
        <f t="shared" si="737"/>
        <v>0</v>
      </c>
      <c r="L168" s="255">
        <f t="shared" si="737"/>
        <v>0</v>
      </c>
      <c r="M168" s="255">
        <f t="shared" si="737"/>
        <v>0</v>
      </c>
      <c r="N168" s="255">
        <f t="shared" si="737"/>
        <v>0</v>
      </c>
      <c r="O168" s="255">
        <f t="shared" si="737"/>
        <v>0</v>
      </c>
      <c r="P168" s="255">
        <f t="shared" ref="P168:R168" si="738">IF(BI168=0,SUM(Y168+AB168+AE168+AH168+AK168+AN168+AQ168+AT168+AW168+AZ168+BC168+BF168),BI168)</f>
        <v>0</v>
      </c>
      <c r="Q168" s="255">
        <f t="shared" si="738"/>
        <v>250</v>
      </c>
      <c r="R168" s="255">
        <f t="shared" si="738"/>
        <v>0</v>
      </c>
      <c r="S168" s="255">
        <f t="shared" ref="S168:U168" si="739">S169+S176</f>
        <v>0</v>
      </c>
      <c r="T168" s="255">
        <f t="shared" si="739"/>
        <v>0</v>
      </c>
      <c r="U168" s="255">
        <f t="shared" si="739"/>
        <v>0</v>
      </c>
      <c r="V168" s="256" t="e">
        <f t="shared" ref="V168:W168" si="740">M168/I168</f>
        <v>#DIV/0!</v>
      </c>
      <c r="W168" s="256">
        <f t="shared" si="740"/>
        <v>0</v>
      </c>
      <c r="X168" s="256" t="e">
        <f t="shared" si="689"/>
        <v>#DIV/0!</v>
      </c>
      <c r="Y168" s="255">
        <f t="shared" ref="Y168:BK168" si="741">Y169+Y176</f>
        <v>0</v>
      </c>
      <c r="Z168" s="255">
        <f t="shared" si="741"/>
        <v>250</v>
      </c>
      <c r="AA168" s="255">
        <f t="shared" si="741"/>
        <v>0</v>
      </c>
      <c r="AB168" s="255">
        <f t="shared" si="741"/>
        <v>0</v>
      </c>
      <c r="AC168" s="255">
        <f t="shared" si="741"/>
        <v>0</v>
      </c>
      <c r="AD168" s="255">
        <f t="shared" si="741"/>
        <v>0</v>
      </c>
      <c r="AE168" s="255">
        <f t="shared" si="741"/>
        <v>0</v>
      </c>
      <c r="AF168" s="255">
        <f t="shared" si="741"/>
        <v>0</v>
      </c>
      <c r="AG168" s="255">
        <f t="shared" si="741"/>
        <v>0</v>
      </c>
      <c r="AH168" s="255">
        <f t="shared" si="741"/>
        <v>0</v>
      </c>
      <c r="AI168" s="255">
        <f t="shared" si="741"/>
        <v>0</v>
      </c>
      <c r="AJ168" s="255">
        <f t="shared" si="741"/>
        <v>0</v>
      </c>
      <c r="AK168" s="255">
        <f t="shared" si="741"/>
        <v>0</v>
      </c>
      <c r="AL168" s="255">
        <f t="shared" si="741"/>
        <v>0</v>
      </c>
      <c r="AM168" s="255">
        <f t="shared" si="741"/>
        <v>0</v>
      </c>
      <c r="AN168" s="255">
        <f t="shared" si="741"/>
        <v>0</v>
      </c>
      <c r="AO168" s="255">
        <f t="shared" si="741"/>
        <v>0</v>
      </c>
      <c r="AP168" s="255">
        <f t="shared" si="741"/>
        <v>0</v>
      </c>
      <c r="AQ168" s="255">
        <f t="shared" si="741"/>
        <v>0</v>
      </c>
      <c r="AR168" s="255">
        <f t="shared" si="741"/>
        <v>0</v>
      </c>
      <c r="AS168" s="255">
        <f t="shared" si="741"/>
        <v>0</v>
      </c>
      <c r="AT168" s="255">
        <f t="shared" si="741"/>
        <v>0</v>
      </c>
      <c r="AU168" s="255">
        <f t="shared" si="741"/>
        <v>0</v>
      </c>
      <c r="AV168" s="255">
        <f t="shared" si="741"/>
        <v>0</v>
      </c>
      <c r="AW168" s="255">
        <f t="shared" si="741"/>
        <v>0</v>
      </c>
      <c r="AX168" s="255">
        <f t="shared" si="741"/>
        <v>0</v>
      </c>
      <c r="AY168" s="255">
        <f t="shared" si="741"/>
        <v>0</v>
      </c>
      <c r="AZ168" s="255">
        <f t="shared" si="741"/>
        <v>0</v>
      </c>
      <c r="BA168" s="255">
        <f t="shared" si="741"/>
        <v>0</v>
      </c>
      <c r="BB168" s="255">
        <f t="shared" si="741"/>
        <v>0</v>
      </c>
      <c r="BC168" s="255">
        <f t="shared" si="741"/>
        <v>0</v>
      </c>
      <c r="BD168" s="255">
        <f t="shared" si="741"/>
        <v>0</v>
      </c>
      <c r="BE168" s="255">
        <f t="shared" si="741"/>
        <v>0</v>
      </c>
      <c r="BF168" s="255">
        <f t="shared" si="741"/>
        <v>0</v>
      </c>
      <c r="BG168" s="255">
        <f t="shared" si="741"/>
        <v>0</v>
      </c>
      <c r="BH168" s="255">
        <f t="shared" si="741"/>
        <v>0</v>
      </c>
      <c r="BI168" s="255">
        <f t="shared" si="741"/>
        <v>0</v>
      </c>
      <c r="BJ168" s="255">
        <f t="shared" si="741"/>
        <v>0</v>
      </c>
      <c r="BK168" s="255">
        <f t="shared" si="741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83"/>
        <v>0</v>
      </c>
      <c r="H169" s="188">
        <f t="shared" si="684"/>
        <v>0</v>
      </c>
      <c r="I169" s="231">
        <f t="shared" ref="I169:K169" si="742">SUM(I170:I175)</f>
        <v>0</v>
      </c>
      <c r="J169" s="231">
        <f t="shared" si="742"/>
        <v>250</v>
      </c>
      <c r="K169" s="231">
        <f t="shared" si="742"/>
        <v>0</v>
      </c>
      <c r="L169" s="231">
        <f t="shared" ref="L169:O169" si="743">SUM(L170:L174)</f>
        <v>0</v>
      </c>
      <c r="M169" s="231">
        <f t="shared" si="743"/>
        <v>0</v>
      </c>
      <c r="N169" s="231">
        <f t="shared" si="743"/>
        <v>0</v>
      </c>
      <c r="O169" s="231">
        <f t="shared" si="743"/>
        <v>0</v>
      </c>
      <c r="P169" s="232">
        <f t="shared" ref="P169:R169" si="744">IF(BI169=0,SUM(Y169+AB169+AE169+AH169+AK169+AN169+AQ169+AT169+AW169+AZ169+BC169+BF169),BI169)</f>
        <v>0</v>
      </c>
      <c r="Q169" s="232">
        <f t="shared" si="744"/>
        <v>250</v>
      </c>
      <c r="R169" s="232">
        <f t="shared" si="744"/>
        <v>0</v>
      </c>
      <c r="S169" s="231">
        <f t="shared" ref="S169:T169" si="745">SUM(S170:S175)</f>
        <v>0</v>
      </c>
      <c r="T169" s="231">
        <f t="shared" si="745"/>
        <v>0</v>
      </c>
      <c r="U169" s="231">
        <f>SUM(U170:U174)</f>
        <v>0</v>
      </c>
      <c r="V169" s="259" t="e">
        <f t="shared" ref="V169:W169" si="746">M169/I169</f>
        <v>#DIV/0!</v>
      </c>
      <c r="W169" s="259">
        <f t="shared" si="746"/>
        <v>0</v>
      </c>
      <c r="X169" s="259" t="e">
        <f t="shared" si="689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47">SUM(AA170:AA174)</f>
        <v>0</v>
      </c>
      <c r="AB169" s="231">
        <f t="shared" si="747"/>
        <v>0</v>
      </c>
      <c r="AC169" s="231">
        <f t="shared" si="747"/>
        <v>0</v>
      </c>
      <c r="AD169" s="231">
        <f t="shared" si="747"/>
        <v>0</v>
      </c>
      <c r="AE169" s="231">
        <f t="shared" si="747"/>
        <v>0</v>
      </c>
      <c r="AF169" s="231">
        <f>SUM(AF170:AF175)</f>
        <v>0</v>
      </c>
      <c r="AG169" s="231">
        <f t="shared" ref="AG169:BK169" si="748">SUM(AG170:AG174)</f>
        <v>0</v>
      </c>
      <c r="AH169" s="231">
        <f t="shared" si="748"/>
        <v>0</v>
      </c>
      <c r="AI169" s="231">
        <f t="shared" si="748"/>
        <v>0</v>
      </c>
      <c r="AJ169" s="231">
        <f t="shared" si="748"/>
        <v>0</v>
      </c>
      <c r="AK169" s="231">
        <f t="shared" si="748"/>
        <v>0</v>
      </c>
      <c r="AL169" s="231">
        <f t="shared" si="748"/>
        <v>0</v>
      </c>
      <c r="AM169" s="231">
        <f t="shared" si="748"/>
        <v>0</v>
      </c>
      <c r="AN169" s="231">
        <f t="shared" si="748"/>
        <v>0</v>
      </c>
      <c r="AO169" s="231">
        <f t="shared" si="748"/>
        <v>0</v>
      </c>
      <c r="AP169" s="231">
        <f t="shared" si="748"/>
        <v>0</v>
      </c>
      <c r="AQ169" s="231">
        <f t="shared" si="748"/>
        <v>0</v>
      </c>
      <c r="AR169" s="231">
        <f t="shared" si="748"/>
        <v>0</v>
      </c>
      <c r="AS169" s="231">
        <f t="shared" si="748"/>
        <v>0</v>
      </c>
      <c r="AT169" s="231">
        <f t="shared" si="748"/>
        <v>0</v>
      </c>
      <c r="AU169" s="231">
        <f t="shared" si="748"/>
        <v>0</v>
      </c>
      <c r="AV169" s="231">
        <f t="shared" si="748"/>
        <v>0</v>
      </c>
      <c r="AW169" s="231">
        <f t="shared" si="748"/>
        <v>0</v>
      </c>
      <c r="AX169" s="231">
        <f t="shared" si="748"/>
        <v>0</v>
      </c>
      <c r="AY169" s="231">
        <f t="shared" si="748"/>
        <v>0</v>
      </c>
      <c r="AZ169" s="231">
        <f t="shared" si="748"/>
        <v>0</v>
      </c>
      <c r="BA169" s="231">
        <f t="shared" si="748"/>
        <v>0</v>
      </c>
      <c r="BB169" s="231">
        <f t="shared" si="748"/>
        <v>0</v>
      </c>
      <c r="BC169" s="231">
        <f t="shared" si="748"/>
        <v>0</v>
      </c>
      <c r="BD169" s="231">
        <f t="shared" si="748"/>
        <v>0</v>
      </c>
      <c r="BE169" s="231">
        <f t="shared" si="748"/>
        <v>0</v>
      </c>
      <c r="BF169" s="231">
        <f t="shared" si="748"/>
        <v>0</v>
      </c>
      <c r="BG169" s="231">
        <f t="shared" si="748"/>
        <v>0</v>
      </c>
      <c r="BH169" s="231">
        <f t="shared" si="748"/>
        <v>0</v>
      </c>
      <c r="BI169" s="231">
        <f t="shared" si="748"/>
        <v>0</v>
      </c>
      <c r="BJ169" s="231">
        <f t="shared" si="748"/>
        <v>0</v>
      </c>
      <c r="BK169" s="231">
        <f t="shared" si="748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83"/>
        <v>0</v>
      </c>
      <c r="H170" s="94">
        <f t="shared" si="684"/>
        <v>0</v>
      </c>
      <c r="I170" s="95"/>
      <c r="J170" s="95"/>
      <c r="K170" s="95"/>
      <c r="L170" s="263"/>
      <c r="M170" s="97"/>
      <c r="N170" s="97"/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83"/>
        <v>0</v>
      </c>
      <c r="H171" s="94">
        <f t="shared" si="684"/>
        <v>0</v>
      </c>
      <c r="I171" s="95">
        <v>0</v>
      </c>
      <c r="J171" s="95"/>
      <c r="K171" s="95"/>
      <c r="L171" s="263"/>
      <c r="M171" s="97"/>
      <c r="N171" s="97"/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83"/>
        <v>#DIV/0!</v>
      </c>
      <c r="H172" s="94" t="e">
        <f t="shared" si="684"/>
        <v>#DIV/0!</v>
      </c>
      <c r="I172" s="95"/>
      <c r="J172" s="95"/>
      <c r="K172" s="95"/>
      <c r="L172" s="202"/>
      <c r="M172" s="97">
        <f t="shared" ref="M172:O172" si="749">Y172+AB172+AE172+AH172+AK172+AN172+AQ172+AT172+AW172+AZ172+BC172+BF172</f>
        <v>0</v>
      </c>
      <c r="N172" s="97">
        <f t="shared" si="749"/>
        <v>0</v>
      </c>
      <c r="O172" s="97">
        <f t="shared" si="749"/>
        <v>0</v>
      </c>
      <c r="P172" s="97">
        <f t="shared" ref="P172:R172" si="750">IF(BI172=0,SUM(Y172+AB172+AE172+AH172+AK172+AN172+AQ172+AT172+AW172+AZ172+BC172+BF172),BI172)</f>
        <v>0</v>
      </c>
      <c r="Q172" s="97">
        <f t="shared" si="750"/>
        <v>0</v>
      </c>
      <c r="R172" s="97">
        <f t="shared" si="750"/>
        <v>0</v>
      </c>
      <c r="S172" s="97">
        <f t="shared" ref="S172:T172" si="751">I172-M172</f>
        <v>0</v>
      </c>
      <c r="T172" s="97">
        <f t="shared" si="751"/>
        <v>0</v>
      </c>
      <c r="U172" s="97">
        <f t="shared" ref="U172:U175" si="752">L172-O172</f>
        <v>0</v>
      </c>
      <c r="V172" s="98" t="e">
        <f t="shared" ref="V172:W172" si="753">M172/I172</f>
        <v>#DIV/0!</v>
      </c>
      <c r="W172" s="98" t="e">
        <f t="shared" si="753"/>
        <v>#DIV/0!</v>
      </c>
      <c r="X172" s="98" t="e">
        <f t="shared" ref="X172:X187" si="754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83"/>
        <v>0</v>
      </c>
      <c r="H173" s="94">
        <f t="shared" si="684"/>
        <v>0</v>
      </c>
      <c r="I173" s="95">
        <v>0</v>
      </c>
      <c r="J173" s="95"/>
      <c r="K173" s="95"/>
      <c r="L173" s="202"/>
      <c r="M173" s="97">
        <f t="shared" ref="M173:O173" si="755">Y173+AB173+AE173+AH173+AK173+AN173+AQ173+AT173+AW173+AZ173+BC173+BF173</f>
        <v>0</v>
      </c>
      <c r="N173" s="97">
        <f t="shared" si="755"/>
        <v>0</v>
      </c>
      <c r="O173" s="97">
        <f t="shared" si="755"/>
        <v>0</v>
      </c>
      <c r="P173" s="97">
        <f t="shared" ref="P173:R173" si="756">IF(BI173=0,SUM(Y173+AB173+AE173+AH173+AK173+AN173+AQ173+AT173+AW173+AZ173+BC173+BF173),BI173)</f>
        <v>0</v>
      </c>
      <c r="Q173" s="97">
        <f t="shared" si="756"/>
        <v>0</v>
      </c>
      <c r="R173" s="97">
        <f t="shared" si="756"/>
        <v>0</v>
      </c>
      <c r="S173" s="138">
        <f t="shared" ref="S173:T173" si="757">I173-M173</f>
        <v>0</v>
      </c>
      <c r="T173" s="97">
        <f t="shared" si="757"/>
        <v>0</v>
      </c>
      <c r="U173" s="97">
        <f t="shared" si="752"/>
        <v>0</v>
      </c>
      <c r="V173" s="98" t="e">
        <f t="shared" ref="V173:W173" si="758">M173/I173</f>
        <v>#DIV/0!</v>
      </c>
      <c r="W173" s="98" t="e">
        <f t="shared" si="758"/>
        <v>#DIV/0!</v>
      </c>
      <c r="X173" s="98" t="e">
        <f t="shared" si="754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83"/>
        <v>0</v>
      </c>
      <c r="H174" s="94">
        <f t="shared" si="684"/>
        <v>0</v>
      </c>
      <c r="I174" s="95">
        <v>0</v>
      </c>
      <c r="J174" s="95"/>
      <c r="K174" s="95"/>
      <c r="L174" s="202"/>
      <c r="M174" s="97">
        <f t="shared" ref="M174:O174" si="759">Y174+AB174+AE174+AH174+AK174+AN174+AQ174+AT174+AW174+AZ174+BC174+BF174</f>
        <v>0</v>
      </c>
      <c r="N174" s="97">
        <f t="shared" si="759"/>
        <v>0</v>
      </c>
      <c r="O174" s="97">
        <f t="shared" si="759"/>
        <v>0</v>
      </c>
      <c r="P174" s="97">
        <f t="shared" ref="P174:R174" si="760">IF(BI174=0,SUM(Y174+AB174+AE174+AH174+AK174+AN174+AQ174+AT174+AW174+AZ174+BC174+BF174),BI174)</f>
        <v>0</v>
      </c>
      <c r="Q174" s="97">
        <f t="shared" si="760"/>
        <v>0</v>
      </c>
      <c r="R174" s="97">
        <f t="shared" si="760"/>
        <v>0</v>
      </c>
      <c r="S174" s="97">
        <f t="shared" ref="S174:T174" si="761">I174-M174</f>
        <v>0</v>
      </c>
      <c r="T174" s="97">
        <f t="shared" si="761"/>
        <v>0</v>
      </c>
      <c r="U174" s="97">
        <f t="shared" si="752"/>
        <v>0</v>
      </c>
      <c r="V174" s="98" t="e">
        <f t="shared" ref="V174:W174" si="762">M174/I174</f>
        <v>#DIV/0!</v>
      </c>
      <c r="W174" s="98" t="e">
        <f t="shared" si="762"/>
        <v>#DIV/0!</v>
      </c>
      <c r="X174" s="98" t="e">
        <f t="shared" si="754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83"/>
        <v>#DIV/0!</v>
      </c>
      <c r="H175" s="94" t="e">
        <f t="shared" si="684"/>
        <v>#DIV/0!</v>
      </c>
      <c r="I175" s="95"/>
      <c r="J175" s="146">
        <v>250</v>
      </c>
      <c r="K175" s="146"/>
      <c r="L175" s="202"/>
      <c r="M175" s="97">
        <f t="shared" ref="M175:O175" si="763">Y175+AB175+AE175+AH175+AK175+AN175+AQ175+AT175+AW175+AZ175+BC175+BF175</f>
        <v>0</v>
      </c>
      <c r="N175" s="97">
        <f t="shared" si="763"/>
        <v>250</v>
      </c>
      <c r="O175" s="97">
        <f t="shared" si="763"/>
        <v>0</v>
      </c>
      <c r="P175" s="97">
        <f t="shared" ref="P175:R175" si="764">IF(BI175=0,SUM(Y175+AB175+AE175+AH175+AK175+AN175+AQ175+AT175+AW175+AZ175+BC175+BF175),BI175)</f>
        <v>0</v>
      </c>
      <c r="Q175" s="97">
        <f t="shared" si="764"/>
        <v>250</v>
      </c>
      <c r="R175" s="97">
        <f t="shared" si="764"/>
        <v>0</v>
      </c>
      <c r="S175" s="97">
        <f>I175-M175</f>
        <v>0</v>
      </c>
      <c r="T175" s="97">
        <f>J175-N175-K175</f>
        <v>0</v>
      </c>
      <c r="U175" s="97">
        <f t="shared" si="752"/>
        <v>0</v>
      </c>
      <c r="V175" s="98" t="e">
        <f t="shared" ref="V175:W175" si="765">M175/I175</f>
        <v>#DIV/0!</v>
      </c>
      <c r="W175" s="98">
        <f t="shared" si="765"/>
        <v>1</v>
      </c>
      <c r="X175" s="98" t="e">
        <f t="shared" si="754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66">SUM(E177:E182)</f>
        <v>0</v>
      </c>
      <c r="F176" s="231">
        <f t="shared" si="766"/>
        <v>36000</v>
      </c>
      <c r="G176" s="188" t="e">
        <f t="shared" si="683"/>
        <v>#DIV/0!</v>
      </c>
      <c r="H176" s="188" t="e">
        <f t="shared" si="684"/>
        <v>#DIV/0!</v>
      </c>
      <c r="I176" s="231">
        <f t="shared" ref="I176:O176" si="767">SUM(I177:I182)</f>
        <v>0</v>
      </c>
      <c r="J176" s="231">
        <f t="shared" si="767"/>
        <v>0</v>
      </c>
      <c r="K176" s="231">
        <f t="shared" si="767"/>
        <v>0</v>
      </c>
      <c r="L176" s="231">
        <f t="shared" si="767"/>
        <v>0</v>
      </c>
      <c r="M176" s="231">
        <f t="shared" si="767"/>
        <v>0</v>
      </c>
      <c r="N176" s="231">
        <f t="shared" si="767"/>
        <v>0</v>
      </c>
      <c r="O176" s="231">
        <f t="shared" si="767"/>
        <v>0</v>
      </c>
      <c r="P176" s="258">
        <f t="shared" ref="P176:R176" si="768">IF(BI176=0,SUM(Y176+AB176+AE176+AH176+AK176+AN176+AQ176+AT176+AW176+AZ176+BC176+BF176),BI176)</f>
        <v>0</v>
      </c>
      <c r="Q176" s="258">
        <f t="shared" si="768"/>
        <v>0</v>
      </c>
      <c r="R176" s="258">
        <f t="shared" si="768"/>
        <v>0</v>
      </c>
      <c r="S176" s="231">
        <f t="shared" ref="S176:U176" si="769">SUM(S177:S182)</f>
        <v>0</v>
      </c>
      <c r="T176" s="231">
        <f t="shared" si="769"/>
        <v>0</v>
      </c>
      <c r="U176" s="231">
        <f t="shared" si="769"/>
        <v>0</v>
      </c>
      <c r="V176" s="259" t="e">
        <f t="shared" ref="V176:W176" si="770">M176/I176</f>
        <v>#DIV/0!</v>
      </c>
      <c r="W176" s="259" t="e">
        <f t="shared" si="770"/>
        <v>#DIV/0!</v>
      </c>
      <c r="X176" s="259" t="e">
        <f t="shared" si="754"/>
        <v>#DIV/0!</v>
      </c>
      <c r="Y176" s="231">
        <f t="shared" ref="Y176:BK176" si="771">SUM(Y177:Y182)</f>
        <v>0</v>
      </c>
      <c r="Z176" s="231">
        <f t="shared" si="771"/>
        <v>0</v>
      </c>
      <c r="AA176" s="231">
        <f t="shared" si="771"/>
        <v>0</v>
      </c>
      <c r="AB176" s="231">
        <f t="shared" si="771"/>
        <v>0</v>
      </c>
      <c r="AC176" s="231">
        <f t="shared" si="771"/>
        <v>0</v>
      </c>
      <c r="AD176" s="231">
        <f t="shared" si="771"/>
        <v>0</v>
      </c>
      <c r="AE176" s="231">
        <f t="shared" si="771"/>
        <v>0</v>
      </c>
      <c r="AF176" s="231">
        <f t="shared" si="771"/>
        <v>0</v>
      </c>
      <c r="AG176" s="231">
        <f t="shared" si="771"/>
        <v>0</v>
      </c>
      <c r="AH176" s="231">
        <f t="shared" si="771"/>
        <v>0</v>
      </c>
      <c r="AI176" s="231">
        <f t="shared" si="771"/>
        <v>0</v>
      </c>
      <c r="AJ176" s="231">
        <f t="shared" si="771"/>
        <v>0</v>
      </c>
      <c r="AK176" s="231">
        <f t="shared" si="771"/>
        <v>0</v>
      </c>
      <c r="AL176" s="231">
        <f t="shared" si="771"/>
        <v>0</v>
      </c>
      <c r="AM176" s="231">
        <f t="shared" si="771"/>
        <v>0</v>
      </c>
      <c r="AN176" s="231">
        <f t="shared" si="771"/>
        <v>0</v>
      </c>
      <c r="AO176" s="231">
        <f t="shared" si="771"/>
        <v>0</v>
      </c>
      <c r="AP176" s="231">
        <f t="shared" si="771"/>
        <v>0</v>
      </c>
      <c r="AQ176" s="231">
        <f t="shared" si="771"/>
        <v>0</v>
      </c>
      <c r="AR176" s="231">
        <f t="shared" si="771"/>
        <v>0</v>
      </c>
      <c r="AS176" s="231">
        <f t="shared" si="771"/>
        <v>0</v>
      </c>
      <c r="AT176" s="231">
        <f t="shared" si="771"/>
        <v>0</v>
      </c>
      <c r="AU176" s="231">
        <f t="shared" si="771"/>
        <v>0</v>
      </c>
      <c r="AV176" s="231">
        <f t="shared" si="771"/>
        <v>0</v>
      </c>
      <c r="AW176" s="231">
        <f t="shared" si="771"/>
        <v>0</v>
      </c>
      <c r="AX176" s="231">
        <f t="shared" si="771"/>
        <v>0</v>
      </c>
      <c r="AY176" s="231">
        <f t="shared" si="771"/>
        <v>0</v>
      </c>
      <c r="AZ176" s="231">
        <f t="shared" si="771"/>
        <v>0</v>
      </c>
      <c r="BA176" s="231">
        <f t="shared" si="771"/>
        <v>0</v>
      </c>
      <c r="BB176" s="231">
        <f t="shared" si="771"/>
        <v>0</v>
      </c>
      <c r="BC176" s="231">
        <f t="shared" si="771"/>
        <v>0</v>
      </c>
      <c r="BD176" s="231">
        <f t="shared" si="771"/>
        <v>0</v>
      </c>
      <c r="BE176" s="231">
        <f t="shared" si="771"/>
        <v>0</v>
      </c>
      <c r="BF176" s="231">
        <f t="shared" si="771"/>
        <v>0</v>
      </c>
      <c r="BG176" s="231">
        <f t="shared" si="771"/>
        <v>0</v>
      </c>
      <c r="BH176" s="231">
        <f t="shared" si="771"/>
        <v>0</v>
      </c>
      <c r="BI176" s="231">
        <f t="shared" si="771"/>
        <v>0</v>
      </c>
      <c r="BJ176" s="231">
        <f t="shared" si="771"/>
        <v>0</v>
      </c>
      <c r="BK176" s="231">
        <f t="shared" si="771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83"/>
        <v>#DIV/0!</v>
      </c>
      <c r="H177" s="94" t="e">
        <f t="shared" si="684"/>
        <v>#DIV/0!</v>
      </c>
      <c r="I177" s="95"/>
      <c r="J177" s="146">
        <v>0</v>
      </c>
      <c r="K177" s="146"/>
      <c r="L177" s="202"/>
      <c r="M177" s="97">
        <f t="shared" ref="M177:O177" si="772">Y177+AB177+AE177+AH177+AK177+AN177+AQ177+AT177+AW177+AZ177+BC177+BF177</f>
        <v>0</v>
      </c>
      <c r="N177" s="97">
        <f t="shared" si="772"/>
        <v>0</v>
      </c>
      <c r="O177" s="97">
        <f t="shared" si="772"/>
        <v>0</v>
      </c>
      <c r="P177" s="97">
        <f t="shared" ref="P177:R177" si="773">IF(BI177=0,SUM(Y177+AB177+AE177+AH177+AK177+AN177+AQ177+AT177+AW177+AZ177+BC177+BF177),BI177)</f>
        <v>0</v>
      </c>
      <c r="Q177" s="97">
        <f t="shared" si="773"/>
        <v>0</v>
      </c>
      <c r="R177" s="97">
        <f t="shared" si="773"/>
        <v>0</v>
      </c>
      <c r="S177" s="97">
        <f t="shared" ref="S177:T177" si="774">I177-M177</f>
        <v>0</v>
      </c>
      <c r="T177" s="97">
        <f t="shared" si="774"/>
        <v>0</v>
      </c>
      <c r="U177" s="97">
        <f t="shared" ref="U177:U182" si="775">L177-O177</f>
        <v>0</v>
      </c>
      <c r="V177" s="98" t="e">
        <f t="shared" ref="V177:W177" si="776">M177/I177</f>
        <v>#DIV/0!</v>
      </c>
      <c r="W177" s="98" t="e">
        <f t="shared" si="776"/>
        <v>#DIV/0!</v>
      </c>
      <c r="X177" s="98" t="e">
        <f t="shared" si="754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83"/>
        <v>#DIV/0!</v>
      </c>
      <c r="H178" s="94" t="e">
        <f t="shared" si="684"/>
        <v>#DIV/0!</v>
      </c>
      <c r="I178" s="95"/>
      <c r="J178" s="95"/>
      <c r="K178" s="95"/>
      <c r="L178" s="202"/>
      <c r="M178" s="97">
        <f t="shared" ref="M178:O178" si="777">Y178+AB178+AE178+AH178+AK178+AN178+AQ178+AT178+AW178+AZ178+BC178+BF178</f>
        <v>0</v>
      </c>
      <c r="N178" s="97">
        <f t="shared" si="777"/>
        <v>0</v>
      </c>
      <c r="O178" s="97">
        <f t="shared" si="777"/>
        <v>0</v>
      </c>
      <c r="P178" s="97">
        <f t="shared" ref="P178:R178" si="778">IF(BI178=0,SUM(Y178+AB178+AE178+AH178+AK178+AN178+AQ178+AT178+AW178+AZ178+BC178+BF178),BI178)</f>
        <v>0</v>
      </c>
      <c r="Q178" s="97">
        <f t="shared" si="778"/>
        <v>0</v>
      </c>
      <c r="R178" s="97">
        <f t="shared" si="778"/>
        <v>0</v>
      </c>
      <c r="S178" s="97">
        <f t="shared" ref="S178:T178" si="779">I178-M178</f>
        <v>0</v>
      </c>
      <c r="T178" s="97">
        <f t="shared" si="779"/>
        <v>0</v>
      </c>
      <c r="U178" s="97">
        <f t="shared" si="775"/>
        <v>0</v>
      </c>
      <c r="V178" s="98" t="e">
        <f t="shared" ref="V178:W178" si="780">M178/I178</f>
        <v>#DIV/0!</v>
      </c>
      <c r="W178" s="98" t="e">
        <f t="shared" si="780"/>
        <v>#DIV/0!</v>
      </c>
      <c r="X178" s="98" t="e">
        <f t="shared" si="754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81">Y179+AB179+AE179+AH179+AK179+AN179+AQ179+AT179+AW179+AZ179+BC179+BF179</f>
        <v>0</v>
      </c>
      <c r="N179" s="97">
        <f t="shared" si="781"/>
        <v>0</v>
      </c>
      <c r="O179" s="97">
        <f t="shared" si="781"/>
        <v>0</v>
      </c>
      <c r="P179" s="97">
        <f t="shared" ref="P179:R179" si="782">IF(BI179=0,SUM(Y179+AB179+AE179+AH179+AK179+AN179+AQ179+AT179+AW179+AZ179+BC179+BF179),BI179)</f>
        <v>0</v>
      </c>
      <c r="Q179" s="97">
        <f t="shared" si="782"/>
        <v>0</v>
      </c>
      <c r="R179" s="97">
        <f t="shared" si="782"/>
        <v>0</v>
      </c>
      <c r="S179" s="97">
        <f t="shared" ref="S179:T179" si="783">I179-M179</f>
        <v>0</v>
      </c>
      <c r="T179" s="97">
        <f t="shared" si="783"/>
        <v>0</v>
      </c>
      <c r="U179" s="97">
        <f t="shared" si="775"/>
        <v>0</v>
      </c>
      <c r="V179" s="98" t="e">
        <f t="shared" ref="V179:W179" si="784">M179/I179</f>
        <v>#DIV/0!</v>
      </c>
      <c r="W179" s="98" t="e">
        <f t="shared" si="784"/>
        <v>#DIV/0!</v>
      </c>
      <c r="X179" s="98" t="e">
        <f t="shared" si="754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85">Y180+AB180+AE180+AH180+AK180+AN180+AQ180+AT180+AW180+AZ180+BC180+BF180</f>
        <v>0</v>
      </c>
      <c r="N180" s="97">
        <f t="shared" si="785"/>
        <v>0</v>
      </c>
      <c r="O180" s="97">
        <f t="shared" si="785"/>
        <v>0</v>
      </c>
      <c r="P180" s="97">
        <f t="shared" ref="P180:R180" si="786">IF(BI180=0,SUM(Y180+AB180+AE180+AH180+AK180+AN180+AQ180+AT180+AW180+AZ180+BC180+BF180),BI180)</f>
        <v>0</v>
      </c>
      <c r="Q180" s="97">
        <f t="shared" si="786"/>
        <v>0</v>
      </c>
      <c r="R180" s="97">
        <f t="shared" si="786"/>
        <v>0</v>
      </c>
      <c r="S180" s="97">
        <f t="shared" ref="S180:T180" si="787">I180-M180</f>
        <v>0</v>
      </c>
      <c r="T180" s="97">
        <f t="shared" si="787"/>
        <v>0</v>
      </c>
      <c r="U180" s="97">
        <f t="shared" si="775"/>
        <v>0</v>
      </c>
      <c r="V180" s="98" t="e">
        <f t="shared" ref="V180:W180" si="788">M180/I180</f>
        <v>#DIV/0!</v>
      </c>
      <c r="W180" s="98" t="e">
        <f t="shared" si="788"/>
        <v>#DIV/0!</v>
      </c>
      <c r="X180" s="98" t="e">
        <f t="shared" si="754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89">Y181+AB181+AE181+AH181+AK181+AN181+AQ181+AT181+AW181+AZ181+BC181+BF181</f>
        <v>0</v>
      </c>
      <c r="N181" s="97">
        <f t="shared" si="789"/>
        <v>0</v>
      </c>
      <c r="O181" s="97">
        <f t="shared" si="789"/>
        <v>0</v>
      </c>
      <c r="P181" s="97">
        <f t="shared" ref="P181:R181" si="790">IF(BI181=0,SUM(Y181+AB181+AE181+AH181+AK181+AN181+AQ181+AT181+AW181+AZ181+BC181+BF181),BI181)</f>
        <v>0</v>
      </c>
      <c r="Q181" s="97">
        <f t="shared" si="790"/>
        <v>0</v>
      </c>
      <c r="R181" s="97">
        <f t="shared" si="790"/>
        <v>0</v>
      </c>
      <c r="S181" s="97">
        <f t="shared" ref="S181:T181" si="791">I181-M181</f>
        <v>0</v>
      </c>
      <c r="T181" s="97">
        <f t="shared" si="791"/>
        <v>0</v>
      </c>
      <c r="U181" s="97">
        <f t="shared" si="775"/>
        <v>0</v>
      </c>
      <c r="V181" s="98" t="e">
        <f t="shared" ref="V181:W181" si="792">M181/I181</f>
        <v>#DIV/0!</v>
      </c>
      <c r="W181" s="98" t="e">
        <f t="shared" si="792"/>
        <v>#DIV/0!</v>
      </c>
      <c r="X181" s="98" t="e">
        <f t="shared" si="754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93">I182/E182</f>
        <v>#DIV/0!</v>
      </c>
      <c r="H182" s="94" t="e">
        <f t="shared" ref="H182:H184" si="794">M182/E182</f>
        <v>#DIV/0!</v>
      </c>
      <c r="I182" s="95"/>
      <c r="J182" s="95"/>
      <c r="K182" s="95"/>
      <c r="L182" s="266"/>
      <c r="M182" s="97">
        <f t="shared" ref="M182:O182" si="795">Y182+AB182+AE182+AH182+AK182+AN182+AQ182+AT182+AW182+AZ182+BC182+BF182</f>
        <v>0</v>
      </c>
      <c r="N182" s="97">
        <f t="shared" si="795"/>
        <v>0</v>
      </c>
      <c r="O182" s="97">
        <f t="shared" si="795"/>
        <v>0</v>
      </c>
      <c r="P182" s="97">
        <f t="shared" ref="P182:R182" si="796">IF(BI182=0,SUM(Y182+AB182+AE182+AH182+AK182+AN182+AQ182+AT182+AW182+AZ182+BC182+BF182),BI182)</f>
        <v>0</v>
      </c>
      <c r="Q182" s="97">
        <f t="shared" si="796"/>
        <v>0</v>
      </c>
      <c r="R182" s="97">
        <f t="shared" si="796"/>
        <v>0</v>
      </c>
      <c r="S182" s="97">
        <f t="shared" ref="S182:T182" si="797">I182-M182</f>
        <v>0</v>
      </c>
      <c r="T182" s="97">
        <f t="shared" si="797"/>
        <v>0</v>
      </c>
      <c r="U182" s="97">
        <f t="shared" si="775"/>
        <v>0</v>
      </c>
      <c r="V182" s="98" t="e">
        <f t="shared" ref="V182:W182" si="798">M182/I182</f>
        <v>#DIV/0!</v>
      </c>
      <c r="W182" s="98" t="e">
        <f t="shared" si="798"/>
        <v>#DIV/0!</v>
      </c>
      <c r="X182" s="98" t="e">
        <f t="shared" si="754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99">SUM(E184:E187)</f>
        <v>0</v>
      </c>
      <c r="F183" s="270">
        <f t="shared" si="799"/>
        <v>0</v>
      </c>
      <c r="G183" s="223" t="e">
        <f t="shared" si="793"/>
        <v>#DIV/0!</v>
      </c>
      <c r="H183" s="223" t="e">
        <f t="shared" si="794"/>
        <v>#DIV/0!</v>
      </c>
      <c r="I183" s="270">
        <f t="shared" ref="I183:O183" si="800">SUM(I184:I187)</f>
        <v>0</v>
      </c>
      <c r="J183" s="270">
        <f t="shared" si="800"/>
        <v>734.93000000000006</v>
      </c>
      <c r="K183" s="270">
        <f t="shared" si="800"/>
        <v>0</v>
      </c>
      <c r="L183" s="270">
        <f t="shared" si="800"/>
        <v>0</v>
      </c>
      <c r="M183" s="270">
        <f t="shared" si="800"/>
        <v>0</v>
      </c>
      <c r="N183" s="270">
        <f t="shared" si="800"/>
        <v>0</v>
      </c>
      <c r="O183" s="270">
        <f t="shared" si="800"/>
        <v>0</v>
      </c>
      <c r="P183" s="238">
        <f t="shared" ref="P183:R183" si="801">IF(BI183=0,SUM(Y183+AB183+AE183+AH183+AK183+AN183+AQ183+AT183+AW183+AZ183+BC183+BF183),BI183)</f>
        <v>0</v>
      </c>
      <c r="Q183" s="238">
        <f t="shared" si="801"/>
        <v>0</v>
      </c>
      <c r="R183" s="238">
        <f t="shared" si="801"/>
        <v>0</v>
      </c>
      <c r="S183" s="270">
        <f t="shared" ref="S183:U183" si="802">SUM(S184:S187)</f>
        <v>0</v>
      </c>
      <c r="T183" s="270">
        <f t="shared" si="802"/>
        <v>734.93000000000006</v>
      </c>
      <c r="U183" s="270">
        <f t="shared" si="802"/>
        <v>0</v>
      </c>
      <c r="V183" s="271" t="e">
        <f t="shared" ref="V183:W183" si="803">M183/I183</f>
        <v>#DIV/0!</v>
      </c>
      <c r="W183" s="271">
        <f t="shared" si="803"/>
        <v>0</v>
      </c>
      <c r="X183" s="271" t="e">
        <f t="shared" si="754"/>
        <v>#DIV/0!</v>
      </c>
      <c r="Y183" s="270">
        <f t="shared" ref="Y183:BK183" si="804">SUM(Y184:Y187)</f>
        <v>0</v>
      </c>
      <c r="Z183" s="270">
        <f t="shared" si="804"/>
        <v>0</v>
      </c>
      <c r="AA183" s="270">
        <f t="shared" si="804"/>
        <v>0</v>
      </c>
      <c r="AB183" s="270">
        <f t="shared" si="804"/>
        <v>0</v>
      </c>
      <c r="AC183" s="270">
        <f t="shared" si="804"/>
        <v>0</v>
      </c>
      <c r="AD183" s="270">
        <f t="shared" si="804"/>
        <v>0</v>
      </c>
      <c r="AE183" s="270">
        <f t="shared" si="804"/>
        <v>0</v>
      </c>
      <c r="AF183" s="270">
        <f t="shared" si="804"/>
        <v>0</v>
      </c>
      <c r="AG183" s="270">
        <f t="shared" si="804"/>
        <v>0</v>
      </c>
      <c r="AH183" s="270">
        <f t="shared" si="804"/>
        <v>0</v>
      </c>
      <c r="AI183" s="270">
        <f t="shared" si="804"/>
        <v>0</v>
      </c>
      <c r="AJ183" s="270">
        <f t="shared" si="804"/>
        <v>0</v>
      </c>
      <c r="AK183" s="270">
        <f t="shared" si="804"/>
        <v>0</v>
      </c>
      <c r="AL183" s="270">
        <f t="shared" si="804"/>
        <v>0</v>
      </c>
      <c r="AM183" s="270">
        <f t="shared" si="804"/>
        <v>0</v>
      </c>
      <c r="AN183" s="270">
        <f t="shared" si="804"/>
        <v>0</v>
      </c>
      <c r="AO183" s="270">
        <f t="shared" si="804"/>
        <v>0</v>
      </c>
      <c r="AP183" s="270">
        <f t="shared" si="804"/>
        <v>0</v>
      </c>
      <c r="AQ183" s="270">
        <f t="shared" si="804"/>
        <v>0</v>
      </c>
      <c r="AR183" s="270">
        <f t="shared" si="804"/>
        <v>0</v>
      </c>
      <c r="AS183" s="270">
        <f t="shared" si="804"/>
        <v>0</v>
      </c>
      <c r="AT183" s="270">
        <f t="shared" si="804"/>
        <v>0</v>
      </c>
      <c r="AU183" s="270">
        <f t="shared" si="804"/>
        <v>0</v>
      </c>
      <c r="AV183" s="270">
        <f t="shared" si="804"/>
        <v>0</v>
      </c>
      <c r="AW183" s="270">
        <f t="shared" si="804"/>
        <v>0</v>
      </c>
      <c r="AX183" s="270">
        <f t="shared" si="804"/>
        <v>0</v>
      </c>
      <c r="AY183" s="270">
        <f t="shared" si="804"/>
        <v>0</v>
      </c>
      <c r="AZ183" s="270">
        <f t="shared" si="804"/>
        <v>0</v>
      </c>
      <c r="BA183" s="270">
        <f t="shared" si="804"/>
        <v>0</v>
      </c>
      <c r="BB183" s="270">
        <f t="shared" si="804"/>
        <v>0</v>
      </c>
      <c r="BC183" s="270">
        <f t="shared" si="804"/>
        <v>0</v>
      </c>
      <c r="BD183" s="270">
        <f t="shared" si="804"/>
        <v>0</v>
      </c>
      <c r="BE183" s="270">
        <f t="shared" si="804"/>
        <v>0</v>
      </c>
      <c r="BF183" s="270">
        <f t="shared" si="804"/>
        <v>0</v>
      </c>
      <c r="BG183" s="270">
        <f t="shared" si="804"/>
        <v>0</v>
      </c>
      <c r="BH183" s="270">
        <f t="shared" si="804"/>
        <v>0</v>
      </c>
      <c r="BI183" s="270">
        <f t="shared" si="804"/>
        <v>0</v>
      </c>
      <c r="BJ183" s="270">
        <f t="shared" si="804"/>
        <v>0</v>
      </c>
      <c r="BK183" s="270">
        <f t="shared" si="804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93"/>
        <v>#DIV/0!</v>
      </c>
      <c r="H184" s="94" t="e">
        <f t="shared" si="794"/>
        <v>#DIV/0!</v>
      </c>
      <c r="I184" s="95"/>
      <c r="J184" s="146">
        <v>376.89</v>
      </c>
      <c r="K184" s="146"/>
      <c r="L184" s="272"/>
      <c r="M184" s="97">
        <f t="shared" ref="M184:O184" si="805">Y184+AB184+AE184+AH184+AK184+AN184+AQ184+AT184+AW184+AZ184+BC184+BF184</f>
        <v>0</v>
      </c>
      <c r="N184" s="97">
        <f t="shared" si="805"/>
        <v>0</v>
      </c>
      <c r="O184" s="97">
        <f t="shared" si="805"/>
        <v>0</v>
      </c>
      <c r="P184" s="97">
        <f t="shared" ref="P184:R184" si="806">IF(BI184=0,SUM(Y184+AB184+AE184+AH184+AK184+AN184+AQ184+AT184+AW184+AZ184+BC184+BF184),BI184)</f>
        <v>0</v>
      </c>
      <c r="Q184" s="97">
        <f t="shared" si="806"/>
        <v>0</v>
      </c>
      <c r="R184" s="97">
        <f t="shared" si="806"/>
        <v>0</v>
      </c>
      <c r="S184" s="97">
        <f t="shared" ref="S184:T184" si="807">I184-M184</f>
        <v>0</v>
      </c>
      <c r="T184" s="97">
        <f t="shared" si="807"/>
        <v>376.89</v>
      </c>
      <c r="U184" s="97">
        <f t="shared" ref="U184:U187" si="808">L184-O184</f>
        <v>0</v>
      </c>
      <c r="V184" s="98" t="e">
        <f t="shared" ref="V184:W184" si="809">M184/I184</f>
        <v>#DIV/0!</v>
      </c>
      <c r="W184" s="98">
        <f t="shared" si="809"/>
        <v>0</v>
      </c>
      <c r="X184" s="98" t="e">
        <f t="shared" si="754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810">Y185+AB185+AE185+AH185+AK185+AN185+AQ185+AT185+AW185+AZ185+BC185+BF185</f>
        <v>0</v>
      </c>
      <c r="N185" s="97">
        <f t="shared" si="810"/>
        <v>0</v>
      </c>
      <c r="O185" s="97">
        <f t="shared" si="810"/>
        <v>0</v>
      </c>
      <c r="P185" s="97">
        <f t="shared" ref="P185:R185" si="811">IF(BI185=0,SUM(Y185+AB185+AE185+AH185+AK185+AN185+AQ185+AT185+AW185+AZ185+BC185+BF185),BI185)</f>
        <v>0</v>
      </c>
      <c r="Q185" s="97">
        <f t="shared" si="811"/>
        <v>0</v>
      </c>
      <c r="R185" s="97">
        <f t="shared" si="811"/>
        <v>0</v>
      </c>
      <c r="S185" s="97">
        <f t="shared" ref="S185:T185" si="812">I185-M185</f>
        <v>0</v>
      </c>
      <c r="T185" s="97">
        <f t="shared" si="812"/>
        <v>358.04</v>
      </c>
      <c r="U185" s="97">
        <f t="shared" si="808"/>
        <v>0</v>
      </c>
      <c r="V185" s="98" t="e">
        <f t="shared" ref="V185:W185" si="813">M185/I185</f>
        <v>#DIV/0!</v>
      </c>
      <c r="W185" s="98">
        <f t="shared" si="813"/>
        <v>0</v>
      </c>
      <c r="X185" s="98" t="e">
        <f t="shared" si="754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814">I186/E186</f>
        <v>#DIV/0!</v>
      </c>
      <c r="H186" s="94" t="e">
        <f t="shared" ref="H186:H187" si="815">M186/E186</f>
        <v>#DIV/0!</v>
      </c>
      <c r="I186" s="95"/>
      <c r="J186" s="95"/>
      <c r="K186" s="95"/>
      <c r="L186" s="272"/>
      <c r="M186" s="97">
        <f t="shared" ref="M186:O186" si="816">Y186+AB186+AE186+AH186+AK186+AN186+AQ186+AT186+AW186+AZ186+BC186+BF186</f>
        <v>0</v>
      </c>
      <c r="N186" s="97">
        <f t="shared" si="816"/>
        <v>0</v>
      </c>
      <c r="O186" s="97">
        <f t="shared" si="816"/>
        <v>0</v>
      </c>
      <c r="P186" s="97">
        <f t="shared" ref="P186:R186" si="817">IF(BI186=0,SUM(Y186+AB186+AE186+AH186+AK186+AN186+AQ186+AT186+AW186+AZ186+BC186+BF186),BI186)</f>
        <v>0</v>
      </c>
      <c r="Q186" s="97">
        <f t="shared" si="817"/>
        <v>0</v>
      </c>
      <c r="R186" s="97">
        <f t="shared" si="817"/>
        <v>0</v>
      </c>
      <c r="S186" s="97">
        <f t="shared" ref="S186:T186" si="818">I186-M186</f>
        <v>0</v>
      </c>
      <c r="T186" s="97">
        <f t="shared" si="818"/>
        <v>0</v>
      </c>
      <c r="U186" s="97">
        <f t="shared" si="808"/>
        <v>0</v>
      </c>
      <c r="V186" s="98" t="e">
        <f t="shared" ref="V186:W186" si="819">M186/I186</f>
        <v>#DIV/0!</v>
      </c>
      <c r="W186" s="98" t="e">
        <f t="shared" si="819"/>
        <v>#DIV/0!</v>
      </c>
      <c r="X186" s="98" t="e">
        <f t="shared" si="754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814"/>
        <v>#DIV/0!</v>
      </c>
      <c r="H187" s="94" t="e">
        <f t="shared" si="815"/>
        <v>#DIV/0!</v>
      </c>
      <c r="I187" s="95"/>
      <c r="J187" s="95"/>
      <c r="K187" s="95"/>
      <c r="L187" s="276"/>
      <c r="M187" s="97">
        <f t="shared" ref="M187:O187" si="820">Y187+AB187+AE187+AH187+AK187+AN187+AQ187+AT187+AW187+AZ187+BC187+BF187</f>
        <v>0</v>
      </c>
      <c r="N187" s="97">
        <f t="shared" si="820"/>
        <v>0</v>
      </c>
      <c r="O187" s="97">
        <f t="shared" si="820"/>
        <v>0</v>
      </c>
      <c r="P187" s="97">
        <f t="shared" ref="P187:R187" si="821">IF(BI187=0,SUM(Y187+AB187+AE187+AH187+AK187+AN187+AQ187+AT187+AW187+AZ187+BC187+BF187),BI187)</f>
        <v>0</v>
      </c>
      <c r="Q187" s="97">
        <f t="shared" si="821"/>
        <v>0</v>
      </c>
      <c r="R187" s="97">
        <f t="shared" si="821"/>
        <v>0</v>
      </c>
      <c r="S187" s="97">
        <f t="shared" ref="S187:T187" si="822">I187-M187</f>
        <v>0</v>
      </c>
      <c r="T187" s="97">
        <f t="shared" si="822"/>
        <v>0</v>
      </c>
      <c r="U187" s="97">
        <f t="shared" si="808"/>
        <v>0</v>
      </c>
      <c r="V187" s="98" t="e">
        <f t="shared" ref="V187:W187" si="823">M187/I187</f>
        <v>#DIV/0!</v>
      </c>
      <c r="W187" s="98" t="e">
        <f t="shared" si="823"/>
        <v>#DIV/0!</v>
      </c>
      <c r="X187" s="98" t="e">
        <f t="shared" si="754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59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59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824">E4+E12+E67+E96+E159</f>
        <v>2379653.64</v>
      </c>
      <c r="F190" s="291">
        <f t="shared" si="824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0</v>
      </c>
      <c r="F191" s="299">
        <f>SUM(AE191:BB191)+SUM(AE193:BB193)</f>
        <v>-2.67</v>
      </c>
      <c r="G191" s="300">
        <f t="shared" ref="G191:H191" si="825">E191/E190</f>
        <v>0</v>
      </c>
      <c r="H191" s="300">
        <f t="shared" si="825"/>
        <v>-5.7862438765611353E-7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02"/>
      <c r="AA191" s="302"/>
      <c r="AB191" s="303"/>
      <c r="AC191" s="303"/>
      <c r="AD191" s="303"/>
      <c r="AE191" s="301"/>
      <c r="AF191" s="302"/>
      <c r="AG191" s="302"/>
      <c r="AH191" s="303"/>
      <c r="AI191" s="303"/>
      <c r="AJ191" s="303"/>
      <c r="AK191" s="301">
        <v>0</v>
      </c>
      <c r="AL191" s="302">
        <v>0</v>
      </c>
      <c r="AM191" s="302">
        <v>0</v>
      </c>
      <c r="AN191" s="303">
        <v>0</v>
      </c>
      <c r="AO191" s="303"/>
      <c r="AP191" s="303">
        <v>0</v>
      </c>
      <c r="AQ191" s="301">
        <v>0</v>
      </c>
      <c r="AR191" s="302">
        <v>0</v>
      </c>
      <c r="AS191" s="302">
        <v>0</v>
      </c>
      <c r="AT191" s="303">
        <v>0</v>
      </c>
      <c r="AU191" s="303">
        <v>0</v>
      </c>
      <c r="AV191" s="303">
        <v>0</v>
      </c>
      <c r="AW191" s="301">
        <v>0</v>
      </c>
      <c r="AX191" s="302">
        <v>0</v>
      </c>
      <c r="AY191" s="302">
        <v>0</v>
      </c>
      <c r="AZ191" s="303">
        <v>0</v>
      </c>
      <c r="BA191" s="303">
        <v>0</v>
      </c>
      <c r="BB191" s="303">
        <v>0</v>
      </c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0</v>
      </c>
      <c r="F192" s="291">
        <f>L192</f>
        <v>0</v>
      </c>
      <c r="G192" s="300" t="e">
        <f t="shared" ref="G192:H192" si="826">E192/E191</f>
        <v>#DIV/0!</v>
      </c>
      <c r="H192" s="300">
        <f t="shared" si="826"/>
        <v>0</v>
      </c>
      <c r="I192" s="304">
        <f t="shared" ref="I192:J192" si="827">I4+I12+I67+I96+I159</f>
        <v>0</v>
      </c>
      <c r="J192" s="304">
        <f t="shared" si="827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0</v>
      </c>
      <c r="F193" s="291">
        <f>O193</f>
        <v>0</v>
      </c>
      <c r="G193" s="300" t="e">
        <f t="shared" ref="G193:H193" si="828">E193/E191</f>
        <v>#DIV/0!</v>
      </c>
      <c r="H193" s="300">
        <f t="shared" si="828"/>
        <v>0</v>
      </c>
      <c r="I193" s="308"/>
      <c r="J193" s="308"/>
      <c r="K193" s="308"/>
      <c r="L193" s="308"/>
      <c r="M193" s="299">
        <f t="shared" ref="M193:O193" si="829">M4+M12+M67+M96+M159</f>
        <v>0</v>
      </c>
      <c r="N193" s="299">
        <f t="shared" si="829"/>
        <v>219216.24</v>
      </c>
      <c r="O193" s="299">
        <f t="shared" si="829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>
        <v>0</v>
      </c>
      <c r="AJ193" s="303"/>
      <c r="AK193" s="301">
        <v>0</v>
      </c>
      <c r="AL193" s="302">
        <v>0</v>
      </c>
      <c r="AM193" s="302">
        <v>0</v>
      </c>
      <c r="AN193" s="303">
        <v>0</v>
      </c>
      <c r="AO193" s="303">
        <v>0</v>
      </c>
      <c r="AP193" s="303">
        <v>-2.67</v>
      </c>
      <c r="AQ193" s="301">
        <v>0</v>
      </c>
      <c r="AR193" s="302">
        <v>0</v>
      </c>
      <c r="AS193" s="302">
        <v>0</v>
      </c>
      <c r="AT193" s="303">
        <v>0</v>
      </c>
      <c r="AU193" s="303">
        <v>0</v>
      </c>
      <c r="AV193" s="303">
        <v>0</v>
      </c>
      <c r="AW193" s="301">
        <v>0</v>
      </c>
      <c r="AX193" s="302"/>
      <c r="AY193" s="302"/>
      <c r="AZ193" s="303"/>
      <c r="BA193" s="303">
        <v>0</v>
      </c>
      <c r="BB193" s="303">
        <v>0</v>
      </c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0</v>
      </c>
      <c r="F194" s="291">
        <f>R194</f>
        <v>0</v>
      </c>
      <c r="G194" s="300" t="e">
        <f t="shared" ref="G194:H194" si="830">E194/E191</f>
        <v>#DIV/0!</v>
      </c>
      <c r="H194" s="300">
        <f t="shared" si="830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31">P4+P12+P67+P96+P159</f>
        <v>0</v>
      </c>
      <c r="Q194" s="304">
        <f t="shared" si="831"/>
        <v>219966.24</v>
      </c>
      <c r="R194" s="304">
        <f t="shared" si="831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32">E190-E191</f>
        <v>2379653.64</v>
      </c>
      <c r="F195" s="313">
        <f t="shared" si="832"/>
        <v>4614395.1100000003</v>
      </c>
      <c r="G195" s="314">
        <f t="shared" ref="G195:H195" si="833">E195/E190</f>
        <v>1</v>
      </c>
      <c r="H195" s="314">
        <f t="shared" si="833"/>
        <v>1.0000005786243877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0</v>
      </c>
      <c r="F196" s="315">
        <f>F191-L192</f>
        <v>-2.67</v>
      </c>
      <c r="G196" s="314" t="e">
        <f t="shared" ref="G196:H196" si="834">E196/E191</f>
        <v>#DIV/0!</v>
      </c>
      <c r="H196" s="314">
        <f t="shared" si="834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>
        <f>Y191+Z191+AA191+AB191+AC191+AD191+Y193+Z193</f>
        <v>0</v>
      </c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0</v>
      </c>
      <c r="F197" s="315">
        <f>L192-O193</f>
        <v>0</v>
      </c>
      <c r="G197" s="314" t="e">
        <f>E197/I192</f>
        <v>#DIV/0!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0</v>
      </c>
      <c r="F198" s="315">
        <f>O193-R194</f>
        <v>0</v>
      </c>
      <c r="G198" s="314" t="e">
        <f>E198/M193</f>
        <v>#DIV/0!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 t="s">
        <v>458</v>
      </c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2246794.2300000004</v>
      </c>
      <c r="F199" s="321"/>
      <c r="G199" s="322">
        <f>E199/J192</f>
        <v>0.91110490297310065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1:68" ht="15.75" customHeight="1">
      <c r="C225" s="345"/>
      <c r="E225" s="21"/>
      <c r="F225" s="21"/>
      <c r="K225" s="21"/>
      <c r="W225" s="344"/>
    </row>
    <row r="226" spans="1:68" ht="15.75" customHeight="1">
      <c r="A226" s="346" t="s">
        <v>460</v>
      </c>
      <c r="B226" s="346"/>
      <c r="C226" s="347"/>
      <c r="D226" s="346"/>
      <c r="E226" s="21"/>
      <c r="F226" s="21"/>
      <c r="K226" s="21"/>
      <c r="W226" s="344"/>
    </row>
    <row r="227" spans="1:68" ht="15.75" customHeight="1">
      <c r="A227" s="346" t="s">
        <v>461</v>
      </c>
      <c r="B227" s="346"/>
      <c r="C227" s="347"/>
      <c r="D227" s="346"/>
      <c r="E227" s="21"/>
      <c r="F227" s="21"/>
      <c r="K227" s="21"/>
      <c r="W227" s="344"/>
    </row>
    <row r="228" spans="1:68" ht="15.75" customHeight="1">
      <c r="C228" s="345"/>
      <c r="E228" s="21"/>
      <c r="F228" s="21"/>
      <c r="K228" s="21"/>
      <c r="W228" s="344"/>
    </row>
    <row r="229" spans="1:68" ht="15.75" customHeight="1">
      <c r="C229" s="345"/>
      <c r="E229" s="21"/>
      <c r="F229" s="21"/>
      <c r="K229" s="21"/>
      <c r="W229" s="344"/>
    </row>
    <row r="230" spans="1:68" ht="15.75" customHeight="1">
      <c r="C230" s="345"/>
      <c r="E230" s="21"/>
      <c r="F230" s="21"/>
      <c r="K230" s="21"/>
      <c r="W230" s="344"/>
    </row>
    <row r="231" spans="1:68" ht="15.75" customHeight="1">
      <c r="A231" s="348" t="s">
        <v>462</v>
      </c>
      <c r="B231" s="348">
        <v>8188000000</v>
      </c>
      <c r="C231" s="349">
        <v>70000</v>
      </c>
      <c r="E231" s="21"/>
      <c r="F231" s="21"/>
      <c r="K231" s="21"/>
      <c r="W231" s="344"/>
    </row>
    <row r="232" spans="1:68" ht="15.75" customHeight="1">
      <c r="A232" s="348" t="s">
        <v>463</v>
      </c>
      <c r="B232" s="348">
        <v>8188000000</v>
      </c>
      <c r="C232" s="349">
        <v>109295.41</v>
      </c>
      <c r="E232" s="21"/>
      <c r="F232" s="21"/>
      <c r="K232" s="21"/>
      <c r="W232" s="344"/>
    </row>
    <row r="233" spans="1:68" ht="15.75" customHeight="1">
      <c r="A233" s="348" t="s">
        <v>464</v>
      </c>
      <c r="B233" s="348">
        <v>113150072</v>
      </c>
      <c r="C233" s="349">
        <v>92791.6</v>
      </c>
      <c r="E233" s="21"/>
      <c r="F233" s="21"/>
      <c r="K233" s="21"/>
      <c r="W233" s="344"/>
    </row>
    <row r="234" spans="1:68" ht="15.75" customHeight="1">
      <c r="A234" s="348" t="s">
        <v>465</v>
      </c>
      <c r="B234" s="348">
        <v>8186261010</v>
      </c>
      <c r="C234" s="349">
        <v>249261.22</v>
      </c>
      <c r="E234" s="21"/>
      <c r="F234" s="21"/>
      <c r="K234" s="21"/>
      <c r="W234" s="344"/>
    </row>
    <row r="235" spans="1:68" ht="15.75" customHeight="1">
      <c r="A235" s="348" t="s">
        <v>466</v>
      </c>
      <c r="B235" s="348">
        <v>8100000000</v>
      </c>
      <c r="C235" s="349">
        <v>37013.43</v>
      </c>
      <c r="E235" s="21"/>
      <c r="F235" s="21"/>
      <c r="K235" s="21"/>
      <c r="W235" s="344"/>
    </row>
    <row r="236" spans="1:68" ht="15.75" customHeight="1">
      <c r="A236" s="348" t="s">
        <v>467</v>
      </c>
      <c r="B236" s="348">
        <v>8100000000</v>
      </c>
      <c r="C236" s="349">
        <v>83705.490000000005</v>
      </c>
      <c r="E236" s="21"/>
      <c r="F236" s="21"/>
      <c r="K236" s="21"/>
      <c r="W236" s="344"/>
    </row>
    <row r="237" spans="1:68" ht="15.75" customHeight="1">
      <c r="A237" s="348" t="s">
        <v>468</v>
      </c>
      <c r="B237" s="348">
        <v>8186261010</v>
      </c>
      <c r="C237" s="349">
        <v>572638.71999999997</v>
      </c>
      <c r="E237" s="21"/>
      <c r="F237" s="21"/>
      <c r="K237" s="21"/>
      <c r="W237" s="344"/>
    </row>
    <row r="238" spans="1:68" ht="15.75" customHeight="1">
      <c r="A238" s="348" t="s">
        <v>363</v>
      </c>
      <c r="B238" s="348">
        <v>10000000</v>
      </c>
      <c r="C238" s="349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4"/>
    </row>
    <row r="240" spans="1:68" ht="15.75" customHeight="1">
      <c r="A240" s="348" t="s">
        <v>469</v>
      </c>
      <c r="B240" s="348">
        <v>8100000000</v>
      </c>
      <c r="C240" s="349">
        <v>300000</v>
      </c>
      <c r="E240" s="21"/>
      <c r="F240" s="21"/>
      <c r="K240" s="21"/>
      <c r="W240" s="344"/>
    </row>
    <row r="241" spans="1:23" ht="15.75" customHeight="1">
      <c r="A241" s="348" t="s">
        <v>470</v>
      </c>
      <c r="B241" s="348">
        <v>8100000000</v>
      </c>
      <c r="C241" s="349">
        <v>105000</v>
      </c>
      <c r="E241" s="21"/>
      <c r="F241" s="21"/>
      <c r="K241" s="21"/>
      <c r="W241" s="344"/>
    </row>
    <row r="242" spans="1:23" ht="15.75" customHeight="1">
      <c r="A242" s="348" t="s">
        <v>471</v>
      </c>
      <c r="B242" s="348">
        <v>8100000000</v>
      </c>
      <c r="C242" s="349">
        <v>155726</v>
      </c>
      <c r="E242" s="21"/>
      <c r="F242" s="21"/>
      <c r="K242" s="21"/>
      <c r="W242" s="344"/>
    </row>
    <row r="243" spans="1:23" ht="15.75" customHeight="1">
      <c r="A243" s="348" t="s">
        <v>470</v>
      </c>
      <c r="B243" s="348">
        <v>8100000000</v>
      </c>
      <c r="C243" s="349">
        <v>50000</v>
      </c>
      <c r="E243" s="21"/>
      <c r="F243" s="21"/>
      <c r="K243" s="21"/>
      <c r="W243" s="344"/>
    </row>
    <row r="244" spans="1:23" ht="15.75" customHeight="1">
      <c r="C244" s="345"/>
      <c r="E244" s="21"/>
      <c r="F244" s="21"/>
      <c r="K244" s="21"/>
      <c r="W244" s="344"/>
    </row>
    <row r="245" spans="1:23" ht="15.75" customHeight="1">
      <c r="C245" s="345"/>
      <c r="E245" s="21"/>
      <c r="F245" s="21"/>
      <c r="K245" s="21"/>
      <c r="W245" s="344"/>
    </row>
    <row r="246" spans="1:23" ht="15.75" customHeight="1">
      <c r="C246" s="345"/>
      <c r="E246" s="21"/>
      <c r="F246" s="21"/>
      <c r="K246" s="21"/>
      <c r="W246" s="344"/>
    </row>
    <row r="247" spans="1:23" ht="15.75" customHeight="1">
      <c r="C247" s="345"/>
      <c r="E247" s="21"/>
      <c r="F247" s="21"/>
      <c r="K247" s="21"/>
      <c r="W247" s="344"/>
    </row>
    <row r="248" spans="1:23" ht="15.75" customHeight="1">
      <c r="C248" s="345"/>
      <c r="E248" s="21"/>
      <c r="F248" s="21"/>
      <c r="K248" s="21"/>
      <c r="W248" s="344"/>
    </row>
    <row r="249" spans="1:23" ht="15.75" customHeight="1">
      <c r="C249" s="345"/>
      <c r="E249" s="21"/>
      <c r="F249" s="21"/>
      <c r="K249" s="21"/>
      <c r="W249" s="344"/>
    </row>
    <row r="250" spans="1:23" ht="15.75" customHeight="1">
      <c r="C250" s="345"/>
      <c r="E250" s="21"/>
      <c r="F250" s="21"/>
      <c r="K250" s="21"/>
      <c r="W250" s="344"/>
    </row>
    <row r="251" spans="1:23" ht="15.75" customHeight="1">
      <c r="C251" s="345"/>
      <c r="E251" s="21"/>
      <c r="F251" s="21"/>
      <c r="K251" s="21"/>
      <c r="W251" s="344"/>
    </row>
    <row r="252" spans="1:23" ht="15.75" customHeight="1">
      <c r="C252" s="345"/>
      <c r="E252" s="21"/>
      <c r="F252" s="21"/>
      <c r="K252" s="21"/>
      <c r="W252" s="344"/>
    </row>
    <row r="253" spans="1:23" ht="15.75" customHeight="1">
      <c r="C253" s="345"/>
      <c r="E253" s="21"/>
      <c r="F253" s="21"/>
      <c r="K253" s="21"/>
      <c r="W253" s="344"/>
    </row>
    <row r="254" spans="1:23" ht="15.75" customHeight="1">
      <c r="C254" s="345"/>
      <c r="E254" s="21"/>
      <c r="F254" s="21"/>
      <c r="K254" s="21"/>
      <c r="W254" s="344"/>
    </row>
    <row r="255" spans="1:23" ht="15.75" customHeight="1">
      <c r="C255" s="345"/>
      <c r="E255" s="21"/>
      <c r="F255" s="21"/>
      <c r="K255" s="21"/>
      <c r="W255" s="344"/>
    </row>
    <row r="256" spans="1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  <row r="377" spans="3:23" ht="15.75" customHeight="1">
      <c r="C377" s="345"/>
      <c r="E377" s="21"/>
      <c r="F377" s="21"/>
      <c r="K377" s="21"/>
      <c r="W377" s="344"/>
    </row>
    <row r="378" spans="3:23" ht="15.75" customHeight="1">
      <c r="C378" s="345"/>
      <c r="E378" s="21"/>
      <c r="F378" s="21"/>
      <c r="K378" s="21"/>
      <c r="W378" s="344"/>
    </row>
    <row r="379" spans="3:23" ht="15.75" customHeight="1">
      <c r="C379" s="345"/>
      <c r="E379" s="21"/>
      <c r="F379" s="21"/>
      <c r="K379" s="21"/>
      <c r="W379" s="344"/>
    </row>
    <row r="380" spans="3:23" ht="15.75" customHeight="1">
      <c r="C380" s="345"/>
      <c r="E380" s="21"/>
      <c r="F380" s="21"/>
      <c r="K380" s="21"/>
      <c r="W380" s="344"/>
    </row>
    <row r="381" spans="3:23" ht="15.75" customHeight="1">
      <c r="C381" s="345"/>
      <c r="E381" s="21"/>
      <c r="F381" s="21"/>
      <c r="K381" s="21"/>
      <c r="W381" s="344"/>
    </row>
    <row r="382" spans="3:23" ht="15.75" customHeight="1">
      <c r="C382" s="345"/>
      <c r="E382" s="21"/>
      <c r="F382" s="21"/>
      <c r="K382" s="21"/>
      <c r="W382" s="344"/>
    </row>
    <row r="383" spans="3:23" ht="15.75" customHeight="1">
      <c r="C383" s="345"/>
      <c r="E383" s="21"/>
      <c r="F383" s="21"/>
      <c r="K383" s="21"/>
      <c r="W383" s="344"/>
    </row>
    <row r="384" spans="3:23" ht="15.75" customHeight="1">
      <c r="C384" s="345"/>
      <c r="E384" s="21"/>
      <c r="F384" s="21"/>
      <c r="K384" s="21"/>
      <c r="W384" s="344"/>
    </row>
    <row r="385" spans="3:23" ht="15.75" customHeight="1">
      <c r="C385" s="345"/>
      <c r="E385" s="21"/>
      <c r="F385" s="21"/>
      <c r="K385" s="21"/>
      <c r="W385" s="344"/>
    </row>
    <row r="386" spans="3:23" ht="15.75" customHeight="1">
      <c r="C386" s="345"/>
      <c r="E386" s="21"/>
      <c r="F386" s="21"/>
      <c r="K386" s="21"/>
      <c r="W386" s="344"/>
    </row>
    <row r="387" spans="3:23" ht="15.75" customHeight="1">
      <c r="C387" s="345"/>
      <c r="E387" s="21"/>
      <c r="F387" s="21"/>
      <c r="K387" s="21"/>
      <c r="W387" s="344"/>
    </row>
    <row r="388" spans="3:23" ht="15.75" customHeight="1">
      <c r="C388" s="345"/>
      <c r="E388" s="21"/>
      <c r="F388" s="21"/>
      <c r="K388" s="21"/>
      <c r="W388" s="344"/>
    </row>
    <row r="389" spans="3:23" ht="15.75" customHeight="1">
      <c r="C389" s="345"/>
      <c r="E389" s="21"/>
      <c r="F389" s="21"/>
      <c r="K389" s="21"/>
      <c r="W389" s="344"/>
    </row>
    <row r="390" spans="3:23" ht="15.75" customHeight="1">
      <c r="C390" s="345"/>
      <c r="E390" s="21"/>
      <c r="F390" s="21"/>
      <c r="K390" s="21"/>
      <c r="W390" s="344"/>
    </row>
    <row r="391" spans="3:23" ht="15.75" customHeight="1">
      <c r="C391" s="345"/>
      <c r="E391" s="21"/>
      <c r="F391" s="21"/>
      <c r="K391" s="21"/>
      <c r="W391" s="344"/>
    </row>
    <row r="392" spans="3:23" ht="15.75" customHeight="1">
      <c r="C392" s="345"/>
      <c r="E392" s="21"/>
      <c r="F392" s="21"/>
      <c r="K392" s="21"/>
      <c r="W392" s="344"/>
    </row>
    <row r="393" spans="3:23" ht="15.75" customHeight="1">
      <c r="C393" s="345"/>
      <c r="E393" s="21"/>
      <c r="F393" s="21"/>
      <c r="K393" s="21"/>
      <c r="W393" s="344"/>
    </row>
    <row r="394" spans="3:23" ht="15.75" customHeight="1">
      <c r="C394" s="345"/>
      <c r="E394" s="21"/>
      <c r="F394" s="21"/>
      <c r="K394" s="21"/>
      <c r="W394" s="344"/>
    </row>
    <row r="395" spans="3:23" ht="15.75" customHeight="1">
      <c r="C395" s="345"/>
      <c r="E395" s="21"/>
      <c r="F395" s="21"/>
      <c r="K395" s="21"/>
      <c r="W395" s="344"/>
    </row>
    <row r="396" spans="3:23" ht="15.75" customHeight="1">
      <c r="C396" s="345"/>
      <c r="E396" s="21"/>
      <c r="F396" s="21"/>
      <c r="K396" s="21"/>
      <c r="W396" s="344"/>
    </row>
    <row r="397" spans="3:23" ht="15.75" customHeight="1">
      <c r="C397" s="345"/>
      <c r="E397" s="21"/>
      <c r="F397" s="21"/>
      <c r="K397" s="21"/>
      <c r="W397" s="344"/>
    </row>
    <row r="398" spans="3:23" ht="15.75" customHeight="1">
      <c r="C398" s="345"/>
      <c r="E398" s="21"/>
      <c r="F398" s="21"/>
      <c r="K398" s="21"/>
      <c r="W398" s="344"/>
    </row>
    <row r="399" spans="3:23" ht="15.75" customHeight="1">
      <c r="C399" s="345"/>
      <c r="E399" s="21"/>
      <c r="F399" s="21"/>
      <c r="K399" s="21"/>
      <c r="W399" s="344"/>
    </row>
    <row r="400" spans="3:23" ht="15.75" customHeight="1">
      <c r="C400" s="345"/>
      <c r="E400" s="21"/>
      <c r="F400" s="21"/>
      <c r="K400" s="21"/>
      <c r="W400" s="344"/>
    </row>
    <row r="401" spans="3:23" ht="15.75" customHeight="1">
      <c r="C401" s="345"/>
      <c r="E401" s="21"/>
      <c r="F401" s="21"/>
      <c r="K401" s="21"/>
      <c r="W401" s="344"/>
    </row>
    <row r="402" spans="3:23" ht="15.75" customHeight="1">
      <c r="C402" s="345"/>
      <c r="E402" s="21"/>
      <c r="F402" s="21"/>
      <c r="K402" s="21"/>
      <c r="W402" s="344"/>
    </row>
    <row r="403" spans="3:23" ht="15.75" customHeight="1">
      <c r="C403" s="345"/>
      <c r="E403" s="21"/>
      <c r="F403" s="21"/>
      <c r="K403" s="21"/>
      <c r="W403" s="344"/>
    </row>
    <row r="404" spans="3:23" ht="15.75" customHeight="1">
      <c r="C404" s="345"/>
      <c r="E404" s="21"/>
      <c r="F404" s="21"/>
      <c r="K404" s="21"/>
      <c r="W404" s="344"/>
    </row>
    <row r="405" spans="3:23" ht="15.75" customHeight="1">
      <c r="C405" s="345"/>
      <c r="E405" s="21"/>
      <c r="F405" s="21"/>
      <c r="K405" s="21"/>
      <c r="W405" s="344"/>
    </row>
    <row r="406" spans="3:23" ht="15.75" customHeight="1">
      <c r="C406" s="345"/>
      <c r="E406" s="21"/>
      <c r="F406" s="21"/>
      <c r="K406" s="21"/>
      <c r="W406" s="344"/>
    </row>
    <row r="407" spans="3:23" ht="15.75" customHeight="1">
      <c r="C407" s="345"/>
      <c r="E407" s="21"/>
      <c r="F407" s="21"/>
      <c r="K407" s="21"/>
      <c r="W407" s="344"/>
    </row>
    <row r="408" spans="3:23" ht="15.75" customHeight="1">
      <c r="C408" s="345"/>
      <c r="E408" s="21"/>
      <c r="F408" s="21"/>
      <c r="K408" s="21"/>
      <c r="W408" s="344"/>
    </row>
    <row r="409" spans="3:23" ht="15.75" customHeight="1">
      <c r="C409" s="345"/>
      <c r="E409" s="21"/>
      <c r="F409" s="21"/>
      <c r="K409" s="21"/>
      <c r="W409" s="344"/>
    </row>
    <row r="410" spans="3:23" ht="15.75" customHeight="1">
      <c r="C410" s="345"/>
      <c r="E410" s="21"/>
      <c r="F410" s="21"/>
      <c r="K410" s="21"/>
      <c r="W410" s="344"/>
    </row>
    <row r="411" spans="3:23" ht="15.75" customHeight="1">
      <c r="C411" s="345"/>
      <c r="E411" s="21"/>
      <c r="F411" s="21"/>
      <c r="K411" s="21"/>
      <c r="W411" s="344"/>
    </row>
    <row r="412" spans="3:23" ht="15.75" customHeight="1">
      <c r="C412" s="345"/>
      <c r="E412" s="21"/>
      <c r="F412" s="21"/>
      <c r="K412" s="21"/>
      <c r="W412" s="344"/>
    </row>
    <row r="413" spans="3:23" ht="15.75" customHeight="1">
      <c r="C413" s="345"/>
      <c r="E413" s="21"/>
      <c r="F413" s="21"/>
      <c r="K413" s="21"/>
      <c r="W413" s="344"/>
    </row>
    <row r="414" spans="3:23" ht="15.75" customHeight="1">
      <c r="C414" s="345"/>
      <c r="E414" s="21"/>
      <c r="F414" s="21"/>
      <c r="K414" s="21"/>
      <c r="W414" s="344"/>
    </row>
    <row r="415" spans="3:23" ht="15.75" customHeight="1">
      <c r="C415" s="345"/>
      <c r="E415" s="21"/>
      <c r="F415" s="21"/>
      <c r="K415" s="21"/>
      <c r="W415" s="344"/>
    </row>
    <row r="416" spans="3:23" ht="15.75" customHeight="1">
      <c r="C416" s="345"/>
      <c r="E416" s="21"/>
      <c r="F416" s="21"/>
      <c r="K416" s="21"/>
      <c r="W416" s="344"/>
    </row>
    <row r="417" spans="3:23" ht="15.75" customHeight="1">
      <c r="C417" s="345"/>
      <c r="E417" s="21"/>
      <c r="F417" s="21"/>
      <c r="K417" s="21"/>
      <c r="W417" s="344"/>
    </row>
    <row r="418" spans="3:23" ht="15.75" customHeight="1">
      <c r="C418" s="345"/>
      <c r="E418" s="21"/>
      <c r="F418" s="21"/>
      <c r="K418" s="21"/>
      <c r="W418" s="344"/>
    </row>
    <row r="419" spans="3:23" ht="15.75" customHeight="1">
      <c r="C419" s="345"/>
      <c r="E419" s="21"/>
      <c r="F419" s="21"/>
      <c r="K419" s="21"/>
      <c r="W419" s="344"/>
    </row>
    <row r="420" spans="3:23" ht="15.75" customHeight="1">
      <c r="C420" s="345"/>
      <c r="E420" s="21"/>
      <c r="F420" s="21"/>
      <c r="K420" s="21"/>
      <c r="W420" s="344"/>
    </row>
    <row r="421" spans="3:23" ht="15.75" customHeight="1">
      <c r="C421" s="345"/>
      <c r="E421" s="21"/>
      <c r="F421" s="21"/>
      <c r="K421" s="21"/>
      <c r="W421" s="344"/>
    </row>
    <row r="422" spans="3:23" ht="15.75" customHeight="1">
      <c r="C422" s="345"/>
      <c r="E422" s="21"/>
      <c r="F422" s="21"/>
      <c r="K422" s="21"/>
      <c r="W422" s="344"/>
    </row>
    <row r="423" spans="3:23" ht="15.75" customHeight="1">
      <c r="C423" s="345"/>
      <c r="E423" s="21"/>
      <c r="F423" s="21"/>
      <c r="K423" s="21"/>
      <c r="W423" s="344"/>
    </row>
    <row r="424" spans="3:23" ht="15.75" customHeight="1">
      <c r="C424" s="345"/>
      <c r="E424" s="21"/>
      <c r="F424" s="21"/>
      <c r="K424" s="21"/>
      <c r="W424" s="344"/>
    </row>
    <row r="425" spans="3:23" ht="15.75" customHeight="1">
      <c r="C425" s="345"/>
      <c r="E425" s="21"/>
      <c r="F425" s="21"/>
      <c r="K425" s="21"/>
      <c r="W425" s="344"/>
    </row>
    <row r="426" spans="3:23" ht="15.75" customHeight="1">
      <c r="C426" s="345"/>
      <c r="E426" s="21"/>
      <c r="F426" s="21"/>
      <c r="K426" s="21"/>
      <c r="W426" s="344"/>
    </row>
    <row r="427" spans="3:23" ht="15.75" customHeight="1">
      <c r="C427" s="345"/>
      <c r="E427" s="21"/>
      <c r="F427" s="21"/>
      <c r="K427" s="21"/>
      <c r="W427" s="344"/>
    </row>
    <row r="428" spans="3:23" ht="15.75" customHeight="1">
      <c r="C428" s="345"/>
      <c r="E428" s="21"/>
      <c r="F428" s="21"/>
      <c r="K428" s="21"/>
      <c r="W428" s="344"/>
    </row>
    <row r="429" spans="3:23" ht="15.75" customHeight="1">
      <c r="C429" s="345"/>
      <c r="E429" s="21"/>
      <c r="F429" s="21"/>
      <c r="K429" s="21"/>
      <c r="W429" s="344"/>
    </row>
    <row r="430" spans="3:23" ht="15.75" customHeight="1">
      <c r="C430" s="345"/>
      <c r="E430" s="21"/>
      <c r="F430" s="21"/>
      <c r="K430" s="21"/>
      <c r="W430" s="344"/>
    </row>
    <row r="431" spans="3:23" ht="15.75" customHeight="1">
      <c r="C431" s="345"/>
      <c r="E431" s="21"/>
      <c r="F431" s="21"/>
      <c r="K431" s="21"/>
      <c r="W431" s="344"/>
    </row>
    <row r="432" spans="3:23" ht="15.75" customHeight="1">
      <c r="C432" s="345"/>
      <c r="E432" s="21"/>
      <c r="F432" s="21"/>
      <c r="K432" s="21"/>
      <c r="W432" s="344"/>
    </row>
    <row r="433" spans="3:23" ht="15.75" customHeight="1">
      <c r="C433" s="345"/>
      <c r="E433" s="21"/>
      <c r="F433" s="21"/>
      <c r="K433" s="21"/>
      <c r="W433" s="344"/>
    </row>
    <row r="434" spans="3:23" ht="15.75" customHeight="1">
      <c r="C434" s="345"/>
      <c r="E434" s="21"/>
      <c r="F434" s="21"/>
      <c r="K434" s="21"/>
      <c r="W434" s="344"/>
    </row>
    <row r="435" spans="3:23" ht="15.75" customHeight="1">
      <c r="C435" s="345"/>
      <c r="E435" s="21"/>
      <c r="F435" s="21"/>
      <c r="K435" s="21"/>
      <c r="W435" s="344"/>
    </row>
    <row r="436" spans="3:23" ht="15.75" customHeight="1">
      <c r="C436" s="345"/>
      <c r="E436" s="21"/>
      <c r="F436" s="21"/>
      <c r="K436" s="21"/>
      <c r="W436" s="344"/>
    </row>
    <row r="437" spans="3:23" ht="15.75" customHeight="1">
      <c r="C437" s="345"/>
      <c r="E437" s="21"/>
      <c r="F437" s="21"/>
      <c r="K437" s="21"/>
      <c r="W437" s="344"/>
    </row>
    <row r="438" spans="3:23" ht="15.75" customHeight="1">
      <c r="C438" s="345"/>
      <c r="E438" s="21"/>
      <c r="F438" s="21"/>
      <c r="K438" s="21"/>
      <c r="W438" s="344"/>
    </row>
    <row r="439" spans="3:23" ht="15.75" customHeight="1">
      <c r="C439" s="345"/>
      <c r="E439" s="21"/>
      <c r="F439" s="21"/>
      <c r="K439" s="21"/>
      <c r="W439" s="344"/>
    </row>
    <row r="440" spans="3:23" ht="15.75" customHeight="1">
      <c r="C440" s="345"/>
      <c r="E440" s="21"/>
      <c r="F440" s="21"/>
      <c r="K440" s="21"/>
      <c r="W440" s="344"/>
    </row>
    <row r="441" spans="3:23" ht="15.75" customHeight="1">
      <c r="C441" s="345"/>
      <c r="E441" s="21"/>
      <c r="F441" s="21"/>
      <c r="K441" s="21"/>
      <c r="W441" s="344"/>
    </row>
    <row r="442" spans="3:23" ht="15.75" customHeight="1">
      <c r="C442" s="345"/>
      <c r="E442" s="21"/>
      <c r="F442" s="21"/>
      <c r="K442" s="21"/>
      <c r="W442" s="344"/>
    </row>
    <row r="443" spans="3:23" ht="15.75" customHeight="1">
      <c r="C443" s="345"/>
      <c r="E443" s="21"/>
      <c r="F443" s="21"/>
      <c r="K443" s="21"/>
      <c r="W443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W68 X6:X89 V70:W89 G92:G118 H92:H187 V92:X129 G120:G187 V131:X135 V141:X187">
    <cfRule type="cellIs" dxfId="224" priority="1" operator="between">
      <formula>"0%"</formula>
      <formula>"25%"</formula>
    </cfRule>
  </conditionalFormatting>
  <conditionalFormatting sqref="G3:H4 V3:X4 G6:H89 V6:W68 X6:X89 V70:W89 G92:G118 H92:H187 V92:X129 G120:G187 V131:X135 V141:X187">
    <cfRule type="cellIs" dxfId="223" priority="2" operator="between">
      <formula>"25.01%"</formula>
      <formula>"50%"</formula>
    </cfRule>
  </conditionalFormatting>
  <conditionalFormatting sqref="G3:H4 V3:X4 G6:H89 V6:W68 X6:X89 V70:W89 G92:G118 H92:H187 V92:X129 G120:G187 V131:X135 V141:X187">
    <cfRule type="cellIs" dxfId="222" priority="3" operator="between">
      <formula>"50.01%"</formula>
      <formula>"75%"</formula>
    </cfRule>
  </conditionalFormatting>
  <conditionalFormatting sqref="G3:H4 V3:X4 G6:H89 V6:W68 X6:X89 V70:W89 G92:G118 H92:H187 V92:X129 G120:G187 V131:X135 V141:X187">
    <cfRule type="cellIs" dxfId="221" priority="4" operator="between">
      <formula>"75.01%"</formula>
      <formula>"99.99%"</formula>
    </cfRule>
  </conditionalFormatting>
  <conditionalFormatting sqref="G3:H4 V3:X4 G6:H89 V6:W68 X6:X89 V70:W89 G92:G118 H92:H187 V92:X129 G120:G187 V131:X135 V141:X187">
    <cfRule type="cellIs" dxfId="220" priority="5" operator="greaterThanOrEqual">
      <formula>"100%"</formula>
    </cfRule>
  </conditionalFormatting>
  <conditionalFormatting sqref="V137:X139">
    <cfRule type="cellIs" dxfId="219" priority="6" operator="between">
      <formula>"0%"</formula>
      <formula>"25%"</formula>
    </cfRule>
  </conditionalFormatting>
  <conditionalFormatting sqref="V137:X139">
    <cfRule type="cellIs" dxfId="218" priority="7" operator="between">
      <formula>"25.01%"</formula>
      <formula>"50%"</formula>
    </cfRule>
  </conditionalFormatting>
  <conditionalFormatting sqref="V137:X139">
    <cfRule type="cellIs" dxfId="217" priority="8" operator="between">
      <formula>"50.01%"</formula>
      <formula>"75%"</formula>
    </cfRule>
  </conditionalFormatting>
  <conditionalFormatting sqref="V137:X139">
    <cfRule type="cellIs" dxfId="216" priority="9" operator="between">
      <formula>"75.01%"</formula>
      <formula>"99.99%"</formula>
    </cfRule>
  </conditionalFormatting>
  <conditionalFormatting sqref="V137:X139">
    <cfRule type="cellIs" dxfId="215" priority="10" operator="greaterThanOrEqual">
      <formula>"100%"</formula>
    </cfRule>
  </conditionalFormatting>
  <conditionalFormatting sqref="G90:H91 V90:X91">
    <cfRule type="cellIs" dxfId="214" priority="11" operator="between">
      <formula>"0%"</formula>
      <formula>"25%"</formula>
    </cfRule>
  </conditionalFormatting>
  <conditionalFormatting sqref="G90:H91 V90:X91">
    <cfRule type="cellIs" dxfId="213" priority="12" operator="between">
      <formula>"25.01%"</formula>
      <formula>"50%"</formula>
    </cfRule>
  </conditionalFormatting>
  <conditionalFormatting sqref="G90:H91 V90:X91">
    <cfRule type="cellIs" dxfId="212" priority="13" operator="between">
      <formula>"50.01%"</formula>
      <formula>"75%"</formula>
    </cfRule>
  </conditionalFormatting>
  <conditionalFormatting sqref="G90:H91 V90:X91">
    <cfRule type="cellIs" dxfId="211" priority="14" operator="between">
      <formula>"75.01%"</formula>
      <formula>"99.99%"</formula>
    </cfRule>
  </conditionalFormatting>
  <conditionalFormatting sqref="G90:H91 V90:X91">
    <cfRule type="cellIs" dxfId="210" priority="15" operator="greaterThanOrEqual">
      <formula>"100%"</formula>
    </cfRule>
  </conditionalFormatting>
  <conditionalFormatting sqref="G5:H5 V5:X5">
    <cfRule type="cellIs" dxfId="209" priority="16" operator="between">
      <formula>"0%"</formula>
      <formula>"25%"</formula>
    </cfRule>
  </conditionalFormatting>
  <conditionalFormatting sqref="G5:H5 V5:X5">
    <cfRule type="cellIs" dxfId="208" priority="17" operator="between">
      <formula>"25.01%"</formula>
      <formula>"50%"</formula>
    </cfRule>
  </conditionalFormatting>
  <conditionalFormatting sqref="G5:H5 V5:X5">
    <cfRule type="cellIs" dxfId="207" priority="18" operator="between">
      <formula>"50.01%"</formula>
      <formula>"75%"</formula>
    </cfRule>
  </conditionalFormatting>
  <conditionalFormatting sqref="G5:H5 V5:X5">
    <cfRule type="cellIs" dxfId="206" priority="19" operator="between">
      <formula>"75.01%"</formula>
      <formula>"99.99%"</formula>
    </cfRule>
  </conditionalFormatting>
  <conditionalFormatting sqref="G5:H5 V5:X5">
    <cfRule type="cellIs" dxfId="205" priority="20" operator="greaterThanOrEqual">
      <formula>"100%"</formula>
    </cfRule>
  </conditionalFormatting>
  <conditionalFormatting sqref="G69:H69 V69:X69">
    <cfRule type="cellIs" dxfId="204" priority="21" operator="between">
      <formula>"0%"</formula>
      <formula>"25%"</formula>
    </cfRule>
  </conditionalFormatting>
  <conditionalFormatting sqref="G69:H69 V69:X69">
    <cfRule type="cellIs" dxfId="203" priority="22" operator="between">
      <formula>"25.01%"</formula>
      <formula>"50%"</formula>
    </cfRule>
  </conditionalFormatting>
  <conditionalFormatting sqref="G69:H69 V69:X69">
    <cfRule type="cellIs" dxfId="202" priority="23" operator="between">
      <formula>"50.01%"</formula>
      <formula>"75%"</formula>
    </cfRule>
  </conditionalFormatting>
  <conditionalFormatting sqref="G69:H69 V69:X69">
    <cfRule type="cellIs" dxfId="201" priority="24" operator="between">
      <formula>"75.01%"</formula>
      <formula>"99.99%"</formula>
    </cfRule>
  </conditionalFormatting>
  <conditionalFormatting sqref="G69:H69 V69:X69">
    <cfRule type="cellIs" dxfId="20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1.9828789033348563E-2</v>
      </c>
      <c r="H3" s="79">
        <f t="shared" ref="H3:H4" si="2">M3/E3</f>
        <v>0</v>
      </c>
      <c r="I3" s="80">
        <f t="shared" ref="I3:O3" si="3">I4+I12+I67+I96+I159</f>
        <v>47185.649999999994</v>
      </c>
      <c r="J3" s="80">
        <f t="shared" si="3"/>
        <v>2383247.4700000002</v>
      </c>
      <c r="K3" s="80">
        <f t="shared" si="3"/>
        <v>16240</v>
      </c>
      <c r="L3" s="80">
        <f t="shared" si="3"/>
        <v>0</v>
      </c>
      <c r="M3" s="81">
        <f t="shared" si="3"/>
        <v>0</v>
      </c>
      <c r="N3" s="81">
        <f t="shared" si="3"/>
        <v>451656.71</v>
      </c>
      <c r="O3" s="81">
        <f t="shared" si="3"/>
        <v>0</v>
      </c>
      <c r="P3" s="82">
        <f t="shared" ref="P3:R3" si="4">IF(BI3=0,SUM(Y3+AB3+AE3+AH3+AK3+AN3+AQ3+AT3+AW3+AZ3+BC3+BF3),BI3)</f>
        <v>0</v>
      </c>
      <c r="Q3" s="82">
        <f t="shared" si="4"/>
        <v>452406.70999999996</v>
      </c>
      <c r="R3" s="69">
        <f t="shared" si="4"/>
        <v>0</v>
      </c>
      <c r="S3" s="71" t="e">
        <f t="shared" ref="S3:U3" si="5">S4+S12+S67+S96+S159</f>
        <v>#REF!</v>
      </c>
      <c r="T3" s="71" t="e">
        <f t="shared" si="5"/>
        <v>#REF!</v>
      </c>
      <c r="U3" s="71" t="e">
        <f t="shared" si="5"/>
        <v>#REF!</v>
      </c>
      <c r="V3" s="73">
        <f t="shared" ref="V3:W3" si="6">M3/I3</f>
        <v>0</v>
      </c>
      <c r="W3" s="73">
        <f t="shared" si="6"/>
        <v>0.18951313939714368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0</v>
      </c>
      <c r="AF3" s="83">
        <f t="shared" si="8"/>
        <v>0</v>
      </c>
      <c r="AG3" s="83">
        <f t="shared" si="8"/>
        <v>0</v>
      </c>
      <c r="AH3" s="83">
        <f t="shared" si="8"/>
        <v>0</v>
      </c>
      <c r="AI3" s="83">
        <f t="shared" si="8"/>
        <v>0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3.711348435339526E-2</v>
      </c>
      <c r="H4" s="88">
        <f t="shared" si="2"/>
        <v>0</v>
      </c>
      <c r="I4" s="87">
        <f>SUM(I5:I11)</f>
        <v>1804</v>
      </c>
      <c r="J4" s="87">
        <f>SUM(J6:J11)</f>
        <v>15833.25</v>
      </c>
      <c r="K4" s="87"/>
      <c r="L4" s="87">
        <f t="shared" ref="L4:O4" si="9">SUM(L14)</f>
        <v>0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87">
        <f t="shared" ref="P4:R4" si="10">IF(BI4=0,SUM(Y4+AB4+AE4+AH4+AK4+AN4+AQ4+AT4+AW4+AZ4+BC4+BF4),BI4)</f>
        <v>0</v>
      </c>
      <c r="Q4" s="87">
        <f t="shared" si="10"/>
        <v>0</v>
      </c>
      <c r="R4" s="87">
        <f t="shared" si="10"/>
        <v>0</v>
      </c>
      <c r="S4" s="87">
        <f t="shared" ref="S4:U4" si="11">SUM(S14)</f>
        <v>0</v>
      </c>
      <c r="T4" s="87">
        <f t="shared" si="11"/>
        <v>0</v>
      </c>
      <c r="U4" s="87">
        <f t="shared" si="11"/>
        <v>0</v>
      </c>
      <c r="V4" s="87">
        <f t="shared" ref="V4:W4" si="12">M4/I4</f>
        <v>0</v>
      </c>
      <c r="W4" s="88">
        <f t="shared" si="12"/>
        <v>0</v>
      </c>
      <c r="X4" s="88" t="e">
        <f t="shared" si="7"/>
        <v>#DIV/0!</v>
      </c>
      <c r="Y4" s="87">
        <f t="shared" ref="Y4:BK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 t="shared" si="13"/>
        <v>0</v>
      </c>
      <c r="AF4" s="87">
        <f t="shared" si="13"/>
        <v>0</v>
      </c>
      <c r="AG4" s="87">
        <f t="shared" si="13"/>
        <v>0</v>
      </c>
      <c r="AH4" s="87">
        <f t="shared" si="13"/>
        <v>0</v>
      </c>
      <c r="AI4" s="87">
        <f t="shared" si="13"/>
        <v>0</v>
      </c>
      <c r="AJ4" s="87">
        <f t="shared" si="13"/>
        <v>0</v>
      </c>
      <c r="AK4" s="87">
        <f t="shared" si="13"/>
        <v>0</v>
      </c>
      <c r="AL4" s="87">
        <f t="shared" si="13"/>
        <v>0</v>
      </c>
      <c r="AM4" s="87">
        <f t="shared" si="13"/>
        <v>0</v>
      </c>
      <c r="AN4" s="87">
        <f t="shared" si="13"/>
        <v>0</v>
      </c>
      <c r="AO4" s="87">
        <f t="shared" si="13"/>
        <v>0</v>
      </c>
      <c r="AP4" s="87">
        <f t="shared" si="13"/>
        <v>0</v>
      </c>
      <c r="AQ4" s="87">
        <f t="shared" si="13"/>
        <v>0</v>
      </c>
      <c r="AR4" s="87">
        <f t="shared" si="13"/>
        <v>0</v>
      </c>
      <c r="AS4" s="87">
        <f t="shared" si="13"/>
        <v>0</v>
      </c>
      <c r="AT4" s="87">
        <f t="shared" si="13"/>
        <v>0</v>
      </c>
      <c r="AU4" s="87">
        <f t="shared" si="13"/>
        <v>0</v>
      </c>
      <c r="AV4" s="87">
        <f t="shared" si="13"/>
        <v>0</v>
      </c>
      <c r="AW4" s="87">
        <f t="shared" si="13"/>
        <v>0</v>
      </c>
      <c r="AX4" s="87">
        <f t="shared" si="13"/>
        <v>0</v>
      </c>
      <c r="AY4" s="87">
        <f t="shared" si="13"/>
        <v>0</v>
      </c>
      <c r="AZ4" s="87">
        <f t="shared" si="13"/>
        <v>0</v>
      </c>
      <c r="BA4" s="87">
        <f t="shared" si="13"/>
        <v>0</v>
      </c>
      <c r="BB4" s="87">
        <f t="shared" si="13"/>
        <v>0</v>
      </c>
      <c r="BC4" s="87">
        <f t="shared" si="13"/>
        <v>0</v>
      </c>
      <c r="BD4" s="87">
        <f t="shared" si="13"/>
        <v>0</v>
      </c>
      <c r="BE4" s="87">
        <f t="shared" si="13"/>
        <v>0</v>
      </c>
      <c r="BF4" s="87">
        <f t="shared" si="13"/>
        <v>0</v>
      </c>
      <c r="BG4" s="87">
        <f t="shared" si="13"/>
        <v>0</v>
      </c>
      <c r="BH4" s="87">
        <f t="shared" si="13"/>
        <v>0</v>
      </c>
      <c r="BI4" s="87">
        <f t="shared" si="13"/>
        <v>0</v>
      </c>
      <c r="BJ4" s="87">
        <f t="shared" si="13"/>
        <v>0</v>
      </c>
      <c r="BK4" s="87">
        <f t="shared" si="13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4">Y5+AB5+AE5+AH5+AK5+AN5+AQ5+AT5+AW5+AZ5+BC5+BF5</f>
        <v>0</v>
      </c>
      <c r="N5" s="97">
        <f t="shared" si="14"/>
        <v>0</v>
      </c>
      <c r="O5" s="97">
        <f t="shared" si="14"/>
        <v>0</v>
      </c>
      <c r="P5" s="82">
        <f t="shared" ref="P5:R5" si="15">IF(BI5=0,SUM(Y5+AB5+AE5+AH5+AK5+AN5+AQ5+AT5+AW5+AZ5+BC5+BF5),BI5)</f>
        <v>0</v>
      </c>
      <c r="Q5" s="82">
        <f t="shared" si="15"/>
        <v>0</v>
      </c>
      <c r="R5" s="82">
        <f t="shared" si="15"/>
        <v>0</v>
      </c>
      <c r="S5" s="97"/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6">I6/E6</f>
        <v>0</v>
      </c>
      <c r="H6" s="94">
        <f t="shared" ref="H6:H23" si="17">M6/E6</f>
        <v>0</v>
      </c>
      <c r="I6" s="95"/>
      <c r="J6" s="96"/>
      <c r="K6" s="96"/>
      <c r="L6" s="95"/>
      <c r="M6" s="97">
        <f t="shared" ref="M6:O6" si="18">Y6+AB6+AE6+AH6+AK6+AN6+AQ6+AT6+AW6+AZ6+BC6+BF6</f>
        <v>0</v>
      </c>
      <c r="N6" s="97">
        <f t="shared" si="18"/>
        <v>0</v>
      </c>
      <c r="O6" s="97">
        <f t="shared" si="18"/>
        <v>0</v>
      </c>
      <c r="P6" s="82">
        <f t="shared" ref="P6:R6" si="19">IF(BI6=0,SUM(Y6+AB6+AE6+AH6+AK6+AN6+AQ6+AT6+AW6+AZ6+BC6+BF6),BI6)</f>
        <v>0</v>
      </c>
      <c r="Q6" s="82">
        <f t="shared" si="19"/>
        <v>0</v>
      </c>
      <c r="R6" s="82">
        <f t="shared" si="19"/>
        <v>0</v>
      </c>
      <c r="S6" s="97">
        <f t="shared" ref="S6:T6" si="20">I6-M6</f>
        <v>0</v>
      </c>
      <c r="T6" s="97">
        <f t="shared" si="20"/>
        <v>0</v>
      </c>
      <c r="U6" s="97">
        <f t="shared" ref="U6:U11" si="21">L6-O6</f>
        <v>0</v>
      </c>
      <c r="V6" s="97" t="e">
        <f t="shared" ref="V6:W6" si="22">M6/I6</f>
        <v>#DIV/0!</v>
      </c>
      <c r="W6" s="98" t="e">
        <f t="shared" si="22"/>
        <v>#DIV/0!</v>
      </c>
      <c r="X6" s="98" t="e">
        <f t="shared" ref="X6:X89" si="23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6"/>
        <v>0</v>
      </c>
      <c r="H7" s="94">
        <f t="shared" si="17"/>
        <v>0</v>
      </c>
      <c r="I7" s="95"/>
      <c r="J7" s="96"/>
      <c r="K7" s="96"/>
      <c r="L7" s="95"/>
      <c r="M7" s="97">
        <f t="shared" ref="M7:O7" si="24">Y7+AB7+AE7+AH7+AK7+AN7+AQ7+AT7+AW7+AZ7+BC7+BF7</f>
        <v>0</v>
      </c>
      <c r="N7" s="97">
        <f t="shared" si="24"/>
        <v>0</v>
      </c>
      <c r="O7" s="97">
        <f t="shared" si="24"/>
        <v>0</v>
      </c>
      <c r="P7" s="82">
        <f t="shared" ref="P7:R7" si="25">IF(BI7=0,SUM(Y7+AB7+AE7+AH7+AK7+AN7+AQ7+AT7+AW7+AZ7+BC7+BF7),BI7)</f>
        <v>0</v>
      </c>
      <c r="Q7" s="82">
        <f t="shared" si="25"/>
        <v>0</v>
      </c>
      <c r="R7" s="82">
        <f t="shared" si="25"/>
        <v>0</v>
      </c>
      <c r="S7" s="97">
        <f t="shared" ref="S7:T7" si="26">I7-M7</f>
        <v>0</v>
      </c>
      <c r="T7" s="97">
        <f t="shared" si="26"/>
        <v>0</v>
      </c>
      <c r="U7" s="97">
        <f t="shared" si="21"/>
        <v>0</v>
      </c>
      <c r="V7" s="97" t="e">
        <f t="shared" ref="V7:W7" si="27">M7/I7</f>
        <v>#DIV/0!</v>
      </c>
      <c r="W7" s="98" t="e">
        <f t="shared" si="27"/>
        <v>#DIV/0!</v>
      </c>
      <c r="X7" s="98" t="e">
        <f t="shared" si="23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473</v>
      </c>
      <c r="E8" s="92">
        <v>15127.2</v>
      </c>
      <c r="F8" s="93">
        <v>58483.53</v>
      </c>
      <c r="G8" s="94">
        <f t="shared" si="16"/>
        <v>0</v>
      </c>
      <c r="H8" s="94">
        <f t="shared" si="17"/>
        <v>0</v>
      </c>
      <c r="I8" s="95"/>
      <c r="J8" s="96">
        <v>15833.25</v>
      </c>
      <c r="K8" s="96"/>
      <c r="L8" s="95"/>
      <c r="M8" s="97">
        <f t="shared" ref="M8:O8" si="28">Y8+AB8+AE8+AH8+AK8+AN8+AQ8+AT8+AW8+AZ8+BC8+BF8</f>
        <v>0</v>
      </c>
      <c r="N8" s="97">
        <f t="shared" si="28"/>
        <v>0</v>
      </c>
      <c r="O8" s="97">
        <f t="shared" si="28"/>
        <v>0</v>
      </c>
      <c r="P8" s="82">
        <f t="shared" ref="P8:R8" si="29">IF(BI8=0,SUM(Y8+AB8+AE8+AH8+AK8+AN8+AQ8+AT8+AW8+AZ8+BC8+BF8),BI8)</f>
        <v>0</v>
      </c>
      <c r="Q8" s="82">
        <f t="shared" si="29"/>
        <v>0</v>
      </c>
      <c r="R8" s="82">
        <f t="shared" si="29"/>
        <v>0</v>
      </c>
      <c r="S8" s="97">
        <f t="shared" ref="S8:T8" si="30">I8-M8</f>
        <v>0</v>
      </c>
      <c r="T8" s="97">
        <f t="shared" si="30"/>
        <v>15833.25</v>
      </c>
      <c r="U8" s="97">
        <f t="shared" si="21"/>
        <v>0</v>
      </c>
      <c r="V8" s="97" t="e">
        <f t="shared" ref="V8:W8" si="31">M8/I8</f>
        <v>#DIV/0!</v>
      </c>
      <c r="W8" s="98">
        <f t="shared" si="31"/>
        <v>0</v>
      </c>
      <c r="X8" s="98" t="e">
        <f t="shared" si="23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6"/>
        <v>0</v>
      </c>
      <c r="H9" s="94">
        <f t="shared" si="17"/>
        <v>0</v>
      </c>
      <c r="I9" s="95"/>
      <c r="J9" s="103"/>
      <c r="K9" s="96"/>
      <c r="L9" s="95"/>
      <c r="M9" s="97">
        <f t="shared" ref="M9:O9" si="32">Y9+AB9+AE9+AH9+AK9+AN9+AQ9+AT9+AW9+AZ9+BC9+BF9</f>
        <v>0</v>
      </c>
      <c r="N9" s="97">
        <f t="shared" si="32"/>
        <v>0</v>
      </c>
      <c r="O9" s="97">
        <f t="shared" si="32"/>
        <v>0</v>
      </c>
      <c r="P9" s="82">
        <f t="shared" ref="P9:R9" si="33">IF(BI9=0,SUM(Y9+AB9+AE9+AH9+AK9+AN9+AQ9+AT9+AW9+AZ9+BC9+BF9),BI9)</f>
        <v>0</v>
      </c>
      <c r="Q9" s="82">
        <f t="shared" si="33"/>
        <v>0</v>
      </c>
      <c r="R9" s="82">
        <f t="shared" si="33"/>
        <v>0</v>
      </c>
      <c r="S9" s="97">
        <f t="shared" ref="S9:T9" si="34">I9-M9</f>
        <v>0</v>
      </c>
      <c r="T9" s="97">
        <f t="shared" si="34"/>
        <v>0</v>
      </c>
      <c r="U9" s="97">
        <f t="shared" si="21"/>
        <v>0</v>
      </c>
      <c r="V9" s="97" t="e">
        <f t="shared" ref="V9:W9" si="35">M9/I9</f>
        <v>#DIV/0!</v>
      </c>
      <c r="W9" s="98" t="e">
        <f t="shared" si="35"/>
        <v>#DIV/0!</v>
      </c>
      <c r="X9" s="98" t="e">
        <f t="shared" si="23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89" t="s">
        <v>474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6"/>
        <v>2.1923182322991938E-2</v>
      </c>
      <c r="H10" s="94">
        <f t="shared" si="17"/>
        <v>0</v>
      </c>
      <c r="I10" s="95">
        <v>304</v>
      </c>
      <c r="J10" s="96"/>
      <c r="K10" s="96"/>
      <c r="L10" s="95"/>
      <c r="M10" s="97">
        <f t="shared" ref="M10:O10" si="36">Y10+AB10+AE10+AH10+AK10+AN10+AQ10+AT10+AW10+AZ10+BC10+BF10</f>
        <v>0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0</v>
      </c>
      <c r="Q10" s="82">
        <f t="shared" si="37"/>
        <v>0</v>
      </c>
      <c r="R10" s="82">
        <f t="shared" si="37"/>
        <v>0</v>
      </c>
      <c r="S10" s="97">
        <f t="shared" ref="S10:T10" si="38">I10-M10</f>
        <v>304</v>
      </c>
      <c r="T10" s="97">
        <f t="shared" si="38"/>
        <v>0</v>
      </c>
      <c r="U10" s="97">
        <f t="shared" si="21"/>
        <v>0</v>
      </c>
      <c r="V10" s="97">
        <f t="shared" ref="V10:W10" si="39">M10/I10</f>
        <v>0</v>
      </c>
      <c r="W10" s="98" t="e">
        <f t="shared" si="39"/>
        <v>#DIV/0!</v>
      </c>
      <c r="X10" s="98" t="e">
        <f t="shared" si="23"/>
        <v>#DIV/0!</v>
      </c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6"/>
        <v>0</v>
      </c>
      <c r="H11" s="94">
        <f t="shared" si="17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ref="S11:T11" si="42">I11-M11</f>
        <v>0</v>
      </c>
      <c r="T11" s="97">
        <f t="shared" si="42"/>
        <v>0</v>
      </c>
      <c r="U11" s="97">
        <f t="shared" si="21"/>
        <v>0</v>
      </c>
      <c r="V11" s="97" t="e">
        <f t="shared" ref="V11:W11" si="43">M11/I11</f>
        <v>#DIV/0!</v>
      </c>
      <c r="W11" s="98" t="e">
        <f t="shared" si="43"/>
        <v>#DIV/0!</v>
      </c>
      <c r="X11" s="98" t="e">
        <f t="shared" si="23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4">SUM(E13:E66)</f>
        <v>1669164.1900000002</v>
      </c>
      <c r="F12" s="87">
        <f t="shared" si="44"/>
        <v>3250000</v>
      </c>
      <c r="G12" s="107">
        <f t="shared" si="16"/>
        <v>1.706821304379888E-2</v>
      </c>
      <c r="H12" s="107">
        <f t="shared" si="17"/>
        <v>0</v>
      </c>
      <c r="I12" s="87">
        <f>SUM(I13:I66)</f>
        <v>28489.649999999998</v>
      </c>
      <c r="J12" s="87">
        <f t="shared" ref="J12:N12" si="45">SUM(J15:J66)</f>
        <v>1530957.46</v>
      </c>
      <c r="K12" s="87">
        <f t="shared" si="45"/>
        <v>16240</v>
      </c>
      <c r="L12" s="87">
        <f t="shared" si="45"/>
        <v>0</v>
      </c>
      <c r="M12" s="87">
        <f t="shared" si="45"/>
        <v>0</v>
      </c>
      <c r="N12" s="87">
        <f t="shared" si="45"/>
        <v>325362.98000000004</v>
      </c>
      <c r="O12" s="108">
        <f>SUM(O15:O63)</f>
        <v>0</v>
      </c>
      <c r="P12" s="87">
        <f t="shared" ref="P12:R12" si="46">IF(BI12=0,SUM(Y12+AB12+AE12+AH12+AK12+AN12+AQ12+AT12+AW12+AZ12+BC12+BF12),BI12)</f>
        <v>0</v>
      </c>
      <c r="Q12" s="87">
        <f t="shared" si="46"/>
        <v>325362.98</v>
      </c>
      <c r="R12" s="108">
        <f t="shared" si="46"/>
        <v>0</v>
      </c>
      <c r="S12" s="87">
        <f t="shared" ref="S12:U12" si="47">SUM(S15:S66)</f>
        <v>26989.649999999998</v>
      </c>
      <c r="T12" s="87">
        <f t="shared" si="47"/>
        <v>1205594.4800000002</v>
      </c>
      <c r="U12" s="108">
        <f t="shared" si="47"/>
        <v>0</v>
      </c>
      <c r="V12" s="88">
        <f t="shared" ref="V12:W12" si="48">M12/I12</f>
        <v>0</v>
      </c>
      <c r="W12" s="88">
        <f t="shared" si="48"/>
        <v>0.21252254781788649</v>
      </c>
      <c r="X12" s="88" t="e">
        <f t="shared" si="23"/>
        <v>#DIV/0!</v>
      </c>
      <c r="Y12" s="87">
        <f t="shared" ref="Y12:AC12" si="49">SUM(Y15:Y66)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163302.63</v>
      </c>
      <c r="AD12" s="87">
        <f>SUM(AD15:AD63)</f>
        <v>0</v>
      </c>
      <c r="AE12" s="87">
        <f>SUM(AE15:AE66)</f>
        <v>0</v>
      </c>
      <c r="AF12" s="87">
        <f>SUM(AF15:AF65)</f>
        <v>0</v>
      </c>
      <c r="AG12" s="87">
        <f>SUM(AG15:AG63)</f>
        <v>0</v>
      </c>
      <c r="AH12" s="87">
        <f t="shared" ref="AH12:AI12" si="50">SUM(AH15:AH66)</f>
        <v>0</v>
      </c>
      <c r="AI12" s="87">
        <f t="shared" si="50"/>
        <v>0</v>
      </c>
      <c r="AJ12" s="87">
        <f>SUM(AJ15:AJ63)</f>
        <v>0</v>
      </c>
      <c r="AK12" s="87">
        <f t="shared" ref="AK12:AL12" si="51">SUM(AK15:AK66)</f>
        <v>0</v>
      </c>
      <c r="AL12" s="87">
        <f t="shared" si="51"/>
        <v>0</v>
      </c>
      <c r="AM12" s="87">
        <f>SUM(AM15:AM63)</f>
        <v>0</v>
      </c>
      <c r="AN12" s="87">
        <f t="shared" ref="AN12:AO12" si="52">SUM(AN15:AN66)</f>
        <v>0</v>
      </c>
      <c r="AO12" s="87">
        <f t="shared" si="52"/>
        <v>0</v>
      </c>
      <c r="AP12" s="87">
        <f>SUM(AP15:AP63)</f>
        <v>0</v>
      </c>
      <c r="AQ12" s="87">
        <f t="shared" ref="AQ12:AR12" si="53">SUM(AQ15:AQ66)</f>
        <v>0</v>
      </c>
      <c r="AR12" s="87">
        <f t="shared" si="53"/>
        <v>0</v>
      </c>
      <c r="AS12" s="87">
        <f>SUM(AS15:AS63)</f>
        <v>0</v>
      </c>
      <c r="AT12" s="87">
        <f>SUM(AT15:AT66)</f>
        <v>0</v>
      </c>
      <c r="AU12" s="87">
        <f t="shared" ref="AU12:AV12" si="54">SUM(AU15:AU63)</f>
        <v>0</v>
      </c>
      <c r="AV12" s="87">
        <f t="shared" si="54"/>
        <v>0</v>
      </c>
      <c r="AW12" s="87">
        <f t="shared" ref="AW12:AX12" si="55">SUM(AW15:AW66)</f>
        <v>0</v>
      </c>
      <c r="AX12" s="87">
        <f t="shared" si="55"/>
        <v>0</v>
      </c>
      <c r="AY12" s="87">
        <f t="shared" ref="AY12:BK12" si="56">SUM(AY15:AY63)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6"/>
        <v>1</v>
      </c>
      <c r="H13" s="94">
        <f t="shared" si="17"/>
        <v>0</v>
      </c>
      <c r="I13" s="96">
        <v>1500</v>
      </c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T13" si="59">I13-M13</f>
        <v>1500</v>
      </c>
      <c r="T13" s="97">
        <f t="shared" si="59"/>
        <v>0</v>
      </c>
      <c r="U13" s="97">
        <f t="shared" ref="U13:U66" si="60">L13-O13</f>
        <v>0</v>
      </c>
      <c r="V13" s="112">
        <f t="shared" ref="V13:W13" si="61">M13/I13</f>
        <v>0</v>
      </c>
      <c r="W13" s="98" t="e">
        <f t="shared" si="61"/>
        <v>#DIV/0!</v>
      </c>
      <c r="X13" s="98" t="e">
        <f t="shared" si="23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89"/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6"/>
        <v>0</v>
      </c>
      <c r="H14" s="94">
        <f t="shared" si="17"/>
        <v>0</v>
      </c>
      <c r="I14" s="95"/>
      <c r="J14" s="96"/>
      <c r="K14" s="96"/>
      <c r="L14" s="95"/>
      <c r="M14" s="97">
        <f t="shared" ref="M14:O14" si="62">Y14+AB14+AE14+AH14+AK14+AN14+AQ14+AT14+AW14+AZ14+BC14+BF14</f>
        <v>0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0</v>
      </c>
      <c r="Q14" s="82">
        <f t="shared" si="63"/>
        <v>0</v>
      </c>
      <c r="R14" s="82">
        <f t="shared" si="63"/>
        <v>0</v>
      </c>
      <c r="S14" s="97">
        <f t="shared" ref="S14:T14" si="64">I14-M14</f>
        <v>0</v>
      </c>
      <c r="T14" s="97">
        <f t="shared" si="64"/>
        <v>0</v>
      </c>
      <c r="U14" s="97">
        <f t="shared" si="60"/>
        <v>0</v>
      </c>
      <c r="V14" s="97" t="e">
        <f t="shared" ref="V14:W14" si="65">M14/I14</f>
        <v>#DIV/0!</v>
      </c>
      <c r="W14" s="98" t="e">
        <f t="shared" si="65"/>
        <v>#DIV/0!</v>
      </c>
      <c r="X14" s="98" t="e">
        <f t="shared" si="23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113"/>
      <c r="B15" s="114" t="s">
        <v>214</v>
      </c>
      <c r="C15" s="101" t="s">
        <v>215</v>
      </c>
      <c r="D15" s="115" t="s">
        <v>476</v>
      </c>
      <c r="E15" s="116">
        <v>280175</v>
      </c>
      <c r="F15" s="116"/>
      <c r="G15" s="94">
        <f t="shared" si="16"/>
        <v>0</v>
      </c>
      <c r="H15" s="94">
        <f t="shared" si="17"/>
        <v>0</v>
      </c>
      <c r="I15" s="96"/>
      <c r="J15" s="117">
        <v>194909.32</v>
      </c>
      <c r="K15" s="117"/>
      <c r="L15" s="118"/>
      <c r="M15" s="97">
        <f t="shared" ref="M15:O15" si="66">Y15+AB15+AE15+AH15+AK15+AN15+AQ15+AT15+AW15+AZ15+BC15+BF15</f>
        <v>0</v>
      </c>
      <c r="N15" s="97">
        <f t="shared" si="66"/>
        <v>13902.720000000001</v>
      </c>
      <c r="O15" s="97">
        <f t="shared" si="66"/>
        <v>0</v>
      </c>
      <c r="P15" s="82">
        <f t="shared" ref="P15:R15" si="67">IF(BI15=0,SUM(Y15+AB15+AE15+AH15+AK15+AN15+AQ15+AT15+AW15+AZ15+BC15+BF15),BI15)</f>
        <v>0</v>
      </c>
      <c r="Q15" s="82">
        <f t="shared" si="67"/>
        <v>13902.720000000001</v>
      </c>
      <c r="R15" s="82">
        <f t="shared" si="67"/>
        <v>0</v>
      </c>
      <c r="S15" s="97">
        <f t="shared" ref="S15:T15" si="68">I15-M15</f>
        <v>0</v>
      </c>
      <c r="T15" s="97">
        <f t="shared" si="68"/>
        <v>181006.6</v>
      </c>
      <c r="U15" s="97">
        <f t="shared" si="60"/>
        <v>0</v>
      </c>
      <c r="V15" s="98" t="e">
        <f t="shared" ref="V15:W15" si="69">M15/I15</f>
        <v>#DIV/0!</v>
      </c>
      <c r="W15" s="98">
        <f t="shared" si="69"/>
        <v>7.1329169892953306E-2</v>
      </c>
      <c r="X15" s="98" t="e">
        <f t="shared" si="23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477</v>
      </c>
      <c r="E16" s="92">
        <v>2000</v>
      </c>
      <c r="F16" s="116"/>
      <c r="G16" s="94">
        <f t="shared" si="16"/>
        <v>0</v>
      </c>
      <c r="H16" s="94">
        <f t="shared" si="17"/>
        <v>0</v>
      </c>
      <c r="I16" s="96"/>
      <c r="J16" s="117">
        <f>2600+2712.58</f>
        <v>5312.58</v>
      </c>
      <c r="K16" s="117"/>
      <c r="L16" s="118"/>
      <c r="M16" s="97">
        <f t="shared" ref="M16:O16" si="70">Y16+AB16+AE16+AH16+AK16+AN16+AQ16+AT16+AW16+AZ16+BC16+BF16</f>
        <v>0</v>
      </c>
      <c r="N16" s="97">
        <f t="shared" si="70"/>
        <v>0</v>
      </c>
      <c r="O16" s="97">
        <f t="shared" si="70"/>
        <v>0</v>
      </c>
      <c r="P16" s="82">
        <f t="shared" ref="P16:R16" si="71">IF(BI16=0,SUM(Y16+AB16+AE16+AH16+AK16+AN16+AQ16+AT16+AW16+AZ16+BC16+BF16),BI16)</f>
        <v>0</v>
      </c>
      <c r="Q16" s="82">
        <f t="shared" si="71"/>
        <v>0</v>
      </c>
      <c r="R16" s="82">
        <f t="shared" si="71"/>
        <v>0</v>
      </c>
      <c r="S16" s="97">
        <f t="shared" ref="S16:T16" si="72">I16-M16</f>
        <v>0</v>
      </c>
      <c r="T16" s="97">
        <f t="shared" si="72"/>
        <v>5312.58</v>
      </c>
      <c r="U16" s="97">
        <f t="shared" si="60"/>
        <v>0</v>
      </c>
      <c r="V16" s="98" t="e">
        <f t="shared" ref="V16:W16" si="73">M16/I16</f>
        <v>#DIV/0!</v>
      </c>
      <c r="W16" s="98">
        <f t="shared" si="73"/>
        <v>0</v>
      </c>
      <c r="X16" s="98" t="e">
        <f t="shared" si="23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478</v>
      </c>
      <c r="E17" s="123">
        <v>0</v>
      </c>
      <c r="F17" s="124">
        <v>0</v>
      </c>
      <c r="G17" s="94" t="e">
        <f t="shared" si="16"/>
        <v>#DIV/0!</v>
      </c>
      <c r="H17" s="94" t="e">
        <f t="shared" si="17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4">Y17+AB17+AE17+AH17+AK17+AN17+AQ17+AT17+AW17+AZ17+BC17+BF17</f>
        <v>0</v>
      </c>
      <c r="N17" s="97">
        <f t="shared" si="74"/>
        <v>12487.09</v>
      </c>
      <c r="O17" s="97">
        <f t="shared" si="74"/>
        <v>0</v>
      </c>
      <c r="P17" s="82">
        <f t="shared" ref="P17:R17" si="75">IF(BI17=0,SUM(Y17+AB17+AE17+AH17+AK17+AN17+AQ17+AT17+AW17+AZ17+BC17+BF17),BI17)</f>
        <v>0</v>
      </c>
      <c r="Q17" s="82">
        <f t="shared" si="75"/>
        <v>12487.09</v>
      </c>
      <c r="R17" s="82">
        <f t="shared" si="75"/>
        <v>0</v>
      </c>
      <c r="S17" s="97">
        <f t="shared" ref="S17:T17" si="76">I17-M17</f>
        <v>0</v>
      </c>
      <c r="T17" s="97">
        <f t="shared" si="76"/>
        <v>0</v>
      </c>
      <c r="U17" s="97">
        <f t="shared" si="60"/>
        <v>0</v>
      </c>
      <c r="V17" s="98" t="e">
        <f t="shared" ref="V17:W17" si="77">M17/I17</f>
        <v>#DIV/0!</v>
      </c>
      <c r="W17" s="98">
        <f t="shared" si="77"/>
        <v>1</v>
      </c>
      <c r="X17" s="98" t="e">
        <f t="shared" si="23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479</v>
      </c>
      <c r="E18" s="92">
        <v>309000</v>
      </c>
      <c r="F18" s="116"/>
      <c r="G18" s="94">
        <f t="shared" si="16"/>
        <v>0</v>
      </c>
      <c r="H18" s="94">
        <f t="shared" si="17"/>
        <v>0</v>
      </c>
      <c r="I18" s="96"/>
      <c r="J18" s="117">
        <v>93746.62</v>
      </c>
      <c r="K18" s="117"/>
      <c r="L18" s="118"/>
      <c r="M18" s="97">
        <f t="shared" ref="M18:O18" si="78">Y18+AB18+AE18+AH18+AK18+AN18+AQ18+AT18+AW18+AZ18+BC18+BF18</f>
        <v>0</v>
      </c>
      <c r="N18" s="97">
        <f t="shared" si="78"/>
        <v>35599.980000000003</v>
      </c>
      <c r="O18" s="97">
        <f t="shared" si="78"/>
        <v>0</v>
      </c>
      <c r="P18" s="82">
        <f t="shared" ref="P18:Q18" si="79">IF(BI18=0,SUM(Y18+AB18+AE18+AH18+AK18+AN18+AQ18+AT18+AW18+AZ18+BC18+BF18),BI18)</f>
        <v>0</v>
      </c>
      <c r="Q18" s="82">
        <f t="shared" si="79"/>
        <v>35599.980000000003</v>
      </c>
      <c r="R18" s="82"/>
      <c r="S18" s="97">
        <f t="shared" ref="S18:T18" si="80">I18-M18</f>
        <v>0</v>
      </c>
      <c r="T18" s="97">
        <f t="shared" si="80"/>
        <v>58146.639999999992</v>
      </c>
      <c r="U18" s="97">
        <f t="shared" si="60"/>
        <v>0</v>
      </c>
      <c r="V18" s="98" t="e">
        <f t="shared" ref="V18:W18" si="81">M18/I18</f>
        <v>#DIV/0!</v>
      </c>
      <c r="W18" s="98">
        <f t="shared" si="81"/>
        <v>0.37974681113836428</v>
      </c>
      <c r="X18" s="98" t="e">
        <f t="shared" si="23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480</v>
      </c>
      <c r="E19" s="92">
        <v>610000</v>
      </c>
      <c r="F19" s="116"/>
      <c r="G19" s="94">
        <f t="shared" si="16"/>
        <v>0</v>
      </c>
      <c r="H19" s="94">
        <f t="shared" si="17"/>
        <v>0</v>
      </c>
      <c r="I19" s="96"/>
      <c r="J19" s="117">
        <v>180180.54</v>
      </c>
      <c r="K19" s="117"/>
      <c r="L19" s="118"/>
      <c r="M19" s="97">
        <f t="shared" ref="M19:M66" si="82">Y19+AB19+AE19+AH19+AK19+AN19+AQ19+AT19+AW19+AZ19+BC19+BF19</f>
        <v>0</v>
      </c>
      <c r="N19" s="97">
        <f>Z19+AC19+AI19+AO19+AR19+AU19+AX19+BA19+BD19+BG19</f>
        <v>59125.919999999998</v>
      </c>
      <c r="O19" s="97">
        <f>AA19+AD19+AG19+AJ19+AM19+AP19+AS19+AV19+AY19+BB19+BE19+BH19</f>
        <v>0</v>
      </c>
      <c r="P19" s="82">
        <f t="shared" ref="P19:R19" si="83">IF(BI19=0,SUM(Y19+AB19+AE19+AH19+AK19+AN19+AQ19+AT19+AW19+AZ19+BC19+BF19),BI19)</f>
        <v>0</v>
      </c>
      <c r="Q19" s="82">
        <f t="shared" si="83"/>
        <v>59125.919999999998</v>
      </c>
      <c r="R19" s="82">
        <f t="shared" si="83"/>
        <v>0</v>
      </c>
      <c r="S19" s="97">
        <f t="shared" ref="S19:T19" si="84">I19-M19</f>
        <v>0</v>
      </c>
      <c r="T19" s="97">
        <f t="shared" si="84"/>
        <v>121054.62000000001</v>
      </c>
      <c r="U19" s="97">
        <f t="shared" si="60"/>
        <v>0</v>
      </c>
      <c r="V19" s="98" t="e">
        <f t="shared" ref="V19:W19" si="85">M19/I19</f>
        <v>#DIV/0!</v>
      </c>
      <c r="W19" s="98">
        <f t="shared" si="85"/>
        <v>0.32814820068804318</v>
      </c>
      <c r="X19" s="98" t="e">
        <f t="shared" si="23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96"/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481</v>
      </c>
      <c r="E20" s="92">
        <v>43000</v>
      </c>
      <c r="F20" s="92"/>
      <c r="G20" s="94">
        <f t="shared" si="16"/>
        <v>0</v>
      </c>
      <c r="H20" s="94">
        <f t="shared" si="17"/>
        <v>0</v>
      </c>
      <c r="I20" s="96"/>
      <c r="J20" s="117">
        <v>20565.900000000001</v>
      </c>
      <c r="K20" s="117"/>
      <c r="L20" s="118"/>
      <c r="M20" s="97">
        <f t="shared" si="82"/>
        <v>0</v>
      </c>
      <c r="N20" s="97">
        <f t="shared" ref="N20:O20" si="86">Z20+AC20+AF20+AI20+AL20+AO20+AR20+AU20+AX20+BA20+BD20+BG20</f>
        <v>6590.3899999999994</v>
      </c>
      <c r="O20" s="97">
        <f t="shared" si="86"/>
        <v>0</v>
      </c>
      <c r="P20" s="82">
        <f t="shared" ref="P20:R20" si="87">IF(BI20=0,SUM(Y20+AB20+AE20+AH20+AK20+AN20+AQ20+AT20+AW20+AZ20+BC20+BF20),BI20)</f>
        <v>0</v>
      </c>
      <c r="Q20" s="82">
        <f t="shared" si="87"/>
        <v>6590.3899999999994</v>
      </c>
      <c r="R20" s="82">
        <f t="shared" si="87"/>
        <v>0</v>
      </c>
      <c r="S20" s="97">
        <f t="shared" ref="S20:T20" si="88">I20-M20</f>
        <v>0</v>
      </c>
      <c r="T20" s="97">
        <f t="shared" si="88"/>
        <v>13975.510000000002</v>
      </c>
      <c r="U20" s="97">
        <f t="shared" si="60"/>
        <v>0</v>
      </c>
      <c r="V20" s="98" t="e">
        <f t="shared" ref="V20:W20" si="89">M20/I20</f>
        <v>#DIV/0!</v>
      </c>
      <c r="W20" s="98">
        <f t="shared" si="89"/>
        <v>0.32045230211174802</v>
      </c>
      <c r="X20" s="98" t="e">
        <f t="shared" si="23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482</v>
      </c>
      <c r="E21" s="92">
        <v>2000</v>
      </c>
      <c r="F21" s="92"/>
      <c r="G21" s="94">
        <f t="shared" si="16"/>
        <v>0</v>
      </c>
      <c r="H21" s="94">
        <f t="shared" si="17"/>
        <v>0</v>
      </c>
      <c r="I21" s="96"/>
      <c r="J21" s="117">
        <v>1838.67</v>
      </c>
      <c r="K21" s="117"/>
      <c r="L21" s="118"/>
      <c r="M21" s="97">
        <f t="shared" si="82"/>
        <v>0</v>
      </c>
      <c r="N21" s="97">
        <f t="shared" ref="N21:O21" si="90">Z21+AC21+AF21+AI21+AL21+AO21+AR21+AU21+AX21+BA21+BD21+BG21</f>
        <v>0</v>
      </c>
      <c r="O21" s="97">
        <f t="shared" si="90"/>
        <v>0</v>
      </c>
      <c r="P21" s="82">
        <f t="shared" ref="P21:R21" si="91">IF(BI21=0,SUM(Y21+AB21+AE21+AH21+AK21+AN21+AQ21+AT21+AW21+AZ21+BC21+BF21),BI21)</f>
        <v>0</v>
      </c>
      <c r="Q21" s="82">
        <f t="shared" si="91"/>
        <v>0</v>
      </c>
      <c r="R21" s="82">
        <f t="shared" si="91"/>
        <v>0</v>
      </c>
      <c r="S21" s="97">
        <f t="shared" ref="S21:T21" si="92">I21-M21</f>
        <v>0</v>
      </c>
      <c r="T21" s="97">
        <f t="shared" si="92"/>
        <v>1838.67</v>
      </c>
      <c r="U21" s="97">
        <f t="shared" si="60"/>
        <v>0</v>
      </c>
      <c r="V21" s="98" t="e">
        <f t="shared" ref="V21:W21" si="93">M21/I21</f>
        <v>#DIV/0!</v>
      </c>
      <c r="W21" s="98">
        <f t="shared" si="93"/>
        <v>0</v>
      </c>
      <c r="X21" s="98" t="e">
        <f t="shared" si="23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122" t="s">
        <v>484</v>
      </c>
      <c r="E22" s="92">
        <v>45000</v>
      </c>
      <c r="F22" s="116"/>
      <c r="G22" s="94">
        <f t="shared" si="16"/>
        <v>9.7643111111111097E-2</v>
      </c>
      <c r="H22" s="94">
        <f t="shared" si="17"/>
        <v>0</v>
      </c>
      <c r="I22" s="96">
        <v>4393.9399999999996</v>
      </c>
      <c r="J22" s="117">
        <v>16833.330000000002</v>
      </c>
      <c r="K22" s="117"/>
      <c r="L22" s="118"/>
      <c r="M22" s="97">
        <f t="shared" si="82"/>
        <v>0</v>
      </c>
      <c r="N22" s="97">
        <f t="shared" ref="N22:O22" si="94">Z22+AC22+AF22+AI22+AL22+AO22+AR22+AU22+AX22+BA22+BD22+BG22</f>
        <v>10872.44</v>
      </c>
      <c r="O22" s="97">
        <f t="shared" si="94"/>
        <v>0</v>
      </c>
      <c r="P22" s="82">
        <f t="shared" ref="P22:R22" si="95">IF(BI22=0,SUM(Y22+AB22+AE22+AH22+AK22+AN22+AQ22+AT22+AW22+AZ22+BC22+BF22),BI22)</f>
        <v>0</v>
      </c>
      <c r="Q22" s="82">
        <f t="shared" si="95"/>
        <v>10872.44</v>
      </c>
      <c r="R22" s="82">
        <f t="shared" si="95"/>
        <v>0</v>
      </c>
      <c r="S22" s="97">
        <f t="shared" ref="S22:T22" si="96">I22-M22</f>
        <v>4393.9399999999996</v>
      </c>
      <c r="T22" s="97">
        <f t="shared" si="96"/>
        <v>5960.8900000000012</v>
      </c>
      <c r="U22" s="97">
        <f t="shared" si="60"/>
        <v>0</v>
      </c>
      <c r="V22" s="98">
        <f t="shared" ref="V22:W22" si="97">M22/I22</f>
        <v>0</v>
      </c>
      <c r="W22" s="98">
        <f t="shared" si="97"/>
        <v>0.64588765265102033</v>
      </c>
      <c r="X22" s="98" t="e">
        <f t="shared" si="23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485</v>
      </c>
      <c r="E23" s="92">
        <v>43000</v>
      </c>
      <c r="F23" s="116"/>
      <c r="G23" s="94">
        <f t="shared" si="16"/>
        <v>0</v>
      </c>
      <c r="H23" s="94">
        <f t="shared" si="17"/>
        <v>0</v>
      </c>
      <c r="I23" s="96"/>
      <c r="J23" s="117">
        <v>18798.599999999999</v>
      </c>
      <c r="K23" s="117"/>
      <c r="L23" s="118"/>
      <c r="M23" s="97">
        <f t="shared" si="82"/>
        <v>0</v>
      </c>
      <c r="N23" s="97">
        <f t="shared" ref="N23:O23" si="98">Z23+AC23+AF23+AI23+AL23+AO23+AR23+AU23+AX23+BA23+BD23+BG23</f>
        <v>6266.2</v>
      </c>
      <c r="O23" s="97">
        <f t="shared" si="98"/>
        <v>0</v>
      </c>
      <c r="P23" s="82">
        <f t="shared" ref="P23:R23" si="99">IF(BI23=0,SUM(Y23+AB23+AE23+AH23+AK23+AN23+AQ23+AT23+AW23+AZ23+BC23+BF23),BI23)</f>
        <v>0</v>
      </c>
      <c r="Q23" s="82">
        <f t="shared" si="99"/>
        <v>6266.2</v>
      </c>
      <c r="R23" s="82">
        <f t="shared" si="99"/>
        <v>0</v>
      </c>
      <c r="S23" s="97">
        <f t="shared" ref="S23:T23" si="100">I23-M23</f>
        <v>0</v>
      </c>
      <c r="T23" s="97">
        <f t="shared" si="100"/>
        <v>12532.399999999998</v>
      </c>
      <c r="U23" s="97">
        <f t="shared" si="60"/>
        <v>0</v>
      </c>
      <c r="V23" s="98" t="e">
        <f t="shared" ref="V23:W23" si="101">M23/I23</f>
        <v>#DIV/0!</v>
      </c>
      <c r="W23" s="98">
        <f t="shared" si="101"/>
        <v>0.33333333333333337</v>
      </c>
      <c r="X23" s="98" t="e">
        <f t="shared" si="23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0"/>
      <c r="AG23" s="129"/>
      <c r="AH23" s="129"/>
      <c r="AI23" s="129"/>
      <c r="AJ23" s="129"/>
      <c r="AK23" s="96"/>
      <c r="AL23" s="129"/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6"/>
        <v>0</v>
      </c>
      <c r="H24" s="94"/>
      <c r="I24" s="96"/>
      <c r="J24" s="117"/>
      <c r="K24" s="117"/>
      <c r="L24" s="118"/>
      <c r="M24" s="97">
        <f t="shared" si="82"/>
        <v>0</v>
      </c>
      <c r="N24" s="97">
        <f t="shared" ref="N24:O24" si="102">Z24+AC24+AF24+AI24+AL24+AO24+AR24+AU24+AX24+BA24+BD24+BG24</f>
        <v>0</v>
      </c>
      <c r="O24" s="97">
        <f t="shared" si="102"/>
        <v>0</v>
      </c>
      <c r="P24" s="82">
        <f t="shared" ref="P24:R24" si="103">IF(BI24=0,SUM(Y24+AB24+AE24+AH24+AK24+AN24+AQ24+AT24+AW24+AZ24+BC24+BF24),BI24)</f>
        <v>0</v>
      </c>
      <c r="Q24" s="82">
        <f t="shared" si="103"/>
        <v>0</v>
      </c>
      <c r="R24" s="82">
        <f t="shared" si="103"/>
        <v>0</v>
      </c>
      <c r="S24" s="97">
        <f t="shared" ref="S24:T24" si="104">I24-M24</f>
        <v>0</v>
      </c>
      <c r="T24" s="97">
        <f t="shared" si="104"/>
        <v>0</v>
      </c>
      <c r="U24" s="97">
        <f t="shared" si="60"/>
        <v>0</v>
      </c>
      <c r="V24" s="98" t="e">
        <f t="shared" ref="V24:W24" si="105">M24/I24</f>
        <v>#DIV/0!</v>
      </c>
      <c r="W24" s="98" t="e">
        <f t="shared" si="105"/>
        <v>#DIV/0!</v>
      </c>
      <c r="X24" s="98" t="e">
        <f t="shared" si="23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486</v>
      </c>
      <c r="E25" s="92">
        <v>7000</v>
      </c>
      <c r="F25" s="92"/>
      <c r="G25" s="94">
        <f t="shared" si="16"/>
        <v>0</v>
      </c>
      <c r="H25" s="94">
        <f t="shared" ref="H25:H54" si="106">M25/E25</f>
        <v>0</v>
      </c>
      <c r="I25" s="96"/>
      <c r="J25" s="117">
        <v>5583.4</v>
      </c>
      <c r="K25" s="117"/>
      <c r="L25" s="118"/>
      <c r="M25" s="97">
        <f t="shared" si="82"/>
        <v>0</v>
      </c>
      <c r="N25" s="97">
        <f t="shared" ref="N25:O25" si="107">Z25+AC25+AF25+AI25+AL25+AO25+AR25+AU25+AX25+BA25+BD25+BG25</f>
        <v>0</v>
      </c>
      <c r="O25" s="97">
        <f t="shared" si="107"/>
        <v>0</v>
      </c>
      <c r="P25" s="82">
        <f t="shared" ref="P25:R25" si="108">IF(BI25=0,SUM(Y25+AB25+AE25+AH25+AK25+AN25+AQ25+AT25+AW25+AZ25+BC25+BF25),BI25)</f>
        <v>0</v>
      </c>
      <c r="Q25" s="82">
        <f t="shared" si="108"/>
        <v>0</v>
      </c>
      <c r="R25" s="82">
        <f t="shared" si="108"/>
        <v>0</v>
      </c>
      <c r="S25" s="97">
        <f t="shared" ref="S25:T25" si="109">I25-M25</f>
        <v>0</v>
      </c>
      <c r="T25" s="97">
        <f t="shared" si="109"/>
        <v>5583.4</v>
      </c>
      <c r="U25" s="97">
        <f t="shared" si="60"/>
        <v>0</v>
      </c>
      <c r="V25" s="98" t="e">
        <f t="shared" ref="V25:W25" si="110">M25/I25</f>
        <v>#DIV/0!</v>
      </c>
      <c r="W25" s="98">
        <f t="shared" si="110"/>
        <v>0</v>
      </c>
      <c r="X25" s="98" t="e">
        <f t="shared" si="23"/>
        <v>#DIV/0!</v>
      </c>
      <c r="Y25" s="96"/>
      <c r="Z25" s="96"/>
      <c r="AA25" s="96"/>
      <c r="AB25" s="119"/>
      <c r="AC25" s="119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/>
      <c r="C26" s="101" t="s">
        <v>242</v>
      </c>
      <c r="D26" s="122" t="s">
        <v>487</v>
      </c>
      <c r="E26" s="116">
        <v>8404</v>
      </c>
      <c r="F26" s="116"/>
      <c r="G26" s="94">
        <f t="shared" si="16"/>
        <v>0</v>
      </c>
      <c r="H26" s="94">
        <f t="shared" si="106"/>
        <v>0</v>
      </c>
      <c r="I26" s="96"/>
      <c r="J26" s="117"/>
      <c r="K26" s="117"/>
      <c r="L26" s="118"/>
      <c r="M26" s="97">
        <f t="shared" si="82"/>
        <v>0</v>
      </c>
      <c r="N26" s="97">
        <f t="shared" ref="N26:O26" si="111">Z26+AC26+AF26+AI26+AL26+AO26+AR26+AU26+AX26+BA26+BD26+BG26</f>
        <v>0</v>
      </c>
      <c r="O26" s="97">
        <f t="shared" si="111"/>
        <v>0</v>
      </c>
      <c r="P26" s="82">
        <f t="shared" ref="P26:R26" si="112">IF(BI26=0,SUM(Y26+AB26+AE26+AH26+AK26+AN26+AQ26+AT26+AW26+AZ26+BC26+BF26),BI26)</f>
        <v>0</v>
      </c>
      <c r="Q26" s="82">
        <f t="shared" si="112"/>
        <v>0</v>
      </c>
      <c r="R26" s="82">
        <f t="shared" si="112"/>
        <v>0</v>
      </c>
      <c r="S26" s="97">
        <f t="shared" ref="S26:T26" si="113">I26-M26</f>
        <v>0</v>
      </c>
      <c r="T26" s="97">
        <f t="shared" si="113"/>
        <v>0</v>
      </c>
      <c r="U26" s="97">
        <f t="shared" si="60"/>
        <v>0</v>
      </c>
      <c r="V26" s="98" t="e">
        <f t="shared" ref="V26:W26" si="114">M26/I26</f>
        <v>#DIV/0!</v>
      </c>
      <c r="W26" s="98" t="e">
        <f t="shared" si="114"/>
        <v>#DIV/0!</v>
      </c>
      <c r="X26" s="98" t="e">
        <f t="shared" si="23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6"/>
        <v>0</v>
      </c>
      <c r="H27" s="94">
        <f t="shared" si="106"/>
        <v>0</v>
      </c>
      <c r="I27" s="96"/>
      <c r="J27" s="117">
        <v>13095</v>
      </c>
      <c r="K27" s="117"/>
      <c r="L27" s="118"/>
      <c r="M27" s="97">
        <f t="shared" si="82"/>
        <v>0</v>
      </c>
      <c r="N27" s="97">
        <f t="shared" ref="N27:O27" si="115">Z27+AC27+AF27+AI27+AL27+AO27+AR27+AU27+AX27+BA27+BD27+BG27</f>
        <v>13095</v>
      </c>
      <c r="O27" s="97">
        <f t="shared" si="115"/>
        <v>0</v>
      </c>
      <c r="P27" s="82">
        <f t="shared" ref="P27:R27" si="116">IF(BI27=0,SUM(Y27+AB27+AE27+AH27+AK27+AN27+AQ27+AT27+AW27+AZ27+BC27+BF27),BI27)</f>
        <v>0</v>
      </c>
      <c r="Q27" s="82">
        <f t="shared" si="116"/>
        <v>13095</v>
      </c>
      <c r="R27" s="82">
        <f t="shared" si="116"/>
        <v>0</v>
      </c>
      <c r="S27" s="97">
        <f t="shared" ref="S27:T27" si="117">I27-M27</f>
        <v>0</v>
      </c>
      <c r="T27" s="97">
        <f t="shared" si="117"/>
        <v>0</v>
      </c>
      <c r="U27" s="97">
        <f t="shared" si="60"/>
        <v>0</v>
      </c>
      <c r="V27" s="98" t="e">
        <f t="shared" ref="V27:W27" si="118">M27/I27</f>
        <v>#DIV/0!</v>
      </c>
      <c r="W27" s="98">
        <f t="shared" si="118"/>
        <v>1</v>
      </c>
      <c r="X27" s="98" t="e">
        <f t="shared" si="23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6"/>
        <v>0</v>
      </c>
      <c r="H28" s="94">
        <f t="shared" si="106"/>
        <v>0</v>
      </c>
      <c r="I28" s="96"/>
      <c r="J28" s="117">
        <v>16850</v>
      </c>
      <c r="K28" s="117"/>
      <c r="L28" s="118"/>
      <c r="M28" s="97">
        <f t="shared" si="82"/>
        <v>0</v>
      </c>
      <c r="N28" s="97">
        <f t="shared" ref="N28:O28" si="119">Z28+AC28+AF28+AI28+AL28+AO28+AR28+AU28+AX28+BA28+BD28+BG28</f>
        <v>5229.5</v>
      </c>
      <c r="O28" s="97">
        <f t="shared" si="119"/>
        <v>0</v>
      </c>
      <c r="P28" s="82">
        <f t="shared" ref="P28:R28" si="120">IF(BI28=0,SUM(Y28+AB28+AE28+AH28+AK28+AN28+AQ28+AT28+AW28+AZ28+BC28+BF28),BI28)</f>
        <v>0</v>
      </c>
      <c r="Q28" s="82">
        <f t="shared" si="120"/>
        <v>5229.5</v>
      </c>
      <c r="R28" s="82">
        <f t="shared" si="120"/>
        <v>0</v>
      </c>
      <c r="S28" s="97">
        <f t="shared" ref="S28:T28" si="121">I28-M28</f>
        <v>0</v>
      </c>
      <c r="T28" s="97">
        <f t="shared" si="121"/>
        <v>11620.5</v>
      </c>
      <c r="U28" s="97">
        <f t="shared" si="60"/>
        <v>0</v>
      </c>
      <c r="V28" s="98" t="e">
        <f t="shared" ref="V28:W28" si="122">M28/I28</f>
        <v>#DIV/0!</v>
      </c>
      <c r="W28" s="98">
        <f t="shared" si="122"/>
        <v>0.31035608308605339</v>
      </c>
      <c r="X28" s="98" t="e">
        <f t="shared" si="23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6"/>
        <v>0</v>
      </c>
      <c r="H29" s="94">
        <f t="shared" si="106"/>
        <v>0</v>
      </c>
      <c r="I29" s="96"/>
      <c r="J29" s="117"/>
      <c r="K29" s="117"/>
      <c r="L29" s="118"/>
      <c r="M29" s="97">
        <f t="shared" si="82"/>
        <v>0</v>
      </c>
      <c r="N29" s="97">
        <f t="shared" ref="N29:O29" si="123">Z29+AC29+AF29+AI29+AL29+AO29+AR29+AU29+AX29+BA29+BD29+BG29</f>
        <v>0</v>
      </c>
      <c r="O29" s="97">
        <f t="shared" si="123"/>
        <v>0</v>
      </c>
      <c r="P29" s="82">
        <f t="shared" ref="P29:R29" si="124">IF(BI29=0,SUM(Y29+AB29+AE29+AH29+AK29+AN29+AQ29+AT29+AW29+AZ29+BC29+BF29),BI29)</f>
        <v>0</v>
      </c>
      <c r="Q29" s="82">
        <f t="shared" si="124"/>
        <v>0</v>
      </c>
      <c r="R29" s="82">
        <f t="shared" si="124"/>
        <v>0</v>
      </c>
      <c r="S29" s="97">
        <f t="shared" ref="S29:T29" si="125">I29-M29</f>
        <v>0</v>
      </c>
      <c r="T29" s="97">
        <f t="shared" si="125"/>
        <v>0</v>
      </c>
      <c r="U29" s="97">
        <f t="shared" si="60"/>
        <v>0</v>
      </c>
      <c r="V29" s="98" t="e">
        <f t="shared" ref="V29:W29" si="126">M29/I29</f>
        <v>#DIV/0!</v>
      </c>
      <c r="W29" s="98" t="e">
        <f t="shared" si="126"/>
        <v>#DIV/0!</v>
      </c>
      <c r="X29" s="98" t="e">
        <f t="shared" si="23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489</v>
      </c>
      <c r="E30" s="92">
        <v>18404</v>
      </c>
      <c r="F30" s="92"/>
      <c r="G30" s="94">
        <f t="shared" si="16"/>
        <v>0</v>
      </c>
      <c r="H30" s="94">
        <f t="shared" si="106"/>
        <v>0</v>
      </c>
      <c r="I30" s="96"/>
      <c r="J30" s="117">
        <f>2515+5718.85</f>
        <v>8233.85</v>
      </c>
      <c r="K30" s="117"/>
      <c r="L30" s="118"/>
      <c r="M30" s="97">
        <f t="shared" si="82"/>
        <v>0</v>
      </c>
      <c r="N30" s="97">
        <f t="shared" ref="N30:O30" si="127">Z30+AC30+AF30+AI30+AL30+AO30+AR30+AU30+AX30+BA30+BD30+BG30</f>
        <v>0</v>
      </c>
      <c r="O30" s="97">
        <f t="shared" si="127"/>
        <v>0</v>
      </c>
      <c r="P30" s="82">
        <f t="shared" ref="P30:R30" si="128">IF(BI30=0,SUM(Y30+AB30+AE30+AH30+AK30+AN30+AQ30+AT30+AW30+AZ30+BC30+BF30),BI30)</f>
        <v>0</v>
      </c>
      <c r="Q30" s="82">
        <f t="shared" si="128"/>
        <v>0</v>
      </c>
      <c r="R30" s="82">
        <f t="shared" si="128"/>
        <v>0</v>
      </c>
      <c r="S30" s="97">
        <f t="shared" ref="S30:T30" si="129">I30-M30</f>
        <v>0</v>
      </c>
      <c r="T30" s="97">
        <f t="shared" si="129"/>
        <v>8233.85</v>
      </c>
      <c r="U30" s="97">
        <f t="shared" si="60"/>
        <v>0</v>
      </c>
      <c r="V30" s="98" t="e">
        <f t="shared" ref="V30:W30" si="130">M30/I30</f>
        <v>#DIV/0!</v>
      </c>
      <c r="W30" s="98">
        <f t="shared" si="130"/>
        <v>0</v>
      </c>
      <c r="X30" s="98" t="e">
        <f t="shared" si="23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490</v>
      </c>
      <c r="C31" s="101" t="s">
        <v>240</v>
      </c>
      <c r="D31" s="130" t="s">
        <v>491</v>
      </c>
      <c r="E31" s="92"/>
      <c r="F31" s="92"/>
      <c r="G31" s="94" t="e">
        <f t="shared" si="16"/>
        <v>#DIV/0!</v>
      </c>
      <c r="H31" s="94" t="e">
        <f t="shared" si="106"/>
        <v>#DIV/0!</v>
      </c>
      <c r="I31" s="96"/>
      <c r="J31" s="117">
        <f>977.38+2861.28</f>
        <v>3838.6600000000003</v>
      </c>
      <c r="K31" s="117"/>
      <c r="L31" s="118"/>
      <c r="M31" s="97">
        <f t="shared" si="82"/>
        <v>0</v>
      </c>
      <c r="N31" s="97">
        <f t="shared" ref="N31:O31" si="131">Z31+AC31+AF31+AI31+AL31+AO31+AR31+AU31+AX31+BA31+BD31+BG31</f>
        <v>0</v>
      </c>
      <c r="O31" s="97">
        <f t="shared" si="131"/>
        <v>0</v>
      </c>
      <c r="P31" s="82">
        <f t="shared" ref="P31:R31" si="132">IF(BI31=0,SUM(Y31+AB31+AE31+AH31+AK31+AN31+AQ31+AT31+AW31+AZ31+BC31+BF31),BI31)</f>
        <v>0</v>
      </c>
      <c r="Q31" s="82">
        <f t="shared" si="132"/>
        <v>0</v>
      </c>
      <c r="R31" s="82">
        <f t="shared" si="132"/>
        <v>0</v>
      </c>
      <c r="S31" s="97">
        <f t="shared" ref="S31:T31" si="133">I31-M31</f>
        <v>0</v>
      </c>
      <c r="T31" s="97">
        <f t="shared" si="133"/>
        <v>3838.6600000000003</v>
      </c>
      <c r="U31" s="97">
        <f t="shared" si="60"/>
        <v>0</v>
      </c>
      <c r="V31" s="98" t="e">
        <f t="shared" ref="V31:W31" si="134">M31/I31</f>
        <v>#DIV/0!</v>
      </c>
      <c r="W31" s="98">
        <f t="shared" si="134"/>
        <v>0</v>
      </c>
      <c r="X31" s="98" t="e">
        <f t="shared" si="23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492</v>
      </c>
      <c r="E32" s="92">
        <v>20000</v>
      </c>
      <c r="F32" s="92"/>
      <c r="G32" s="94">
        <f t="shared" si="16"/>
        <v>0</v>
      </c>
      <c r="H32" s="94">
        <f t="shared" si="106"/>
        <v>0</v>
      </c>
      <c r="I32" s="96"/>
      <c r="J32" s="117"/>
      <c r="K32" s="117"/>
      <c r="L32" s="118"/>
      <c r="M32" s="97">
        <f t="shared" si="82"/>
        <v>0</v>
      </c>
      <c r="N32" s="97">
        <f t="shared" ref="N32:O32" si="135">Z32+AC32+AF32+AI32+AL32+AO32+AR32+AU32+AX32+BA32+BD32+BG32</f>
        <v>0</v>
      </c>
      <c r="O32" s="97">
        <f t="shared" si="135"/>
        <v>0</v>
      </c>
      <c r="P32" s="82">
        <f t="shared" ref="P32:R32" si="136">IF(BI32=0,SUM(Y32+AB32+AE32+AH32+AK32+AN32+AQ32+AT32+AW32+AZ32+BC32+BF32),BI32)</f>
        <v>0</v>
      </c>
      <c r="Q32" s="82">
        <f t="shared" si="136"/>
        <v>0</v>
      </c>
      <c r="R32" s="82">
        <f t="shared" si="136"/>
        <v>0</v>
      </c>
      <c r="S32" s="97">
        <f t="shared" ref="S32:T32" si="137">I32-M32</f>
        <v>0</v>
      </c>
      <c r="T32" s="97">
        <f t="shared" si="137"/>
        <v>0</v>
      </c>
      <c r="U32" s="97">
        <f t="shared" si="60"/>
        <v>0</v>
      </c>
      <c r="V32" s="98" t="e">
        <f t="shared" ref="V32:W32" si="138">M32/I32</f>
        <v>#DIV/0!</v>
      </c>
      <c r="W32" s="98" t="e">
        <f t="shared" si="138"/>
        <v>#DIV/0!</v>
      </c>
      <c r="X32" s="98" t="e">
        <f t="shared" si="23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6"/>
        <v>0</v>
      </c>
      <c r="H33" s="94">
        <f t="shared" si="106"/>
        <v>0</v>
      </c>
      <c r="I33" s="96"/>
      <c r="J33" s="117">
        <v>3374.7</v>
      </c>
      <c r="K33" s="117"/>
      <c r="L33" s="118"/>
      <c r="M33" s="97">
        <f t="shared" si="82"/>
        <v>0</v>
      </c>
      <c r="N33" s="97">
        <f t="shared" ref="N33:O33" si="139">Z33+AC33+AF33+AI33+AL33+AO33+AR33+AU33+AX33+BA33+BD33+BG33</f>
        <v>3374.7</v>
      </c>
      <c r="O33" s="97">
        <f t="shared" si="139"/>
        <v>0</v>
      </c>
      <c r="P33" s="82">
        <f t="shared" ref="P33:R33" si="140">IF(BI33=0,SUM(Y33+AB33+AE33+AH33+AK33+AN33+AQ33+AT33+AW33+AZ33+BC33+BF33),BI33)</f>
        <v>0</v>
      </c>
      <c r="Q33" s="82">
        <f t="shared" si="140"/>
        <v>3374.7</v>
      </c>
      <c r="R33" s="82">
        <f t="shared" si="140"/>
        <v>0</v>
      </c>
      <c r="S33" s="97">
        <f t="shared" ref="S33:T33" si="141">I33-M33</f>
        <v>0</v>
      </c>
      <c r="T33" s="97">
        <f t="shared" si="141"/>
        <v>0</v>
      </c>
      <c r="U33" s="97">
        <f t="shared" si="60"/>
        <v>0</v>
      </c>
      <c r="V33" s="98" t="e">
        <f t="shared" ref="V33:W33" si="142">M33/I33</f>
        <v>#DIV/0!</v>
      </c>
      <c r="W33" s="98">
        <f t="shared" si="142"/>
        <v>1</v>
      </c>
      <c r="X33" s="98" t="e">
        <f t="shared" si="23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6"/>
        <v>0</v>
      </c>
      <c r="H34" s="94">
        <f t="shared" si="106"/>
        <v>0</v>
      </c>
      <c r="I34" s="133"/>
      <c r="J34" s="117">
        <v>4100</v>
      </c>
      <c r="K34" s="117"/>
      <c r="L34" s="118"/>
      <c r="M34" s="97">
        <f t="shared" si="82"/>
        <v>0</v>
      </c>
      <c r="N34" s="97">
        <f t="shared" ref="N34:O34" si="143">Z34+AC34+AF34+AI34+AL34+AO34+AR34+AU34+AX34+BA34+BD34+BG34</f>
        <v>0</v>
      </c>
      <c r="O34" s="97">
        <f t="shared" si="143"/>
        <v>0</v>
      </c>
      <c r="P34" s="82">
        <f t="shared" ref="P34:R34" si="144">IF(BI34=0,SUM(Y34+AB34+AE34+AH34+AK34+AN34+AQ34+AT34+AW34+AZ34+BC34+BF34),BI34)</f>
        <v>0</v>
      </c>
      <c r="Q34" s="82">
        <f t="shared" si="144"/>
        <v>0</v>
      </c>
      <c r="R34" s="82">
        <f t="shared" si="144"/>
        <v>0</v>
      </c>
      <c r="S34" s="134">
        <f t="shared" ref="S34:T34" si="145">I34-M34</f>
        <v>0</v>
      </c>
      <c r="T34" s="97">
        <f t="shared" si="145"/>
        <v>4100</v>
      </c>
      <c r="U34" s="97">
        <f t="shared" si="60"/>
        <v>0</v>
      </c>
      <c r="V34" s="98" t="e">
        <f t="shared" ref="V34:W34" si="146">M34/I34</f>
        <v>#DIV/0!</v>
      </c>
      <c r="W34" s="98">
        <f t="shared" si="146"/>
        <v>0</v>
      </c>
      <c r="X34" s="98" t="e">
        <f t="shared" si="23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120"/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6"/>
        <v>0</v>
      </c>
      <c r="H35" s="94">
        <f t="shared" si="106"/>
        <v>0</v>
      </c>
      <c r="I35" s="96"/>
      <c r="J35" s="117">
        <f>19903.04+4541.3+16240</f>
        <v>40684.339999999997</v>
      </c>
      <c r="K35" s="135">
        <v>16240</v>
      </c>
      <c r="L35" s="118"/>
      <c r="M35" s="97">
        <f t="shared" si="82"/>
        <v>0</v>
      </c>
      <c r="N35" s="97">
        <f t="shared" ref="N35:O35" si="147">Z35+AC35+AF35+AI35+AL35+AO35+AR35+AU35+AX35+BA35+BD35+BG35</f>
        <v>19903.04</v>
      </c>
      <c r="O35" s="97">
        <f t="shared" si="147"/>
        <v>0</v>
      </c>
      <c r="P35" s="82">
        <f t="shared" ref="P35:R35" si="148">IF(BI35=0,SUM(Y35+AB35+AE35+AH35+AK35+AN35+AQ35+AT35+AW35+AZ35+BC35+BF35),BI35)</f>
        <v>0</v>
      </c>
      <c r="Q35" s="82">
        <f t="shared" si="148"/>
        <v>19903.04</v>
      </c>
      <c r="R35" s="82">
        <f t="shared" si="148"/>
        <v>0</v>
      </c>
      <c r="S35" s="97">
        <f t="shared" ref="S35:T35" si="149">I35-M35</f>
        <v>0</v>
      </c>
      <c r="T35" s="97">
        <f t="shared" si="149"/>
        <v>20781.299999999996</v>
      </c>
      <c r="U35" s="97">
        <f t="shared" si="60"/>
        <v>0</v>
      </c>
      <c r="V35" s="98" t="e">
        <f t="shared" ref="V35:W35" si="150">M35/I35</f>
        <v>#DIV/0!</v>
      </c>
      <c r="W35" s="98">
        <f t="shared" si="150"/>
        <v>0.48920641209861099</v>
      </c>
      <c r="X35" s="98" t="e">
        <f t="shared" si="23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6"/>
        <v>#DIV/0!</v>
      </c>
      <c r="H36" s="94" t="e">
        <f t="shared" si="106"/>
        <v>#DIV/0!</v>
      </c>
      <c r="I36" s="96"/>
      <c r="J36" s="117">
        <v>949.5</v>
      </c>
      <c r="K36" s="117"/>
      <c r="L36" s="118"/>
      <c r="M36" s="97">
        <f t="shared" si="82"/>
        <v>0</v>
      </c>
      <c r="N36" s="97">
        <f t="shared" ref="N36:O36" si="151">Z36+AC36+AF36+AI36+AL36+AO36+AR36+AU36+AX36+BA36+BD36+BG36</f>
        <v>949.5</v>
      </c>
      <c r="O36" s="97">
        <f t="shared" si="151"/>
        <v>0</v>
      </c>
      <c r="P36" s="82">
        <f t="shared" ref="P36:R36" si="152">IF(BI36=0,SUM(Y36+AB36+AE36+AH36+AK36+AN36+AQ36+AT36+AW36+AZ36+BC36+BF36),BI36)</f>
        <v>0</v>
      </c>
      <c r="Q36" s="82">
        <f t="shared" si="152"/>
        <v>949.5</v>
      </c>
      <c r="R36" s="82">
        <f t="shared" si="152"/>
        <v>0</v>
      </c>
      <c r="S36" s="97">
        <f t="shared" ref="S36:T36" si="153">I36-M36</f>
        <v>0</v>
      </c>
      <c r="T36" s="97">
        <f t="shared" si="153"/>
        <v>0</v>
      </c>
      <c r="U36" s="97">
        <f t="shared" si="60"/>
        <v>0</v>
      </c>
      <c r="V36" s="98" t="e">
        <f t="shared" ref="V36:W36" si="154">M36/I36</f>
        <v>#DIV/0!</v>
      </c>
      <c r="W36" s="98">
        <f t="shared" si="154"/>
        <v>1</v>
      </c>
      <c r="X36" s="98" t="e">
        <f t="shared" si="23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6"/>
        <v>0</v>
      </c>
      <c r="H37" s="94">
        <f t="shared" si="106"/>
        <v>0</v>
      </c>
      <c r="I37" s="96"/>
      <c r="J37" s="135"/>
      <c r="K37" s="117"/>
      <c r="L37" s="118"/>
      <c r="M37" s="97">
        <f t="shared" si="82"/>
        <v>0</v>
      </c>
      <c r="N37" s="97">
        <f t="shared" ref="N37:O37" si="155">Z37+AC37+AF37+AI37+AL37+AO37+AR37+AU37+AX37+BA37+BD37+BG37</f>
        <v>0</v>
      </c>
      <c r="O37" s="97">
        <f t="shared" si="155"/>
        <v>0</v>
      </c>
      <c r="P37" s="82">
        <f t="shared" ref="P37:R37" si="156">IF(BI37=0,SUM(Y37+AB37+AE37+AH37+AK37+AN37+AQ37+AT37+AW37+AZ37+BC37+BF37),BI37)</f>
        <v>0</v>
      </c>
      <c r="Q37" s="82">
        <f t="shared" si="156"/>
        <v>0</v>
      </c>
      <c r="R37" s="82">
        <f t="shared" si="156"/>
        <v>0</v>
      </c>
      <c r="S37" s="97">
        <f t="shared" ref="S37:T37" si="157">I37-M37</f>
        <v>0</v>
      </c>
      <c r="T37" s="97">
        <f t="shared" si="157"/>
        <v>0</v>
      </c>
      <c r="U37" s="97">
        <f t="shared" si="60"/>
        <v>0</v>
      </c>
      <c r="V37" s="98" t="e">
        <f t="shared" ref="V37:W37" si="158">M37/I37</f>
        <v>#DIV/0!</v>
      </c>
      <c r="W37" s="98" t="e">
        <f t="shared" si="158"/>
        <v>#DIV/0!</v>
      </c>
      <c r="X37" s="98" t="e">
        <f t="shared" si="23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6"/>
        <v>0</v>
      </c>
      <c r="H38" s="94">
        <f t="shared" si="106"/>
        <v>0</v>
      </c>
      <c r="I38" s="96"/>
      <c r="J38" s="117"/>
      <c r="K38" s="117"/>
      <c r="L38" s="118"/>
      <c r="M38" s="97">
        <f t="shared" si="82"/>
        <v>0</v>
      </c>
      <c r="N38" s="97">
        <f t="shared" ref="N38:O38" si="159">Z38+AC38+AF38+AI38+AL38+AO38+AR38+AU38+AX38+BA38+BD38+BG38</f>
        <v>0</v>
      </c>
      <c r="O38" s="97">
        <f t="shared" si="159"/>
        <v>0</v>
      </c>
      <c r="P38" s="82">
        <f t="shared" ref="P38:R38" si="160">IF(BI38=0,SUM(Y38+AB38+AE38+AH38+AK38+AN38+AQ38+AT38+AW38+AZ38+BC38+BF38),BI38)</f>
        <v>0</v>
      </c>
      <c r="Q38" s="82">
        <f t="shared" si="160"/>
        <v>0</v>
      </c>
      <c r="R38" s="82">
        <f t="shared" si="160"/>
        <v>0</v>
      </c>
      <c r="S38" s="97">
        <f t="shared" ref="S38:T38" si="161">I38-M38</f>
        <v>0</v>
      </c>
      <c r="T38" s="97">
        <f t="shared" si="161"/>
        <v>0</v>
      </c>
      <c r="U38" s="97">
        <f t="shared" si="60"/>
        <v>0</v>
      </c>
      <c r="V38" s="98" t="e">
        <f t="shared" ref="V38:W38" si="162">M38/I38</f>
        <v>#DIV/0!</v>
      </c>
      <c r="W38" s="98" t="e">
        <f t="shared" si="162"/>
        <v>#DIV/0!</v>
      </c>
      <c r="X38" s="98" t="e">
        <f t="shared" si="23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493</v>
      </c>
      <c r="E39" s="116">
        <v>2344.5</v>
      </c>
      <c r="F39" s="92"/>
      <c r="G39" s="94">
        <f t="shared" si="16"/>
        <v>0</v>
      </c>
      <c r="H39" s="94">
        <f t="shared" si="106"/>
        <v>0</v>
      </c>
      <c r="I39" s="96"/>
      <c r="J39" s="117">
        <v>1424.02</v>
      </c>
      <c r="K39" s="117"/>
      <c r="L39" s="118"/>
      <c r="M39" s="97">
        <f t="shared" si="82"/>
        <v>0</v>
      </c>
      <c r="N39" s="97">
        <f t="shared" ref="N39:O39" si="163">Z39+AC39+AF39+AI39+AL39+AO39+AR39+AU39+AX39+BA39+BD39+BG39</f>
        <v>0</v>
      </c>
      <c r="O39" s="97">
        <f t="shared" si="163"/>
        <v>0</v>
      </c>
      <c r="P39" s="82">
        <f t="shared" ref="P39:R39" si="164">IF(BI39=0,SUM(Y39+AB39+AE39+AH39+AK39+AN39+AQ39+AT39+AW39+AZ39+BC39+BF39),BI39)</f>
        <v>0</v>
      </c>
      <c r="Q39" s="82">
        <f t="shared" si="164"/>
        <v>0</v>
      </c>
      <c r="R39" s="82">
        <f t="shared" si="164"/>
        <v>0</v>
      </c>
      <c r="S39" s="97">
        <f t="shared" ref="S39:T39" si="165">I39-M39</f>
        <v>0</v>
      </c>
      <c r="T39" s="97">
        <f t="shared" si="165"/>
        <v>1424.02</v>
      </c>
      <c r="U39" s="97">
        <f t="shared" si="60"/>
        <v>0</v>
      </c>
      <c r="V39" s="98" t="e">
        <f t="shared" ref="V39:W39" si="166">M39/I39</f>
        <v>#DIV/0!</v>
      </c>
      <c r="W39" s="98">
        <f t="shared" si="166"/>
        <v>0</v>
      </c>
      <c r="X39" s="98" t="e">
        <f t="shared" si="23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6"/>
        <v>1.7454999999999998E-2</v>
      </c>
      <c r="H40" s="94">
        <f t="shared" si="106"/>
        <v>0</v>
      </c>
      <c r="I40" s="96">
        <v>34.909999999999997</v>
      </c>
      <c r="J40" s="117">
        <v>576.45000000000005</v>
      </c>
      <c r="K40" s="117"/>
      <c r="L40" s="118"/>
      <c r="M40" s="97">
        <f t="shared" si="82"/>
        <v>0</v>
      </c>
      <c r="N40" s="97">
        <f t="shared" ref="N40:O40" si="167">Z40+AC40+AF40+AI40+AL40+AO40+AR40+AU40+AX40+BA40+BD40+BG40</f>
        <v>0</v>
      </c>
      <c r="O40" s="97">
        <f t="shared" si="167"/>
        <v>0</v>
      </c>
      <c r="P40" s="82">
        <f t="shared" ref="P40:R40" si="168">IF(BI40=0,SUM(Y40+AB40+AE40+AH40+AK40+AN40+AQ40+AT40+AW40+AZ40+BC40+BF40),BI40)</f>
        <v>0</v>
      </c>
      <c r="Q40" s="82">
        <f t="shared" si="168"/>
        <v>0</v>
      </c>
      <c r="R40" s="82">
        <f t="shared" si="168"/>
        <v>0</v>
      </c>
      <c r="S40" s="97">
        <f t="shared" ref="S40:T40" si="169">I40-M40</f>
        <v>34.909999999999997</v>
      </c>
      <c r="T40" s="97">
        <f t="shared" si="169"/>
        <v>576.45000000000005</v>
      </c>
      <c r="U40" s="97">
        <f t="shared" si="60"/>
        <v>0</v>
      </c>
      <c r="V40" s="98">
        <f t="shared" ref="V40:W40" si="170">M40/I40</f>
        <v>0</v>
      </c>
      <c r="W40" s="98">
        <f t="shared" si="170"/>
        <v>0</v>
      </c>
      <c r="X40" s="98" t="e">
        <f t="shared" si="23"/>
        <v>#DIV/0!</v>
      </c>
      <c r="Y40" s="96"/>
      <c r="Z40" s="96"/>
      <c r="AA40" s="96"/>
      <c r="AB40" s="119"/>
      <c r="AC40" s="119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113"/>
      <c r="B41" s="114"/>
      <c r="C41" s="101" t="s">
        <v>268</v>
      </c>
      <c r="D41" s="91" t="s">
        <v>495</v>
      </c>
      <c r="E41" s="116">
        <f>5000+1000</f>
        <v>6000</v>
      </c>
      <c r="F41" s="92"/>
      <c r="G41" s="94">
        <f t="shared" si="16"/>
        <v>0</v>
      </c>
      <c r="H41" s="94">
        <f t="shared" si="106"/>
        <v>0</v>
      </c>
      <c r="I41" s="96"/>
      <c r="J41" s="117"/>
      <c r="K41" s="117"/>
      <c r="L41" s="118"/>
      <c r="M41" s="97">
        <f t="shared" si="82"/>
        <v>0</v>
      </c>
      <c r="N41" s="97">
        <f t="shared" ref="N41:O41" si="171">Z41+AC41+AF41+AI41+AL41+AO41+AR41+AU41+AX41+BA41+BD41+BG41</f>
        <v>0</v>
      </c>
      <c r="O41" s="97">
        <f t="shared" si="171"/>
        <v>0</v>
      </c>
      <c r="P41" s="82">
        <f t="shared" ref="P41:R41" si="172">IF(BI41=0,SUM(Y41+AB41+AE41+AH41+AK41+AN41+AQ41+AT41+AW41+AZ41+BC41+BF41),BI41)</f>
        <v>0</v>
      </c>
      <c r="Q41" s="82">
        <f t="shared" si="172"/>
        <v>0</v>
      </c>
      <c r="R41" s="82">
        <f t="shared" si="172"/>
        <v>0</v>
      </c>
      <c r="S41" s="97">
        <f t="shared" ref="S41:T41" si="173">I41-M41</f>
        <v>0</v>
      </c>
      <c r="T41" s="97">
        <f t="shared" si="173"/>
        <v>0</v>
      </c>
      <c r="U41" s="97">
        <f t="shared" si="60"/>
        <v>0</v>
      </c>
      <c r="V41" s="98" t="e">
        <f t="shared" ref="V41:W41" si="174">M41/I41</f>
        <v>#DIV/0!</v>
      </c>
      <c r="W41" s="98" t="e">
        <f t="shared" si="174"/>
        <v>#DIV/0!</v>
      </c>
      <c r="X41" s="98" t="e">
        <f t="shared" si="23"/>
        <v>#DIV/0!</v>
      </c>
      <c r="Y41" s="96"/>
      <c r="Z41" s="96"/>
      <c r="AA41" s="96"/>
      <c r="AB41" s="119"/>
      <c r="AC41" s="119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497</v>
      </c>
      <c r="E42" s="116">
        <v>30000</v>
      </c>
      <c r="F42" s="92"/>
      <c r="G42" s="94">
        <f t="shared" si="16"/>
        <v>0.58333333333333337</v>
      </c>
      <c r="H42" s="94">
        <f t="shared" si="106"/>
        <v>0</v>
      </c>
      <c r="I42" s="96">
        <f>17500</f>
        <v>17500</v>
      </c>
      <c r="J42" s="135">
        <v>362.4</v>
      </c>
      <c r="K42" s="117"/>
      <c r="L42" s="118"/>
      <c r="M42" s="97">
        <f t="shared" si="82"/>
        <v>0</v>
      </c>
      <c r="N42" s="97">
        <f t="shared" ref="N42:O42" si="175">Z42+AC42+AF42+AI42+AL42+AO42+AR42+AU42+AX42+BA42+BD42+BG42</f>
        <v>0</v>
      </c>
      <c r="O42" s="97">
        <f t="shared" si="175"/>
        <v>0</v>
      </c>
      <c r="P42" s="82">
        <f t="shared" ref="P42:R42" si="176">IF(BI42=0,SUM(Y42+AB42+AE42+AH42+AK42+AN42+AQ42+AT42+AW42+AZ42+BC42+BF42),BI42)</f>
        <v>0</v>
      </c>
      <c r="Q42" s="82">
        <f t="shared" si="176"/>
        <v>0</v>
      </c>
      <c r="R42" s="82">
        <f t="shared" si="176"/>
        <v>0</v>
      </c>
      <c r="S42" s="97">
        <f t="shared" ref="S42:T42" si="177">I42-M42</f>
        <v>17500</v>
      </c>
      <c r="T42" s="97">
        <f t="shared" si="177"/>
        <v>362.4</v>
      </c>
      <c r="U42" s="97">
        <f t="shared" si="60"/>
        <v>0</v>
      </c>
      <c r="V42" s="98">
        <f t="shared" ref="V42:W42" si="178">M42/I42</f>
        <v>0</v>
      </c>
      <c r="W42" s="98">
        <f t="shared" si="178"/>
        <v>0</v>
      </c>
      <c r="X42" s="98" t="e">
        <f t="shared" si="23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6"/>
        <v>0</v>
      </c>
      <c r="H43" s="94">
        <f t="shared" si="106"/>
        <v>0</v>
      </c>
      <c r="I43" s="96"/>
      <c r="J43" s="117">
        <f>1256.9+740+1407.15+678.68+610.54+4654.38+742.72+1006.2+186.96</f>
        <v>11283.53</v>
      </c>
      <c r="K43" s="117"/>
      <c r="L43" s="118"/>
      <c r="M43" s="97">
        <f t="shared" si="82"/>
        <v>0</v>
      </c>
      <c r="N43" s="97">
        <f t="shared" ref="N43:O43" si="179">Z43+AC43+AF43+AI43+AL43+AO43+AR43+AU43+AX43+BA43+BD43+BG43</f>
        <v>427.8</v>
      </c>
      <c r="O43" s="97">
        <f t="shared" si="179"/>
        <v>0</v>
      </c>
      <c r="P43" s="82">
        <f t="shared" ref="P43:R43" si="180">IF(BI43=0,SUM(Y43+AB43+AE43+AH43+AK43+AN43+AQ43+AT43+AW43+AZ43+BC43+BF43),BI43)</f>
        <v>0</v>
      </c>
      <c r="Q43" s="82">
        <f t="shared" si="180"/>
        <v>427.8</v>
      </c>
      <c r="R43" s="82">
        <f t="shared" si="180"/>
        <v>0</v>
      </c>
      <c r="S43" s="97">
        <f t="shared" ref="S43:T43" si="181">I43-M43</f>
        <v>0</v>
      </c>
      <c r="T43" s="97">
        <f t="shared" si="181"/>
        <v>10855.730000000001</v>
      </c>
      <c r="U43" s="97">
        <f t="shared" si="60"/>
        <v>0</v>
      </c>
      <c r="V43" s="98" t="e">
        <f t="shared" ref="V43:W43" si="182">M43/I43</f>
        <v>#DIV/0!</v>
      </c>
      <c r="W43" s="98">
        <f t="shared" si="182"/>
        <v>3.791366708822505E-2</v>
      </c>
      <c r="X43" s="98" t="e">
        <f t="shared" si="23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120" t="s">
        <v>498</v>
      </c>
      <c r="B44" s="141" t="s">
        <v>499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6"/>
        <v>8.4346666666666667E-2</v>
      </c>
      <c r="H44" s="94">
        <f t="shared" si="106"/>
        <v>0</v>
      </c>
      <c r="I44" s="142">
        <f>1890+2443+727.8</f>
        <v>5060.8</v>
      </c>
      <c r="J44" s="117">
        <f>4740+413+1266+3806.39</f>
        <v>10225.39</v>
      </c>
      <c r="K44" s="117"/>
      <c r="L44" s="118"/>
      <c r="M44" s="97">
        <f t="shared" si="82"/>
        <v>0</v>
      </c>
      <c r="N44" s="97">
        <f t="shared" ref="N44:O44" si="183">Z44+AC44+AF44+AI44+AL44+AO44+AR44+AU44+AX44+BA44+BD44+BG44</f>
        <v>4740</v>
      </c>
      <c r="O44" s="97">
        <f t="shared" si="183"/>
        <v>0</v>
      </c>
      <c r="P44" s="82">
        <f t="shared" ref="P44:R44" si="184">IF(BI44=0,SUM(Y44+AB44+AE44+AH44+AK44+AN44+AQ44+AT44+AW44+AZ44+BC44+BF44),BI44)</f>
        <v>0</v>
      </c>
      <c r="Q44" s="82">
        <f t="shared" si="184"/>
        <v>4740</v>
      </c>
      <c r="R44" s="82">
        <f t="shared" si="184"/>
        <v>0</v>
      </c>
      <c r="S44" s="97">
        <f t="shared" ref="S44:T44" si="185">I44-M44</f>
        <v>5060.8</v>
      </c>
      <c r="T44" s="97">
        <f t="shared" si="185"/>
        <v>5485.3899999999994</v>
      </c>
      <c r="U44" s="97">
        <f t="shared" si="60"/>
        <v>0</v>
      </c>
      <c r="V44" s="98">
        <f t="shared" ref="V44:W44" si="186">M44/I44</f>
        <v>0</v>
      </c>
      <c r="W44" s="98">
        <f t="shared" si="186"/>
        <v>0.46355200143955394</v>
      </c>
      <c r="X44" s="98" t="e">
        <f t="shared" si="23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111"/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6"/>
        <v>0</v>
      </c>
      <c r="H45" s="94">
        <f t="shared" si="106"/>
        <v>0</v>
      </c>
      <c r="I45" s="96"/>
      <c r="J45" s="117"/>
      <c r="K45" s="117"/>
      <c r="L45" s="118"/>
      <c r="M45" s="97">
        <f t="shared" si="82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87">IF(BI45=0,SUM(Y45+AB45+AE45+AH45+AK45+AN45+AQ45+AT45+AW45+AZ45+BC45+BF45),BI45)</f>
        <v>0</v>
      </c>
      <c r="Q45" s="82">
        <f t="shared" si="187"/>
        <v>0</v>
      </c>
      <c r="R45" s="82">
        <f t="shared" si="187"/>
        <v>0</v>
      </c>
      <c r="S45" s="97">
        <f t="shared" ref="S45:T45" si="188">I45-M45</f>
        <v>0</v>
      </c>
      <c r="T45" s="97">
        <f t="shared" si="188"/>
        <v>0</v>
      </c>
      <c r="U45" s="97">
        <f t="shared" si="60"/>
        <v>0</v>
      </c>
      <c r="V45" s="98" t="e">
        <f t="shared" ref="V45:W45" si="189">M45/I45</f>
        <v>#DIV/0!</v>
      </c>
      <c r="W45" s="98" t="e">
        <f t="shared" si="189"/>
        <v>#DIV/0!</v>
      </c>
      <c r="X45" s="98" t="e">
        <f t="shared" si="23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500</v>
      </c>
      <c r="E46" s="116"/>
      <c r="F46" s="93"/>
      <c r="G46" s="94" t="e">
        <f t="shared" si="16"/>
        <v>#DIV/0!</v>
      </c>
      <c r="H46" s="94" t="e">
        <f t="shared" si="106"/>
        <v>#DIV/0!</v>
      </c>
      <c r="I46" s="96"/>
      <c r="J46" s="117">
        <v>22098.39</v>
      </c>
      <c r="K46" s="117"/>
      <c r="L46" s="118"/>
      <c r="M46" s="97">
        <f t="shared" si="82"/>
        <v>0</v>
      </c>
      <c r="N46" s="97">
        <f t="shared" ref="N46:O46" si="190">Z46+AC46+AF46+AI46+AL46+AO46+AR46+AU46+AX46+BA46+BD46+BG46</f>
        <v>0</v>
      </c>
      <c r="O46" s="97">
        <f t="shared" si="190"/>
        <v>0</v>
      </c>
      <c r="P46" s="82">
        <f t="shared" ref="P46:R46" si="191">IF(BI46=0,SUM(Y46+AB46+AE46+AH46+AK46+AN46+AQ46+AT46+AW46+AZ46+BC46+BF46),BI46)</f>
        <v>0</v>
      </c>
      <c r="Q46" s="82">
        <f t="shared" si="191"/>
        <v>0</v>
      </c>
      <c r="R46" s="82">
        <f t="shared" si="191"/>
        <v>0</v>
      </c>
      <c r="S46" s="97">
        <f t="shared" ref="S46:T46" si="192">I46-M46</f>
        <v>0</v>
      </c>
      <c r="T46" s="97">
        <f t="shared" si="192"/>
        <v>22098.39</v>
      </c>
      <c r="U46" s="97">
        <f t="shared" si="60"/>
        <v>0</v>
      </c>
      <c r="V46" s="98" t="e">
        <f t="shared" ref="V46:W46" si="193">M46/I46</f>
        <v>#DIV/0!</v>
      </c>
      <c r="W46" s="98">
        <f t="shared" si="193"/>
        <v>0</v>
      </c>
      <c r="X46" s="98" t="e">
        <f t="shared" si="23"/>
        <v>#DIV/0!</v>
      </c>
      <c r="Y46" s="129"/>
      <c r="Z46" s="9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501</v>
      </c>
      <c r="C47" s="101" t="s">
        <v>278</v>
      </c>
      <c r="D47" s="91" t="s">
        <v>502</v>
      </c>
      <c r="E47" s="116"/>
      <c r="F47" s="92"/>
      <c r="G47" s="94" t="e">
        <f t="shared" si="16"/>
        <v>#DIV/0!</v>
      </c>
      <c r="H47" s="94" t="e">
        <f t="shared" si="106"/>
        <v>#DIV/0!</v>
      </c>
      <c r="I47" s="96"/>
      <c r="J47" s="117">
        <f>50068.66+42203.34</f>
        <v>92272</v>
      </c>
      <c r="K47" s="117"/>
      <c r="L47" s="96"/>
      <c r="M47" s="97">
        <f t="shared" si="82"/>
        <v>0</v>
      </c>
      <c r="N47" s="97">
        <f t="shared" ref="N47:O47" si="194">Z47+AC47+AF47+AI47+AL47+AO47+AR47+AU47+AX47+BA47+BD47+BG47</f>
        <v>49298.9</v>
      </c>
      <c r="O47" s="97">
        <f t="shared" si="194"/>
        <v>0</v>
      </c>
      <c r="P47" s="82">
        <f t="shared" ref="P47:R47" si="195">IF(BI47=0,SUM(Y47+AB47+AE47+AH47+AK47+AN47+AQ47+AT47+AW47+AZ47+BC47+BF47),BI47)</f>
        <v>0</v>
      </c>
      <c r="Q47" s="82">
        <f t="shared" si="195"/>
        <v>49298.9</v>
      </c>
      <c r="R47" s="82">
        <f t="shared" si="195"/>
        <v>0</v>
      </c>
      <c r="S47" s="97">
        <f t="shared" ref="S47:T47" si="196">I47-M47</f>
        <v>0</v>
      </c>
      <c r="T47" s="97">
        <f t="shared" si="196"/>
        <v>42973.1</v>
      </c>
      <c r="U47" s="97">
        <f t="shared" si="60"/>
        <v>0</v>
      </c>
      <c r="V47" s="98" t="e">
        <f t="shared" ref="V47:W47" si="197">M47/I47</f>
        <v>#DIV/0!</v>
      </c>
      <c r="W47" s="98">
        <f t="shared" si="197"/>
        <v>0.5342780041616092</v>
      </c>
      <c r="X47" s="98" t="e">
        <f t="shared" si="23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503</v>
      </c>
      <c r="E48" s="116"/>
      <c r="F48" s="92"/>
      <c r="G48" s="94" t="e">
        <f t="shared" si="16"/>
        <v>#DIV/0!</v>
      </c>
      <c r="H48" s="94" t="e">
        <f t="shared" si="106"/>
        <v>#DIV/0!</v>
      </c>
      <c r="I48" s="96"/>
      <c r="J48" s="117">
        <v>6782.31</v>
      </c>
      <c r="K48" s="117"/>
      <c r="L48" s="96"/>
      <c r="M48" s="97">
        <f t="shared" si="82"/>
        <v>0</v>
      </c>
      <c r="N48" s="97">
        <f t="shared" ref="N48:O48" si="198">Z48+AC48+AF48+AI48+AL48+AO48+AR48+AU48+AX48+BA48+BD48+BG48</f>
        <v>0</v>
      </c>
      <c r="O48" s="97">
        <f t="shared" si="198"/>
        <v>0</v>
      </c>
      <c r="P48" s="82">
        <f t="shared" ref="P48:R48" si="199">IF(BI48=0,SUM(Y48+AB48+AE48+AH48+AK48+AN48+AQ48+AT48+AW48+AZ48+BC48+BF48),BI48)</f>
        <v>0</v>
      </c>
      <c r="Q48" s="82">
        <f t="shared" si="199"/>
        <v>0</v>
      </c>
      <c r="R48" s="82">
        <f t="shared" si="199"/>
        <v>0</v>
      </c>
      <c r="S48" s="97">
        <f t="shared" ref="S48:T48" si="200">I48-M48</f>
        <v>0</v>
      </c>
      <c r="T48" s="97">
        <f t="shared" si="200"/>
        <v>6782.31</v>
      </c>
      <c r="U48" s="97">
        <f t="shared" si="60"/>
        <v>0</v>
      </c>
      <c r="V48" s="98" t="e">
        <f t="shared" ref="V48:W48" si="201">M48/I48</f>
        <v>#DIV/0!</v>
      </c>
      <c r="W48" s="98">
        <f t="shared" si="201"/>
        <v>0</v>
      </c>
      <c r="X48" s="98" t="e">
        <f t="shared" si="23"/>
        <v>#DIV/0!</v>
      </c>
      <c r="Y48" s="129"/>
      <c r="Z48" s="96"/>
      <c r="AA48" s="129"/>
      <c r="AB48" s="119"/>
      <c r="AC48" s="11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504</v>
      </c>
      <c r="E49" s="116"/>
      <c r="F49" s="92"/>
      <c r="G49" s="94" t="e">
        <f t="shared" si="16"/>
        <v>#DIV/0!</v>
      </c>
      <c r="H49" s="94" t="e">
        <f t="shared" si="106"/>
        <v>#DIV/0!</v>
      </c>
      <c r="I49" s="133"/>
      <c r="J49" s="117">
        <f>51880+30383</f>
        <v>82263</v>
      </c>
      <c r="K49" s="117"/>
      <c r="L49" s="96"/>
      <c r="M49" s="97">
        <f t="shared" si="82"/>
        <v>0</v>
      </c>
      <c r="N49" s="97">
        <f t="shared" ref="N49:O49" si="202">Z49+AC49+AF49+AI49+AL49+AO49+AR49+AU49+AX49+BA49+BD49+BG49</f>
        <v>43160</v>
      </c>
      <c r="O49" s="97">
        <f t="shared" si="202"/>
        <v>0</v>
      </c>
      <c r="P49" s="82">
        <f t="shared" ref="P49:R49" si="203">IF(BI49=0,SUM(Y49+AB49+AE49+AH49+AK49+AN49+AQ49+AT49+AW49+AZ49+BC49+BF49),BI49)</f>
        <v>0</v>
      </c>
      <c r="Q49" s="82">
        <f t="shared" si="203"/>
        <v>43160</v>
      </c>
      <c r="R49" s="82">
        <f t="shared" si="203"/>
        <v>0</v>
      </c>
      <c r="S49" s="97">
        <f t="shared" ref="S49:T49" si="204">I49-M49</f>
        <v>0</v>
      </c>
      <c r="T49" s="97">
        <f t="shared" si="204"/>
        <v>39103</v>
      </c>
      <c r="U49" s="97">
        <f t="shared" si="60"/>
        <v>0</v>
      </c>
      <c r="V49" s="98" t="e">
        <f t="shared" ref="V49:W49" si="205">M49/I49</f>
        <v>#DIV/0!</v>
      </c>
      <c r="W49" s="98">
        <f t="shared" si="205"/>
        <v>0.52465871655543805</v>
      </c>
      <c r="X49" s="98" t="e">
        <f t="shared" si="23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286</v>
      </c>
      <c r="C50" s="101" t="s">
        <v>278</v>
      </c>
      <c r="D50" s="144" t="s">
        <v>505</v>
      </c>
      <c r="E50" s="116"/>
      <c r="F50" s="92"/>
      <c r="G50" s="94" t="e">
        <f t="shared" si="16"/>
        <v>#DIV/0!</v>
      </c>
      <c r="H50" s="94" t="e">
        <f t="shared" si="106"/>
        <v>#DIV/0!</v>
      </c>
      <c r="I50" s="133"/>
      <c r="J50" s="117">
        <f>572638.78+46434.84</f>
        <v>619073.62</v>
      </c>
      <c r="K50" s="117"/>
      <c r="L50" s="118"/>
      <c r="M50" s="97">
        <f t="shared" si="82"/>
        <v>0</v>
      </c>
      <c r="N50" s="97">
        <f t="shared" ref="N50:O50" si="206">Z50+AC50+AF50+AI50+AL50+AO50+AR50+AU50+AX50+BA50+BD50+BG50</f>
        <v>0</v>
      </c>
      <c r="O50" s="97">
        <f t="shared" si="206"/>
        <v>0</v>
      </c>
      <c r="P50" s="82">
        <f t="shared" ref="P50:R50" si="207">IF(BI50=0,SUM(Y50+AB50+AE50+AH50+AK50+AN50+AQ50+AT50+AW50+AZ50+BC50+BF50),BI50)</f>
        <v>0</v>
      </c>
      <c r="Q50" s="82">
        <f t="shared" si="207"/>
        <v>0</v>
      </c>
      <c r="R50" s="82">
        <f t="shared" si="207"/>
        <v>0</v>
      </c>
      <c r="S50" s="97">
        <f t="shared" ref="S50:T50" si="208">I50-M50</f>
        <v>0</v>
      </c>
      <c r="T50" s="97">
        <f t="shared" si="208"/>
        <v>619073.62</v>
      </c>
      <c r="U50" s="97">
        <f t="shared" si="60"/>
        <v>0</v>
      </c>
      <c r="V50" s="98" t="e">
        <f t="shared" ref="V50:W50" si="209">M50/I50</f>
        <v>#DIV/0!</v>
      </c>
      <c r="W50" s="98">
        <f t="shared" si="209"/>
        <v>0</v>
      </c>
      <c r="X50" s="98" t="e">
        <f t="shared" si="23"/>
        <v>#DIV/0!</v>
      </c>
      <c r="Y50" s="129"/>
      <c r="Z50" s="96"/>
      <c r="AA50" s="129"/>
      <c r="AB50" s="119"/>
      <c r="AC50" s="11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6"/>
        <v>#DIV/0!</v>
      </c>
      <c r="H51" s="94" t="e">
        <f t="shared" si="106"/>
        <v>#DIV/0!</v>
      </c>
      <c r="I51" s="133"/>
      <c r="J51" s="117">
        <f>5855+6447</f>
        <v>12302</v>
      </c>
      <c r="K51" s="117"/>
      <c r="L51" s="96"/>
      <c r="M51" s="97">
        <f t="shared" si="82"/>
        <v>0</v>
      </c>
      <c r="N51" s="97">
        <f t="shared" ref="N51:O51" si="210">Z51+AC51+AF51+AI51+AL51+AO51+AR51+AU51+AX51+BA51+BD51+BG51</f>
        <v>12302</v>
      </c>
      <c r="O51" s="97">
        <f t="shared" si="210"/>
        <v>0</v>
      </c>
      <c r="P51" s="82">
        <f t="shared" ref="P51:R51" si="211">IF(BI51=0,SUM(Y51+AB51+AE51+AH51+AK51+AN51+AQ51+AT51+AW51+AZ51+BC51+BF51),BI51)</f>
        <v>0</v>
      </c>
      <c r="Q51" s="82">
        <f t="shared" si="211"/>
        <v>12302</v>
      </c>
      <c r="R51" s="82">
        <f t="shared" si="211"/>
        <v>0</v>
      </c>
      <c r="S51" s="97">
        <f t="shared" ref="S51:T51" si="212">I51-M51</f>
        <v>0</v>
      </c>
      <c r="T51" s="97">
        <f t="shared" si="212"/>
        <v>0</v>
      </c>
      <c r="U51" s="97">
        <f t="shared" si="60"/>
        <v>0</v>
      </c>
      <c r="V51" s="98" t="e">
        <f t="shared" ref="V51:W51" si="213">M51/I51</f>
        <v>#DIV/0!</v>
      </c>
      <c r="W51" s="98">
        <f t="shared" si="213"/>
        <v>1</v>
      </c>
      <c r="X51" s="98" t="e">
        <f t="shared" si="23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508</v>
      </c>
      <c r="E52" s="116"/>
      <c r="F52" s="92"/>
      <c r="G52" s="94" t="e">
        <f t="shared" si="16"/>
        <v>#DIV/0!</v>
      </c>
      <c r="H52" s="94" t="e">
        <f t="shared" si="106"/>
        <v>#DIV/0!</v>
      </c>
      <c r="I52" s="133"/>
      <c r="J52" s="117">
        <f>2874.45+8500+15300+2420</f>
        <v>29094.45</v>
      </c>
      <c r="K52" s="117"/>
      <c r="L52" s="145"/>
      <c r="M52" s="97">
        <f t="shared" si="82"/>
        <v>0</v>
      </c>
      <c r="N52" s="97">
        <f t="shared" ref="N52:O52" si="214">Z52+AC52+AF52+AI52+AL52+AO52+AR52+AU52+AX52+BA52+BD52+BG52</f>
        <v>26220</v>
      </c>
      <c r="O52" s="97">
        <f t="shared" si="214"/>
        <v>0</v>
      </c>
      <c r="P52" s="82">
        <f t="shared" ref="P52:R52" si="215">IF(BI52=0,SUM(Y52+AB52+AE52+AH52+AK52+AN52+AQ52+AT52+AW52+AZ52+BC52+BF52),BI52)</f>
        <v>0</v>
      </c>
      <c r="Q52" s="82">
        <f t="shared" si="215"/>
        <v>26220</v>
      </c>
      <c r="R52" s="82">
        <f t="shared" si="215"/>
        <v>0</v>
      </c>
      <c r="S52" s="97">
        <f t="shared" ref="S52:T52" si="216">I52-M52</f>
        <v>0</v>
      </c>
      <c r="T52" s="97">
        <f t="shared" si="216"/>
        <v>2874.4500000000007</v>
      </c>
      <c r="U52" s="97">
        <f t="shared" si="60"/>
        <v>0</v>
      </c>
      <c r="V52" s="98" t="e">
        <f t="shared" ref="V52:W52" si="217">M52/I52</f>
        <v>#DIV/0!</v>
      </c>
      <c r="W52" s="98">
        <f t="shared" si="217"/>
        <v>0.90120280672086939</v>
      </c>
      <c r="X52" s="98" t="e">
        <f t="shared" si="23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6"/>
        <v>#DIV/0!</v>
      </c>
      <c r="H53" s="94" t="e">
        <f t="shared" si="106"/>
        <v>#DIV/0!</v>
      </c>
      <c r="I53" s="133"/>
      <c r="J53" s="117"/>
      <c r="K53" s="117"/>
      <c r="L53" s="145"/>
      <c r="M53" s="97">
        <f t="shared" si="82"/>
        <v>0</v>
      </c>
      <c r="N53" s="97">
        <f t="shared" ref="N53:O53" si="218">Z53+AC53+AF53+AI53+AL53+AO53+AR53+AU53+AX53+BA53+BD53+BG53</f>
        <v>0</v>
      </c>
      <c r="O53" s="97">
        <f t="shared" si="218"/>
        <v>0</v>
      </c>
      <c r="P53" s="82">
        <f t="shared" ref="P53:R53" si="219">IF(BI53=0,SUM(Y53+AB53+AE53+AH53+AK53+AN53+AQ53+AT53+AW53+AZ53+BC53+BF53),BI53)</f>
        <v>0</v>
      </c>
      <c r="Q53" s="82">
        <f t="shared" si="219"/>
        <v>0</v>
      </c>
      <c r="R53" s="82">
        <f t="shared" si="219"/>
        <v>0</v>
      </c>
      <c r="S53" s="97">
        <f t="shared" ref="S53:T53" si="220">I53-M53</f>
        <v>0</v>
      </c>
      <c r="T53" s="97">
        <f t="shared" si="220"/>
        <v>0</v>
      </c>
      <c r="U53" s="97">
        <f t="shared" si="60"/>
        <v>0</v>
      </c>
      <c r="V53" s="98" t="e">
        <f t="shared" ref="V53:W53" si="221">M53/I53</f>
        <v>#DIV/0!</v>
      </c>
      <c r="W53" s="98" t="e">
        <f t="shared" si="221"/>
        <v>#DIV/0!</v>
      </c>
      <c r="X53" s="98" t="e">
        <f t="shared" si="23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6"/>
        <v>#DIV/0!</v>
      </c>
      <c r="H54" s="94" t="e">
        <f t="shared" si="106"/>
        <v>#DIV/0!</v>
      </c>
      <c r="I54" s="133"/>
      <c r="J54" s="117"/>
      <c r="K54" s="117"/>
      <c r="L54" s="145"/>
      <c r="M54" s="97">
        <f t="shared" si="82"/>
        <v>0</v>
      </c>
      <c r="N54" s="97">
        <f t="shared" ref="N54:O54" si="222">Z54+AC54+AF54+AI54+AL54+AO54+AR54+AU54+AX54+BA54+BD54+BG54</f>
        <v>0</v>
      </c>
      <c r="O54" s="97">
        <f t="shared" si="222"/>
        <v>0</v>
      </c>
      <c r="P54" s="82">
        <f t="shared" ref="P54:R54" si="223">IF(BI54=0,SUM(Y54+AB54+AE54+AH54+AK54+AN54+AQ54+AT54+AW54+AZ54+BC54+BF54),BI54)</f>
        <v>0</v>
      </c>
      <c r="Q54" s="82">
        <f t="shared" si="223"/>
        <v>0</v>
      </c>
      <c r="R54" s="82">
        <f t="shared" si="223"/>
        <v>0</v>
      </c>
      <c r="S54" s="97">
        <f t="shared" ref="S54:T54" si="224">I54-M54</f>
        <v>0</v>
      </c>
      <c r="T54" s="97">
        <f t="shared" si="224"/>
        <v>0</v>
      </c>
      <c r="U54" s="97">
        <f t="shared" si="60"/>
        <v>0</v>
      </c>
      <c r="V54" s="98" t="e">
        <f t="shared" ref="V54:W54" si="225">M54/I54</f>
        <v>#DIV/0!</v>
      </c>
      <c r="W54" s="98" t="e">
        <f t="shared" si="225"/>
        <v>#DIV/0!</v>
      </c>
      <c r="X54" s="98" t="e">
        <f t="shared" si="23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6"/>
        <v>#DIV/0!</v>
      </c>
      <c r="H55" s="94">
        <f t="shared" ref="H55:H60" si="226">M55/F55</f>
        <v>0</v>
      </c>
      <c r="I55" s="96"/>
      <c r="J55" s="117"/>
      <c r="K55" s="117"/>
      <c r="L55" s="118"/>
      <c r="M55" s="97">
        <f t="shared" si="82"/>
        <v>0</v>
      </c>
      <c r="N55" s="97">
        <f t="shared" ref="N55:O55" si="227">Z55+AC55+AF55+AI55+AL55+AO55+AR55+AU55+AX55+BA55+BD55+BG55</f>
        <v>0</v>
      </c>
      <c r="O55" s="97">
        <f t="shared" si="227"/>
        <v>0</v>
      </c>
      <c r="P55" s="82">
        <f t="shared" ref="P55:R55" si="228">IF(BI55=0,SUM(Y55+AB55+AE55+AH55+AK55+AN55+AQ55+AT55+AW55+AZ55+BC55+BF55),BI55)</f>
        <v>0</v>
      </c>
      <c r="Q55" s="82">
        <f t="shared" si="228"/>
        <v>0</v>
      </c>
      <c r="R55" s="82">
        <f t="shared" si="228"/>
        <v>0</v>
      </c>
      <c r="S55" s="97">
        <f t="shared" ref="S55:T55" si="229">I55-M55</f>
        <v>0</v>
      </c>
      <c r="T55" s="97">
        <f t="shared" si="229"/>
        <v>0</v>
      </c>
      <c r="U55" s="97">
        <f t="shared" si="60"/>
        <v>0</v>
      </c>
      <c r="V55" s="98" t="e">
        <f t="shared" ref="V55:W55" si="230">M55/I55</f>
        <v>#DIV/0!</v>
      </c>
      <c r="W55" s="98" t="e">
        <f t="shared" si="230"/>
        <v>#DIV/0!</v>
      </c>
      <c r="X55" s="98" t="e">
        <f t="shared" si="23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6"/>
        <v>#DIV/0!</v>
      </c>
      <c r="H56" s="94">
        <f t="shared" si="226"/>
        <v>0</v>
      </c>
      <c r="I56" s="96"/>
      <c r="J56" s="117">
        <v>1817.8</v>
      </c>
      <c r="K56" s="117"/>
      <c r="L56" s="118"/>
      <c r="M56" s="97">
        <f t="shared" si="82"/>
        <v>0</v>
      </c>
      <c r="N56" s="97">
        <f t="shared" ref="N56:O56" si="231">Z56+AC56+AF56+AI56+AL56+AO56+AR56+AU56+AX56+BA56+BD56+BG56</f>
        <v>1817.8</v>
      </c>
      <c r="O56" s="97">
        <f t="shared" si="231"/>
        <v>0</v>
      </c>
      <c r="P56" s="82">
        <f t="shared" ref="P56:R56" si="232">IF(BI56=0,SUM(Y56+AB56+AE56+AH56+AK56+AN56+AQ56+AT56+AW56+AZ56+BC56+BF56),BI56)</f>
        <v>0</v>
      </c>
      <c r="Q56" s="82">
        <f t="shared" si="232"/>
        <v>1817.8</v>
      </c>
      <c r="R56" s="82">
        <f t="shared" si="232"/>
        <v>0</v>
      </c>
      <c r="S56" s="97">
        <f t="shared" ref="S56:T56" si="233">I56-M56</f>
        <v>0</v>
      </c>
      <c r="T56" s="97">
        <f t="shared" si="233"/>
        <v>0</v>
      </c>
      <c r="U56" s="97">
        <f t="shared" si="60"/>
        <v>0</v>
      </c>
      <c r="V56" s="98" t="e">
        <f t="shared" ref="V56:W56" si="234">M56/I56</f>
        <v>#DIV/0!</v>
      </c>
      <c r="W56" s="98">
        <f t="shared" si="234"/>
        <v>1</v>
      </c>
      <c r="X56" s="98" t="e">
        <f t="shared" si="23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35">I57/F57</f>
        <v>0</v>
      </c>
      <c r="H57" s="94">
        <f t="shared" si="226"/>
        <v>0</v>
      </c>
      <c r="I57" s="96"/>
      <c r="J57" s="117"/>
      <c r="K57" s="117"/>
      <c r="L57" s="118"/>
      <c r="M57" s="97">
        <f t="shared" si="82"/>
        <v>0</v>
      </c>
      <c r="N57" s="97">
        <f t="shared" ref="N57:O57" si="236">Z57+AC57+AF57+AI57+AL57+AO57+AR57+AU57+AX57+BA57+BD57+BG57</f>
        <v>0</v>
      </c>
      <c r="O57" s="97">
        <f t="shared" si="236"/>
        <v>0</v>
      </c>
      <c r="P57" s="82">
        <f t="shared" ref="P57:R57" si="237">IF(BI57=0,SUM(Y57+AB57+AE57+AH57+AK57+AN57+AQ57+AT57+AW57+AZ57+BC57+BF57),BI57)</f>
        <v>0</v>
      </c>
      <c r="Q57" s="82">
        <f t="shared" si="237"/>
        <v>0</v>
      </c>
      <c r="R57" s="82">
        <f t="shared" si="237"/>
        <v>0</v>
      </c>
      <c r="S57" s="97">
        <f t="shared" ref="S57:T57" si="238">I57-M57</f>
        <v>0</v>
      </c>
      <c r="T57" s="97">
        <f t="shared" si="238"/>
        <v>0</v>
      </c>
      <c r="U57" s="97">
        <f t="shared" si="60"/>
        <v>0</v>
      </c>
      <c r="V57" s="98" t="e">
        <f t="shared" ref="V57:W57" si="239">M57/I57</f>
        <v>#DIV/0!</v>
      </c>
      <c r="W57" s="98" t="e">
        <f t="shared" si="239"/>
        <v>#DIV/0!</v>
      </c>
      <c r="X57" s="98" t="e">
        <f t="shared" si="23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35"/>
        <v>0</v>
      </c>
      <c r="H58" s="94">
        <f t="shared" si="226"/>
        <v>0</v>
      </c>
      <c r="I58" s="142"/>
      <c r="J58" s="117"/>
      <c r="K58" s="117"/>
      <c r="L58" s="118"/>
      <c r="M58" s="97">
        <f t="shared" si="82"/>
        <v>0</v>
      </c>
      <c r="N58" s="97">
        <f t="shared" ref="N58:O58" si="240">Z58+AC58+AF58+AI58+AL58+AO58+AR58+AU58+AX58+BA58+BD58+BG58</f>
        <v>0</v>
      </c>
      <c r="O58" s="97">
        <f t="shared" si="240"/>
        <v>0</v>
      </c>
      <c r="P58" s="82">
        <f t="shared" ref="P58:R58" si="241">IF(BI58=0,SUM(Y58+AB58+AE58+AH58+AK58+AN58+AQ58+AT58+AW58+AZ58+BC58+BF58),BI58)</f>
        <v>0</v>
      </c>
      <c r="Q58" s="82">
        <f t="shared" si="241"/>
        <v>0</v>
      </c>
      <c r="R58" s="82">
        <f t="shared" si="241"/>
        <v>0</v>
      </c>
      <c r="S58" s="97">
        <f t="shared" ref="S58:T58" si="242">I58-M58</f>
        <v>0</v>
      </c>
      <c r="T58" s="97">
        <f t="shared" si="242"/>
        <v>0</v>
      </c>
      <c r="U58" s="97">
        <f t="shared" si="60"/>
        <v>0</v>
      </c>
      <c r="V58" s="98" t="e">
        <f t="shared" ref="V58:W58" si="243">M58/I58</f>
        <v>#DIV/0!</v>
      </c>
      <c r="W58" s="98" t="e">
        <f t="shared" si="243"/>
        <v>#DIV/0!</v>
      </c>
      <c r="X58" s="98" t="e">
        <f t="shared" si="23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35"/>
        <v>0</v>
      </c>
      <c r="H59" s="94">
        <f t="shared" si="226"/>
        <v>0</v>
      </c>
      <c r="I59" s="96"/>
      <c r="J59" s="117"/>
      <c r="K59" s="117"/>
      <c r="L59" s="118"/>
      <c r="M59" s="97">
        <f t="shared" si="82"/>
        <v>0</v>
      </c>
      <c r="N59" s="97">
        <f t="shared" ref="N59:O59" si="244">Z59+AC59+AF59+AI59+AL59+AO59+AR59+AU59+AX59+BA59+BD59+BG59</f>
        <v>0</v>
      </c>
      <c r="O59" s="97">
        <f t="shared" si="244"/>
        <v>0</v>
      </c>
      <c r="P59" s="82">
        <f t="shared" ref="P59:R59" si="245">IF(BI59=0,SUM(Y59+AB59+AE59+AH59+AK59+AN59+AQ59+AT59+AW59+AZ59+BC59+BF59),BI59)</f>
        <v>0</v>
      </c>
      <c r="Q59" s="82">
        <f t="shared" si="245"/>
        <v>0</v>
      </c>
      <c r="R59" s="82">
        <f t="shared" si="245"/>
        <v>0</v>
      </c>
      <c r="S59" s="97">
        <f t="shared" ref="S59:T59" si="246">I59-M59</f>
        <v>0</v>
      </c>
      <c r="T59" s="97">
        <f t="shared" si="246"/>
        <v>0</v>
      </c>
      <c r="U59" s="97">
        <f t="shared" si="60"/>
        <v>0</v>
      </c>
      <c r="V59" s="98" t="e">
        <f t="shared" ref="V59:W59" si="247">M59/I59</f>
        <v>#DIV/0!</v>
      </c>
      <c r="W59" s="98" t="e">
        <f t="shared" si="247"/>
        <v>#DIV/0!</v>
      </c>
      <c r="X59" s="98" t="e">
        <f t="shared" si="23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35"/>
        <v>0</v>
      </c>
      <c r="H60" s="94">
        <f t="shared" si="226"/>
        <v>0</v>
      </c>
      <c r="I60" s="96"/>
      <c r="J60" s="146"/>
      <c r="K60" s="146"/>
      <c r="L60" s="118"/>
      <c r="M60" s="97">
        <f t="shared" si="82"/>
        <v>0</v>
      </c>
      <c r="N60" s="97">
        <f t="shared" ref="N60:O60" si="248">Z60+AC60+AF60+AI60+AL60+AO60+AR60+AU60+AX60+BA60+BD60+BG60</f>
        <v>0</v>
      </c>
      <c r="O60" s="97">
        <f t="shared" si="248"/>
        <v>0</v>
      </c>
      <c r="P60" s="82">
        <f t="shared" ref="P60:R60" si="249">IF(BI60=0,SUM(Y60+AB60+AE60+AH60+AK60+AN60+AQ60+AT60+AW60+AZ60+BC60+BF60),BI60)</f>
        <v>0</v>
      </c>
      <c r="Q60" s="82">
        <f t="shared" si="249"/>
        <v>0</v>
      </c>
      <c r="R60" s="82">
        <f t="shared" si="249"/>
        <v>0</v>
      </c>
      <c r="S60" s="97">
        <f t="shared" ref="S60:T60" si="250">I60-M60</f>
        <v>0</v>
      </c>
      <c r="T60" s="97">
        <f t="shared" si="250"/>
        <v>0</v>
      </c>
      <c r="U60" s="97">
        <f t="shared" si="60"/>
        <v>0</v>
      </c>
      <c r="V60" s="98" t="e">
        <f t="shared" ref="V60:W60" si="251">M60/I60</f>
        <v>#DIV/0!</v>
      </c>
      <c r="W60" s="98" t="e">
        <f t="shared" si="251"/>
        <v>#DIV/0!</v>
      </c>
      <c r="X60" s="98" t="e">
        <f t="shared" si="23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35"/>
        <v>0</v>
      </c>
      <c r="H61" s="94"/>
      <c r="I61" s="96"/>
      <c r="J61" s="146"/>
      <c r="K61" s="146"/>
      <c r="L61" s="118"/>
      <c r="M61" s="97">
        <f t="shared" si="82"/>
        <v>0</v>
      </c>
      <c r="N61" s="97">
        <f t="shared" ref="N61:O61" si="252">Z61+AC61+AF61+AI61+AL61+AO61+AR61+AU61+AX61+BA61+BD61+BG61</f>
        <v>0</v>
      </c>
      <c r="O61" s="97">
        <f t="shared" si="252"/>
        <v>0</v>
      </c>
      <c r="P61" s="82">
        <f t="shared" ref="P61:R61" si="253">IF(BI61=0,SUM(Y61+AB61+AE61+AH61+AK61+AN61+AQ61+AT61+AW61+AZ61+BC61+BF61),BI61)</f>
        <v>0</v>
      </c>
      <c r="Q61" s="82">
        <f t="shared" si="253"/>
        <v>0</v>
      </c>
      <c r="R61" s="82">
        <f t="shared" si="253"/>
        <v>0</v>
      </c>
      <c r="S61" s="97">
        <f t="shared" ref="S61:T61" si="254">I61-M61</f>
        <v>0</v>
      </c>
      <c r="T61" s="97">
        <f t="shared" si="254"/>
        <v>0</v>
      </c>
      <c r="U61" s="97">
        <f t="shared" si="60"/>
        <v>0</v>
      </c>
      <c r="V61" s="98" t="e">
        <f t="shared" ref="V61:W61" si="255">M61/I61</f>
        <v>#DIV/0!</v>
      </c>
      <c r="W61" s="98" t="e">
        <f t="shared" si="255"/>
        <v>#DIV/0!</v>
      </c>
      <c r="X61" s="98" t="e">
        <f t="shared" si="23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35"/>
        <v>0</v>
      </c>
      <c r="H62" s="94"/>
      <c r="I62" s="96"/>
      <c r="J62" s="146"/>
      <c r="K62" s="146"/>
      <c r="L62" s="118"/>
      <c r="M62" s="97">
        <f t="shared" si="82"/>
        <v>0</v>
      </c>
      <c r="N62" s="97">
        <f t="shared" ref="N62:O62" si="256">Z62+AC62+AF62+AI62+AL62+AO62+AR62+AU62+AX62+BA62+BD62+BG62</f>
        <v>0</v>
      </c>
      <c r="O62" s="97">
        <f t="shared" si="256"/>
        <v>0</v>
      </c>
      <c r="P62" s="82">
        <f t="shared" ref="P62:R62" si="257">IF(BI62=0,SUM(Y62+AB62+AE62+AH62+AK62+AN62+AQ62+AT62+AW62+AZ62+BC62+BF62),BI62)</f>
        <v>0</v>
      </c>
      <c r="Q62" s="82">
        <f t="shared" si="257"/>
        <v>0</v>
      </c>
      <c r="R62" s="82">
        <f t="shared" si="257"/>
        <v>0</v>
      </c>
      <c r="S62" s="97">
        <f t="shared" ref="S62:T62" si="258">I62-M62</f>
        <v>0</v>
      </c>
      <c r="T62" s="97">
        <f t="shared" si="258"/>
        <v>0</v>
      </c>
      <c r="U62" s="97">
        <f t="shared" si="60"/>
        <v>0</v>
      </c>
      <c r="V62" s="98" t="e">
        <f t="shared" ref="V62:W62" si="259">M62/I62</f>
        <v>#DIV/0!</v>
      </c>
      <c r="W62" s="98" t="e">
        <f t="shared" si="259"/>
        <v>#DIV/0!</v>
      </c>
      <c r="X62" s="98" t="e">
        <f t="shared" si="23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60">I63/E63</f>
        <v>#DIV/0!</v>
      </c>
      <c r="H63" s="94" t="e">
        <f t="shared" ref="H63:H80" si="261">M63/E63</f>
        <v>#DIV/0!</v>
      </c>
      <c r="I63" s="96"/>
      <c r="J63" s="146"/>
      <c r="K63" s="146"/>
      <c r="L63" s="118"/>
      <c r="M63" s="97">
        <f t="shared" si="82"/>
        <v>0</v>
      </c>
      <c r="N63" s="97">
        <f t="shared" ref="N63:O63" si="262">Z63+AC63+AF63+AI63+AL63+AO63+AR63+AU63+AX63+BA63+BD63+BG63</f>
        <v>0</v>
      </c>
      <c r="O63" s="97">
        <f t="shared" si="262"/>
        <v>0</v>
      </c>
      <c r="P63" s="82">
        <f t="shared" ref="P63:R63" si="263">IF(BI63=0,SUM(Y63+AB63+AE63+AH63+AK63+AN63+AQ63+AT63+AW63+AZ63+BC63+BF63),BI63)</f>
        <v>0</v>
      </c>
      <c r="Q63" s="82">
        <f t="shared" si="263"/>
        <v>0</v>
      </c>
      <c r="R63" s="82">
        <f t="shared" si="263"/>
        <v>0</v>
      </c>
      <c r="S63" s="97">
        <f t="shared" ref="S63:T63" si="264">I63-M63</f>
        <v>0</v>
      </c>
      <c r="T63" s="97">
        <f t="shared" si="264"/>
        <v>0</v>
      </c>
      <c r="U63" s="97">
        <f t="shared" si="60"/>
        <v>0</v>
      </c>
      <c r="V63" s="98" t="e">
        <f t="shared" ref="V63:W63" si="265">M63/I63</f>
        <v>#DIV/0!</v>
      </c>
      <c r="W63" s="98" t="e">
        <f t="shared" si="265"/>
        <v>#DIV/0!</v>
      </c>
      <c r="X63" s="98" t="e">
        <f t="shared" si="23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60"/>
        <v>#DIV/0!</v>
      </c>
      <c r="H64" s="94" t="e">
        <f t="shared" si="261"/>
        <v>#DIV/0!</v>
      </c>
      <c r="I64" s="96"/>
      <c r="J64" s="146"/>
      <c r="K64" s="146"/>
      <c r="L64" s="118"/>
      <c r="M64" s="97">
        <f t="shared" si="82"/>
        <v>0</v>
      </c>
      <c r="N64" s="97">
        <f t="shared" ref="N64:O64" si="266">Z64+AC64+AF64+AI64+AL64+AO64+AR64+AU64+AX64+BA64+BD64+BG64</f>
        <v>0</v>
      </c>
      <c r="O64" s="97">
        <f t="shared" si="266"/>
        <v>0</v>
      </c>
      <c r="P64" s="82">
        <f t="shared" ref="P64:R64" si="267">IF(BI64=0,SUM(Y64+AB64+AE64+AH64+AK64+AN64+AQ64+AT64+AW64+AZ64+BC64+BF64),BI64)</f>
        <v>0</v>
      </c>
      <c r="Q64" s="82">
        <f t="shared" si="267"/>
        <v>0</v>
      </c>
      <c r="R64" s="82">
        <f t="shared" si="267"/>
        <v>0</v>
      </c>
      <c r="S64" s="97">
        <f t="shared" ref="S64:T64" si="268">I64-M64</f>
        <v>0</v>
      </c>
      <c r="T64" s="97">
        <f t="shared" si="268"/>
        <v>0</v>
      </c>
      <c r="U64" s="97">
        <f t="shared" si="60"/>
        <v>0</v>
      </c>
      <c r="V64" s="98" t="e">
        <f t="shared" ref="V64:W64" si="269">M64/I64</f>
        <v>#DIV/0!</v>
      </c>
      <c r="W64" s="98" t="e">
        <f t="shared" si="269"/>
        <v>#DIV/0!</v>
      </c>
      <c r="X64" s="98" t="e">
        <f t="shared" si="23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60"/>
        <v>#DIV/0!</v>
      </c>
      <c r="H65" s="94" t="e">
        <f t="shared" si="261"/>
        <v>#DIV/0!</v>
      </c>
      <c r="I65" s="96"/>
      <c r="J65" s="126"/>
      <c r="K65" s="126"/>
      <c r="L65" s="118"/>
      <c r="M65" s="97">
        <f t="shared" si="82"/>
        <v>0</v>
      </c>
      <c r="N65" s="97">
        <f t="shared" ref="N65:O65" si="270">Z65+AC65+AF65+AI65+AL65+AO65+AR65+AU65+AX65+BA65+BD65+BG65</f>
        <v>0</v>
      </c>
      <c r="O65" s="97">
        <f t="shared" si="270"/>
        <v>0</v>
      </c>
      <c r="P65" s="82">
        <f t="shared" ref="P65:R65" si="271">IF(BI65=0,SUM(Y65+AB65+AE65+AH65+AK65+AN65+AQ65+AT65+AW65+AZ65+BC65+BF65),BI65)</f>
        <v>0</v>
      </c>
      <c r="Q65" s="82">
        <f t="shared" si="271"/>
        <v>0</v>
      </c>
      <c r="R65" s="82">
        <f t="shared" si="271"/>
        <v>0</v>
      </c>
      <c r="S65" s="97">
        <f t="shared" ref="S65:T65" si="272">I65-M65</f>
        <v>0</v>
      </c>
      <c r="T65" s="97">
        <f t="shared" si="272"/>
        <v>0</v>
      </c>
      <c r="U65" s="97">
        <f t="shared" si="60"/>
        <v>0</v>
      </c>
      <c r="V65" s="98" t="e">
        <f t="shared" ref="V65:W65" si="273">M65/I65</f>
        <v>#DIV/0!</v>
      </c>
      <c r="W65" s="98" t="e">
        <f t="shared" si="273"/>
        <v>#DIV/0!</v>
      </c>
      <c r="X65" s="98" t="e">
        <f t="shared" si="23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60"/>
        <v>#DIV/0!</v>
      </c>
      <c r="H66" s="94" t="e">
        <f t="shared" si="261"/>
        <v>#DIV/0!</v>
      </c>
      <c r="I66" s="96"/>
      <c r="J66" s="146"/>
      <c r="K66" s="146"/>
      <c r="L66" s="95"/>
      <c r="M66" s="97">
        <f t="shared" si="82"/>
        <v>0</v>
      </c>
      <c r="N66" s="97">
        <f t="shared" ref="N66:O66" si="274">Z66+AC66+AF66+AI66+AL66+AO66+AR66+AU66+AX66+BA66+BD66+BG66</f>
        <v>0</v>
      </c>
      <c r="O66" s="97">
        <f t="shared" si="274"/>
        <v>0</v>
      </c>
      <c r="P66" s="82">
        <f t="shared" ref="P66:R66" si="275">IF(BI66=0,SUM(Y66+AB66+AE66+AH66+AK66+AN66+AQ66+AT66+AW66+AZ66+BC66+BF66),BI66)</f>
        <v>0</v>
      </c>
      <c r="Q66" s="82">
        <f t="shared" si="275"/>
        <v>0</v>
      </c>
      <c r="R66" s="82">
        <f t="shared" si="275"/>
        <v>0</v>
      </c>
      <c r="S66" s="97">
        <f t="shared" ref="S66:T66" si="276">I66-M66</f>
        <v>0</v>
      </c>
      <c r="T66" s="97">
        <f t="shared" si="276"/>
        <v>0</v>
      </c>
      <c r="U66" s="97">
        <f t="shared" si="60"/>
        <v>0</v>
      </c>
      <c r="V66" s="98" t="e">
        <f t="shared" ref="V66:W66" si="277">M66/I66</f>
        <v>#DIV/0!</v>
      </c>
      <c r="W66" s="98" t="e">
        <f t="shared" si="277"/>
        <v>#DIV/0!</v>
      </c>
      <c r="X66" s="98" t="e">
        <f t="shared" si="23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60"/>
        <v>3.1405051213585181E-2</v>
      </c>
      <c r="H67" s="107">
        <f t="shared" si="261"/>
        <v>0</v>
      </c>
      <c r="I67" s="87">
        <f t="shared" ref="I67:Q67" si="278">I68+I75+I76+I77+I80+I84+I89</f>
        <v>8392</v>
      </c>
      <c r="J67" s="87">
        <f t="shared" si="278"/>
        <v>84340.34</v>
      </c>
      <c r="K67" s="87">
        <f t="shared" si="278"/>
        <v>0</v>
      </c>
      <c r="L67" s="87">
        <f t="shared" si="278"/>
        <v>0</v>
      </c>
      <c r="M67" s="87">
        <f t="shared" si="278"/>
        <v>0</v>
      </c>
      <c r="N67" s="87">
        <f t="shared" si="278"/>
        <v>12526.99</v>
      </c>
      <c r="O67" s="87">
        <f t="shared" si="278"/>
        <v>0</v>
      </c>
      <c r="P67" s="87">
        <f t="shared" si="278"/>
        <v>0</v>
      </c>
      <c r="Q67" s="87">
        <f t="shared" si="278"/>
        <v>12526.99</v>
      </c>
      <c r="R67" s="87">
        <f>IF(BK67=0,SUM(AA67+AD67+AG67+AJ67+AM67+AP67+AS67+AV67+AY67+BB67+BE67+BH67),BK67)</f>
        <v>0</v>
      </c>
      <c r="S67" s="87" t="e">
        <f t="shared" ref="S67:U67" si="279">S68+S75+S76+#REF!+#REF!+S77+S80+S84+S89</f>
        <v>#REF!</v>
      </c>
      <c r="T67" s="87" t="e">
        <f t="shared" si="279"/>
        <v>#REF!</v>
      </c>
      <c r="U67" s="87" t="e">
        <f t="shared" si="279"/>
        <v>#REF!</v>
      </c>
      <c r="V67" s="88">
        <f t="shared" ref="V67:W67" si="280">M67/I67</f>
        <v>0</v>
      </c>
      <c r="W67" s="88">
        <f t="shared" si="280"/>
        <v>0.14852904316012955</v>
      </c>
      <c r="X67" s="88" t="e">
        <f t="shared" si="23"/>
        <v>#DIV/0!</v>
      </c>
      <c r="Y67" s="87">
        <f t="shared" ref="Y67:BK67" si="281">Y68+Y75+Y76+Y77+Y80+Y84+Y89</f>
        <v>0</v>
      </c>
      <c r="Z67" s="87">
        <f t="shared" si="281"/>
        <v>4595.8899999999994</v>
      </c>
      <c r="AA67" s="87">
        <f t="shared" si="281"/>
        <v>0</v>
      </c>
      <c r="AB67" s="87">
        <f t="shared" si="281"/>
        <v>0</v>
      </c>
      <c r="AC67" s="87">
        <f t="shared" si="281"/>
        <v>7931.1</v>
      </c>
      <c r="AD67" s="87">
        <f t="shared" si="281"/>
        <v>0</v>
      </c>
      <c r="AE67" s="87">
        <f t="shared" si="281"/>
        <v>0</v>
      </c>
      <c r="AF67" s="87">
        <f t="shared" si="281"/>
        <v>0</v>
      </c>
      <c r="AG67" s="87">
        <f t="shared" si="281"/>
        <v>0</v>
      </c>
      <c r="AH67" s="87">
        <f t="shared" si="281"/>
        <v>0</v>
      </c>
      <c r="AI67" s="87">
        <f t="shared" si="281"/>
        <v>0</v>
      </c>
      <c r="AJ67" s="87">
        <f t="shared" si="281"/>
        <v>0</v>
      </c>
      <c r="AK67" s="87">
        <f t="shared" si="281"/>
        <v>0</v>
      </c>
      <c r="AL67" s="87">
        <f t="shared" si="281"/>
        <v>0</v>
      </c>
      <c r="AM67" s="87">
        <f t="shared" si="281"/>
        <v>0</v>
      </c>
      <c r="AN67" s="87">
        <f t="shared" si="281"/>
        <v>0</v>
      </c>
      <c r="AO67" s="87">
        <f t="shared" si="281"/>
        <v>0</v>
      </c>
      <c r="AP67" s="87">
        <f t="shared" si="281"/>
        <v>0</v>
      </c>
      <c r="AQ67" s="87">
        <f t="shared" si="281"/>
        <v>0</v>
      </c>
      <c r="AR67" s="87">
        <f t="shared" si="281"/>
        <v>0</v>
      </c>
      <c r="AS67" s="87">
        <f t="shared" si="281"/>
        <v>0</v>
      </c>
      <c r="AT67" s="87">
        <f t="shared" si="281"/>
        <v>0</v>
      </c>
      <c r="AU67" s="87">
        <f t="shared" si="281"/>
        <v>0</v>
      </c>
      <c r="AV67" s="87">
        <f t="shared" si="281"/>
        <v>0</v>
      </c>
      <c r="AW67" s="87">
        <f t="shared" si="281"/>
        <v>0</v>
      </c>
      <c r="AX67" s="87">
        <f t="shared" si="281"/>
        <v>0</v>
      </c>
      <c r="AY67" s="87">
        <f t="shared" si="281"/>
        <v>0</v>
      </c>
      <c r="AZ67" s="87">
        <f t="shared" si="281"/>
        <v>0</v>
      </c>
      <c r="BA67" s="87">
        <f t="shared" si="281"/>
        <v>0</v>
      </c>
      <c r="BB67" s="87">
        <f t="shared" si="281"/>
        <v>0</v>
      </c>
      <c r="BC67" s="87">
        <f t="shared" si="281"/>
        <v>0</v>
      </c>
      <c r="BD67" s="87">
        <f t="shared" si="281"/>
        <v>0</v>
      </c>
      <c r="BE67" s="87">
        <f t="shared" si="281"/>
        <v>0</v>
      </c>
      <c r="BF67" s="87">
        <f t="shared" si="281"/>
        <v>0</v>
      </c>
      <c r="BG67" s="87">
        <f t="shared" si="281"/>
        <v>0</v>
      </c>
      <c r="BH67" s="87">
        <f t="shared" si="281"/>
        <v>0</v>
      </c>
      <c r="BI67" s="87">
        <f t="shared" si="281"/>
        <v>0</v>
      </c>
      <c r="BJ67" s="87">
        <f t="shared" si="281"/>
        <v>0</v>
      </c>
      <c r="BK67" s="87">
        <f t="shared" si="281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60"/>
        <v>3.0239537509230509E-2</v>
      </c>
      <c r="H68" s="155">
        <f t="shared" si="261"/>
        <v>0</v>
      </c>
      <c r="I68" s="154">
        <f>SUM(I69:I74)</f>
        <v>4584</v>
      </c>
      <c r="J68" s="154">
        <f t="shared" ref="J68:K68" si="282">SUM(J70:J74)</f>
        <v>10402.67</v>
      </c>
      <c r="K68" s="154">
        <f t="shared" si="282"/>
        <v>0</v>
      </c>
      <c r="L68" s="154">
        <f>SUM(L70:L71)</f>
        <v>0</v>
      </c>
      <c r="M68" s="154">
        <f>SUM(M69:M74)</f>
        <v>0</v>
      </c>
      <c r="N68" s="154">
        <f>SUM(N70:N74)</f>
        <v>1625.59</v>
      </c>
      <c r="O68" s="154">
        <f>SUM(O69:O74)</f>
        <v>0</v>
      </c>
      <c r="P68" s="81">
        <f t="shared" ref="P68:R68" si="283">IF(BI68=0,SUM(Y68+AB68+AE68+AH68+AK68+AN68+AQ68+AT68+AW68+AZ68+BC68+BF68),BI68)</f>
        <v>0</v>
      </c>
      <c r="Q68" s="81">
        <f t="shared" si="283"/>
        <v>1625.59</v>
      </c>
      <c r="R68" s="81">
        <f t="shared" si="283"/>
        <v>0</v>
      </c>
      <c r="S68" s="154">
        <f t="shared" ref="S68:U68" si="284">SUM(S70:S74)</f>
        <v>3084</v>
      </c>
      <c r="T68" s="154">
        <f t="shared" si="284"/>
        <v>8777.08</v>
      </c>
      <c r="U68" s="154">
        <f t="shared" si="284"/>
        <v>0</v>
      </c>
      <c r="V68" s="156">
        <f t="shared" ref="V68:W68" si="285">M68/I68</f>
        <v>0</v>
      </c>
      <c r="W68" s="156">
        <f t="shared" si="285"/>
        <v>0.15626661232164435</v>
      </c>
      <c r="X68" s="156" t="e">
        <f t="shared" si="23"/>
        <v>#DIV/0!</v>
      </c>
      <c r="Y68" s="154">
        <f>SUM(Y70:Y71)</f>
        <v>0</v>
      </c>
      <c r="Z68" s="154">
        <f>SUM(Z70:Z74)</f>
        <v>324.49</v>
      </c>
      <c r="AA68" s="154">
        <f t="shared" ref="AA68:AB68" si="286">SUM(AA70:AA71)</f>
        <v>0</v>
      </c>
      <c r="AB68" s="154">
        <f t="shared" si="286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87">SUM(AE70:AE74)</f>
        <v>0</v>
      </c>
      <c r="AF68" s="154">
        <f t="shared" si="287"/>
        <v>0</v>
      </c>
      <c r="AG68" s="154">
        <f>SUM(AG70:AG71)</f>
        <v>0</v>
      </c>
      <c r="AH68" s="154">
        <f t="shared" ref="AH68:AI68" si="288">SUM(AH70:AH74)</f>
        <v>0</v>
      </c>
      <c r="AI68" s="154">
        <f t="shared" si="288"/>
        <v>0</v>
      </c>
      <c r="AJ68" s="154">
        <f>SUM(AJ70:AJ71)</f>
        <v>0</v>
      </c>
      <c r="AK68" s="154">
        <f t="shared" ref="AK68:AL68" si="289">SUM(AK70:AK74)</f>
        <v>0</v>
      </c>
      <c r="AL68" s="154">
        <f t="shared" si="289"/>
        <v>0</v>
      </c>
      <c r="AM68" s="154">
        <f>SUM(AM70:AM71)</f>
        <v>0</v>
      </c>
      <c r="AN68" s="154">
        <f t="shared" ref="AN68:AO68" si="290">SUM(AN70:AN74)</f>
        <v>0</v>
      </c>
      <c r="AO68" s="154">
        <f t="shared" si="290"/>
        <v>0</v>
      </c>
      <c r="AP68" s="154">
        <f>SUM(AP70:AP71)</f>
        <v>0</v>
      </c>
      <c r="AQ68" s="154">
        <f>SUM(AQ70:AQ74)</f>
        <v>0</v>
      </c>
      <c r="AR68" s="154">
        <f t="shared" ref="AR68:AS68" si="291">SUM(AR70:AR71)</f>
        <v>0</v>
      </c>
      <c r="AS68" s="154">
        <f t="shared" si="291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92">SUM(AW70:AW74)</f>
        <v>0</v>
      </c>
      <c r="AX68" s="154">
        <f t="shared" si="292"/>
        <v>0</v>
      </c>
      <c r="AY68" s="154">
        <f t="shared" ref="AY68:AZ68" si="293">SUM(AY70:AY71)</f>
        <v>0</v>
      </c>
      <c r="AZ68" s="154">
        <f t="shared" si="293"/>
        <v>0</v>
      </c>
      <c r="BA68" s="154">
        <f>SUM(BA70:BA76)</f>
        <v>0</v>
      </c>
      <c r="BB68" s="154">
        <f t="shared" ref="BB68:BH68" si="294">SUM(BB70:BB71)</f>
        <v>0</v>
      </c>
      <c r="BC68" s="154">
        <f t="shared" si="294"/>
        <v>0</v>
      </c>
      <c r="BD68" s="154">
        <f t="shared" si="294"/>
        <v>0</v>
      </c>
      <c r="BE68" s="154">
        <f t="shared" si="294"/>
        <v>0</v>
      </c>
      <c r="BF68" s="154">
        <f t="shared" si="294"/>
        <v>0</v>
      </c>
      <c r="BG68" s="154">
        <f t="shared" si="294"/>
        <v>0</v>
      </c>
      <c r="BH68" s="154">
        <f t="shared" si="294"/>
        <v>0</v>
      </c>
      <c r="BI68" s="154">
        <f t="shared" ref="BI68:BK68" si="295">SUM(BI69:BI74)</f>
        <v>0</v>
      </c>
      <c r="BJ68" s="154">
        <f t="shared" si="295"/>
        <v>0</v>
      </c>
      <c r="BK68" s="154">
        <f t="shared" si="295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60"/>
        <v>1</v>
      </c>
      <c r="H69" s="94">
        <f t="shared" si="261"/>
        <v>0</v>
      </c>
      <c r="I69" s="142">
        <v>1500</v>
      </c>
      <c r="J69" s="117"/>
      <c r="K69" s="117"/>
      <c r="L69" s="118"/>
      <c r="M69" s="97">
        <f t="shared" ref="M69:O69" si="296">Y69+AB69+AE69+AH69+AK69+AN69+AQ69+AT69+AW69+AZ69+BC69+BF69</f>
        <v>0</v>
      </c>
      <c r="N69" s="97">
        <f t="shared" si="296"/>
        <v>0</v>
      </c>
      <c r="O69" s="97">
        <f t="shared" si="296"/>
        <v>0</v>
      </c>
      <c r="P69" s="82">
        <f t="shared" ref="P69:R69" si="297">IF(BI69=0,SUM(Y69+AB69+AE69+AH69+AK69+AN69+AQ69+AT69+AW69+AZ69+BC69+BF69),BI69)</f>
        <v>0</v>
      </c>
      <c r="Q69" s="82">
        <f t="shared" si="297"/>
        <v>0</v>
      </c>
      <c r="R69" s="82">
        <f t="shared" si="297"/>
        <v>0</v>
      </c>
      <c r="S69" s="97">
        <f t="shared" ref="S69:T69" si="298">I69-M69</f>
        <v>1500</v>
      </c>
      <c r="T69" s="97">
        <f t="shared" si="298"/>
        <v>0</v>
      </c>
      <c r="U69" s="97">
        <f t="shared" ref="U69:U76" si="299">L69-O69</f>
        <v>0</v>
      </c>
      <c r="V69" s="98">
        <f t="shared" ref="V69:W69" si="300">M69/I69</f>
        <v>0</v>
      </c>
      <c r="W69" s="98" t="e">
        <f t="shared" si="300"/>
        <v>#DIV/0!</v>
      </c>
      <c r="X69" s="98" t="e">
        <f t="shared" si="23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510</v>
      </c>
      <c r="E70" s="162">
        <v>10000</v>
      </c>
      <c r="F70" s="142"/>
      <c r="G70" s="94">
        <f t="shared" si="260"/>
        <v>0</v>
      </c>
      <c r="H70" s="94">
        <f t="shared" si="261"/>
        <v>0</v>
      </c>
      <c r="I70" s="142"/>
      <c r="J70" s="117">
        <v>5435.51</v>
      </c>
      <c r="K70" s="117"/>
      <c r="L70" s="118"/>
      <c r="M70" s="97">
        <f t="shared" ref="M70:O70" si="301">Y70+AB70+AE70+AH70+AK70+AN70+AQ70+AT70+AW70+AZ70+BC70+BF70</f>
        <v>0</v>
      </c>
      <c r="N70" s="97">
        <f t="shared" si="301"/>
        <v>324.49</v>
      </c>
      <c r="O70" s="97">
        <f t="shared" si="301"/>
        <v>0</v>
      </c>
      <c r="P70" s="82">
        <f t="shared" ref="P70:R70" si="302">IF(BI70=0,SUM(Y70+AB70+AE70+AH70+AK70+AN70+AQ70+AT70+AW70+AZ70+BC70+BF70),BI70)</f>
        <v>0</v>
      </c>
      <c r="Q70" s="82">
        <f t="shared" si="302"/>
        <v>324.49</v>
      </c>
      <c r="R70" s="82">
        <f t="shared" si="302"/>
        <v>0</v>
      </c>
      <c r="S70" s="97">
        <f t="shared" ref="S70:T70" si="303">I70-M70</f>
        <v>0</v>
      </c>
      <c r="T70" s="97">
        <f t="shared" si="303"/>
        <v>5111.0200000000004</v>
      </c>
      <c r="U70" s="97">
        <f t="shared" si="299"/>
        <v>0</v>
      </c>
      <c r="V70" s="98" t="e">
        <f t="shared" ref="V70:W70" si="304">M70/I70</f>
        <v>#DIV/0!</v>
      </c>
      <c r="W70" s="98">
        <f t="shared" si="304"/>
        <v>5.9698169996927612E-2</v>
      </c>
      <c r="X70" s="98" t="e">
        <f t="shared" si="23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0</v>
      </c>
      <c r="AG70" s="96"/>
      <c r="AH70" s="96"/>
      <c r="AI70" s="103">
        <v>0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89"/>
      <c r="B71" s="136"/>
      <c r="C71" s="101" t="s">
        <v>306</v>
      </c>
      <c r="D71" s="91" t="s">
        <v>511</v>
      </c>
      <c r="E71" s="92">
        <v>30000</v>
      </c>
      <c r="F71" s="166"/>
      <c r="G71" s="94">
        <f t="shared" si="260"/>
        <v>0</v>
      </c>
      <c r="H71" s="94">
        <f t="shared" si="261"/>
        <v>0</v>
      </c>
      <c r="I71" s="96"/>
      <c r="J71" s="117"/>
      <c r="K71" s="117"/>
      <c r="L71" s="118"/>
      <c r="M71" s="97">
        <f t="shared" ref="M71:O71" si="305">Y71+AB71+AE71+AH71+AK71+AN71+AQ71+AT71+AW71+AZ71+BC71+BF71</f>
        <v>0</v>
      </c>
      <c r="N71" s="97">
        <f t="shared" si="305"/>
        <v>0</v>
      </c>
      <c r="O71" s="97">
        <f t="shared" si="305"/>
        <v>0</v>
      </c>
      <c r="P71" s="82">
        <f t="shared" ref="P71:R71" si="306">IF(BI71=0,SUM(Y71+AB71+AE71+AH71+AK71+AN71+AQ71+AT71+AW71+AZ71+BC71+BF71),BI71)</f>
        <v>0</v>
      </c>
      <c r="Q71" s="82">
        <f t="shared" si="306"/>
        <v>0</v>
      </c>
      <c r="R71" s="82">
        <f t="shared" si="306"/>
        <v>0</v>
      </c>
      <c r="S71" s="97">
        <f t="shared" ref="S71:T71" si="307">I71-M71</f>
        <v>0</v>
      </c>
      <c r="T71" s="97">
        <f t="shared" si="307"/>
        <v>0</v>
      </c>
      <c r="U71" s="97">
        <f t="shared" si="299"/>
        <v>0</v>
      </c>
      <c r="V71" s="98" t="e">
        <f t="shared" ref="V71:W71" si="308">M71/I71</f>
        <v>#DIV/0!</v>
      </c>
      <c r="W71" s="98" t="e">
        <f t="shared" si="308"/>
        <v>#DIV/0!</v>
      </c>
      <c r="X71" s="98" t="e">
        <f t="shared" si="23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512</v>
      </c>
      <c r="E72" s="92">
        <v>5200</v>
      </c>
      <c r="F72" s="166"/>
      <c r="G72" s="94">
        <f t="shared" si="260"/>
        <v>0</v>
      </c>
      <c r="H72" s="94">
        <f t="shared" si="261"/>
        <v>0</v>
      </c>
      <c r="I72" s="96"/>
      <c r="J72" s="117">
        <v>2723.27</v>
      </c>
      <c r="K72" s="117"/>
      <c r="L72" s="118"/>
      <c r="M72" s="97">
        <f t="shared" ref="M72:O72" si="309">Y72+AB72+AE72+AH72+AK72+AN72+AQ72+AT72+AW72+AZ72+BC72+BF72</f>
        <v>0</v>
      </c>
      <c r="N72" s="97">
        <f t="shared" si="309"/>
        <v>955.86</v>
      </c>
      <c r="O72" s="97">
        <f t="shared" si="309"/>
        <v>0</v>
      </c>
      <c r="P72" s="82">
        <f t="shared" ref="P72:P87" si="310">IF(BI72=0,SUM(Y72+AB72+AE72+AH72+AK72+AN72+AQ72+AT72+AW72+AZ72+BC72+BF72),BI72)</f>
        <v>0</v>
      </c>
      <c r="Q72" s="82">
        <f>IF(BJ72=0,SUM(Z72+AC72+AF72+AI72+AL72+AO72+AR72+AT72+AX72+BA72+BD72+BG72),BJ72)</f>
        <v>955.86</v>
      </c>
      <c r="R72" s="82">
        <f>IF(BK72=0,SUM(AA72+AD72+AG72+AJ72+AM72+AP72+AS72+AV72+AY72+BB72+BE72+BH72),BK72)</f>
        <v>0</v>
      </c>
      <c r="S72" s="97">
        <f t="shared" ref="S72:T72" si="311">I72-M72</f>
        <v>0</v>
      </c>
      <c r="T72" s="97">
        <f t="shared" si="311"/>
        <v>1767.4099999999999</v>
      </c>
      <c r="U72" s="97">
        <f t="shared" si="299"/>
        <v>0</v>
      </c>
      <c r="V72" s="98" t="e">
        <f t="shared" ref="V72:W72" si="312">M72/I72</f>
        <v>#DIV/0!</v>
      </c>
      <c r="W72" s="98">
        <f t="shared" si="312"/>
        <v>0.35099714681247179</v>
      </c>
      <c r="X72" s="98" t="e">
        <f t="shared" si="23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60"/>
        <v>0</v>
      </c>
      <c r="H73" s="94">
        <f t="shared" si="261"/>
        <v>0</v>
      </c>
      <c r="I73" s="96"/>
      <c r="J73" s="117"/>
      <c r="K73" s="117"/>
      <c r="L73" s="118"/>
      <c r="M73" s="97">
        <f t="shared" ref="M73:O73" si="313">Y73+AB73+AE73+AH73+AK73+AN73+AQ73+AT73+AW73+AZ73+BC73+BF73</f>
        <v>0</v>
      </c>
      <c r="N73" s="97">
        <f t="shared" si="313"/>
        <v>0</v>
      </c>
      <c r="O73" s="97">
        <f t="shared" si="313"/>
        <v>0</v>
      </c>
      <c r="P73" s="82">
        <f t="shared" si="310"/>
        <v>0</v>
      </c>
      <c r="Q73" s="82">
        <f t="shared" ref="Q73:R73" si="314">IF(BJ73=0,SUM(Z73+AC73+AF73+AI73+AL73+AO73+AR73+AU73+AX73+BA73+BD73+BG73),BJ73)</f>
        <v>0</v>
      </c>
      <c r="R73" s="82">
        <f t="shared" si="314"/>
        <v>0</v>
      </c>
      <c r="S73" s="97">
        <f t="shared" ref="S73:T73" si="315">I73-M73</f>
        <v>0</v>
      </c>
      <c r="T73" s="97">
        <f t="shared" si="315"/>
        <v>0</v>
      </c>
      <c r="U73" s="97">
        <f t="shared" si="299"/>
        <v>0</v>
      </c>
      <c r="V73" s="98" t="e">
        <f t="shared" ref="V73:W73" si="316">M73/I73</f>
        <v>#DIV/0!</v>
      </c>
      <c r="W73" s="98" t="e">
        <f t="shared" si="316"/>
        <v>#DIV/0!</v>
      </c>
      <c r="X73" s="98" t="e">
        <f t="shared" si="23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60"/>
        <v>0.1028</v>
      </c>
      <c r="H74" s="94">
        <f t="shared" si="261"/>
        <v>0</v>
      </c>
      <c r="I74" s="96">
        <v>3084</v>
      </c>
      <c r="J74" s="167">
        <v>2243.89</v>
      </c>
      <c r="K74" s="117"/>
      <c r="L74" s="118"/>
      <c r="M74" s="97">
        <f t="shared" ref="M74:O74" si="317">Y74+AB74+AE74+AH74+AK74+AN74+AQ74+AT74+AW74+AZ74+BC74+BF74</f>
        <v>0</v>
      </c>
      <c r="N74" s="97">
        <f t="shared" si="317"/>
        <v>345.24</v>
      </c>
      <c r="O74" s="97">
        <f t="shared" si="317"/>
        <v>0</v>
      </c>
      <c r="P74" s="82">
        <f t="shared" si="310"/>
        <v>0</v>
      </c>
      <c r="Q74" s="82">
        <f t="shared" ref="Q74:R74" si="318">IF(BJ74=0,SUM(Z74+AC74+AF74+AI74+AL74+AO74+AR74+AU74+AX74+BA74+BD74+BG74),BJ74)</f>
        <v>345.24</v>
      </c>
      <c r="R74" s="82">
        <f t="shared" si="318"/>
        <v>0</v>
      </c>
      <c r="S74" s="97">
        <f t="shared" ref="S74:T74" si="319">I74-M74</f>
        <v>3084</v>
      </c>
      <c r="T74" s="97">
        <f t="shared" si="319"/>
        <v>1898.6499999999999</v>
      </c>
      <c r="U74" s="97">
        <f t="shared" si="299"/>
        <v>0</v>
      </c>
      <c r="V74" s="98">
        <f t="shared" ref="V74:W74" si="320">M74/I74</f>
        <v>0</v>
      </c>
      <c r="W74" s="98">
        <f t="shared" si="320"/>
        <v>0.15385780942916097</v>
      </c>
      <c r="X74" s="98" t="e">
        <f t="shared" si="23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v>0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60"/>
        <v>0</v>
      </c>
      <c r="H75" s="94">
        <f t="shared" si="261"/>
        <v>0</v>
      </c>
      <c r="I75" s="173"/>
      <c r="J75" s="174"/>
      <c r="K75" s="174"/>
      <c r="L75" s="174"/>
      <c r="M75" s="97">
        <f t="shared" ref="M75:O75" si="321">Y75+AB75+AE75+AH75+AK75+AN75+AQ75+AT75+AW75+AZ75+BC75+BF75</f>
        <v>0</v>
      </c>
      <c r="N75" s="97">
        <f t="shared" si="321"/>
        <v>0</v>
      </c>
      <c r="O75" s="175">
        <f t="shared" si="321"/>
        <v>0</v>
      </c>
      <c r="P75" s="82">
        <f t="shared" si="310"/>
        <v>0</v>
      </c>
      <c r="Q75" s="82">
        <f t="shared" ref="Q75:R75" si="322">IF(BJ75=0,SUM(Z75+AC75+AF75+AI75+AL75+AO75+AR75+AU75+AX75+BA75+BD75+BG75),BJ75)</f>
        <v>0</v>
      </c>
      <c r="R75" s="82">
        <f t="shared" si="322"/>
        <v>0</v>
      </c>
      <c r="S75" s="175">
        <f t="shared" ref="S75:T75" si="323">I75-M75</f>
        <v>0</v>
      </c>
      <c r="T75" s="97">
        <f t="shared" si="323"/>
        <v>0</v>
      </c>
      <c r="U75" s="175">
        <f t="shared" si="299"/>
        <v>0</v>
      </c>
      <c r="V75" s="176" t="e">
        <f t="shared" ref="V75:W75" si="324">M75/I75</f>
        <v>#DIV/0!</v>
      </c>
      <c r="W75" s="176" t="e">
        <f t="shared" si="324"/>
        <v>#DIV/0!</v>
      </c>
      <c r="X75" s="176" t="e">
        <f t="shared" si="23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60"/>
        <v>0</v>
      </c>
      <c r="H76" s="94">
        <f t="shared" si="261"/>
        <v>0</v>
      </c>
      <c r="I76" s="174"/>
      <c r="J76" s="174"/>
      <c r="K76" s="174"/>
      <c r="L76" s="174"/>
      <c r="M76" s="175">
        <f t="shared" ref="M76:O76" si="325">Y76+AB76+AE76+AH76+AK76+AN76+AQ76+AT76+AW76+AZ76+BC76+BF76</f>
        <v>0</v>
      </c>
      <c r="N76" s="175">
        <f t="shared" si="325"/>
        <v>0</v>
      </c>
      <c r="O76" s="175">
        <f t="shared" si="325"/>
        <v>0</v>
      </c>
      <c r="P76" s="82">
        <f t="shared" si="310"/>
        <v>0</v>
      </c>
      <c r="Q76" s="82">
        <f t="shared" ref="Q76:R76" si="326">IF(BJ76=0,SUM(Z76+AC76+AF76+AI76+AL76+AO76+AR76+AU76+AX76+BA76+BD76+BG76),BJ76)</f>
        <v>0</v>
      </c>
      <c r="R76" s="82">
        <f t="shared" si="326"/>
        <v>0</v>
      </c>
      <c r="S76" s="175">
        <f t="shared" ref="S76:T76" si="327">I76-M76</f>
        <v>0</v>
      </c>
      <c r="T76" s="175">
        <f t="shared" si="327"/>
        <v>0</v>
      </c>
      <c r="U76" s="175">
        <f t="shared" si="299"/>
        <v>0</v>
      </c>
      <c r="V76" s="176" t="e">
        <f t="shared" ref="V76:W76" si="328">M76/I76</f>
        <v>#DIV/0!</v>
      </c>
      <c r="W76" s="176" t="e">
        <f t="shared" si="328"/>
        <v>#DIV/0!</v>
      </c>
      <c r="X76" s="176" t="e">
        <f t="shared" si="23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60"/>
        <v>0</v>
      </c>
      <c r="H77" s="188">
        <f t="shared" si="261"/>
        <v>0</v>
      </c>
      <c r="I77" s="186">
        <f t="shared" ref="I77:O77" si="329">SUM(I78:I79)</f>
        <v>0</v>
      </c>
      <c r="J77" s="186">
        <f t="shared" si="329"/>
        <v>0</v>
      </c>
      <c r="K77" s="186">
        <f t="shared" si="329"/>
        <v>0</v>
      </c>
      <c r="L77" s="186">
        <f t="shared" si="329"/>
        <v>0</v>
      </c>
      <c r="M77" s="186">
        <f t="shared" si="329"/>
        <v>0</v>
      </c>
      <c r="N77" s="186">
        <f t="shared" si="329"/>
        <v>0</v>
      </c>
      <c r="O77" s="186">
        <f t="shared" si="329"/>
        <v>0</v>
      </c>
      <c r="P77" s="81">
        <f t="shared" si="310"/>
        <v>0</v>
      </c>
      <c r="Q77" s="81">
        <f t="shared" ref="Q77:R77" si="330">IF(BJ77=0,SUM(Z77+AC77+AF77+AI77+AL77+AO77+AR77+AU77+AX77+BA77+BD77+BG77),BJ77)</f>
        <v>0</v>
      </c>
      <c r="R77" s="81">
        <f t="shared" si="330"/>
        <v>0</v>
      </c>
      <c r="S77" s="186">
        <f t="shared" ref="S77:U77" si="331">SUM(S78:S79)</f>
        <v>0</v>
      </c>
      <c r="T77" s="186">
        <f t="shared" si="331"/>
        <v>0</v>
      </c>
      <c r="U77" s="186">
        <f t="shared" si="331"/>
        <v>0</v>
      </c>
      <c r="V77" s="189" t="e">
        <f t="shared" ref="V77:W77" si="332">M77/I77</f>
        <v>#DIV/0!</v>
      </c>
      <c r="W77" s="189" t="e">
        <f t="shared" si="332"/>
        <v>#DIV/0!</v>
      </c>
      <c r="X77" s="189" t="e">
        <f t="shared" si="23"/>
        <v>#DIV/0!</v>
      </c>
      <c r="Y77" s="186">
        <f t="shared" ref="Y77:BK77" si="333">SUM(Y78:Y79)</f>
        <v>0</v>
      </c>
      <c r="Z77" s="186">
        <f t="shared" si="333"/>
        <v>0</v>
      </c>
      <c r="AA77" s="186">
        <f t="shared" si="333"/>
        <v>0</v>
      </c>
      <c r="AB77" s="186">
        <f t="shared" si="333"/>
        <v>0</v>
      </c>
      <c r="AC77" s="186">
        <f t="shared" si="333"/>
        <v>0</v>
      </c>
      <c r="AD77" s="186">
        <f t="shared" si="333"/>
        <v>0</v>
      </c>
      <c r="AE77" s="186">
        <f t="shared" si="333"/>
        <v>0</v>
      </c>
      <c r="AF77" s="186">
        <f t="shared" si="333"/>
        <v>0</v>
      </c>
      <c r="AG77" s="186">
        <f t="shared" si="333"/>
        <v>0</v>
      </c>
      <c r="AH77" s="186">
        <f t="shared" si="333"/>
        <v>0</v>
      </c>
      <c r="AI77" s="186">
        <f t="shared" si="333"/>
        <v>0</v>
      </c>
      <c r="AJ77" s="186">
        <f t="shared" si="333"/>
        <v>0</v>
      </c>
      <c r="AK77" s="186">
        <f t="shared" si="333"/>
        <v>0</v>
      </c>
      <c r="AL77" s="186">
        <f t="shared" si="333"/>
        <v>0</v>
      </c>
      <c r="AM77" s="186">
        <f t="shared" si="333"/>
        <v>0</v>
      </c>
      <c r="AN77" s="186">
        <f t="shared" si="333"/>
        <v>0</v>
      </c>
      <c r="AO77" s="186">
        <f t="shared" si="333"/>
        <v>0</v>
      </c>
      <c r="AP77" s="186">
        <f t="shared" si="333"/>
        <v>0</v>
      </c>
      <c r="AQ77" s="186">
        <f t="shared" si="333"/>
        <v>0</v>
      </c>
      <c r="AR77" s="186">
        <f t="shared" si="333"/>
        <v>0</v>
      </c>
      <c r="AS77" s="186">
        <f t="shared" si="333"/>
        <v>0</v>
      </c>
      <c r="AT77" s="186">
        <f t="shared" si="333"/>
        <v>0</v>
      </c>
      <c r="AU77" s="186">
        <f t="shared" si="333"/>
        <v>0</v>
      </c>
      <c r="AV77" s="186">
        <f t="shared" si="333"/>
        <v>0</v>
      </c>
      <c r="AW77" s="186">
        <f t="shared" si="333"/>
        <v>0</v>
      </c>
      <c r="AX77" s="186">
        <f t="shared" si="333"/>
        <v>0</v>
      </c>
      <c r="AY77" s="186">
        <f t="shared" si="333"/>
        <v>0</v>
      </c>
      <c r="AZ77" s="186">
        <f t="shared" si="333"/>
        <v>0</v>
      </c>
      <c r="BA77" s="186">
        <f t="shared" si="333"/>
        <v>0</v>
      </c>
      <c r="BB77" s="186">
        <f t="shared" si="333"/>
        <v>0</v>
      </c>
      <c r="BC77" s="186">
        <f t="shared" si="333"/>
        <v>0</v>
      </c>
      <c r="BD77" s="186">
        <f t="shared" si="333"/>
        <v>0</v>
      </c>
      <c r="BE77" s="186">
        <f t="shared" si="333"/>
        <v>0</v>
      </c>
      <c r="BF77" s="186">
        <f t="shared" si="333"/>
        <v>0</v>
      </c>
      <c r="BG77" s="186">
        <f t="shared" si="333"/>
        <v>0</v>
      </c>
      <c r="BH77" s="186">
        <f t="shared" si="333"/>
        <v>0</v>
      </c>
      <c r="BI77" s="186">
        <f t="shared" si="333"/>
        <v>0</v>
      </c>
      <c r="BJ77" s="186">
        <f t="shared" si="333"/>
        <v>0</v>
      </c>
      <c r="BK77" s="186">
        <f t="shared" si="333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60"/>
        <v>#DIV/0!</v>
      </c>
      <c r="H78" s="94" t="e">
        <f t="shared" si="261"/>
        <v>#DIV/0!</v>
      </c>
      <c r="I78" s="96"/>
      <c r="J78" s="190"/>
      <c r="K78" s="190"/>
      <c r="L78" s="190"/>
      <c r="M78" s="97">
        <f t="shared" ref="M78:O78" si="334">Y78+AB78+AE78+AH78+AK78+AN78+AQ78+AT78+AW78+AZ78+BC78+BF78</f>
        <v>0</v>
      </c>
      <c r="N78" s="97">
        <f t="shared" si="334"/>
        <v>0</v>
      </c>
      <c r="O78" s="97">
        <f t="shared" si="334"/>
        <v>0</v>
      </c>
      <c r="P78" s="82">
        <f t="shared" si="310"/>
        <v>0</v>
      </c>
      <c r="Q78" s="82">
        <f t="shared" ref="Q78:R78" si="335">IF(BJ78=0,SUM(Z78+AC78+AF78+AI78+AL78+AO78+AR78+AU78+AX78+BA78+BD78+BG78),BJ78)</f>
        <v>0</v>
      </c>
      <c r="R78" s="82">
        <f t="shared" si="335"/>
        <v>0</v>
      </c>
      <c r="S78" s="97">
        <f t="shared" ref="S78:T78" si="336">I78-M78</f>
        <v>0</v>
      </c>
      <c r="T78" s="97">
        <f t="shared" si="336"/>
        <v>0</v>
      </c>
      <c r="U78" s="97">
        <f t="shared" ref="U78:U79" si="337">L78-O78</f>
        <v>0</v>
      </c>
      <c r="V78" s="98" t="e">
        <f t="shared" ref="V78:W78" si="338">M78/I78</f>
        <v>#DIV/0!</v>
      </c>
      <c r="W78" s="98" t="e">
        <f t="shared" si="338"/>
        <v>#DIV/0!</v>
      </c>
      <c r="X78" s="98" t="e">
        <f t="shared" si="23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60"/>
        <v>#DIV/0!</v>
      </c>
      <c r="H79" s="94" t="e">
        <f t="shared" si="261"/>
        <v>#DIV/0!</v>
      </c>
      <c r="I79" s="96"/>
      <c r="J79" s="190"/>
      <c r="K79" s="190"/>
      <c r="L79" s="190"/>
      <c r="M79" s="97">
        <f t="shared" ref="M79:O79" si="339">Y79+AB79+AE79+AH79+AK79+AN79+AQ79+AT79+AW79+AZ79+BC79+BF79</f>
        <v>0</v>
      </c>
      <c r="N79" s="97">
        <f t="shared" si="339"/>
        <v>0</v>
      </c>
      <c r="O79" s="97">
        <f t="shared" si="339"/>
        <v>0</v>
      </c>
      <c r="P79" s="82">
        <f t="shared" si="310"/>
        <v>0</v>
      </c>
      <c r="Q79" s="82">
        <f t="shared" ref="Q79:R79" si="340">IF(BJ79=0,SUM(Z79+AC79+AF79+AI79+AL79+AO79+AR79+AU79+AX79+BA79+BD79+BG79),BJ79)</f>
        <v>0</v>
      </c>
      <c r="R79" s="82">
        <f t="shared" si="340"/>
        <v>0</v>
      </c>
      <c r="S79" s="97">
        <f t="shared" ref="S79:T79" si="341">I79-M79</f>
        <v>0</v>
      </c>
      <c r="T79" s="97">
        <f t="shared" si="341"/>
        <v>0</v>
      </c>
      <c r="U79" s="97">
        <f t="shared" si="337"/>
        <v>0</v>
      </c>
      <c r="V79" s="98" t="e">
        <f t="shared" ref="V79:W79" si="342">M79/I79</f>
        <v>#DIV/0!</v>
      </c>
      <c r="W79" s="98" t="e">
        <f t="shared" si="342"/>
        <v>#DIV/0!</v>
      </c>
      <c r="X79" s="98" t="e">
        <f t="shared" si="23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43">SUM(E81:E83)</f>
        <v>13808</v>
      </c>
      <c r="F80" s="154">
        <f t="shared" si="343"/>
        <v>0</v>
      </c>
      <c r="G80" s="192">
        <f t="shared" si="260"/>
        <v>0.27578215527230593</v>
      </c>
      <c r="H80" s="192">
        <f t="shared" si="261"/>
        <v>0</v>
      </c>
      <c r="I80" s="154">
        <f t="shared" ref="I80:O80" si="344">SUM(I81:I83)</f>
        <v>3808</v>
      </c>
      <c r="J80" s="154">
        <f t="shared" si="344"/>
        <v>0</v>
      </c>
      <c r="K80" s="154">
        <f t="shared" si="344"/>
        <v>0</v>
      </c>
      <c r="L80" s="154">
        <f t="shared" si="344"/>
        <v>0</v>
      </c>
      <c r="M80" s="154">
        <f t="shared" si="344"/>
        <v>0</v>
      </c>
      <c r="N80" s="154">
        <f t="shared" si="344"/>
        <v>0</v>
      </c>
      <c r="O80" s="154">
        <f t="shared" si="344"/>
        <v>0</v>
      </c>
      <c r="P80" s="81">
        <f t="shared" si="310"/>
        <v>0</v>
      </c>
      <c r="Q80" s="81">
        <f t="shared" ref="Q80:R80" si="345">IF(BJ80=0,SUM(Z80+AC80+AF80+AI80+AL80+AO80+AR80+AU80+AX80+BA80+BD80+BG80),BJ80)</f>
        <v>0</v>
      </c>
      <c r="R80" s="81">
        <f t="shared" si="345"/>
        <v>0</v>
      </c>
      <c r="S80" s="154">
        <f t="shared" ref="S80:U80" si="346">SUM(S81:S83)</f>
        <v>3808</v>
      </c>
      <c r="T80" s="154">
        <f t="shared" si="346"/>
        <v>0</v>
      </c>
      <c r="U80" s="154">
        <f t="shared" si="346"/>
        <v>0</v>
      </c>
      <c r="V80" s="193">
        <f t="shared" ref="V80:W80" si="347">M80/I80</f>
        <v>0</v>
      </c>
      <c r="W80" s="193" t="e">
        <f t="shared" si="347"/>
        <v>#DIV/0!</v>
      </c>
      <c r="X80" s="193" t="e">
        <f t="shared" si="23"/>
        <v>#DIV/0!</v>
      </c>
      <c r="Y80" s="154">
        <f t="shared" ref="Y80:BK80" si="348">SUM(Y81:Y83)</f>
        <v>0</v>
      </c>
      <c r="Z80" s="154">
        <f t="shared" si="348"/>
        <v>0</v>
      </c>
      <c r="AA80" s="154">
        <f t="shared" si="348"/>
        <v>0</v>
      </c>
      <c r="AB80" s="154">
        <f t="shared" si="348"/>
        <v>0</v>
      </c>
      <c r="AC80" s="154">
        <f t="shared" si="348"/>
        <v>0</v>
      </c>
      <c r="AD80" s="154">
        <f t="shared" si="348"/>
        <v>0</v>
      </c>
      <c r="AE80" s="154">
        <f t="shared" si="348"/>
        <v>0</v>
      </c>
      <c r="AF80" s="154">
        <f t="shared" si="348"/>
        <v>0</v>
      </c>
      <c r="AG80" s="154">
        <f t="shared" si="348"/>
        <v>0</v>
      </c>
      <c r="AH80" s="154">
        <f t="shared" si="348"/>
        <v>0</v>
      </c>
      <c r="AI80" s="154">
        <f t="shared" si="348"/>
        <v>0</v>
      </c>
      <c r="AJ80" s="154">
        <f t="shared" si="348"/>
        <v>0</v>
      </c>
      <c r="AK80" s="154">
        <f t="shared" si="348"/>
        <v>0</v>
      </c>
      <c r="AL80" s="154">
        <f t="shared" si="348"/>
        <v>0</v>
      </c>
      <c r="AM80" s="154">
        <f t="shared" si="348"/>
        <v>0</v>
      </c>
      <c r="AN80" s="154">
        <f t="shared" si="348"/>
        <v>0</v>
      </c>
      <c r="AO80" s="154">
        <f t="shared" si="348"/>
        <v>0</v>
      </c>
      <c r="AP80" s="154">
        <f t="shared" si="348"/>
        <v>0</v>
      </c>
      <c r="AQ80" s="154">
        <f t="shared" si="348"/>
        <v>0</v>
      </c>
      <c r="AR80" s="154">
        <f t="shared" si="348"/>
        <v>0</v>
      </c>
      <c r="AS80" s="154">
        <f t="shared" si="348"/>
        <v>0</v>
      </c>
      <c r="AT80" s="154">
        <f t="shared" si="348"/>
        <v>0</v>
      </c>
      <c r="AU80" s="154">
        <f t="shared" si="348"/>
        <v>0</v>
      </c>
      <c r="AV80" s="154">
        <f t="shared" si="348"/>
        <v>0</v>
      </c>
      <c r="AW80" s="154">
        <f t="shared" si="348"/>
        <v>0</v>
      </c>
      <c r="AX80" s="154">
        <f t="shared" si="348"/>
        <v>0</v>
      </c>
      <c r="AY80" s="154">
        <f t="shared" si="348"/>
        <v>0</v>
      </c>
      <c r="AZ80" s="154">
        <f t="shared" si="348"/>
        <v>0</v>
      </c>
      <c r="BA80" s="154">
        <f t="shared" si="348"/>
        <v>0</v>
      </c>
      <c r="BB80" s="154">
        <f t="shared" si="348"/>
        <v>0</v>
      </c>
      <c r="BC80" s="154">
        <f t="shared" si="348"/>
        <v>0</v>
      </c>
      <c r="BD80" s="154">
        <f t="shared" si="348"/>
        <v>0</v>
      </c>
      <c r="BE80" s="154">
        <f t="shared" si="348"/>
        <v>0</v>
      </c>
      <c r="BF80" s="154">
        <f t="shared" si="348"/>
        <v>0</v>
      </c>
      <c r="BG80" s="154">
        <f t="shared" si="348"/>
        <v>0</v>
      </c>
      <c r="BH80" s="154">
        <f t="shared" si="348"/>
        <v>0</v>
      </c>
      <c r="BI80" s="154">
        <f t="shared" si="348"/>
        <v>0</v>
      </c>
      <c r="BJ80" s="154">
        <f t="shared" si="348"/>
        <v>0</v>
      </c>
      <c r="BK80" s="154">
        <f t="shared" si="348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49">Y81+AB81+AE81+AH81+AK81+AN81+AQ81+AT81+AW81+AZ81+BC81+BF81</f>
        <v>0</v>
      </c>
      <c r="N81" s="97">
        <f t="shared" si="349"/>
        <v>0</v>
      </c>
      <c r="O81" s="97">
        <f t="shared" si="349"/>
        <v>0</v>
      </c>
      <c r="P81" s="82">
        <f t="shared" si="310"/>
        <v>0</v>
      </c>
      <c r="Q81" s="82">
        <f t="shared" ref="Q81:R81" si="350">IF(BJ81=0,SUM(Z81+AC81+AF81+AI81+AL81+AO81+AR81+AU81+AX81+BA81+BD81+BG81),BJ81)</f>
        <v>0</v>
      </c>
      <c r="R81" s="82">
        <f t="shared" si="350"/>
        <v>0</v>
      </c>
      <c r="S81" s="97">
        <f t="shared" ref="S81:T81" si="351">I81-M81</f>
        <v>3808</v>
      </c>
      <c r="T81" s="97">
        <f t="shared" si="351"/>
        <v>0</v>
      </c>
      <c r="U81" s="97">
        <f t="shared" ref="U81:U83" si="352">L81-O81</f>
        <v>0</v>
      </c>
      <c r="V81" s="98">
        <f t="shared" ref="V81:W81" si="353">M81/I81</f>
        <v>0</v>
      </c>
      <c r="W81" s="98" t="e">
        <f t="shared" si="353"/>
        <v>#DIV/0!</v>
      </c>
      <c r="X81" s="98" t="e">
        <f t="shared" si="23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54">I82/E82</f>
        <v>#DIV/0!</v>
      </c>
      <c r="H82" s="94" t="e">
        <f t="shared" ref="H82:H89" si="355">M82/E82</f>
        <v>#DIV/0!</v>
      </c>
      <c r="I82" s="96"/>
      <c r="J82" s="96"/>
      <c r="K82" s="96"/>
      <c r="L82" s="95"/>
      <c r="M82" s="97">
        <f t="shared" ref="M82:O82" si="356">Y82+AB82+AE82+AH82+AK82+AN82+AQ82+AT82+AW82+AZ82+BC82+BF82</f>
        <v>0</v>
      </c>
      <c r="N82" s="97">
        <f t="shared" si="356"/>
        <v>0</v>
      </c>
      <c r="O82" s="97">
        <f t="shared" si="356"/>
        <v>0</v>
      </c>
      <c r="P82" s="82">
        <f t="shared" si="310"/>
        <v>0</v>
      </c>
      <c r="Q82" s="82">
        <f t="shared" ref="Q82:R82" si="357">IF(BJ82=0,SUM(Z82+AC82+AF82+AI82+AL82+AO82+AR82+AU82+AX82+BA82+BD82+BG82),BJ82)</f>
        <v>0</v>
      </c>
      <c r="R82" s="82">
        <f t="shared" si="357"/>
        <v>0</v>
      </c>
      <c r="S82" s="97">
        <f t="shared" ref="S82:T82" si="358">I82-M82</f>
        <v>0</v>
      </c>
      <c r="T82" s="97">
        <f t="shared" si="358"/>
        <v>0</v>
      </c>
      <c r="U82" s="97">
        <f t="shared" si="352"/>
        <v>0</v>
      </c>
      <c r="V82" s="98" t="e">
        <f t="shared" ref="V82:W82" si="359">M82/I82</f>
        <v>#DIV/0!</v>
      </c>
      <c r="W82" s="98" t="e">
        <f t="shared" si="359"/>
        <v>#DIV/0!</v>
      </c>
      <c r="X82" s="98" t="e">
        <f t="shared" si="23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54"/>
        <v>0</v>
      </c>
      <c r="H83" s="94">
        <f t="shared" si="355"/>
        <v>0</v>
      </c>
      <c r="I83" s="142"/>
      <c r="J83" s="96"/>
      <c r="K83" s="96"/>
      <c r="L83" s="95"/>
      <c r="M83" s="97">
        <f t="shared" ref="M83:O83" si="360">Y83+AB83+AE83+AH83+AK83+AN83+AQ83+AT83+AW83+AZ83+BC83+BF83</f>
        <v>0</v>
      </c>
      <c r="N83" s="97">
        <f t="shared" si="360"/>
        <v>0</v>
      </c>
      <c r="O83" s="97">
        <f t="shared" si="360"/>
        <v>0</v>
      </c>
      <c r="P83" s="82">
        <f t="shared" si="310"/>
        <v>0</v>
      </c>
      <c r="Q83" s="82">
        <f t="shared" ref="Q83:R83" si="361">IF(BJ83=0,SUM(Z83+AC83+AF83+AI83+AL83+AO83+AR83+AU83+AX83+BA83+BD83+BG83),BJ83)</f>
        <v>0</v>
      </c>
      <c r="R83" s="82">
        <f t="shared" si="361"/>
        <v>0</v>
      </c>
      <c r="S83" s="97">
        <f t="shared" ref="S83:T83" si="362">I83-M83</f>
        <v>0</v>
      </c>
      <c r="T83" s="97">
        <f t="shared" si="362"/>
        <v>0</v>
      </c>
      <c r="U83" s="97">
        <f t="shared" si="352"/>
        <v>0</v>
      </c>
      <c r="V83" s="98" t="e">
        <f t="shared" ref="V83:W83" si="363">M83/I83</f>
        <v>#DIV/0!</v>
      </c>
      <c r="W83" s="98" t="e">
        <f t="shared" si="363"/>
        <v>#DIV/0!</v>
      </c>
      <c r="X83" s="98" t="e">
        <f t="shared" si="23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54"/>
        <v>0</v>
      </c>
      <c r="H84" s="192">
        <f t="shared" si="355"/>
        <v>0</v>
      </c>
      <c r="I84" s="154">
        <f t="shared" ref="I84:K84" si="364">SUM(I85:I88)</f>
        <v>0</v>
      </c>
      <c r="J84" s="154">
        <f t="shared" si="364"/>
        <v>73937.67</v>
      </c>
      <c r="K84" s="154">
        <f t="shared" si="364"/>
        <v>0</v>
      </c>
      <c r="L84" s="154">
        <f t="shared" ref="L84:O84" si="365">SUM(L85:L87)</f>
        <v>0</v>
      </c>
      <c r="M84" s="154">
        <f t="shared" si="365"/>
        <v>0</v>
      </c>
      <c r="N84" s="154">
        <f t="shared" si="365"/>
        <v>10901.4</v>
      </c>
      <c r="O84" s="154">
        <f t="shared" si="365"/>
        <v>0</v>
      </c>
      <c r="P84" s="81">
        <f t="shared" si="310"/>
        <v>0</v>
      </c>
      <c r="Q84" s="81">
        <f t="shared" ref="Q84:R84" si="366">IF(BJ84=0,SUM(Z84+AC84+AF84+AI84+AL84+AO84+AR84+AU84+AX84+BA84+BD84+BG84),BJ84)</f>
        <v>10901.4</v>
      </c>
      <c r="R84" s="81">
        <f t="shared" si="366"/>
        <v>0</v>
      </c>
      <c r="S84" s="154">
        <f t="shared" ref="S84:T84" si="367">SUM(S85:S88)</f>
        <v>0</v>
      </c>
      <c r="T84" s="154">
        <f t="shared" si="367"/>
        <v>63036.27</v>
      </c>
      <c r="U84" s="154">
        <f>SUM(U85:U87)</f>
        <v>0</v>
      </c>
      <c r="V84" s="193" t="e">
        <f t="shared" ref="V84:W84" si="368">M84/I84</f>
        <v>#DIV/0!</v>
      </c>
      <c r="W84" s="193">
        <f t="shared" si="368"/>
        <v>0.14744040487075127</v>
      </c>
      <c r="X84" s="193" t="e">
        <f t="shared" si="23"/>
        <v>#DIV/0!</v>
      </c>
      <c r="Y84" s="154">
        <f t="shared" ref="Y84:BK84" si="369">SUM(Y85:Y87)</f>
        <v>0</v>
      </c>
      <c r="Z84" s="154">
        <f t="shared" si="369"/>
        <v>4271.3999999999996</v>
      </c>
      <c r="AA84" s="154">
        <f t="shared" si="369"/>
        <v>0</v>
      </c>
      <c r="AB84" s="154">
        <f t="shared" si="369"/>
        <v>0</v>
      </c>
      <c r="AC84" s="154">
        <f t="shared" si="369"/>
        <v>6630</v>
      </c>
      <c r="AD84" s="154">
        <f t="shared" si="369"/>
        <v>0</v>
      </c>
      <c r="AE84" s="154">
        <f t="shared" si="369"/>
        <v>0</v>
      </c>
      <c r="AF84" s="154">
        <f t="shared" si="369"/>
        <v>0</v>
      </c>
      <c r="AG84" s="154">
        <f t="shared" si="369"/>
        <v>0</v>
      </c>
      <c r="AH84" s="154">
        <f t="shared" si="369"/>
        <v>0</v>
      </c>
      <c r="AI84" s="154">
        <f t="shared" si="369"/>
        <v>0</v>
      </c>
      <c r="AJ84" s="154">
        <f t="shared" si="369"/>
        <v>0</v>
      </c>
      <c r="AK84" s="154">
        <f t="shared" si="369"/>
        <v>0</v>
      </c>
      <c r="AL84" s="154">
        <f t="shared" si="369"/>
        <v>0</v>
      </c>
      <c r="AM84" s="154">
        <f t="shared" si="369"/>
        <v>0</v>
      </c>
      <c r="AN84" s="154">
        <f t="shared" si="369"/>
        <v>0</v>
      </c>
      <c r="AO84" s="154">
        <f t="shared" si="369"/>
        <v>0</v>
      </c>
      <c r="AP84" s="154">
        <f t="shared" si="369"/>
        <v>0</v>
      </c>
      <c r="AQ84" s="154">
        <f t="shared" si="369"/>
        <v>0</v>
      </c>
      <c r="AR84" s="154">
        <f t="shared" si="369"/>
        <v>0</v>
      </c>
      <c r="AS84" s="154">
        <f t="shared" si="369"/>
        <v>0</v>
      </c>
      <c r="AT84" s="154">
        <f t="shared" si="369"/>
        <v>0</v>
      </c>
      <c r="AU84" s="154">
        <f t="shared" si="369"/>
        <v>0</v>
      </c>
      <c r="AV84" s="154">
        <f t="shared" si="369"/>
        <v>0</v>
      </c>
      <c r="AW84" s="154">
        <f t="shared" si="369"/>
        <v>0</v>
      </c>
      <c r="AX84" s="154">
        <f t="shared" si="369"/>
        <v>0</v>
      </c>
      <c r="AY84" s="154">
        <f t="shared" si="369"/>
        <v>0</v>
      </c>
      <c r="AZ84" s="154">
        <f t="shared" si="369"/>
        <v>0</v>
      </c>
      <c r="BA84" s="154">
        <f t="shared" si="369"/>
        <v>0</v>
      </c>
      <c r="BB84" s="154">
        <f t="shared" si="369"/>
        <v>0</v>
      </c>
      <c r="BC84" s="154">
        <f t="shared" si="369"/>
        <v>0</v>
      </c>
      <c r="BD84" s="154">
        <f t="shared" si="369"/>
        <v>0</v>
      </c>
      <c r="BE84" s="154">
        <f t="shared" si="369"/>
        <v>0</v>
      </c>
      <c r="BF84" s="154">
        <f t="shared" si="369"/>
        <v>0</v>
      </c>
      <c r="BG84" s="154">
        <f t="shared" si="369"/>
        <v>0</v>
      </c>
      <c r="BH84" s="154">
        <f t="shared" si="369"/>
        <v>0</v>
      </c>
      <c r="BI84" s="154">
        <f t="shared" si="369"/>
        <v>0</v>
      </c>
      <c r="BJ84" s="154">
        <f t="shared" si="369"/>
        <v>0</v>
      </c>
      <c r="BK84" s="154">
        <f t="shared" si="369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54"/>
        <v>0</v>
      </c>
      <c r="H85" s="94">
        <f t="shared" si="355"/>
        <v>0</v>
      </c>
      <c r="I85" s="142"/>
      <c r="J85" s="96"/>
      <c r="K85" s="96"/>
      <c r="L85" s="95"/>
      <c r="M85" s="97">
        <f t="shared" ref="M85:O85" si="370">Y85+AB85+AE85+AH85+AK85+AN85+AQ85+AT85+AW85+AZ85+BC85+BF85</f>
        <v>0</v>
      </c>
      <c r="N85" s="97">
        <f t="shared" si="370"/>
        <v>0</v>
      </c>
      <c r="O85" s="97">
        <f t="shared" si="370"/>
        <v>0</v>
      </c>
      <c r="P85" s="82">
        <f t="shared" si="310"/>
        <v>0</v>
      </c>
      <c r="Q85" s="82">
        <f t="shared" ref="Q85:R85" si="371">IF(BJ85=0,SUM(Z85+AC85+AF85+AI85+AL85+AO85+AR85+AU85+AX85+BA85+BD85+BG85),BJ85)</f>
        <v>0</v>
      </c>
      <c r="R85" s="82">
        <f t="shared" si="371"/>
        <v>0</v>
      </c>
      <c r="S85" s="97">
        <f t="shared" ref="S85:T85" si="372">I85-M85</f>
        <v>0</v>
      </c>
      <c r="T85" s="97">
        <f t="shared" si="372"/>
        <v>0</v>
      </c>
      <c r="U85" s="97">
        <f t="shared" ref="U85:U88" si="373">L85-O85</f>
        <v>0</v>
      </c>
      <c r="V85" s="98" t="e">
        <f t="shared" ref="V85:W85" si="374">M85/I85</f>
        <v>#DIV/0!</v>
      </c>
      <c r="W85" s="98" t="e">
        <f t="shared" si="374"/>
        <v>#DIV/0!</v>
      </c>
      <c r="X85" s="98" t="e">
        <f t="shared" si="23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54"/>
        <v>0</v>
      </c>
      <c r="H86" s="94">
        <f t="shared" si="355"/>
        <v>0</v>
      </c>
      <c r="I86" s="95"/>
      <c r="J86" s="119"/>
      <c r="K86" s="119"/>
      <c r="L86" s="95"/>
      <c r="M86" s="97">
        <f t="shared" ref="M86:O86" si="375">Y86+AB86+AE86+AH86+AK86+AN86+AQ86+AT86+AW86+AZ86+BC86+BF86</f>
        <v>0</v>
      </c>
      <c r="N86" s="97">
        <f t="shared" si="375"/>
        <v>0</v>
      </c>
      <c r="O86" s="97">
        <f t="shared" si="375"/>
        <v>0</v>
      </c>
      <c r="P86" s="82">
        <f t="shared" si="310"/>
        <v>0</v>
      </c>
      <c r="Q86" s="82">
        <f t="shared" ref="Q86:R86" si="376">IF(BJ86=0,SUM(Z86+AC86+AF86+AI86+AL86+AO86+AR86+AU86+AX86+BA86+BD86+BG86),BJ86)</f>
        <v>0</v>
      </c>
      <c r="R86" s="82">
        <f t="shared" si="376"/>
        <v>0</v>
      </c>
      <c r="S86" s="97">
        <f t="shared" ref="S86:T86" si="377">I86-M86</f>
        <v>0</v>
      </c>
      <c r="T86" s="97">
        <f t="shared" si="377"/>
        <v>0</v>
      </c>
      <c r="U86" s="97">
        <f t="shared" si="373"/>
        <v>0</v>
      </c>
      <c r="V86" s="98" t="e">
        <f t="shared" ref="V86:W86" si="378">M86/I86</f>
        <v>#DIV/0!</v>
      </c>
      <c r="W86" s="98" t="e">
        <f t="shared" si="378"/>
        <v>#DIV/0!</v>
      </c>
      <c r="X86" s="98" t="e">
        <f t="shared" si="23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54"/>
        <v>0</v>
      </c>
      <c r="H87" s="94">
        <f t="shared" si="355"/>
        <v>0</v>
      </c>
      <c r="I87" s="96"/>
      <c r="J87" s="117">
        <v>73937.67</v>
      </c>
      <c r="K87" s="117"/>
      <c r="L87" s="95"/>
      <c r="M87" s="97">
        <f t="shared" ref="M87:O87" si="379">Y87+AB87+AE87+AH87+AK87+AN87+AQ87+AT87+AW87+AZ87+BC87+BF87</f>
        <v>0</v>
      </c>
      <c r="N87" s="97">
        <f t="shared" si="379"/>
        <v>10901.4</v>
      </c>
      <c r="O87" s="97">
        <f t="shared" si="379"/>
        <v>0</v>
      </c>
      <c r="P87" s="82">
        <f t="shared" si="310"/>
        <v>0</v>
      </c>
      <c r="Q87" s="82">
        <f t="shared" ref="Q87:R87" si="380">IF(BJ87=0,SUM(Z87+AC87+AF87+AI87+AL87+AO87+AR87+AU87+AX87+BA87+BD87+BG87),BJ87)</f>
        <v>10901.4</v>
      </c>
      <c r="R87" s="82">
        <f t="shared" si="380"/>
        <v>0</v>
      </c>
      <c r="S87" s="97">
        <f t="shared" ref="S87:T87" si="381">I87-M87</f>
        <v>0</v>
      </c>
      <c r="T87" s="97">
        <f t="shared" si="381"/>
        <v>63036.27</v>
      </c>
      <c r="U87" s="97">
        <f t="shared" si="373"/>
        <v>0</v>
      </c>
      <c r="V87" s="98" t="e">
        <f t="shared" ref="V87:W87" si="382">M87/I87</f>
        <v>#DIV/0!</v>
      </c>
      <c r="W87" s="98">
        <f t="shared" si="382"/>
        <v>0.14744040487075127</v>
      </c>
      <c r="X87" s="98" t="e">
        <f t="shared" si="23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v>0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54"/>
        <v>0</v>
      </c>
      <c r="H88" s="94">
        <f t="shared" si="355"/>
        <v>0</v>
      </c>
      <c r="I88" s="126"/>
      <c r="J88" s="126"/>
      <c r="K88" s="117"/>
      <c r="L88" s="95"/>
      <c r="M88" s="196">
        <f t="shared" ref="M88:N88" si="383">Y88+AE88+AH88+AK88+AN88+AQ88+AT88+AW88+AZ88+BC88+BF88</f>
        <v>0</v>
      </c>
      <c r="N88" s="97">
        <f t="shared" si="383"/>
        <v>0</v>
      </c>
      <c r="O88" s="97">
        <f>AA88+AD88+AG88+AJ88+AM88+AP88+AS88+AV88+AY88+BB88+BE88+BH88</f>
        <v>0</v>
      </c>
      <c r="P88" s="82">
        <f t="shared" ref="P88:Q88" si="384">IF(BI88=0,SUM(Y88+AE88+AH88+AK88+AN88+AQ88+AT88+AW88+AZ88+BC88+BF88),BI88)</f>
        <v>0</v>
      </c>
      <c r="Q88" s="82">
        <f t="shared" si="384"/>
        <v>0</v>
      </c>
      <c r="R88" s="82">
        <f>IF(BK88=0,SUM(AA88+AD88+AG88+AJ88+AM88+AP88+AS88+AV88+AY88+BB88+BE88+BH88),BK88)</f>
        <v>0</v>
      </c>
      <c r="S88" s="97">
        <f t="shared" ref="S88:T88" si="385">I88-M88</f>
        <v>0</v>
      </c>
      <c r="T88" s="97">
        <f t="shared" si="385"/>
        <v>0</v>
      </c>
      <c r="U88" s="97">
        <f t="shared" si="373"/>
        <v>0</v>
      </c>
      <c r="V88" s="98" t="e">
        <f t="shared" ref="V88:W88" si="386">M88/I39</f>
        <v>#DIV/0!</v>
      </c>
      <c r="W88" s="98">
        <f t="shared" si="386"/>
        <v>0</v>
      </c>
      <c r="X88" s="98" t="e">
        <f t="shared" si="23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87">SUM(E90:E95)</f>
        <v>69491.34</v>
      </c>
      <c r="F89" s="154">
        <f t="shared" si="387"/>
        <v>21041.95</v>
      </c>
      <c r="G89" s="192">
        <f t="shared" si="354"/>
        <v>0</v>
      </c>
      <c r="H89" s="192">
        <f t="shared" si="355"/>
        <v>0</v>
      </c>
      <c r="I89" s="154">
        <f t="shared" ref="I89:O89" si="388">SUM(I91:I95)</f>
        <v>0</v>
      </c>
      <c r="J89" s="154">
        <f t="shared" si="388"/>
        <v>0</v>
      </c>
      <c r="K89" s="154">
        <f t="shared" si="388"/>
        <v>0</v>
      </c>
      <c r="L89" s="154">
        <f t="shared" si="388"/>
        <v>0</v>
      </c>
      <c r="M89" s="154">
        <f t="shared" si="388"/>
        <v>0</v>
      </c>
      <c r="N89" s="154">
        <f t="shared" si="388"/>
        <v>0</v>
      </c>
      <c r="O89" s="154">
        <f t="shared" si="388"/>
        <v>0</v>
      </c>
      <c r="P89" s="81">
        <f t="shared" ref="P89:R89" si="389">IF(BI89=0,SUM(Y89+AB89+AE89+AH89+AK89+AN89+AQ89+AT89+AW89+AZ89+BC89+BF89),BI89)</f>
        <v>0</v>
      </c>
      <c r="Q89" s="81">
        <f t="shared" si="389"/>
        <v>0</v>
      </c>
      <c r="R89" s="81">
        <f t="shared" si="389"/>
        <v>0</v>
      </c>
      <c r="S89" s="154">
        <f t="shared" ref="S89:U89" si="390">SUM(S91:S95)</f>
        <v>0</v>
      </c>
      <c r="T89" s="154">
        <f t="shared" si="390"/>
        <v>0</v>
      </c>
      <c r="U89" s="154">
        <f t="shared" si="390"/>
        <v>0</v>
      </c>
      <c r="V89" s="193" t="e">
        <f t="shared" ref="V89:W89" si="391">M89/I89</f>
        <v>#DIV/0!</v>
      </c>
      <c r="W89" s="193" t="e">
        <f t="shared" si="391"/>
        <v>#DIV/0!</v>
      </c>
      <c r="X89" s="193" t="e">
        <f t="shared" si="23"/>
        <v>#DIV/0!</v>
      </c>
      <c r="Y89" s="154">
        <f t="shared" ref="Y89:BK89" si="392">SUM(Y91:Y95)</f>
        <v>0</v>
      </c>
      <c r="Z89" s="154">
        <f t="shared" si="392"/>
        <v>0</v>
      </c>
      <c r="AA89" s="154">
        <f t="shared" si="392"/>
        <v>0</v>
      </c>
      <c r="AB89" s="154">
        <f t="shared" si="392"/>
        <v>0</v>
      </c>
      <c r="AC89" s="154">
        <f t="shared" si="392"/>
        <v>0</v>
      </c>
      <c r="AD89" s="154">
        <f t="shared" si="392"/>
        <v>0</v>
      </c>
      <c r="AE89" s="154">
        <f t="shared" si="392"/>
        <v>0</v>
      </c>
      <c r="AF89" s="154">
        <f t="shared" si="392"/>
        <v>0</v>
      </c>
      <c r="AG89" s="154">
        <f t="shared" si="392"/>
        <v>0</v>
      </c>
      <c r="AH89" s="154">
        <f t="shared" si="392"/>
        <v>0</v>
      </c>
      <c r="AI89" s="154">
        <f t="shared" si="392"/>
        <v>0</v>
      </c>
      <c r="AJ89" s="154">
        <f t="shared" si="392"/>
        <v>0</v>
      </c>
      <c r="AK89" s="154">
        <f t="shared" si="392"/>
        <v>0</v>
      </c>
      <c r="AL89" s="154">
        <f t="shared" si="392"/>
        <v>0</v>
      </c>
      <c r="AM89" s="154">
        <f t="shared" si="392"/>
        <v>0</v>
      </c>
      <c r="AN89" s="154">
        <f t="shared" si="392"/>
        <v>0</v>
      </c>
      <c r="AO89" s="154">
        <f t="shared" si="392"/>
        <v>0</v>
      </c>
      <c r="AP89" s="154">
        <f t="shared" si="392"/>
        <v>0</v>
      </c>
      <c r="AQ89" s="154">
        <f t="shared" si="392"/>
        <v>0</v>
      </c>
      <c r="AR89" s="154">
        <f t="shared" si="392"/>
        <v>0</v>
      </c>
      <c r="AS89" s="154">
        <f t="shared" si="392"/>
        <v>0</v>
      </c>
      <c r="AT89" s="154">
        <f t="shared" si="392"/>
        <v>0</v>
      </c>
      <c r="AU89" s="154">
        <f t="shared" si="392"/>
        <v>0</v>
      </c>
      <c r="AV89" s="154">
        <f t="shared" si="392"/>
        <v>0</v>
      </c>
      <c r="AW89" s="154">
        <f t="shared" si="392"/>
        <v>0</v>
      </c>
      <c r="AX89" s="154">
        <f t="shared" si="392"/>
        <v>0</v>
      </c>
      <c r="AY89" s="154">
        <f t="shared" si="392"/>
        <v>0</v>
      </c>
      <c r="AZ89" s="154">
        <f t="shared" si="392"/>
        <v>0</v>
      </c>
      <c r="BA89" s="154">
        <f t="shared" si="392"/>
        <v>0</v>
      </c>
      <c r="BB89" s="154">
        <f t="shared" si="392"/>
        <v>0</v>
      </c>
      <c r="BC89" s="154">
        <f t="shared" si="392"/>
        <v>0</v>
      </c>
      <c r="BD89" s="154">
        <f t="shared" si="392"/>
        <v>0</v>
      </c>
      <c r="BE89" s="154">
        <f t="shared" si="392"/>
        <v>0</v>
      </c>
      <c r="BF89" s="154">
        <f t="shared" si="392"/>
        <v>0</v>
      </c>
      <c r="BG89" s="154">
        <f t="shared" si="392"/>
        <v>0</v>
      </c>
      <c r="BH89" s="154">
        <f t="shared" si="392"/>
        <v>0</v>
      </c>
      <c r="BI89" s="154">
        <f t="shared" si="392"/>
        <v>0</v>
      </c>
      <c r="BJ89" s="154">
        <f t="shared" si="392"/>
        <v>0</v>
      </c>
      <c r="BK89" s="154">
        <f t="shared" si="392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197"/>
      <c r="B91" s="197"/>
      <c r="C91" s="198" t="s">
        <v>165</v>
      </c>
      <c r="D91" s="199" t="s">
        <v>515</v>
      </c>
      <c r="E91" s="200">
        <v>10000</v>
      </c>
      <c r="F91" s="172"/>
      <c r="G91" s="94">
        <f>I91/E91</f>
        <v>0</v>
      </c>
      <c r="H91" s="94">
        <f>M91/E91</f>
        <v>0</v>
      </c>
      <c r="I91" s="174"/>
      <c r="J91" s="174"/>
      <c r="K91" s="174"/>
      <c r="L91" s="174"/>
      <c r="M91" s="175">
        <f t="shared" ref="M91:O91" si="393">Y91+AB91+AE91+AH91+AK91+AN91+AQ91+AT91+AW91+AZ91+BC91+BF91</f>
        <v>0</v>
      </c>
      <c r="N91" s="175">
        <f t="shared" si="393"/>
        <v>0</v>
      </c>
      <c r="O91" s="175">
        <f t="shared" si="393"/>
        <v>0</v>
      </c>
      <c r="P91" s="82">
        <f t="shared" ref="P91:R91" si="394">IF(BI91=0,SUM(Y91+AB91+AE91+AH91+AK91+AN91+AQ91+AT91+AW91+AZ91+BC91+BF91),BI91)</f>
        <v>0</v>
      </c>
      <c r="Q91" s="82">
        <f t="shared" si="394"/>
        <v>0</v>
      </c>
      <c r="R91" s="82">
        <f t="shared" si="394"/>
        <v>0</v>
      </c>
      <c r="S91" s="175">
        <f t="shared" ref="S91:T91" si="395">I91-M91</f>
        <v>0</v>
      </c>
      <c r="T91" s="175">
        <f t="shared" si="395"/>
        <v>0</v>
      </c>
      <c r="U91" s="175">
        <f>L91-O91</f>
        <v>0</v>
      </c>
      <c r="V91" s="176" t="e">
        <f t="shared" ref="V91:W91" si="396">M91/I91</f>
        <v>#DIV/0!</v>
      </c>
      <c r="W91" s="176" t="e">
        <f t="shared" si="396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97">IF(BI92=0,SUM(Y92+AB92+AE92+AH92+AK92+AN92+AQ92+AT92+AW92+AZ92+BC92+BF92),BI92)</f>
        <v>0</v>
      </c>
      <c r="Q92" s="82">
        <f t="shared" si="397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136"/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/>
      <c r="J93" s="203"/>
      <c r="K93" s="203"/>
      <c r="L93" s="204"/>
      <c r="M93" s="97"/>
      <c r="N93" s="97"/>
      <c r="O93" s="97"/>
      <c r="P93" s="82">
        <f t="shared" ref="P93:Q93" si="398">IF(BI93=0,SUM(Y93+AB93+AE93+AH93+AK93+AN93+AQ93+AT93+AW93+AZ93+BC93+BF93),BI93)</f>
        <v>0</v>
      </c>
      <c r="Q93" s="82">
        <f t="shared" si="398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99">I94/E94</f>
        <v>#DIV/0!</v>
      </c>
      <c r="H94" s="94" t="e">
        <f t="shared" ref="H94:H116" si="400">M94/E94</f>
        <v>#DIV/0!</v>
      </c>
      <c r="I94" s="96"/>
      <c r="J94" s="96"/>
      <c r="K94" s="96"/>
      <c r="L94" s="96"/>
      <c r="M94" s="97">
        <f t="shared" ref="M94:O94" si="401">Y94+AB94+AE94+AH94+AK94+AN94+AQ94+AT94+AW94+AZ94+BC94+BF94</f>
        <v>0</v>
      </c>
      <c r="N94" s="97">
        <f t="shared" si="401"/>
        <v>0</v>
      </c>
      <c r="O94" s="97">
        <f t="shared" si="401"/>
        <v>0</v>
      </c>
      <c r="P94" s="82">
        <f t="shared" ref="P94:R94" si="402">IF(BI94=0,SUM(Y94+AB94+AE94+AH94+AK94+AN94+AQ94+AT94+AW94+AZ94+BC94+BF94),BI94)</f>
        <v>0</v>
      </c>
      <c r="Q94" s="82">
        <f t="shared" si="402"/>
        <v>0</v>
      </c>
      <c r="R94" s="82">
        <f t="shared" si="402"/>
        <v>0</v>
      </c>
      <c r="S94" s="97">
        <f t="shared" ref="S94:T94" si="403">I94-M94</f>
        <v>0</v>
      </c>
      <c r="T94" s="97">
        <f t="shared" si="403"/>
        <v>0</v>
      </c>
      <c r="U94" s="97">
        <f t="shared" ref="U94:U95" si="404">L94-O94</f>
        <v>0</v>
      </c>
      <c r="V94" s="98" t="e">
        <f t="shared" ref="V94:W94" si="405">M94/I94</f>
        <v>#DIV/0!</v>
      </c>
      <c r="W94" s="98" t="e">
        <f t="shared" si="405"/>
        <v>#DIV/0!</v>
      </c>
      <c r="X94" s="98" t="e">
        <f t="shared" ref="X94:X102" si="406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99"/>
        <v>#DIV/0!</v>
      </c>
      <c r="H95" s="94" t="e">
        <f t="shared" si="400"/>
        <v>#DIV/0!</v>
      </c>
      <c r="I95" s="96"/>
      <c r="J95" s="96"/>
      <c r="K95" s="96"/>
      <c r="L95" s="96"/>
      <c r="M95" s="97">
        <f t="shared" ref="M95:O95" si="407">Y95+AB95+AE95+AH95+AK95+AN95+AQ95+AT95+AW95+AZ95+BC95+BF95</f>
        <v>0</v>
      </c>
      <c r="N95" s="97">
        <f t="shared" si="407"/>
        <v>0</v>
      </c>
      <c r="O95" s="97">
        <f t="shared" si="407"/>
        <v>0</v>
      </c>
      <c r="P95" s="82">
        <f t="shared" ref="P95:R95" si="408">IF(BI95=0,SUM(Y95+AB95+AE95+AH95+AK95+AN95+AQ95+AT95+AW95+AZ95+BC95+BF95),BI95)</f>
        <v>0</v>
      </c>
      <c r="Q95" s="82">
        <f t="shared" si="408"/>
        <v>0</v>
      </c>
      <c r="R95" s="82">
        <f t="shared" si="408"/>
        <v>0</v>
      </c>
      <c r="S95" s="97">
        <f t="shared" ref="S95:T95" si="409">I95-M95</f>
        <v>0</v>
      </c>
      <c r="T95" s="97">
        <f t="shared" si="409"/>
        <v>0</v>
      </c>
      <c r="U95" s="97">
        <f t="shared" si="404"/>
        <v>0</v>
      </c>
      <c r="V95" s="98" t="e">
        <f t="shared" ref="V95:W95" si="410">M95/I95</f>
        <v>#DIV/0!</v>
      </c>
      <c r="W95" s="98" t="e">
        <f t="shared" si="410"/>
        <v>#DIV/0!</v>
      </c>
      <c r="X95" s="98" t="e">
        <f t="shared" si="406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411">E97+E114+E119+E145+E150+E154</f>
        <v>273274.02</v>
      </c>
      <c r="F96" s="87">
        <f t="shared" si="411"/>
        <v>1183964.47</v>
      </c>
      <c r="G96" s="107">
        <f t="shared" si="399"/>
        <v>2.5615314620833694E-2</v>
      </c>
      <c r="H96" s="107">
        <f t="shared" si="400"/>
        <v>0</v>
      </c>
      <c r="I96" s="87">
        <f t="shared" ref="I96:O96" si="412">I97+I114+I119+I145+I150+I154</f>
        <v>7000</v>
      </c>
      <c r="J96" s="87">
        <f t="shared" si="412"/>
        <v>751131.49</v>
      </c>
      <c r="K96" s="87">
        <f t="shared" si="412"/>
        <v>0</v>
      </c>
      <c r="L96" s="87">
        <f t="shared" si="412"/>
        <v>0</v>
      </c>
      <c r="M96" s="87">
        <f t="shared" si="412"/>
        <v>0</v>
      </c>
      <c r="N96" s="87">
        <f t="shared" si="412"/>
        <v>113766.73999999999</v>
      </c>
      <c r="O96" s="87">
        <f t="shared" si="412"/>
        <v>0</v>
      </c>
      <c r="P96" s="87">
        <f t="shared" ref="P96:R96" si="413">IF(BI96=0,SUM(Y96+AB96+AE96+AH96+AK96+AN96+AQ96+AT96+AW96+AZ96+BC96+BF96),BI96)</f>
        <v>0</v>
      </c>
      <c r="Q96" s="87">
        <f t="shared" si="413"/>
        <v>114266.73999999999</v>
      </c>
      <c r="R96" s="87">
        <f t="shared" si="413"/>
        <v>0</v>
      </c>
      <c r="S96" s="87">
        <f t="shared" ref="S96:U96" si="414">S97+S114+S119+S145+S150+S154</f>
        <v>7000</v>
      </c>
      <c r="T96" s="87">
        <f t="shared" si="414"/>
        <v>632627.55000000005</v>
      </c>
      <c r="U96" s="87">
        <f t="shared" si="414"/>
        <v>0</v>
      </c>
      <c r="V96" s="88">
        <f t="shared" ref="V96:W96" si="415">M96/I96</f>
        <v>0</v>
      </c>
      <c r="W96" s="88">
        <f t="shared" si="415"/>
        <v>0.15146048530064954</v>
      </c>
      <c r="X96" s="88" t="e">
        <f t="shared" si="406"/>
        <v>#DIV/0!</v>
      </c>
      <c r="Y96" s="87">
        <f t="shared" ref="Y96:BK96" si="416">Y97+Y114+Y119+Y145+Y150+Y154</f>
        <v>0</v>
      </c>
      <c r="Z96" s="87">
        <f t="shared" si="416"/>
        <v>53060</v>
      </c>
      <c r="AA96" s="87">
        <f t="shared" si="416"/>
        <v>0</v>
      </c>
      <c r="AB96" s="87">
        <f t="shared" si="416"/>
        <v>0</v>
      </c>
      <c r="AC96" s="87">
        <f t="shared" si="416"/>
        <v>61206.74</v>
      </c>
      <c r="AD96" s="87">
        <f t="shared" si="416"/>
        <v>0</v>
      </c>
      <c r="AE96" s="87">
        <f t="shared" si="416"/>
        <v>0</v>
      </c>
      <c r="AF96" s="87">
        <f t="shared" si="416"/>
        <v>0</v>
      </c>
      <c r="AG96" s="87">
        <f t="shared" si="416"/>
        <v>0</v>
      </c>
      <c r="AH96" s="87">
        <f t="shared" si="416"/>
        <v>0</v>
      </c>
      <c r="AI96" s="87">
        <f t="shared" si="416"/>
        <v>0</v>
      </c>
      <c r="AJ96" s="87">
        <f t="shared" si="416"/>
        <v>0</v>
      </c>
      <c r="AK96" s="87">
        <f t="shared" si="416"/>
        <v>0</v>
      </c>
      <c r="AL96" s="87">
        <f t="shared" si="416"/>
        <v>0</v>
      </c>
      <c r="AM96" s="87">
        <f t="shared" si="416"/>
        <v>0</v>
      </c>
      <c r="AN96" s="87">
        <f t="shared" si="416"/>
        <v>0</v>
      </c>
      <c r="AO96" s="87">
        <f t="shared" si="416"/>
        <v>0</v>
      </c>
      <c r="AP96" s="87">
        <f t="shared" si="416"/>
        <v>0</v>
      </c>
      <c r="AQ96" s="87">
        <f t="shared" si="416"/>
        <v>0</v>
      </c>
      <c r="AR96" s="87">
        <f t="shared" si="416"/>
        <v>0</v>
      </c>
      <c r="AS96" s="87">
        <f t="shared" si="416"/>
        <v>0</v>
      </c>
      <c r="AT96" s="87">
        <f t="shared" si="416"/>
        <v>0</v>
      </c>
      <c r="AU96" s="87">
        <f t="shared" si="416"/>
        <v>0</v>
      </c>
      <c r="AV96" s="87">
        <f t="shared" si="416"/>
        <v>0</v>
      </c>
      <c r="AW96" s="87">
        <f t="shared" si="416"/>
        <v>0</v>
      </c>
      <c r="AX96" s="87">
        <f t="shared" si="416"/>
        <v>0</v>
      </c>
      <c r="AY96" s="87">
        <f t="shared" si="416"/>
        <v>0</v>
      </c>
      <c r="AZ96" s="87">
        <f t="shared" si="416"/>
        <v>0</v>
      </c>
      <c r="BA96" s="87">
        <f t="shared" si="416"/>
        <v>0</v>
      </c>
      <c r="BB96" s="87">
        <f t="shared" si="416"/>
        <v>0</v>
      </c>
      <c r="BC96" s="87">
        <f t="shared" si="416"/>
        <v>0</v>
      </c>
      <c r="BD96" s="87">
        <f t="shared" si="416"/>
        <v>0</v>
      </c>
      <c r="BE96" s="87">
        <f t="shared" si="416"/>
        <v>0</v>
      </c>
      <c r="BF96" s="87">
        <f t="shared" si="416"/>
        <v>0</v>
      </c>
      <c r="BG96" s="87">
        <f t="shared" si="416"/>
        <v>0</v>
      </c>
      <c r="BH96" s="87">
        <f t="shared" si="416"/>
        <v>0</v>
      </c>
      <c r="BI96" s="87">
        <f t="shared" si="416"/>
        <v>0</v>
      </c>
      <c r="BJ96" s="87">
        <f t="shared" si="416"/>
        <v>0</v>
      </c>
      <c r="BK96" s="87">
        <f t="shared" si="416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417">SUM(E98:E113)</f>
        <v>97800</v>
      </c>
      <c r="F97" s="154">
        <f t="shared" si="417"/>
        <v>10000</v>
      </c>
      <c r="G97" s="192">
        <f t="shared" si="399"/>
        <v>7.1574642126789365E-2</v>
      </c>
      <c r="H97" s="192">
        <f t="shared" si="400"/>
        <v>0</v>
      </c>
      <c r="I97" s="154">
        <f t="shared" ref="I97:O97" si="418">SUM(I98:I113)</f>
        <v>7000</v>
      </c>
      <c r="J97" s="154">
        <f t="shared" si="418"/>
        <v>75763.899999999994</v>
      </c>
      <c r="K97" s="154">
        <f t="shared" si="418"/>
        <v>0</v>
      </c>
      <c r="L97" s="154">
        <f t="shared" si="418"/>
        <v>0</v>
      </c>
      <c r="M97" s="154">
        <f t="shared" si="418"/>
        <v>0</v>
      </c>
      <c r="N97" s="154">
        <f t="shared" si="418"/>
        <v>52560</v>
      </c>
      <c r="O97" s="154">
        <f t="shared" si="418"/>
        <v>0</v>
      </c>
      <c r="P97" s="81">
        <f t="shared" ref="P97:R97" si="419">IF(BI97=0,SUM(Y97+AB97+AE97+AH97+AK97+AN97+AQ97+AT97+AW97+AZ97+BC97+BF97),BI97)</f>
        <v>0</v>
      </c>
      <c r="Q97" s="81">
        <f t="shared" si="419"/>
        <v>52560</v>
      </c>
      <c r="R97" s="81">
        <f t="shared" si="419"/>
        <v>0</v>
      </c>
      <c r="S97" s="154">
        <f t="shared" ref="S97:U97" si="420">SUM(S98:S113)</f>
        <v>7000</v>
      </c>
      <c r="T97" s="154">
        <f t="shared" si="420"/>
        <v>23203.9</v>
      </c>
      <c r="U97" s="154">
        <f t="shared" si="420"/>
        <v>0</v>
      </c>
      <c r="V97" s="193">
        <f t="shared" ref="V97:W97" si="421">M97/I97</f>
        <v>0</v>
      </c>
      <c r="W97" s="193">
        <f t="shared" si="421"/>
        <v>0.69373408707841078</v>
      </c>
      <c r="X97" s="193" t="e">
        <f t="shared" si="406"/>
        <v>#DIV/0!</v>
      </c>
      <c r="Y97" s="154">
        <f t="shared" ref="Y97:BK97" si="422">SUM(Y98:Y113)</f>
        <v>0</v>
      </c>
      <c r="Z97" s="154">
        <f t="shared" si="422"/>
        <v>52560</v>
      </c>
      <c r="AA97" s="154">
        <f t="shared" si="422"/>
        <v>0</v>
      </c>
      <c r="AB97" s="154">
        <f t="shared" si="422"/>
        <v>0</v>
      </c>
      <c r="AC97" s="154">
        <f t="shared" si="422"/>
        <v>0</v>
      </c>
      <c r="AD97" s="154">
        <f t="shared" si="422"/>
        <v>0</v>
      </c>
      <c r="AE97" s="154">
        <f t="shared" si="422"/>
        <v>0</v>
      </c>
      <c r="AF97" s="154">
        <f t="shared" si="422"/>
        <v>0</v>
      </c>
      <c r="AG97" s="154">
        <f t="shared" si="422"/>
        <v>0</v>
      </c>
      <c r="AH97" s="154">
        <f t="shared" si="422"/>
        <v>0</v>
      </c>
      <c r="AI97" s="154">
        <f t="shared" si="422"/>
        <v>0</v>
      </c>
      <c r="AJ97" s="154">
        <f t="shared" si="422"/>
        <v>0</v>
      </c>
      <c r="AK97" s="154">
        <f t="shared" si="422"/>
        <v>0</v>
      </c>
      <c r="AL97" s="154">
        <f t="shared" si="422"/>
        <v>0</v>
      </c>
      <c r="AM97" s="154">
        <f t="shared" si="422"/>
        <v>0</v>
      </c>
      <c r="AN97" s="154">
        <f t="shared" si="422"/>
        <v>0</v>
      </c>
      <c r="AO97" s="154">
        <f t="shared" si="422"/>
        <v>0</v>
      </c>
      <c r="AP97" s="154">
        <f t="shared" si="422"/>
        <v>0</v>
      </c>
      <c r="AQ97" s="154">
        <f t="shared" si="422"/>
        <v>0</v>
      </c>
      <c r="AR97" s="154">
        <f t="shared" si="422"/>
        <v>0</v>
      </c>
      <c r="AS97" s="154">
        <f t="shared" si="422"/>
        <v>0</v>
      </c>
      <c r="AT97" s="154">
        <f t="shared" si="422"/>
        <v>0</v>
      </c>
      <c r="AU97" s="154">
        <f t="shared" si="422"/>
        <v>0</v>
      </c>
      <c r="AV97" s="154">
        <f t="shared" si="422"/>
        <v>0</v>
      </c>
      <c r="AW97" s="154">
        <f t="shared" si="422"/>
        <v>0</v>
      </c>
      <c r="AX97" s="154">
        <f t="shared" si="422"/>
        <v>0</v>
      </c>
      <c r="AY97" s="154">
        <f t="shared" si="422"/>
        <v>0</v>
      </c>
      <c r="AZ97" s="154">
        <f t="shared" si="422"/>
        <v>0</v>
      </c>
      <c r="BA97" s="154">
        <f t="shared" si="422"/>
        <v>0</v>
      </c>
      <c r="BB97" s="154">
        <f t="shared" si="422"/>
        <v>0</v>
      </c>
      <c r="BC97" s="154">
        <f t="shared" si="422"/>
        <v>0</v>
      </c>
      <c r="BD97" s="154">
        <f t="shared" si="422"/>
        <v>0</v>
      </c>
      <c r="BE97" s="154">
        <f t="shared" si="422"/>
        <v>0</v>
      </c>
      <c r="BF97" s="154">
        <f t="shared" si="422"/>
        <v>0</v>
      </c>
      <c r="BG97" s="154">
        <f t="shared" si="422"/>
        <v>0</v>
      </c>
      <c r="BH97" s="154">
        <f t="shared" si="422"/>
        <v>0</v>
      </c>
      <c r="BI97" s="154">
        <f t="shared" si="422"/>
        <v>0</v>
      </c>
      <c r="BJ97" s="154">
        <f t="shared" si="422"/>
        <v>0</v>
      </c>
      <c r="BK97" s="154">
        <f t="shared" si="422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99"/>
        <v>1</v>
      </c>
      <c r="H98" s="94">
        <f t="shared" si="400"/>
        <v>0</v>
      </c>
      <c r="I98" s="96">
        <v>4500</v>
      </c>
      <c r="J98" s="96"/>
      <c r="K98" s="96"/>
      <c r="L98" s="96"/>
      <c r="M98" s="97">
        <f t="shared" ref="M98:O98" si="423">Y98+AB98+AE98+AH98+AK98+AN98+AQ98+AT98+AW98+AZ98+BC98+BF98</f>
        <v>0</v>
      </c>
      <c r="N98" s="97">
        <f t="shared" si="423"/>
        <v>0</v>
      </c>
      <c r="O98" s="97">
        <f t="shared" si="423"/>
        <v>0</v>
      </c>
      <c r="P98" s="97">
        <f t="shared" ref="P98:R98" si="424">IF(BI98=0,SUM(Y98+AB98+AE98+AH98+AK98+AN98+AQ98+AT98+AW98+AZ98+BC98+BF98),BI98)</f>
        <v>0</v>
      </c>
      <c r="Q98" s="97">
        <f t="shared" si="424"/>
        <v>0</v>
      </c>
      <c r="R98" s="97">
        <f t="shared" si="424"/>
        <v>0</v>
      </c>
      <c r="S98" s="97">
        <f t="shared" ref="S98:T98" si="425">I98-M98</f>
        <v>4500</v>
      </c>
      <c r="T98" s="97">
        <f t="shared" si="425"/>
        <v>0</v>
      </c>
      <c r="U98" s="97">
        <f t="shared" ref="U98:U113" si="426">L98-O98</f>
        <v>0</v>
      </c>
      <c r="V98" s="98">
        <f t="shared" ref="V98:W98" si="427">M98/I98</f>
        <v>0</v>
      </c>
      <c r="W98" s="98" t="e">
        <f t="shared" si="427"/>
        <v>#DIV/0!</v>
      </c>
      <c r="X98" s="98" t="e">
        <f t="shared" si="406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99"/>
        <v>1</v>
      </c>
      <c r="H99" s="94">
        <f t="shared" si="400"/>
        <v>0</v>
      </c>
      <c r="I99" s="96">
        <v>2500</v>
      </c>
      <c r="J99" s="96"/>
      <c r="K99" s="96"/>
      <c r="L99" s="96"/>
      <c r="M99" s="97">
        <f t="shared" ref="M99:O99" si="428">Y99+AB99+AE99+AH99+AK99+AN99+AQ99+AT99+AW99+AZ99+BC99+BF99</f>
        <v>0</v>
      </c>
      <c r="N99" s="97">
        <f t="shared" si="428"/>
        <v>0</v>
      </c>
      <c r="O99" s="97">
        <f t="shared" si="428"/>
        <v>0</v>
      </c>
      <c r="P99" s="97">
        <f t="shared" ref="P99:R99" si="429">IF(BI99=0,SUM(Y99+AB99+AE99+AH99+AK99+AN99+AQ99+AT99+AW99+AZ99+BC99+BF99),BI99)</f>
        <v>0</v>
      </c>
      <c r="Q99" s="97">
        <f t="shared" si="429"/>
        <v>0</v>
      </c>
      <c r="R99" s="97">
        <f t="shared" si="429"/>
        <v>0</v>
      </c>
      <c r="S99" s="97">
        <f t="shared" ref="S99:T99" si="430">I99-M99</f>
        <v>2500</v>
      </c>
      <c r="T99" s="97">
        <f t="shared" si="430"/>
        <v>0</v>
      </c>
      <c r="U99" s="97">
        <f t="shared" si="426"/>
        <v>0</v>
      </c>
      <c r="V99" s="98">
        <f t="shared" ref="V99:W99" si="431">M99/I99</f>
        <v>0</v>
      </c>
      <c r="W99" s="98" t="e">
        <f t="shared" si="431"/>
        <v>#DIV/0!</v>
      </c>
      <c r="X99" s="98" t="e">
        <f t="shared" si="406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99"/>
        <v>#DIV/0!</v>
      </c>
      <c r="H100" s="94" t="e">
        <f t="shared" si="400"/>
        <v>#DIV/0!</v>
      </c>
      <c r="I100" s="96"/>
      <c r="J100" s="96"/>
      <c r="K100" s="96"/>
      <c r="L100" s="96"/>
      <c r="M100" s="97">
        <f t="shared" ref="M100:O100" si="432">Y100+AB100+AE100+AH100+AK100+AN100+AQ100+AT100+AW100+AZ100+BC100+BF100</f>
        <v>0</v>
      </c>
      <c r="N100" s="97">
        <f t="shared" si="432"/>
        <v>0</v>
      </c>
      <c r="O100" s="97">
        <f t="shared" si="432"/>
        <v>0</v>
      </c>
      <c r="P100" s="97">
        <f t="shared" ref="P100:R100" si="433">IF(BI100=0,SUM(Y100+AB100+AE100+AH100+AK100+AN100+AQ100+AT100+AW100+AZ100+BC100+BF100),BI100)</f>
        <v>0</v>
      </c>
      <c r="Q100" s="97">
        <f t="shared" si="433"/>
        <v>0</v>
      </c>
      <c r="R100" s="97">
        <f t="shared" si="433"/>
        <v>0</v>
      </c>
      <c r="S100" s="97">
        <f t="shared" ref="S100:T100" si="434">I100-M100</f>
        <v>0</v>
      </c>
      <c r="T100" s="97">
        <f t="shared" si="434"/>
        <v>0</v>
      </c>
      <c r="U100" s="97">
        <f t="shared" si="426"/>
        <v>0</v>
      </c>
      <c r="V100" s="98" t="e">
        <f t="shared" ref="V100:W100" si="435">M100/I100</f>
        <v>#DIV/0!</v>
      </c>
      <c r="W100" s="98" t="e">
        <f t="shared" si="435"/>
        <v>#DIV/0!</v>
      </c>
      <c r="X100" s="98" t="e">
        <f t="shared" si="406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518</v>
      </c>
      <c r="E101" s="208"/>
      <c r="F101" s="208"/>
      <c r="G101" s="94" t="e">
        <f t="shared" si="399"/>
        <v>#DIV/0!</v>
      </c>
      <c r="H101" s="94" t="e">
        <f t="shared" si="400"/>
        <v>#DIV/0!</v>
      </c>
      <c r="I101" s="202"/>
      <c r="J101" s="204"/>
      <c r="K101" s="204"/>
      <c r="L101" s="202"/>
      <c r="M101" s="97">
        <f t="shared" ref="M101:O101" si="436">Y101+AB101+AE101+AH101+AK101+AN101+AQ101+AT101+AW101+AZ101+BC101+BF101</f>
        <v>0</v>
      </c>
      <c r="N101" s="97">
        <f t="shared" si="436"/>
        <v>0</v>
      </c>
      <c r="O101" s="97">
        <f t="shared" si="436"/>
        <v>0</v>
      </c>
      <c r="P101" s="97">
        <f t="shared" ref="P101:R101" si="437">IF(BI101=0,SUM(Y101+AB101+AE101+AH101+AK101+AN101+AQ101+AT101+AW101+AZ101+BC101+BF101),BI101)</f>
        <v>0</v>
      </c>
      <c r="Q101" s="97">
        <f t="shared" si="437"/>
        <v>0</v>
      </c>
      <c r="R101" s="97">
        <f t="shared" si="437"/>
        <v>0</v>
      </c>
      <c r="S101" s="97">
        <f t="shared" ref="S101:T101" si="438">I101-M101</f>
        <v>0</v>
      </c>
      <c r="T101" s="97">
        <f t="shared" si="438"/>
        <v>0</v>
      </c>
      <c r="U101" s="97">
        <f t="shared" si="426"/>
        <v>0</v>
      </c>
      <c r="V101" s="98" t="e">
        <f t="shared" ref="V101:W101" si="439">M101/I101</f>
        <v>#DIV/0!</v>
      </c>
      <c r="W101" s="98" t="e">
        <f t="shared" si="439"/>
        <v>#DIV/0!</v>
      </c>
      <c r="X101" s="98" t="e">
        <f t="shared" si="406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519</v>
      </c>
      <c r="E102" s="166"/>
      <c r="F102" s="147"/>
      <c r="G102" s="94" t="e">
        <f t="shared" si="399"/>
        <v>#DIV/0!</v>
      </c>
      <c r="H102" s="94" t="e">
        <f t="shared" si="400"/>
        <v>#DIV/0!</v>
      </c>
      <c r="I102" s="96"/>
      <c r="J102" s="96"/>
      <c r="K102" s="96"/>
      <c r="L102" s="96"/>
      <c r="M102" s="97">
        <f t="shared" ref="M102:O102" si="440">Y102+AB102+AE102+AH102+AK102+AN102+AQ102+AT102+AW102+AZ102+BC102+BF102</f>
        <v>0</v>
      </c>
      <c r="N102" s="97">
        <f t="shared" si="440"/>
        <v>0</v>
      </c>
      <c r="O102" s="97">
        <f t="shared" si="440"/>
        <v>0</v>
      </c>
      <c r="P102" s="97">
        <f t="shared" ref="P102:R102" si="441">IF(BI102=0,SUM(Y102+AB102+AE102+AH102+AK102+AN102+AQ102+AT102+AW102+AZ102+BC102+BF102),BI102)</f>
        <v>0</v>
      </c>
      <c r="Q102" s="97">
        <f t="shared" si="441"/>
        <v>0</v>
      </c>
      <c r="R102" s="97">
        <f t="shared" si="441"/>
        <v>0</v>
      </c>
      <c r="S102" s="97">
        <f t="shared" ref="S102:T102" si="442">I102-M102</f>
        <v>0</v>
      </c>
      <c r="T102" s="97">
        <f t="shared" si="442"/>
        <v>0</v>
      </c>
      <c r="U102" s="97">
        <f t="shared" si="426"/>
        <v>0</v>
      </c>
      <c r="V102" s="98" t="e">
        <f t="shared" ref="V102:W102" si="443">M102/I102</f>
        <v>#DIV/0!</v>
      </c>
      <c r="W102" s="98" t="e">
        <f t="shared" si="443"/>
        <v>#DIV/0!</v>
      </c>
      <c r="X102" s="98" t="e">
        <f t="shared" si="406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99"/>
        <v>0</v>
      </c>
      <c r="H103" s="94">
        <f t="shared" si="400"/>
        <v>0</v>
      </c>
      <c r="I103" s="96"/>
      <c r="J103" s="96"/>
      <c r="K103" s="96"/>
      <c r="L103" s="96"/>
      <c r="M103" s="97">
        <f t="shared" ref="M103:O103" si="444">Y103+AB103+AE103+AH103+AK103+AN103+AQ103+AT103+AW103+AZ103+BC103+BF103</f>
        <v>0</v>
      </c>
      <c r="N103" s="97">
        <f t="shared" si="444"/>
        <v>0</v>
      </c>
      <c r="O103" s="97">
        <f t="shared" si="444"/>
        <v>0</v>
      </c>
      <c r="P103" s="97">
        <f t="shared" ref="P103:R103" si="445">IF(BI103=0,SUM(Y103+AB103+AE103+AH103+AK103+AN103+AQ103+AT103+AW103+AZ103+BC103+BF103),BI103)</f>
        <v>0</v>
      </c>
      <c r="Q103" s="97">
        <f t="shared" si="445"/>
        <v>0</v>
      </c>
      <c r="R103" s="97">
        <f t="shared" si="445"/>
        <v>0</v>
      </c>
      <c r="S103" s="97">
        <f t="shared" ref="S103:T103" si="446">I103-M103</f>
        <v>0</v>
      </c>
      <c r="T103" s="97">
        <f t="shared" si="446"/>
        <v>0</v>
      </c>
      <c r="U103" s="97">
        <f t="shared" si="426"/>
        <v>0</v>
      </c>
      <c r="V103" s="98" t="e">
        <f t="shared" ref="V103:W103" si="447">M103/I103</f>
        <v>#DIV/0!</v>
      </c>
      <c r="W103" s="98" t="e">
        <f t="shared" si="447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99"/>
        <v>#DIV/0!</v>
      </c>
      <c r="H104" s="94" t="e">
        <f t="shared" si="400"/>
        <v>#DIV/0!</v>
      </c>
      <c r="I104" s="96"/>
      <c r="J104" s="96"/>
      <c r="K104" s="96"/>
      <c r="L104" s="96"/>
      <c r="M104" s="97">
        <f t="shared" ref="M104:O104" si="448">Y104+AB104+AE104+AH104+AK104+AN104+AQ104+AT104+AW104+AZ104+BC104+BF104</f>
        <v>0</v>
      </c>
      <c r="N104" s="97">
        <f t="shared" si="448"/>
        <v>0</v>
      </c>
      <c r="O104" s="97">
        <f t="shared" si="448"/>
        <v>0</v>
      </c>
      <c r="P104" s="97">
        <f t="shared" ref="P104:R104" si="449">IF(BI104=0,SUM(Y104+AB104+AE104+AH104+AK104+AN104+AQ104+AT104+AW104+AZ104+BC104+BF104),BI104)</f>
        <v>0</v>
      </c>
      <c r="Q104" s="97">
        <f t="shared" si="449"/>
        <v>0</v>
      </c>
      <c r="R104" s="97">
        <f t="shared" si="449"/>
        <v>0</v>
      </c>
      <c r="S104" s="97">
        <f t="shared" ref="S104:T104" si="450">I104-M104</f>
        <v>0</v>
      </c>
      <c r="T104" s="97">
        <f t="shared" si="450"/>
        <v>0</v>
      </c>
      <c r="U104" s="97">
        <f t="shared" si="426"/>
        <v>0</v>
      </c>
      <c r="V104" s="98" t="e">
        <f t="shared" ref="V104:W104" si="451">M104/I104</f>
        <v>#DIV/0!</v>
      </c>
      <c r="W104" s="98" t="e">
        <f t="shared" si="451"/>
        <v>#DIV/0!</v>
      </c>
      <c r="X104" s="98" t="e">
        <f t="shared" ref="X104:X116" si="452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99"/>
        <v>0</v>
      </c>
      <c r="H105" s="94">
        <f t="shared" si="400"/>
        <v>0</v>
      </c>
      <c r="I105" s="96"/>
      <c r="J105" s="96"/>
      <c r="K105" s="96"/>
      <c r="L105" s="96"/>
      <c r="M105" s="97">
        <f t="shared" ref="M105:O105" si="453">Y105+AB105+AE105+AH105+AK105+AN105+AQ105+AT105+AW105+AZ105+BC105+BF105</f>
        <v>0</v>
      </c>
      <c r="N105" s="97">
        <f t="shared" si="453"/>
        <v>0</v>
      </c>
      <c r="O105" s="97">
        <f t="shared" si="453"/>
        <v>0</v>
      </c>
      <c r="P105" s="97">
        <f t="shared" ref="P105:R105" si="454">IF(BI105=0,SUM(Y105+AB105+AE105+AH105+AK105+AN105+AQ105+AT105+AW105+AZ105+BC105+BF105),BI105)</f>
        <v>0</v>
      </c>
      <c r="Q105" s="97">
        <f t="shared" si="454"/>
        <v>0</v>
      </c>
      <c r="R105" s="97">
        <f t="shared" si="454"/>
        <v>0</v>
      </c>
      <c r="S105" s="97">
        <f t="shared" ref="S105:T105" si="455">I105-M105</f>
        <v>0</v>
      </c>
      <c r="T105" s="97">
        <f t="shared" si="455"/>
        <v>0</v>
      </c>
      <c r="U105" s="97">
        <f t="shared" si="426"/>
        <v>0</v>
      </c>
      <c r="V105" s="98" t="e">
        <f t="shared" ref="V105:W105" si="456">M105/I105</f>
        <v>#DIV/0!</v>
      </c>
      <c r="W105" s="98" t="e">
        <f t="shared" si="456"/>
        <v>#DIV/0!</v>
      </c>
      <c r="X105" s="98" t="e">
        <f t="shared" si="452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99"/>
        <v>0</v>
      </c>
      <c r="H106" s="94">
        <f t="shared" si="400"/>
        <v>0</v>
      </c>
      <c r="I106" s="96"/>
      <c r="J106" s="96"/>
      <c r="K106" s="96"/>
      <c r="L106" s="96"/>
      <c r="M106" s="97">
        <f t="shared" ref="M106:O106" si="457">Y106+AB106+AE106+AH106+AK106+AN106+AQ106+AT106+AW106+AZ106+BC106+BF106</f>
        <v>0</v>
      </c>
      <c r="N106" s="97">
        <f t="shared" si="457"/>
        <v>0</v>
      </c>
      <c r="O106" s="97">
        <f t="shared" si="457"/>
        <v>0</v>
      </c>
      <c r="P106" s="97">
        <f t="shared" ref="P106:R106" si="458">IF(BI106=0,SUM(Y106+AB106+AE106+AH106+AK106+AN106+AQ106+AT106+AW106+AZ106+BC106+BF106),BI106)</f>
        <v>0</v>
      </c>
      <c r="Q106" s="97">
        <f t="shared" si="458"/>
        <v>0</v>
      </c>
      <c r="R106" s="97">
        <f t="shared" si="458"/>
        <v>0</v>
      </c>
      <c r="S106" s="97">
        <f t="shared" ref="S106:S113" si="459">I106-M106</f>
        <v>0</v>
      </c>
      <c r="T106" s="97">
        <f>J106-N106-K106</f>
        <v>0</v>
      </c>
      <c r="U106" s="97">
        <f t="shared" si="426"/>
        <v>0</v>
      </c>
      <c r="V106" s="98" t="e">
        <f t="shared" ref="V106:W106" si="460">M106/I106</f>
        <v>#DIV/0!</v>
      </c>
      <c r="W106" s="98" t="e">
        <f t="shared" si="460"/>
        <v>#DIV/0!</v>
      </c>
      <c r="X106" s="98" t="e">
        <f t="shared" si="452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99"/>
        <v>0</v>
      </c>
      <c r="H107" s="94">
        <f t="shared" si="400"/>
        <v>0</v>
      </c>
      <c r="I107" s="96"/>
      <c r="J107" s="96"/>
      <c r="K107" s="96"/>
      <c r="L107" s="96"/>
      <c r="M107" s="97">
        <f t="shared" ref="M107:O107" si="461">Y107+AB107+AE107+AH107+AK107+AN107+AQ107+AT107+AW107+AZ107+BC107+BF107</f>
        <v>0</v>
      </c>
      <c r="N107" s="97">
        <f t="shared" si="461"/>
        <v>0</v>
      </c>
      <c r="O107" s="97">
        <f t="shared" si="461"/>
        <v>0</v>
      </c>
      <c r="P107" s="97">
        <f t="shared" ref="P107:R107" si="462">IF(BI107=0,SUM(Y107+AB107+AE107+AH107+AK107+AN107+AQ107+AT107+AW107+AZ107+BC107+BF107),BI107)</f>
        <v>0</v>
      </c>
      <c r="Q107" s="97">
        <f t="shared" si="462"/>
        <v>0</v>
      </c>
      <c r="R107" s="97">
        <f t="shared" si="462"/>
        <v>0</v>
      </c>
      <c r="S107" s="97">
        <f t="shared" si="459"/>
        <v>0</v>
      </c>
      <c r="T107" s="97">
        <f t="shared" ref="T107:T113" si="463">J107-N107</f>
        <v>0</v>
      </c>
      <c r="U107" s="97">
        <f t="shared" si="426"/>
        <v>0</v>
      </c>
      <c r="V107" s="98" t="e">
        <f t="shared" ref="V107:W107" si="464">M107/I107</f>
        <v>#DIV/0!</v>
      </c>
      <c r="W107" s="98" t="e">
        <f t="shared" si="464"/>
        <v>#DIV/0!</v>
      </c>
      <c r="X107" s="98" t="e">
        <f t="shared" si="452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520</v>
      </c>
      <c r="E108" s="92">
        <v>3000</v>
      </c>
      <c r="F108" s="93">
        <v>10000</v>
      </c>
      <c r="G108" s="94">
        <f t="shared" si="399"/>
        <v>0</v>
      </c>
      <c r="H108" s="94">
        <f t="shared" si="400"/>
        <v>0</v>
      </c>
      <c r="I108" s="96"/>
      <c r="J108" s="96">
        <v>19996.900000000001</v>
      </c>
      <c r="K108" s="96"/>
      <c r="L108" s="96"/>
      <c r="M108" s="97">
        <f t="shared" ref="M108:O108" si="465">Y108+AB108+AE108+AH108+AK108+AN108+AQ108+AT108+AW108+AZ108+BC108+BF108</f>
        <v>0</v>
      </c>
      <c r="N108" s="97">
        <f t="shared" si="465"/>
        <v>0</v>
      </c>
      <c r="O108" s="97">
        <f t="shared" si="465"/>
        <v>0</v>
      </c>
      <c r="P108" s="97">
        <f t="shared" ref="P108:R108" si="466">IF(BI108=0,SUM(Y108+AB108+AE108+AH108+AK108+AN108+AQ108+AT108+AW108+AZ108+BC108+BF108),BI108)</f>
        <v>0</v>
      </c>
      <c r="Q108" s="97">
        <f t="shared" si="466"/>
        <v>0</v>
      </c>
      <c r="R108" s="97">
        <f t="shared" si="466"/>
        <v>0</v>
      </c>
      <c r="S108" s="97">
        <f t="shared" si="459"/>
        <v>0</v>
      </c>
      <c r="T108" s="97">
        <f t="shared" si="463"/>
        <v>19996.900000000001</v>
      </c>
      <c r="U108" s="97">
        <f t="shared" si="426"/>
        <v>0</v>
      </c>
      <c r="V108" s="98" t="e">
        <f t="shared" ref="V108:W108" si="467">M108/I108</f>
        <v>#DIV/0!</v>
      </c>
      <c r="W108" s="98">
        <f t="shared" si="467"/>
        <v>0</v>
      </c>
      <c r="X108" s="98" t="e">
        <f t="shared" si="452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521</v>
      </c>
      <c r="E109" s="92"/>
      <c r="F109" s="93"/>
      <c r="G109" s="94" t="e">
        <f t="shared" si="399"/>
        <v>#DIV/0!</v>
      </c>
      <c r="H109" s="94" t="e">
        <f t="shared" si="400"/>
        <v>#DIV/0!</v>
      </c>
      <c r="I109" s="96"/>
      <c r="J109" s="117">
        <v>52560</v>
      </c>
      <c r="K109" s="117"/>
      <c r="L109" s="96"/>
      <c r="M109" s="97">
        <f t="shared" ref="M109:O109" si="468">Y109+AB109+AE109+AH109+AK109+AN109+AQ109+AT109+AW109+AZ109+BC109+BF109</f>
        <v>0</v>
      </c>
      <c r="N109" s="97">
        <f t="shared" si="468"/>
        <v>52560</v>
      </c>
      <c r="O109" s="97">
        <f t="shared" si="468"/>
        <v>0</v>
      </c>
      <c r="P109" s="97">
        <f t="shared" ref="P109:R109" si="469">IF(BI109=0,SUM(Y109+AB109+AE109+AH109+AK109+AN109+AQ109+AT109+AW109+AZ109+BC109+BF109),BI109)</f>
        <v>0</v>
      </c>
      <c r="Q109" s="97">
        <f t="shared" si="469"/>
        <v>52560</v>
      </c>
      <c r="R109" s="97">
        <f t="shared" si="469"/>
        <v>0</v>
      </c>
      <c r="S109" s="97">
        <f t="shared" si="459"/>
        <v>0</v>
      </c>
      <c r="T109" s="97">
        <f t="shared" si="463"/>
        <v>0</v>
      </c>
      <c r="U109" s="97">
        <f t="shared" si="426"/>
        <v>0</v>
      </c>
      <c r="V109" s="98" t="e">
        <f t="shared" ref="V109:W109" si="470">M109/I109</f>
        <v>#DIV/0!</v>
      </c>
      <c r="W109" s="98">
        <f t="shared" si="470"/>
        <v>1</v>
      </c>
      <c r="X109" s="98" t="e">
        <f t="shared" si="452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522</v>
      </c>
      <c r="E110" s="166"/>
      <c r="F110" s="147"/>
      <c r="G110" s="94" t="e">
        <f t="shared" si="399"/>
        <v>#DIV/0!</v>
      </c>
      <c r="H110" s="94" t="e">
        <f t="shared" si="400"/>
        <v>#DIV/0!</v>
      </c>
      <c r="I110" s="96"/>
      <c r="J110" s="96"/>
      <c r="K110" s="96"/>
      <c r="L110" s="96"/>
      <c r="M110" s="97">
        <f t="shared" ref="M110:O110" si="471">Y110+AB110+AE110+AH110+AK110+AN110+AQ110+AT110+AW110+AZ110+BC110+BF110</f>
        <v>0</v>
      </c>
      <c r="N110" s="97">
        <f t="shared" si="471"/>
        <v>0</v>
      </c>
      <c r="O110" s="97">
        <f t="shared" si="471"/>
        <v>0</v>
      </c>
      <c r="P110" s="97">
        <f t="shared" ref="P110:R110" si="472">IF(BI110=0,SUM(Y110+AB110+AE110+AH110+AK110+AN110+AQ110+AT110+AW110+AZ110+BC110+BF110),BI110)</f>
        <v>0</v>
      </c>
      <c r="Q110" s="97">
        <f t="shared" si="472"/>
        <v>0</v>
      </c>
      <c r="R110" s="97">
        <f t="shared" si="472"/>
        <v>0</v>
      </c>
      <c r="S110" s="97">
        <f t="shared" si="459"/>
        <v>0</v>
      </c>
      <c r="T110" s="97">
        <f t="shared" si="463"/>
        <v>0</v>
      </c>
      <c r="U110" s="97">
        <f t="shared" si="426"/>
        <v>0</v>
      </c>
      <c r="V110" s="98" t="e">
        <f t="shared" ref="V110:W110" si="473">M110/I110</f>
        <v>#DIV/0!</v>
      </c>
      <c r="W110" s="98" t="e">
        <f t="shared" si="473"/>
        <v>#DIV/0!</v>
      </c>
      <c r="X110" s="98" t="e">
        <f t="shared" si="452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523</v>
      </c>
      <c r="E111" s="166"/>
      <c r="F111" s="213"/>
      <c r="G111" s="94" t="e">
        <f t="shared" si="399"/>
        <v>#DIV/0!</v>
      </c>
      <c r="H111" s="94" t="e">
        <f t="shared" si="400"/>
        <v>#DIV/0!</v>
      </c>
      <c r="I111" s="96"/>
      <c r="J111" s="96"/>
      <c r="K111" s="96"/>
      <c r="L111" s="96"/>
      <c r="M111" s="97">
        <f t="shared" ref="M111:O111" si="474">Y111+AB111+AE111+AH111+AK111+AN111+AQ111+AT111+AW111+AZ111+BC111+BF111</f>
        <v>0</v>
      </c>
      <c r="N111" s="97">
        <f t="shared" si="474"/>
        <v>0</v>
      </c>
      <c r="O111" s="97">
        <f t="shared" si="474"/>
        <v>0</v>
      </c>
      <c r="P111" s="97">
        <f t="shared" ref="P111:R111" si="475">IF(BI111=0,SUM(Y111+AB111+AE111+AH111+AK111+AN111+AQ111+AT111+AW111+AZ111+BC111+BF111),BI111)</f>
        <v>0</v>
      </c>
      <c r="Q111" s="97">
        <f t="shared" si="475"/>
        <v>0</v>
      </c>
      <c r="R111" s="97">
        <f t="shared" si="475"/>
        <v>0</v>
      </c>
      <c r="S111" s="97">
        <f t="shared" si="459"/>
        <v>0</v>
      </c>
      <c r="T111" s="97">
        <f t="shared" si="463"/>
        <v>0</v>
      </c>
      <c r="U111" s="97">
        <f t="shared" si="426"/>
        <v>0</v>
      </c>
      <c r="V111" s="98" t="e">
        <f t="shared" ref="V111:W111" si="476">M111/I111</f>
        <v>#DIV/0!</v>
      </c>
      <c r="W111" s="98" t="e">
        <f t="shared" si="476"/>
        <v>#DIV/0!</v>
      </c>
      <c r="X111" s="98" t="e">
        <f t="shared" si="452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99"/>
        <v>#DIV/0!</v>
      </c>
      <c r="H112" s="94" t="e">
        <f t="shared" si="400"/>
        <v>#DIV/0!</v>
      </c>
      <c r="I112" s="96"/>
      <c r="J112" s="96">
        <v>3207</v>
      </c>
      <c r="K112" s="96"/>
      <c r="L112" s="214"/>
      <c r="M112" s="97">
        <f t="shared" ref="M112:O112" si="477">Y112+AB112+AE112+AH112+AK112+AN112+AQ112+AT112+AW112+AZ112+BC112+BF112</f>
        <v>0</v>
      </c>
      <c r="N112" s="97">
        <f t="shared" si="477"/>
        <v>0</v>
      </c>
      <c r="O112" s="97">
        <f t="shared" si="477"/>
        <v>0</v>
      </c>
      <c r="P112" s="97">
        <f t="shared" ref="P112:R112" si="478">IF(BI112=0,SUM(Y112+AB112+AE112+AH112+AK112+AN112+AQ112+AT112+AW112+AZ112+BC112+BF112),BI112)</f>
        <v>0</v>
      </c>
      <c r="Q112" s="97">
        <f t="shared" si="478"/>
        <v>0</v>
      </c>
      <c r="R112" s="97">
        <f t="shared" si="478"/>
        <v>0</v>
      </c>
      <c r="S112" s="97">
        <f t="shared" si="459"/>
        <v>0</v>
      </c>
      <c r="T112" s="97">
        <f t="shared" si="463"/>
        <v>3207</v>
      </c>
      <c r="U112" s="97">
        <f t="shared" si="426"/>
        <v>0</v>
      </c>
      <c r="V112" s="98" t="e">
        <f t="shared" ref="V112:W112" si="479">M112/I112</f>
        <v>#DIV/0!</v>
      </c>
      <c r="W112" s="98">
        <f t="shared" si="479"/>
        <v>0</v>
      </c>
      <c r="X112" s="98" t="e">
        <f t="shared" si="452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99"/>
        <v>#DIV/0!</v>
      </c>
      <c r="H113" s="155" t="e">
        <f t="shared" si="400"/>
        <v>#DIV/0!</v>
      </c>
      <c r="I113" s="218"/>
      <c r="J113" s="219"/>
      <c r="K113" s="219"/>
      <c r="L113" s="219"/>
      <c r="M113" s="82">
        <f t="shared" ref="M113:O113" si="480">Y113+AB113+AE113+AH113+AK113+AN113+AQ113+AT113+AW113+AZ113+BC113+BF113</f>
        <v>0</v>
      </c>
      <c r="N113" s="82">
        <f t="shared" si="480"/>
        <v>0</v>
      </c>
      <c r="O113" s="82">
        <f t="shared" si="480"/>
        <v>0</v>
      </c>
      <c r="P113" s="97">
        <f t="shared" ref="P113:R113" si="481">IF(BI113=0,SUM(Y113+AB113+AE113+AH113+AK113+AN113+AQ113+AT113+AW113+AZ113+BC113+BF113),BI113)</f>
        <v>0</v>
      </c>
      <c r="Q113" s="97">
        <f t="shared" si="481"/>
        <v>0</v>
      </c>
      <c r="R113" s="97">
        <f t="shared" si="481"/>
        <v>0</v>
      </c>
      <c r="S113" s="97">
        <f t="shared" si="459"/>
        <v>0</v>
      </c>
      <c r="T113" s="97">
        <f t="shared" si="463"/>
        <v>0</v>
      </c>
      <c r="U113" s="97">
        <f t="shared" si="426"/>
        <v>0</v>
      </c>
      <c r="V113" s="79" t="e">
        <f t="shared" ref="V113:W113" si="482">M113/I113</f>
        <v>#DIV/0!</v>
      </c>
      <c r="W113" s="79" t="e">
        <f t="shared" si="482"/>
        <v>#DIV/0!</v>
      </c>
      <c r="X113" s="79" t="e">
        <f t="shared" si="452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83">SUM(E115:E118)</f>
        <v>23296.54</v>
      </c>
      <c r="F114" s="186">
        <f t="shared" si="483"/>
        <v>0</v>
      </c>
      <c r="G114" s="223">
        <f t="shared" si="399"/>
        <v>0</v>
      </c>
      <c r="H114" s="223">
        <f t="shared" si="400"/>
        <v>0</v>
      </c>
      <c r="I114" s="186">
        <f t="shared" ref="I114:J114" si="484">SUM(I115:I118)</f>
        <v>0</v>
      </c>
      <c r="J114" s="186">
        <f t="shared" si="484"/>
        <v>0</v>
      </c>
      <c r="K114" s="186"/>
      <c r="L114" s="186">
        <f t="shared" ref="L114:O114" si="485">SUM(L115:L118)</f>
        <v>0</v>
      </c>
      <c r="M114" s="186">
        <f t="shared" si="485"/>
        <v>0</v>
      </c>
      <c r="N114" s="186">
        <f t="shared" si="485"/>
        <v>0</v>
      </c>
      <c r="O114" s="186">
        <f t="shared" si="485"/>
        <v>0</v>
      </c>
      <c r="P114" s="186">
        <f t="shared" ref="P114:R114" si="486">IF(BI114=0,SUM(Y114+AB114+AE114+AH114+AK114+AN114+AQ114+AT114+AW114+AZ114+BC114+BF114),BI114)</f>
        <v>0</v>
      </c>
      <c r="Q114" s="186">
        <f t="shared" si="486"/>
        <v>0</v>
      </c>
      <c r="R114" s="186">
        <f t="shared" si="486"/>
        <v>0</v>
      </c>
      <c r="S114" s="186">
        <f t="shared" ref="S114:U114" si="487">SUM(S115:S118)</f>
        <v>0</v>
      </c>
      <c r="T114" s="186">
        <f t="shared" si="487"/>
        <v>0</v>
      </c>
      <c r="U114" s="186">
        <f t="shared" si="487"/>
        <v>0</v>
      </c>
      <c r="V114" s="189" t="e">
        <f t="shared" ref="V114:W114" si="488">M114/I114</f>
        <v>#DIV/0!</v>
      </c>
      <c r="W114" s="189" t="e">
        <f t="shared" si="488"/>
        <v>#DIV/0!</v>
      </c>
      <c r="X114" s="189" t="e">
        <f t="shared" si="452"/>
        <v>#DIV/0!</v>
      </c>
      <c r="Y114" s="186">
        <f t="shared" ref="Y114:BK114" si="489">SUM(Y115:Y118)</f>
        <v>0</v>
      </c>
      <c r="Z114" s="186">
        <f t="shared" si="489"/>
        <v>0</v>
      </c>
      <c r="AA114" s="186">
        <f t="shared" si="489"/>
        <v>0</v>
      </c>
      <c r="AB114" s="186">
        <f t="shared" si="489"/>
        <v>0</v>
      </c>
      <c r="AC114" s="186">
        <f t="shared" si="489"/>
        <v>0</v>
      </c>
      <c r="AD114" s="186">
        <f t="shared" si="489"/>
        <v>0</v>
      </c>
      <c r="AE114" s="186">
        <f t="shared" si="489"/>
        <v>0</v>
      </c>
      <c r="AF114" s="186">
        <f t="shared" si="489"/>
        <v>0</v>
      </c>
      <c r="AG114" s="186">
        <f t="shared" si="489"/>
        <v>0</v>
      </c>
      <c r="AH114" s="186">
        <f t="shared" si="489"/>
        <v>0</v>
      </c>
      <c r="AI114" s="186">
        <f t="shared" si="489"/>
        <v>0</v>
      </c>
      <c r="AJ114" s="186">
        <f t="shared" si="489"/>
        <v>0</v>
      </c>
      <c r="AK114" s="186">
        <f t="shared" si="489"/>
        <v>0</v>
      </c>
      <c r="AL114" s="186">
        <f t="shared" si="489"/>
        <v>0</v>
      </c>
      <c r="AM114" s="186">
        <f t="shared" si="489"/>
        <v>0</v>
      </c>
      <c r="AN114" s="186">
        <f t="shared" si="489"/>
        <v>0</v>
      </c>
      <c r="AO114" s="186">
        <f t="shared" si="489"/>
        <v>0</v>
      </c>
      <c r="AP114" s="186">
        <f t="shared" si="489"/>
        <v>0</v>
      </c>
      <c r="AQ114" s="186">
        <f t="shared" si="489"/>
        <v>0</v>
      </c>
      <c r="AR114" s="186">
        <f t="shared" si="489"/>
        <v>0</v>
      </c>
      <c r="AS114" s="186">
        <f t="shared" si="489"/>
        <v>0</v>
      </c>
      <c r="AT114" s="186">
        <f t="shared" si="489"/>
        <v>0</v>
      </c>
      <c r="AU114" s="186">
        <f t="shared" si="489"/>
        <v>0</v>
      </c>
      <c r="AV114" s="186">
        <f t="shared" si="489"/>
        <v>0</v>
      </c>
      <c r="AW114" s="186">
        <f t="shared" si="489"/>
        <v>0</v>
      </c>
      <c r="AX114" s="186">
        <f t="shared" si="489"/>
        <v>0</v>
      </c>
      <c r="AY114" s="186">
        <f t="shared" si="489"/>
        <v>0</v>
      </c>
      <c r="AZ114" s="186">
        <f t="shared" si="489"/>
        <v>0</v>
      </c>
      <c r="BA114" s="186">
        <f t="shared" si="489"/>
        <v>0</v>
      </c>
      <c r="BB114" s="186">
        <f t="shared" si="489"/>
        <v>0</v>
      </c>
      <c r="BC114" s="186">
        <f t="shared" si="489"/>
        <v>0</v>
      </c>
      <c r="BD114" s="186">
        <f t="shared" si="489"/>
        <v>0</v>
      </c>
      <c r="BE114" s="186">
        <f t="shared" si="489"/>
        <v>0</v>
      </c>
      <c r="BF114" s="186">
        <f t="shared" si="489"/>
        <v>0</v>
      </c>
      <c r="BG114" s="186">
        <f t="shared" si="489"/>
        <v>0</v>
      </c>
      <c r="BH114" s="186">
        <f t="shared" si="489"/>
        <v>0</v>
      </c>
      <c r="BI114" s="186">
        <f t="shared" si="489"/>
        <v>0</v>
      </c>
      <c r="BJ114" s="186">
        <f t="shared" si="489"/>
        <v>0</v>
      </c>
      <c r="BK114" s="186">
        <f t="shared" si="489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99"/>
        <v>0</v>
      </c>
      <c r="H115" s="94">
        <f t="shared" si="400"/>
        <v>0</v>
      </c>
      <c r="I115" s="142"/>
      <c r="J115" s="96"/>
      <c r="K115" s="96"/>
      <c r="L115" s="95"/>
      <c r="M115" s="97">
        <f t="shared" ref="M115:O115" si="490">Y115+AB115+AE115+AH115+AK115+AN115+AQ115+AT115+AW115+AZ115+BC115+BF115</f>
        <v>0</v>
      </c>
      <c r="N115" s="97">
        <f t="shared" si="490"/>
        <v>0</v>
      </c>
      <c r="O115" s="97">
        <f t="shared" si="490"/>
        <v>0</v>
      </c>
      <c r="P115" s="97">
        <f t="shared" ref="P115:R115" si="491">IF(BI115=0,SUM(Y115+AB115+AE115+AH115+AK115+AN115+AQ115+AT115+AW115+AZ115+BC115+BF115),BI115)</f>
        <v>0</v>
      </c>
      <c r="Q115" s="97">
        <f t="shared" si="491"/>
        <v>0</v>
      </c>
      <c r="R115" s="97">
        <f t="shared" si="491"/>
        <v>0</v>
      </c>
      <c r="S115" s="97">
        <f t="shared" ref="S115:T115" si="492">I115-M115</f>
        <v>0</v>
      </c>
      <c r="T115" s="97">
        <f t="shared" si="492"/>
        <v>0</v>
      </c>
      <c r="U115" s="97">
        <f t="shared" ref="U115:U118" si="493">L115-O115</f>
        <v>0</v>
      </c>
      <c r="V115" s="98" t="e">
        <f t="shared" ref="V115:W115" si="494">M115/I115</f>
        <v>#DIV/0!</v>
      </c>
      <c r="W115" s="98" t="e">
        <f t="shared" si="494"/>
        <v>#DIV/0!</v>
      </c>
      <c r="X115" s="98" t="e">
        <f t="shared" si="452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99"/>
        <v>0</v>
      </c>
      <c r="H116" s="94">
        <f t="shared" si="400"/>
        <v>0</v>
      </c>
      <c r="I116" s="96"/>
      <c r="J116" s="96"/>
      <c r="K116" s="96"/>
      <c r="L116" s="95"/>
      <c r="M116" s="97">
        <f t="shared" ref="M116:O116" si="495">Y116+AB116+AE116+AH116+AK116+AN116+AQ116+AT116+AW116+AZ116+BC116+BF116</f>
        <v>0</v>
      </c>
      <c r="N116" s="97">
        <f t="shared" si="495"/>
        <v>0</v>
      </c>
      <c r="O116" s="97">
        <f t="shared" si="495"/>
        <v>0</v>
      </c>
      <c r="P116" s="97">
        <f t="shared" ref="P116:R116" si="496">IF(BI116=0,SUM(Y116+AB116+AE116+AH116+AK116+AN116+AQ116+AT116+AW116+AZ116+BC116+BF116),BI116)</f>
        <v>0</v>
      </c>
      <c r="Q116" s="97">
        <f t="shared" si="496"/>
        <v>0</v>
      </c>
      <c r="R116" s="97">
        <f t="shared" si="496"/>
        <v>0</v>
      </c>
      <c r="S116" s="97">
        <f t="shared" ref="S116:T116" si="497">I116-M116</f>
        <v>0</v>
      </c>
      <c r="T116" s="97">
        <f t="shared" si="497"/>
        <v>0</v>
      </c>
      <c r="U116" s="97">
        <f t="shared" si="493"/>
        <v>0</v>
      </c>
      <c r="V116" s="98" t="e">
        <f t="shared" ref="V116:W116" si="498">M116/I116</f>
        <v>#DIV/0!</v>
      </c>
      <c r="W116" s="98" t="e">
        <f t="shared" si="498"/>
        <v>#DIV/0!</v>
      </c>
      <c r="X116" s="98" t="e">
        <f t="shared" si="452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99">Y117+AB117+AE117+AH117+AK117+AN117+AQ117+AT117+AW117+AZ117+BC117+BF117</f>
        <v>0</v>
      </c>
      <c r="N117" s="97">
        <f t="shared" si="499"/>
        <v>0</v>
      </c>
      <c r="O117" s="97">
        <f t="shared" si="499"/>
        <v>0</v>
      </c>
      <c r="P117" s="97">
        <f t="shared" ref="P117:R117" si="500">IF(BI117=0,SUM(Y117+AB117+AE117+AH117+AK117+AN117+AQ117+AT117+AW117+AZ117+BC117+BF117),BI117)</f>
        <v>0</v>
      </c>
      <c r="Q117" s="97">
        <f t="shared" si="500"/>
        <v>0</v>
      </c>
      <c r="R117" s="97">
        <f t="shared" si="500"/>
        <v>0</v>
      </c>
      <c r="S117" s="97">
        <f t="shared" ref="S117:T117" si="501">I117-M117</f>
        <v>0</v>
      </c>
      <c r="T117" s="97">
        <f t="shared" si="501"/>
        <v>0</v>
      </c>
      <c r="U117" s="97">
        <f t="shared" si="493"/>
        <v>0</v>
      </c>
      <c r="V117" s="98" t="e">
        <f t="shared" ref="V117:V127" si="502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503">M118/E118</f>
        <v>#DIV/0!</v>
      </c>
      <c r="I118" s="96"/>
      <c r="J118" s="96"/>
      <c r="K118" s="96"/>
      <c r="L118" s="95"/>
      <c r="M118" s="97">
        <f t="shared" ref="M118:O118" si="504">Y118+AB118+AE118+AH118+AK118+AN118+AQ118+AT118+AW118+AZ118+BC118+BF118</f>
        <v>0</v>
      </c>
      <c r="N118" s="97">
        <f t="shared" si="504"/>
        <v>0</v>
      </c>
      <c r="O118" s="97">
        <f t="shared" si="504"/>
        <v>0</v>
      </c>
      <c r="P118" s="97">
        <f t="shared" ref="P118:R118" si="505">IF(BI118=0,SUM(Y118+AB118+AE118+AH118+AK118+AN118+AQ118+AT118+AW118+AZ118+BC118+BF118),BI118)</f>
        <v>0</v>
      </c>
      <c r="Q118" s="97">
        <f t="shared" si="505"/>
        <v>0</v>
      </c>
      <c r="R118" s="97">
        <f t="shared" si="505"/>
        <v>0</v>
      </c>
      <c r="S118" s="97">
        <f t="shared" ref="S118:T118" si="506">I118-M118</f>
        <v>0</v>
      </c>
      <c r="T118" s="97">
        <f t="shared" si="506"/>
        <v>0</v>
      </c>
      <c r="U118" s="97">
        <f t="shared" si="493"/>
        <v>0</v>
      </c>
      <c r="V118" s="98" t="e">
        <f t="shared" si="502"/>
        <v>#DIV/0!</v>
      </c>
      <c r="W118" s="98" t="e">
        <f t="shared" ref="W118:W127" si="507">N118/J118</f>
        <v>#DIV/0!</v>
      </c>
      <c r="X118" s="98" t="e">
        <f t="shared" ref="X118:X127" si="508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509">E120+E130+E136+E140</f>
        <v>152177.47999999998</v>
      </c>
      <c r="F119" s="186">
        <f t="shared" si="509"/>
        <v>1173964.47</v>
      </c>
      <c r="G119" s="225" t="e">
        <f t="shared" si="509"/>
        <v>#DIV/0!</v>
      </c>
      <c r="H119" s="223">
        <f t="shared" si="503"/>
        <v>0</v>
      </c>
      <c r="I119" s="186">
        <f t="shared" ref="I119:U119" si="510">I120+I130+I136+I140</f>
        <v>0</v>
      </c>
      <c r="J119" s="186">
        <f t="shared" si="510"/>
        <v>665873.97</v>
      </c>
      <c r="K119" s="186">
        <f t="shared" si="510"/>
        <v>0</v>
      </c>
      <c r="L119" s="186">
        <f t="shared" si="510"/>
        <v>0</v>
      </c>
      <c r="M119" s="186">
        <f t="shared" si="510"/>
        <v>0</v>
      </c>
      <c r="N119" s="186">
        <f t="shared" si="510"/>
        <v>61206.74</v>
      </c>
      <c r="O119" s="186">
        <f t="shared" si="510"/>
        <v>0</v>
      </c>
      <c r="P119" s="186">
        <f t="shared" si="510"/>
        <v>0</v>
      </c>
      <c r="Q119" s="186">
        <f t="shared" si="510"/>
        <v>61206.74</v>
      </c>
      <c r="R119" s="186">
        <f t="shared" si="510"/>
        <v>0</v>
      </c>
      <c r="S119" s="186">
        <f t="shared" si="510"/>
        <v>0</v>
      </c>
      <c r="T119" s="186">
        <f t="shared" si="510"/>
        <v>600430.03</v>
      </c>
      <c r="U119" s="186">
        <f t="shared" si="510"/>
        <v>0</v>
      </c>
      <c r="V119" s="189" t="e">
        <f t="shared" si="502"/>
        <v>#DIV/0!</v>
      </c>
      <c r="W119" s="189">
        <f t="shared" si="507"/>
        <v>9.1919406310476445E-2</v>
      </c>
      <c r="X119" s="189" t="e">
        <f t="shared" si="508"/>
        <v>#DIV/0!</v>
      </c>
      <c r="Y119" s="186">
        <f t="shared" ref="Y119:BK119" si="511">Y120+Y130+Y136+Y140</f>
        <v>0</v>
      </c>
      <c r="Z119" s="186">
        <f t="shared" si="511"/>
        <v>0</v>
      </c>
      <c r="AA119" s="186">
        <f t="shared" si="511"/>
        <v>0</v>
      </c>
      <c r="AB119" s="186">
        <f t="shared" si="511"/>
        <v>0</v>
      </c>
      <c r="AC119" s="186">
        <f t="shared" si="511"/>
        <v>61206.74</v>
      </c>
      <c r="AD119" s="186">
        <f t="shared" si="511"/>
        <v>0</v>
      </c>
      <c r="AE119" s="186">
        <f t="shared" si="511"/>
        <v>0</v>
      </c>
      <c r="AF119" s="186">
        <f t="shared" si="511"/>
        <v>0</v>
      </c>
      <c r="AG119" s="186">
        <f t="shared" si="511"/>
        <v>0</v>
      </c>
      <c r="AH119" s="186">
        <f t="shared" si="511"/>
        <v>0</v>
      </c>
      <c r="AI119" s="186">
        <f t="shared" si="511"/>
        <v>0</v>
      </c>
      <c r="AJ119" s="186">
        <f t="shared" si="511"/>
        <v>0</v>
      </c>
      <c r="AK119" s="186">
        <f t="shared" si="511"/>
        <v>0</v>
      </c>
      <c r="AL119" s="186">
        <f t="shared" si="511"/>
        <v>0</v>
      </c>
      <c r="AM119" s="186">
        <f t="shared" si="511"/>
        <v>0</v>
      </c>
      <c r="AN119" s="186">
        <f t="shared" si="511"/>
        <v>0</v>
      </c>
      <c r="AO119" s="186">
        <f t="shared" si="511"/>
        <v>0</v>
      </c>
      <c r="AP119" s="186">
        <f t="shared" si="511"/>
        <v>0</v>
      </c>
      <c r="AQ119" s="186">
        <f t="shared" si="511"/>
        <v>0</v>
      </c>
      <c r="AR119" s="186">
        <f t="shared" si="511"/>
        <v>0</v>
      </c>
      <c r="AS119" s="186">
        <f t="shared" si="511"/>
        <v>0</v>
      </c>
      <c r="AT119" s="186">
        <f t="shared" si="511"/>
        <v>0</v>
      </c>
      <c r="AU119" s="186">
        <f t="shared" si="511"/>
        <v>0</v>
      </c>
      <c r="AV119" s="186">
        <f t="shared" si="511"/>
        <v>0</v>
      </c>
      <c r="AW119" s="186">
        <f t="shared" si="511"/>
        <v>0</v>
      </c>
      <c r="AX119" s="186">
        <f t="shared" si="511"/>
        <v>0</v>
      </c>
      <c r="AY119" s="186">
        <f t="shared" si="511"/>
        <v>0</v>
      </c>
      <c r="AZ119" s="186">
        <f t="shared" si="511"/>
        <v>0</v>
      </c>
      <c r="BA119" s="186">
        <f t="shared" si="511"/>
        <v>0</v>
      </c>
      <c r="BB119" s="186">
        <f t="shared" si="511"/>
        <v>0</v>
      </c>
      <c r="BC119" s="186">
        <f t="shared" si="511"/>
        <v>0</v>
      </c>
      <c r="BD119" s="186">
        <f t="shared" si="511"/>
        <v>0</v>
      </c>
      <c r="BE119" s="186">
        <f t="shared" si="511"/>
        <v>0</v>
      </c>
      <c r="BF119" s="186">
        <f t="shared" si="511"/>
        <v>0</v>
      </c>
      <c r="BG119" s="186">
        <f t="shared" si="511"/>
        <v>0</v>
      </c>
      <c r="BH119" s="186">
        <f t="shared" si="511"/>
        <v>0</v>
      </c>
      <c r="BI119" s="186">
        <f t="shared" si="511"/>
        <v>0</v>
      </c>
      <c r="BJ119" s="186">
        <f t="shared" si="511"/>
        <v>0</v>
      </c>
      <c r="BK119" s="186">
        <f t="shared" si="511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512">SUM(E121:E129)</f>
        <v>152177.47999999998</v>
      </c>
      <c r="F120" s="231">
        <f t="shared" si="512"/>
        <v>0</v>
      </c>
      <c r="G120" s="187">
        <f t="shared" ref="G120:G127" si="513">I120/E120</f>
        <v>0</v>
      </c>
      <c r="H120" s="187">
        <f t="shared" si="503"/>
        <v>0</v>
      </c>
      <c r="I120" s="231">
        <f t="shared" ref="I120:O120" si="514">SUM(I121:I129)</f>
        <v>0</v>
      </c>
      <c r="J120" s="231">
        <f t="shared" si="514"/>
        <v>457969.89</v>
      </c>
      <c r="K120" s="231">
        <f t="shared" si="514"/>
        <v>0</v>
      </c>
      <c r="L120" s="231">
        <f t="shared" si="514"/>
        <v>0</v>
      </c>
      <c r="M120" s="231">
        <f t="shared" si="514"/>
        <v>0</v>
      </c>
      <c r="N120" s="231">
        <f t="shared" si="514"/>
        <v>61206.74</v>
      </c>
      <c r="O120" s="231">
        <f t="shared" si="514"/>
        <v>0</v>
      </c>
      <c r="P120" s="232">
        <f t="shared" ref="P120:R120" si="515">IF(BI120=0,SUM(Y120+AB120+AE120+AH120+AK120+AN120+AQ120+AT120+AW120+AZ120+BC120+BF120),BI120)</f>
        <v>0</v>
      </c>
      <c r="Q120" s="232">
        <f t="shared" si="515"/>
        <v>61206.74</v>
      </c>
      <c r="R120" s="232">
        <f t="shared" si="515"/>
        <v>0</v>
      </c>
      <c r="S120" s="231">
        <f t="shared" ref="S120:U120" si="516">SUM(S121:S129)</f>
        <v>0</v>
      </c>
      <c r="T120" s="231">
        <f t="shared" si="516"/>
        <v>396763.15</v>
      </c>
      <c r="U120" s="231">
        <f t="shared" si="516"/>
        <v>0</v>
      </c>
      <c r="V120" s="188" t="e">
        <f t="shared" si="502"/>
        <v>#DIV/0!</v>
      </c>
      <c r="W120" s="188">
        <f t="shared" si="507"/>
        <v>0.13364795663749859</v>
      </c>
      <c r="X120" s="188" t="e">
        <f t="shared" si="508"/>
        <v>#DIV/0!</v>
      </c>
      <c r="Y120" s="231">
        <f t="shared" ref="Y120:BK120" si="517">SUM(Y121:Y129)</f>
        <v>0</v>
      </c>
      <c r="Z120" s="231">
        <f t="shared" si="517"/>
        <v>0</v>
      </c>
      <c r="AA120" s="231">
        <f t="shared" si="517"/>
        <v>0</v>
      </c>
      <c r="AB120" s="231">
        <f t="shared" si="517"/>
        <v>0</v>
      </c>
      <c r="AC120" s="231">
        <f t="shared" si="517"/>
        <v>61206.74</v>
      </c>
      <c r="AD120" s="231">
        <f t="shared" si="517"/>
        <v>0</v>
      </c>
      <c r="AE120" s="231">
        <f t="shared" si="517"/>
        <v>0</v>
      </c>
      <c r="AF120" s="231">
        <f t="shared" si="517"/>
        <v>0</v>
      </c>
      <c r="AG120" s="231">
        <f t="shared" si="517"/>
        <v>0</v>
      </c>
      <c r="AH120" s="231">
        <f t="shared" si="517"/>
        <v>0</v>
      </c>
      <c r="AI120" s="231">
        <f t="shared" si="517"/>
        <v>0</v>
      </c>
      <c r="AJ120" s="231">
        <f t="shared" si="517"/>
        <v>0</v>
      </c>
      <c r="AK120" s="231">
        <f t="shared" si="517"/>
        <v>0</v>
      </c>
      <c r="AL120" s="231">
        <f t="shared" si="517"/>
        <v>0</v>
      </c>
      <c r="AM120" s="231">
        <f t="shared" si="517"/>
        <v>0</v>
      </c>
      <c r="AN120" s="231">
        <f t="shared" si="517"/>
        <v>0</v>
      </c>
      <c r="AO120" s="231">
        <f t="shared" si="517"/>
        <v>0</v>
      </c>
      <c r="AP120" s="231">
        <f t="shared" si="517"/>
        <v>0</v>
      </c>
      <c r="AQ120" s="231">
        <f t="shared" si="517"/>
        <v>0</v>
      </c>
      <c r="AR120" s="231">
        <f t="shared" si="517"/>
        <v>0</v>
      </c>
      <c r="AS120" s="231">
        <f t="shared" si="517"/>
        <v>0</v>
      </c>
      <c r="AT120" s="231">
        <f t="shared" si="517"/>
        <v>0</v>
      </c>
      <c r="AU120" s="231">
        <f t="shared" si="517"/>
        <v>0</v>
      </c>
      <c r="AV120" s="231">
        <f t="shared" si="517"/>
        <v>0</v>
      </c>
      <c r="AW120" s="231">
        <f t="shared" si="517"/>
        <v>0</v>
      </c>
      <c r="AX120" s="231">
        <f t="shared" si="517"/>
        <v>0</v>
      </c>
      <c r="AY120" s="231">
        <f t="shared" si="517"/>
        <v>0</v>
      </c>
      <c r="AZ120" s="231">
        <f t="shared" si="517"/>
        <v>0</v>
      </c>
      <c r="BA120" s="231">
        <f t="shared" si="517"/>
        <v>0</v>
      </c>
      <c r="BB120" s="231">
        <f t="shared" si="517"/>
        <v>0</v>
      </c>
      <c r="BC120" s="231">
        <f t="shared" si="517"/>
        <v>0</v>
      </c>
      <c r="BD120" s="231">
        <f t="shared" si="517"/>
        <v>0</v>
      </c>
      <c r="BE120" s="231">
        <f t="shared" si="517"/>
        <v>0</v>
      </c>
      <c r="BF120" s="231">
        <f t="shared" si="517"/>
        <v>0</v>
      </c>
      <c r="BG120" s="231">
        <f t="shared" si="517"/>
        <v>0</v>
      </c>
      <c r="BH120" s="231">
        <f t="shared" si="517"/>
        <v>0</v>
      </c>
      <c r="BI120" s="231">
        <f t="shared" si="517"/>
        <v>0</v>
      </c>
      <c r="BJ120" s="231">
        <f t="shared" si="517"/>
        <v>0</v>
      </c>
      <c r="BK120" s="231">
        <f t="shared" si="517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513"/>
        <v>0</v>
      </c>
      <c r="H121" s="94">
        <f t="shared" si="503"/>
        <v>0</v>
      </c>
      <c r="I121" s="96"/>
      <c r="J121" s="96"/>
      <c r="K121" s="96"/>
      <c r="L121" s="96"/>
      <c r="M121" s="97">
        <f t="shared" ref="M121:O121" si="518">Y121+AB121+AE121+AH121+AK121+AN121+AQ121+AT121+AW121+AZ121+BC121+BF121</f>
        <v>0</v>
      </c>
      <c r="N121" s="97">
        <f t="shared" si="518"/>
        <v>0</v>
      </c>
      <c r="O121" s="97">
        <f t="shared" si="518"/>
        <v>0</v>
      </c>
      <c r="P121" s="97">
        <f t="shared" ref="P121:R121" si="519">IF(BI121=0,SUM(Y121+AB121+AE121+AH121+AK121+AN121+AQ121+AT121+AW121+AZ121+BC121+BF121),BI121)</f>
        <v>0</v>
      </c>
      <c r="Q121" s="97">
        <f t="shared" si="519"/>
        <v>0</v>
      </c>
      <c r="R121" s="97">
        <f t="shared" si="519"/>
        <v>0</v>
      </c>
      <c r="S121" s="97">
        <f t="shared" ref="S121:T121" si="520">I121-M121</f>
        <v>0</v>
      </c>
      <c r="T121" s="97">
        <f t="shared" si="520"/>
        <v>0</v>
      </c>
      <c r="U121" s="97">
        <f t="shared" ref="U121:U129" si="521">L121-O121</f>
        <v>0</v>
      </c>
      <c r="V121" s="94" t="e">
        <f t="shared" si="502"/>
        <v>#DIV/0!</v>
      </c>
      <c r="W121" s="94" t="e">
        <f t="shared" si="507"/>
        <v>#DIV/0!</v>
      </c>
      <c r="X121" s="94" t="e">
        <f t="shared" si="508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513"/>
        <v>#DIV/0!</v>
      </c>
      <c r="H122" s="94" t="e">
        <f t="shared" si="503"/>
        <v>#DIV/0!</v>
      </c>
      <c r="I122" s="96"/>
      <c r="J122" s="96"/>
      <c r="K122" s="96"/>
      <c r="L122" s="96"/>
      <c r="M122" s="97">
        <f t="shared" ref="M122:O122" si="522">Y122+AB122+AE122+AH122+AK122+AN122+AQ122+AT122+AW122+AZ122+BC122+BF122</f>
        <v>0</v>
      </c>
      <c r="N122" s="97">
        <f t="shared" si="522"/>
        <v>0</v>
      </c>
      <c r="O122" s="97">
        <f t="shared" si="522"/>
        <v>0</v>
      </c>
      <c r="P122" s="97">
        <f t="shared" ref="P122:R122" si="523">IF(BI122=0,SUM(Y122+AB122+AE122+AH122+AK122+AN122+AQ122+AT122+AW122+AZ122+BC122+BF122),BI122)</f>
        <v>0</v>
      </c>
      <c r="Q122" s="97">
        <f t="shared" si="523"/>
        <v>0</v>
      </c>
      <c r="R122" s="97">
        <f t="shared" si="523"/>
        <v>0</v>
      </c>
      <c r="S122" s="97">
        <f t="shared" ref="S122:T122" si="524">I122-M122</f>
        <v>0</v>
      </c>
      <c r="T122" s="97">
        <f t="shared" si="524"/>
        <v>0</v>
      </c>
      <c r="U122" s="97">
        <f t="shared" si="521"/>
        <v>0</v>
      </c>
      <c r="V122" s="94" t="e">
        <f t="shared" si="502"/>
        <v>#DIV/0!</v>
      </c>
      <c r="W122" s="94" t="e">
        <f t="shared" si="507"/>
        <v>#DIV/0!</v>
      </c>
      <c r="X122" s="94" t="e">
        <f t="shared" si="508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513"/>
        <v>#DIV/0!</v>
      </c>
      <c r="H123" s="94" t="e">
        <f t="shared" si="503"/>
        <v>#DIV/0!</v>
      </c>
      <c r="I123" s="96"/>
      <c r="J123" s="96"/>
      <c r="K123" s="96"/>
      <c r="L123" s="96"/>
      <c r="M123" s="97">
        <f t="shared" ref="M123:O123" si="525">Y123+AB123+AE123+AH123+AK123+AN123+AQ123+AT123+AW123+AZ123+BC123+BF123</f>
        <v>0</v>
      </c>
      <c r="N123" s="97">
        <f t="shared" si="525"/>
        <v>0</v>
      </c>
      <c r="O123" s="97">
        <f t="shared" si="525"/>
        <v>0</v>
      </c>
      <c r="P123" s="97">
        <f t="shared" ref="P123:R123" si="526">IF(BI123=0,SUM(Y123+AB123+AE123+AH123+AK123+AN123+AQ123+AT123+AW123+AZ123+BC123+BF123),BI123)</f>
        <v>0</v>
      </c>
      <c r="Q123" s="97">
        <f t="shared" si="526"/>
        <v>0</v>
      </c>
      <c r="R123" s="97">
        <f t="shared" si="526"/>
        <v>0</v>
      </c>
      <c r="S123" s="97">
        <f t="shared" ref="S123:T123" si="527">I123-M123</f>
        <v>0</v>
      </c>
      <c r="T123" s="97">
        <f t="shared" si="527"/>
        <v>0</v>
      </c>
      <c r="U123" s="97">
        <f t="shared" si="521"/>
        <v>0</v>
      </c>
      <c r="V123" s="94" t="e">
        <f t="shared" si="502"/>
        <v>#DIV/0!</v>
      </c>
      <c r="W123" s="94" t="e">
        <f t="shared" si="507"/>
        <v>#DIV/0!</v>
      </c>
      <c r="X123" s="94" t="e">
        <f t="shared" si="508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513"/>
        <v>#DIV/0!</v>
      </c>
      <c r="H124" s="94" t="e">
        <f t="shared" si="503"/>
        <v>#DIV/0!</v>
      </c>
      <c r="I124" s="96"/>
      <c r="J124" s="96"/>
      <c r="K124" s="96"/>
      <c r="L124" s="96"/>
      <c r="M124" s="97">
        <f t="shared" ref="M124:O124" si="528">Y124+AB124+AE124+AH124+AK124+AN124+AQ124+AT124+AW124+AZ124+BC124+BF124</f>
        <v>0</v>
      </c>
      <c r="N124" s="97">
        <f t="shared" si="528"/>
        <v>0</v>
      </c>
      <c r="O124" s="97">
        <f t="shared" si="528"/>
        <v>0</v>
      </c>
      <c r="P124" s="97">
        <f t="shared" ref="P124:R124" si="529">IF(BI124=0,SUM(Y124+AB124+AE124+AH124+AK124+AN124+AQ124+AT124+AW124+AZ124+BC124+BF124),BI124)</f>
        <v>0</v>
      </c>
      <c r="Q124" s="97">
        <f t="shared" si="529"/>
        <v>0</v>
      </c>
      <c r="R124" s="97">
        <f t="shared" si="529"/>
        <v>0</v>
      </c>
      <c r="S124" s="97">
        <f t="shared" ref="S124:T124" si="530">I124-M124</f>
        <v>0</v>
      </c>
      <c r="T124" s="97">
        <f t="shared" si="530"/>
        <v>0</v>
      </c>
      <c r="U124" s="97">
        <f t="shared" si="521"/>
        <v>0</v>
      </c>
      <c r="V124" s="94" t="e">
        <f t="shared" si="502"/>
        <v>#DIV/0!</v>
      </c>
      <c r="W124" s="94" t="e">
        <f t="shared" si="507"/>
        <v>#DIV/0!</v>
      </c>
      <c r="X124" s="94" t="e">
        <f t="shared" si="508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524</v>
      </c>
      <c r="E125" s="166"/>
      <c r="F125" s="166"/>
      <c r="G125" s="94" t="e">
        <f t="shared" si="513"/>
        <v>#DIV/0!</v>
      </c>
      <c r="H125" s="94" t="e">
        <f t="shared" si="503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31">Y125+AB125+AE125+AH125+AK125+AN125+AQ125+AT125+AW125+AZ125+BC125+BF125</f>
        <v>0</v>
      </c>
      <c r="N125" s="97">
        <f t="shared" si="531"/>
        <v>0</v>
      </c>
      <c r="O125" s="97">
        <f t="shared" si="531"/>
        <v>0</v>
      </c>
      <c r="P125" s="97">
        <f t="shared" ref="P125:R125" si="532">IF(BI125=0,SUM(Y125+AB125+AE125+AH125+AK125+AN125+AQ125+AT125+AW125+AZ125+BC125+BF125),BI125)</f>
        <v>0</v>
      </c>
      <c r="Q125" s="97">
        <f t="shared" si="532"/>
        <v>0</v>
      </c>
      <c r="R125" s="97">
        <f t="shared" si="532"/>
        <v>0</v>
      </c>
      <c r="S125" s="97">
        <f t="shared" ref="S125:T125" si="533">I125-M125</f>
        <v>0</v>
      </c>
      <c r="T125" s="97">
        <f t="shared" si="533"/>
        <v>5199.4000000000005</v>
      </c>
      <c r="U125" s="97">
        <f t="shared" si="521"/>
        <v>0</v>
      </c>
      <c r="V125" s="94" t="e">
        <f t="shared" si="502"/>
        <v>#DIV/0!</v>
      </c>
      <c r="W125" s="94">
        <f t="shared" si="507"/>
        <v>0</v>
      </c>
      <c r="X125" s="94" t="e">
        <f t="shared" si="508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513"/>
        <v>0</v>
      </c>
      <c r="H126" s="94">
        <f t="shared" si="503"/>
        <v>0</v>
      </c>
      <c r="I126" s="96"/>
      <c r="J126" s="96"/>
      <c r="K126" s="96"/>
      <c r="L126" s="96"/>
      <c r="M126" s="97">
        <f t="shared" ref="M126:O126" si="534">Y126+AB126+AE126+AH126+AK126+AN126+AQ126+AT126+AW126+AZ126+BC126+BF126</f>
        <v>0</v>
      </c>
      <c r="N126" s="97">
        <f t="shared" si="534"/>
        <v>0</v>
      </c>
      <c r="O126" s="97">
        <f t="shared" si="534"/>
        <v>0</v>
      </c>
      <c r="P126" s="97">
        <f t="shared" ref="P126:R126" si="535">IF(BI126=0,SUM(Y126+AB126+AE126+AH126+AK126+AN126+AQ126+AT126+AW126+AZ126+BC126+BF126),BI126)</f>
        <v>0</v>
      </c>
      <c r="Q126" s="97">
        <f t="shared" si="535"/>
        <v>0</v>
      </c>
      <c r="R126" s="97">
        <f t="shared" si="535"/>
        <v>0</v>
      </c>
      <c r="S126" s="97">
        <f t="shared" ref="S126:T126" si="536">I126-M126</f>
        <v>0</v>
      </c>
      <c r="T126" s="97">
        <f t="shared" si="536"/>
        <v>0</v>
      </c>
      <c r="U126" s="97">
        <f t="shared" si="521"/>
        <v>0</v>
      </c>
      <c r="V126" s="94" t="e">
        <f t="shared" si="502"/>
        <v>#DIV/0!</v>
      </c>
      <c r="W126" s="94" t="e">
        <f t="shared" si="507"/>
        <v>#DIV/0!</v>
      </c>
      <c r="X126" s="94" t="e">
        <f t="shared" si="508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513"/>
        <v>#DIV/0!</v>
      </c>
      <c r="H127" s="94" t="e">
        <f t="shared" si="503"/>
        <v>#DIV/0!</v>
      </c>
      <c r="I127" s="96"/>
      <c r="J127" s="96"/>
      <c r="K127" s="96"/>
      <c r="L127" s="96"/>
      <c r="M127" s="97">
        <f t="shared" ref="M127:O127" si="537">Y127+AB127+AE127+AH127+AK127+AN127+AQ127+AT127+AW127+AZ127+BC127+BF127</f>
        <v>0</v>
      </c>
      <c r="N127" s="97">
        <f t="shared" si="537"/>
        <v>0</v>
      </c>
      <c r="O127" s="97">
        <f t="shared" si="537"/>
        <v>0</v>
      </c>
      <c r="P127" s="97">
        <f t="shared" ref="P127:R127" si="538">IF(BI127=0,SUM(Y127+AB127+AE127+AH127+AK127+AN127+AQ127+AT127+AW127+AZ127+BC127+BF127),BI127)</f>
        <v>0</v>
      </c>
      <c r="Q127" s="97">
        <f t="shared" si="538"/>
        <v>0</v>
      </c>
      <c r="R127" s="97">
        <f t="shared" si="538"/>
        <v>0</v>
      </c>
      <c r="S127" s="97">
        <f t="shared" ref="S127:T127" si="539">I127-M127</f>
        <v>0</v>
      </c>
      <c r="T127" s="97">
        <f t="shared" si="539"/>
        <v>0</v>
      </c>
      <c r="U127" s="97">
        <f t="shared" si="521"/>
        <v>0</v>
      </c>
      <c r="V127" s="94" t="e">
        <f t="shared" si="502"/>
        <v>#DIV/0!</v>
      </c>
      <c r="W127" s="94" t="e">
        <f t="shared" si="507"/>
        <v>#DIV/0!</v>
      </c>
      <c r="X127" s="94" t="e">
        <f t="shared" si="508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525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40">Y128+AB128+AE128+AH128+AK128+AN128+AQ128+AT128+AW128+AZ128+BC128+BF128</f>
        <v>0</v>
      </c>
      <c r="N128" s="97">
        <f t="shared" si="540"/>
        <v>61206.74</v>
      </c>
      <c r="O128" s="97">
        <f t="shared" si="540"/>
        <v>0</v>
      </c>
      <c r="P128" s="97">
        <f t="shared" ref="P128:R128" si="541">IF(BI128=0,SUM(Y128+AB128+AE128+AH128+AK128+AN128+AQ128+AT128+AW128+AZ128+BC128+BF128),BI128)</f>
        <v>0</v>
      </c>
      <c r="Q128" s="97">
        <f t="shared" si="541"/>
        <v>61206.74</v>
      </c>
      <c r="R128" s="97">
        <f t="shared" si="541"/>
        <v>0</v>
      </c>
      <c r="S128" s="97">
        <f t="shared" ref="S128:T128" si="542">I128-M128</f>
        <v>0</v>
      </c>
      <c r="T128" s="97">
        <f t="shared" si="542"/>
        <v>391563.75</v>
      </c>
      <c r="U128" s="97">
        <f t="shared" si="521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43">I129/E129</f>
        <v>#DIV/0!</v>
      </c>
      <c r="H129" s="94" t="e">
        <f t="shared" ref="H129:H136" si="544">M129/E129</f>
        <v>#DIV/0!</v>
      </c>
      <c r="I129" s="96"/>
      <c r="J129" s="96"/>
      <c r="K129" s="96"/>
      <c r="L129" s="237"/>
      <c r="M129" s="97">
        <f t="shared" ref="M129:O129" si="545">Y129+AB129+AE129+AH129+AK129+AN129+AQ129+AT129+AW129+AZ129+BC129+BF129</f>
        <v>0</v>
      </c>
      <c r="N129" s="97">
        <f t="shared" si="545"/>
        <v>0</v>
      </c>
      <c r="O129" s="97">
        <f t="shared" si="545"/>
        <v>0</v>
      </c>
      <c r="P129" s="97">
        <f t="shared" ref="P129:R129" si="546">IF(BI129=0,SUM(Y129+AB129+AE129+AH129+AK129+AN129+AQ129+AT129+AW129+AZ129+BC129+BF129),BI129)</f>
        <v>0</v>
      </c>
      <c r="Q129" s="97">
        <f t="shared" si="546"/>
        <v>0</v>
      </c>
      <c r="R129" s="97">
        <f t="shared" si="546"/>
        <v>0</v>
      </c>
      <c r="S129" s="97">
        <f t="shared" ref="S129:T129" si="547">I129-M129</f>
        <v>0</v>
      </c>
      <c r="T129" s="97">
        <f t="shared" si="547"/>
        <v>0</v>
      </c>
      <c r="U129" s="97">
        <f t="shared" si="521"/>
        <v>0</v>
      </c>
      <c r="V129" s="94" t="e">
        <f t="shared" ref="V129:W129" si="548">M129/I129</f>
        <v>#DIV/0!</v>
      </c>
      <c r="W129" s="94" t="e">
        <f t="shared" si="548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49">SUM(E131:E135)</f>
        <v>0</v>
      </c>
      <c r="F130" s="231">
        <f t="shared" si="549"/>
        <v>216000</v>
      </c>
      <c r="G130" s="187" t="e">
        <f t="shared" si="543"/>
        <v>#DIV/0!</v>
      </c>
      <c r="H130" s="187" t="e">
        <f t="shared" si="544"/>
        <v>#DIV/0!</v>
      </c>
      <c r="I130" s="231">
        <f t="shared" ref="I130:O130" si="550">SUM(I131:I135)</f>
        <v>0</v>
      </c>
      <c r="J130" s="231">
        <f t="shared" si="550"/>
        <v>0</v>
      </c>
      <c r="K130" s="231">
        <f t="shared" si="550"/>
        <v>0</v>
      </c>
      <c r="L130" s="231">
        <f t="shared" si="550"/>
        <v>0</v>
      </c>
      <c r="M130" s="231">
        <f t="shared" si="550"/>
        <v>0</v>
      </c>
      <c r="N130" s="238">
        <f t="shared" si="550"/>
        <v>0</v>
      </c>
      <c r="O130" s="238">
        <f t="shared" si="550"/>
        <v>0</v>
      </c>
      <c r="P130" s="238">
        <f t="shared" ref="P130:R130" si="551">IF(BI130=0,SUM(Y130+AB130+AE130+AH130+AK130+AN130+AQ130+AT130+AW130+AZ130+BC130+BF130),BI130)</f>
        <v>0</v>
      </c>
      <c r="Q130" s="238">
        <f t="shared" si="551"/>
        <v>0</v>
      </c>
      <c r="R130" s="238">
        <f t="shared" si="551"/>
        <v>0</v>
      </c>
      <c r="S130" s="238">
        <f t="shared" ref="S130:BK130" si="552">SUM(S131:S135)</f>
        <v>0</v>
      </c>
      <c r="T130" s="238">
        <f t="shared" si="552"/>
        <v>0</v>
      </c>
      <c r="U130" s="238">
        <f t="shared" si="552"/>
        <v>0</v>
      </c>
      <c r="V130" s="238" t="e">
        <f t="shared" si="552"/>
        <v>#DIV/0!</v>
      </c>
      <c r="W130" s="238" t="e">
        <f t="shared" si="552"/>
        <v>#DIV/0!</v>
      </c>
      <c r="X130" s="238" t="e">
        <f t="shared" si="552"/>
        <v>#DIV/0!</v>
      </c>
      <c r="Y130" s="231">
        <f t="shared" si="552"/>
        <v>0</v>
      </c>
      <c r="Z130" s="231">
        <f t="shared" si="552"/>
        <v>0</v>
      </c>
      <c r="AA130" s="231">
        <f t="shared" si="552"/>
        <v>0</v>
      </c>
      <c r="AB130" s="231">
        <f t="shared" si="552"/>
        <v>0</v>
      </c>
      <c r="AC130" s="231">
        <f t="shared" si="552"/>
        <v>0</v>
      </c>
      <c r="AD130" s="231">
        <f t="shared" si="552"/>
        <v>0</v>
      </c>
      <c r="AE130" s="231">
        <f t="shared" si="552"/>
        <v>0</v>
      </c>
      <c r="AF130" s="231">
        <f t="shared" si="552"/>
        <v>0</v>
      </c>
      <c r="AG130" s="231">
        <f t="shared" si="552"/>
        <v>0</v>
      </c>
      <c r="AH130" s="231">
        <f t="shared" si="552"/>
        <v>0</v>
      </c>
      <c r="AI130" s="231">
        <f t="shared" si="552"/>
        <v>0</v>
      </c>
      <c r="AJ130" s="231">
        <f t="shared" si="552"/>
        <v>0</v>
      </c>
      <c r="AK130" s="231">
        <f t="shared" si="552"/>
        <v>0</v>
      </c>
      <c r="AL130" s="231">
        <f t="shared" si="552"/>
        <v>0</v>
      </c>
      <c r="AM130" s="231">
        <f t="shared" si="552"/>
        <v>0</v>
      </c>
      <c r="AN130" s="231">
        <f t="shared" si="552"/>
        <v>0</v>
      </c>
      <c r="AO130" s="231">
        <f t="shared" si="552"/>
        <v>0</v>
      </c>
      <c r="AP130" s="231">
        <f t="shared" si="552"/>
        <v>0</v>
      </c>
      <c r="AQ130" s="231">
        <f t="shared" si="552"/>
        <v>0</v>
      </c>
      <c r="AR130" s="231">
        <f t="shared" si="552"/>
        <v>0</v>
      </c>
      <c r="AS130" s="231">
        <f t="shared" si="552"/>
        <v>0</v>
      </c>
      <c r="AT130" s="231">
        <f t="shared" si="552"/>
        <v>0</v>
      </c>
      <c r="AU130" s="231">
        <f t="shared" si="552"/>
        <v>0</v>
      </c>
      <c r="AV130" s="231">
        <f t="shared" si="552"/>
        <v>0</v>
      </c>
      <c r="AW130" s="231">
        <f t="shared" si="552"/>
        <v>0</v>
      </c>
      <c r="AX130" s="231">
        <f t="shared" si="552"/>
        <v>0</v>
      </c>
      <c r="AY130" s="231">
        <f t="shared" si="552"/>
        <v>0</v>
      </c>
      <c r="AZ130" s="231">
        <f t="shared" si="552"/>
        <v>0</v>
      </c>
      <c r="BA130" s="231">
        <f t="shared" si="552"/>
        <v>0</v>
      </c>
      <c r="BB130" s="231">
        <f t="shared" si="552"/>
        <v>0</v>
      </c>
      <c r="BC130" s="231">
        <f t="shared" si="552"/>
        <v>0</v>
      </c>
      <c r="BD130" s="231">
        <f t="shared" si="552"/>
        <v>0</v>
      </c>
      <c r="BE130" s="231">
        <f t="shared" si="552"/>
        <v>0</v>
      </c>
      <c r="BF130" s="231">
        <f t="shared" si="552"/>
        <v>0</v>
      </c>
      <c r="BG130" s="231">
        <f t="shared" si="552"/>
        <v>0</v>
      </c>
      <c r="BH130" s="231">
        <f t="shared" si="552"/>
        <v>0</v>
      </c>
      <c r="BI130" s="231">
        <f t="shared" si="552"/>
        <v>0</v>
      </c>
      <c r="BJ130" s="231">
        <f t="shared" si="552"/>
        <v>0</v>
      </c>
      <c r="BK130" s="231">
        <f t="shared" si="552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43"/>
        <v>#DIV/0!</v>
      </c>
      <c r="H131" s="94" t="e">
        <f t="shared" si="544"/>
        <v>#DIV/0!</v>
      </c>
      <c r="I131" s="96"/>
      <c r="J131" s="96"/>
      <c r="K131" s="96"/>
      <c r="L131" s="96"/>
      <c r="M131" s="97">
        <f t="shared" ref="M131:O131" si="553">Y131+AB131+AE131+AH131+AK131+AN131+AQ131+AT131+AW131+AZ131+BC131+BF131</f>
        <v>0</v>
      </c>
      <c r="N131" s="97">
        <f t="shared" si="553"/>
        <v>0</v>
      </c>
      <c r="O131" s="97">
        <f t="shared" si="553"/>
        <v>0</v>
      </c>
      <c r="P131" s="97">
        <f t="shared" ref="P131:R131" si="554">IF(BI131=0,SUM(Y131+AB131+AE131+AH131+AK131+AN131+AQ131+AT131+AW131+AZ131+BC131+BF131),BI131)</f>
        <v>0</v>
      </c>
      <c r="Q131" s="97">
        <f t="shared" si="554"/>
        <v>0</v>
      </c>
      <c r="R131" s="97">
        <f t="shared" si="554"/>
        <v>0</v>
      </c>
      <c r="S131" s="97">
        <f t="shared" ref="S131:T131" si="555">I131-M131</f>
        <v>0</v>
      </c>
      <c r="T131" s="97">
        <f t="shared" si="555"/>
        <v>0</v>
      </c>
      <c r="U131" s="97">
        <f t="shared" ref="U131:U135" si="556">L131-O131</f>
        <v>0</v>
      </c>
      <c r="V131" s="98" t="e">
        <f t="shared" ref="V131:W131" si="557">M131/I131</f>
        <v>#DIV/0!</v>
      </c>
      <c r="W131" s="98" t="e">
        <f t="shared" si="557"/>
        <v>#DIV/0!</v>
      </c>
      <c r="X131" s="98" t="e">
        <f t="shared" ref="X131:X135" si="558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43"/>
        <v>#DIV/0!</v>
      </c>
      <c r="H132" s="94" t="e">
        <f t="shared" si="544"/>
        <v>#DIV/0!</v>
      </c>
      <c r="I132" s="96"/>
      <c r="J132" s="96"/>
      <c r="K132" s="96"/>
      <c r="L132" s="83"/>
      <c r="M132" s="97">
        <f t="shared" ref="M132:O132" si="559">Y132+AB132+AE132+AH132+AK132+AN132+AQ132+AT132+AW132+AZ132+BC132+BF132</f>
        <v>0</v>
      </c>
      <c r="N132" s="97">
        <f t="shared" si="559"/>
        <v>0</v>
      </c>
      <c r="O132" s="97">
        <f t="shared" si="559"/>
        <v>0</v>
      </c>
      <c r="P132" s="97">
        <f t="shared" ref="P132:R132" si="560">IF(BI132=0,SUM(Y132+AB132+AE132+AH132+AK132+AN132+AQ132+AT132+AW132+AZ132+BC132+BF132),BI132)</f>
        <v>0</v>
      </c>
      <c r="Q132" s="97">
        <f t="shared" si="560"/>
        <v>0</v>
      </c>
      <c r="R132" s="97">
        <f t="shared" si="560"/>
        <v>0</v>
      </c>
      <c r="S132" s="97">
        <f t="shared" ref="S132:T132" si="561">I132-M132</f>
        <v>0</v>
      </c>
      <c r="T132" s="97">
        <f t="shared" si="561"/>
        <v>0</v>
      </c>
      <c r="U132" s="97">
        <f t="shared" si="556"/>
        <v>0</v>
      </c>
      <c r="V132" s="98" t="e">
        <f t="shared" ref="V132:W132" si="562">M132/I132</f>
        <v>#DIV/0!</v>
      </c>
      <c r="W132" s="98" t="e">
        <f t="shared" si="562"/>
        <v>#DIV/0!</v>
      </c>
      <c r="X132" s="98" t="e">
        <f t="shared" si="558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43"/>
        <v>#DIV/0!</v>
      </c>
      <c r="H133" s="94" t="e">
        <f t="shared" si="544"/>
        <v>#DIV/0!</v>
      </c>
      <c r="I133" s="96"/>
      <c r="J133" s="96"/>
      <c r="K133" s="96"/>
      <c r="L133" s="96"/>
      <c r="M133" s="97">
        <f t="shared" ref="M133:O133" si="563">Y133+AB133+AE133+AH133+AK133+AN133+AQ133+AT133+AW133+AZ133+BC133+BF133</f>
        <v>0</v>
      </c>
      <c r="N133" s="97">
        <f t="shared" si="563"/>
        <v>0</v>
      </c>
      <c r="O133" s="97">
        <f t="shared" si="563"/>
        <v>0</v>
      </c>
      <c r="P133" s="97">
        <f t="shared" ref="P133:R133" si="564">IF(BI133=0,SUM(Y133+AB133+AE133+AH133+AK133+AN133+AQ133+AT133+AW133+AZ133+BC133+BF133),BI133)</f>
        <v>0</v>
      </c>
      <c r="Q133" s="97">
        <f t="shared" si="564"/>
        <v>0</v>
      </c>
      <c r="R133" s="97">
        <f t="shared" si="564"/>
        <v>0</v>
      </c>
      <c r="S133" s="97">
        <f t="shared" ref="S133:T133" si="565">I133-M133</f>
        <v>0</v>
      </c>
      <c r="T133" s="97">
        <f t="shared" si="565"/>
        <v>0</v>
      </c>
      <c r="U133" s="97">
        <f t="shared" si="556"/>
        <v>0</v>
      </c>
      <c r="V133" s="98" t="e">
        <f t="shared" ref="V133:W133" si="566">M133/I133</f>
        <v>#DIV/0!</v>
      </c>
      <c r="W133" s="98" t="e">
        <f t="shared" si="566"/>
        <v>#DIV/0!</v>
      </c>
      <c r="X133" s="98" t="e">
        <f t="shared" si="558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43"/>
        <v>#DIV/0!</v>
      </c>
      <c r="H134" s="94" t="e">
        <f t="shared" si="544"/>
        <v>#DIV/0!</v>
      </c>
      <c r="I134" s="96"/>
      <c r="J134" s="96"/>
      <c r="K134" s="96"/>
      <c r="L134" s="96"/>
      <c r="M134" s="97">
        <f t="shared" ref="M134:O134" si="567">Y134+AB134+AE134+AH134+AK134+AN134+AQ134+AT134+AW134+AZ134+BC134+BF134</f>
        <v>0</v>
      </c>
      <c r="N134" s="97">
        <f t="shared" si="567"/>
        <v>0</v>
      </c>
      <c r="O134" s="97">
        <f t="shared" si="567"/>
        <v>0</v>
      </c>
      <c r="P134" s="97">
        <f t="shared" ref="P134:R134" si="568">IF(BI134=0,SUM(Y134+AB134+AE134+AH134+AK134+AN134+AQ134+AT134+AW134+AZ134+BC134+BF134),BI134)</f>
        <v>0</v>
      </c>
      <c r="Q134" s="97">
        <f t="shared" si="568"/>
        <v>0</v>
      </c>
      <c r="R134" s="97">
        <f t="shared" si="568"/>
        <v>0</v>
      </c>
      <c r="S134" s="97">
        <f t="shared" ref="S134:T134" si="569">I134-M134</f>
        <v>0</v>
      </c>
      <c r="T134" s="97">
        <f t="shared" si="569"/>
        <v>0</v>
      </c>
      <c r="U134" s="97">
        <f t="shared" si="556"/>
        <v>0</v>
      </c>
      <c r="V134" s="98" t="e">
        <f t="shared" ref="V134:W134" si="570">M134/I134</f>
        <v>#DIV/0!</v>
      </c>
      <c r="W134" s="98" t="e">
        <f t="shared" si="570"/>
        <v>#DIV/0!</v>
      </c>
      <c r="X134" s="98" t="e">
        <f t="shared" si="558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43"/>
        <v>#DIV/0!</v>
      </c>
      <c r="H135" s="94" t="e">
        <f t="shared" si="544"/>
        <v>#DIV/0!</v>
      </c>
      <c r="I135" s="96"/>
      <c r="J135" s="96"/>
      <c r="K135" s="96"/>
      <c r="L135" s="239"/>
      <c r="M135" s="97">
        <f t="shared" ref="M135:O135" si="571">Y135+AB135+AE135+AH135+AK135+AN135+AQ135+AT135+AW135+AZ135+BC135+BF135</f>
        <v>0</v>
      </c>
      <c r="N135" s="97">
        <f t="shared" si="571"/>
        <v>0</v>
      </c>
      <c r="O135" s="97">
        <f t="shared" si="571"/>
        <v>0</v>
      </c>
      <c r="P135" s="97">
        <f t="shared" ref="P135:R135" si="572">IF(BI135=0,SUM(Y135+AB135+AE135+AH135+AK135+AN135+AQ135+AT135+AW135+AZ135+BC135+BF135),BI135)</f>
        <v>0</v>
      </c>
      <c r="Q135" s="97">
        <f t="shared" si="572"/>
        <v>0</v>
      </c>
      <c r="R135" s="97">
        <f t="shared" si="572"/>
        <v>0</v>
      </c>
      <c r="S135" s="97">
        <f t="shared" ref="S135:T135" si="573">I135-M135</f>
        <v>0</v>
      </c>
      <c r="T135" s="97">
        <f t="shared" si="573"/>
        <v>0</v>
      </c>
      <c r="U135" s="97">
        <f t="shared" si="556"/>
        <v>0</v>
      </c>
      <c r="V135" s="98" t="e">
        <f t="shared" ref="V135:W135" si="574">M135/I135</f>
        <v>#DIV/0!</v>
      </c>
      <c r="W135" s="98" t="e">
        <f t="shared" si="574"/>
        <v>#DIV/0!</v>
      </c>
      <c r="X135" s="98" t="e">
        <f t="shared" si="558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75">SUM(E137:E139)</f>
        <v>0</v>
      </c>
      <c r="F136" s="242">
        <f t="shared" si="575"/>
        <v>867964.47</v>
      </c>
      <c r="G136" s="187" t="e">
        <f t="shared" si="543"/>
        <v>#DIV/0!</v>
      </c>
      <c r="H136" s="187" t="e">
        <f t="shared" si="544"/>
        <v>#DIV/0!</v>
      </c>
      <c r="I136" s="242">
        <f t="shared" ref="I136:O136" si="576">SUM(I137:I139)</f>
        <v>0</v>
      </c>
      <c r="J136" s="242">
        <f t="shared" si="576"/>
        <v>203666.88</v>
      </c>
      <c r="K136" s="242">
        <f t="shared" si="576"/>
        <v>0</v>
      </c>
      <c r="L136" s="242">
        <f t="shared" si="576"/>
        <v>0</v>
      </c>
      <c r="M136" s="242">
        <f t="shared" si="576"/>
        <v>0</v>
      </c>
      <c r="N136" s="243">
        <f t="shared" si="576"/>
        <v>0</v>
      </c>
      <c r="O136" s="243">
        <f t="shared" si="576"/>
        <v>0</v>
      </c>
      <c r="P136" s="243">
        <f t="shared" ref="P136:R136" si="577">IF(BI136=0,SUM(Y136+AB136+AE136+AH136+AK136+AN136+AQ136+AT136+AW136+AZ136+BC136+BF136),BI136)</f>
        <v>0</v>
      </c>
      <c r="Q136" s="243">
        <f t="shared" si="577"/>
        <v>0</v>
      </c>
      <c r="R136" s="243">
        <f t="shared" si="577"/>
        <v>0</v>
      </c>
      <c r="S136" s="242">
        <f t="shared" ref="S136:BK136" si="578">SUM(S137:S139)</f>
        <v>0</v>
      </c>
      <c r="T136" s="186">
        <f t="shared" si="578"/>
        <v>203666.88</v>
      </c>
      <c r="U136" s="186">
        <f t="shared" si="578"/>
        <v>0</v>
      </c>
      <c r="V136" s="186" t="e">
        <f t="shared" si="578"/>
        <v>#DIV/0!</v>
      </c>
      <c r="W136" s="186" t="e">
        <f t="shared" si="578"/>
        <v>#DIV/0!</v>
      </c>
      <c r="X136" s="186" t="e">
        <f t="shared" si="578"/>
        <v>#DIV/0!</v>
      </c>
      <c r="Y136" s="242">
        <f t="shared" si="578"/>
        <v>0</v>
      </c>
      <c r="Z136" s="242">
        <f t="shared" si="578"/>
        <v>0</v>
      </c>
      <c r="AA136" s="242">
        <f t="shared" si="578"/>
        <v>0</v>
      </c>
      <c r="AB136" s="242">
        <f t="shared" si="578"/>
        <v>0</v>
      </c>
      <c r="AC136" s="242">
        <f t="shared" si="578"/>
        <v>0</v>
      </c>
      <c r="AD136" s="242">
        <f t="shared" si="578"/>
        <v>0</v>
      </c>
      <c r="AE136" s="242">
        <f t="shared" si="578"/>
        <v>0</v>
      </c>
      <c r="AF136" s="242">
        <f t="shared" si="578"/>
        <v>0</v>
      </c>
      <c r="AG136" s="242">
        <f t="shared" si="578"/>
        <v>0</v>
      </c>
      <c r="AH136" s="242">
        <f t="shared" si="578"/>
        <v>0</v>
      </c>
      <c r="AI136" s="242">
        <f t="shared" si="578"/>
        <v>0</v>
      </c>
      <c r="AJ136" s="242">
        <f t="shared" si="578"/>
        <v>0</v>
      </c>
      <c r="AK136" s="242">
        <f t="shared" si="578"/>
        <v>0</v>
      </c>
      <c r="AL136" s="242">
        <f t="shared" si="578"/>
        <v>0</v>
      </c>
      <c r="AM136" s="242">
        <f t="shared" si="578"/>
        <v>0</v>
      </c>
      <c r="AN136" s="242">
        <f t="shared" si="578"/>
        <v>0</v>
      </c>
      <c r="AO136" s="242">
        <f t="shared" si="578"/>
        <v>0</v>
      </c>
      <c r="AP136" s="242">
        <f t="shared" si="578"/>
        <v>0</v>
      </c>
      <c r="AQ136" s="242">
        <f t="shared" si="578"/>
        <v>0</v>
      </c>
      <c r="AR136" s="242">
        <f t="shared" si="578"/>
        <v>0</v>
      </c>
      <c r="AS136" s="242">
        <f t="shared" si="578"/>
        <v>0</v>
      </c>
      <c r="AT136" s="242">
        <f t="shared" si="578"/>
        <v>0</v>
      </c>
      <c r="AU136" s="242">
        <f t="shared" si="578"/>
        <v>0</v>
      </c>
      <c r="AV136" s="242">
        <f t="shared" si="578"/>
        <v>0</v>
      </c>
      <c r="AW136" s="242">
        <f t="shared" si="578"/>
        <v>0</v>
      </c>
      <c r="AX136" s="242">
        <f t="shared" si="578"/>
        <v>0</v>
      </c>
      <c r="AY136" s="242">
        <f t="shared" si="578"/>
        <v>0</v>
      </c>
      <c r="AZ136" s="242">
        <f t="shared" si="578"/>
        <v>0</v>
      </c>
      <c r="BA136" s="242">
        <f t="shared" si="578"/>
        <v>0</v>
      </c>
      <c r="BB136" s="242">
        <f t="shared" si="578"/>
        <v>0</v>
      </c>
      <c r="BC136" s="242">
        <f t="shared" si="578"/>
        <v>0</v>
      </c>
      <c r="BD136" s="242">
        <f t="shared" si="578"/>
        <v>0</v>
      </c>
      <c r="BE136" s="242">
        <f t="shared" si="578"/>
        <v>0</v>
      </c>
      <c r="BF136" s="242">
        <f t="shared" si="578"/>
        <v>0</v>
      </c>
      <c r="BG136" s="242">
        <f t="shared" si="578"/>
        <v>0</v>
      </c>
      <c r="BH136" s="242">
        <f t="shared" si="578"/>
        <v>0</v>
      </c>
      <c r="BI136" s="242">
        <f t="shared" si="578"/>
        <v>0</v>
      </c>
      <c r="BJ136" s="242">
        <f t="shared" si="578"/>
        <v>0</v>
      </c>
      <c r="BK136" s="242">
        <f t="shared" si="578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79">I137/#REF!</f>
        <v>#REF!</v>
      </c>
      <c r="H137" s="94" t="e">
        <f t="shared" ref="H137:H138" si="580">M137/#REF!</f>
        <v>#REF!</v>
      </c>
      <c r="I137" s="96"/>
      <c r="J137" s="96">
        <v>193192.78</v>
      </c>
      <c r="K137" s="96"/>
      <c r="L137" s="96"/>
      <c r="M137" s="97">
        <f t="shared" ref="M137:O137" si="581">Y137+AB137+AE137+AH137+AK137+AN137+AQ137+AT137+AW137+AZ137+BC137+BF137</f>
        <v>0</v>
      </c>
      <c r="N137" s="97">
        <f t="shared" si="581"/>
        <v>0</v>
      </c>
      <c r="O137" s="97">
        <f t="shared" si="581"/>
        <v>0</v>
      </c>
      <c r="P137" s="97">
        <f t="shared" ref="P137:R137" si="582">IF(BI137=0,SUM(Y137+AB137+AE137+AH137+AK137+AN137+AQ137+AT137+AW137+AZ137+BC137+BF137),BI137)</f>
        <v>0</v>
      </c>
      <c r="Q137" s="97">
        <f t="shared" si="582"/>
        <v>0</v>
      </c>
      <c r="R137" s="97">
        <f t="shared" si="582"/>
        <v>0</v>
      </c>
      <c r="S137" s="97">
        <f t="shared" ref="S137:T137" si="583">I137-M137</f>
        <v>0</v>
      </c>
      <c r="T137" s="97">
        <f t="shared" si="583"/>
        <v>193192.78</v>
      </c>
      <c r="U137" s="97">
        <f t="shared" ref="U137:U139" si="584">L137-O137</f>
        <v>0</v>
      </c>
      <c r="V137" s="98" t="e">
        <f t="shared" ref="V137:W137" si="585">M137/I137</f>
        <v>#DIV/0!</v>
      </c>
      <c r="W137" s="98">
        <f t="shared" si="585"/>
        <v>0</v>
      </c>
      <c r="X137" s="98" t="e">
        <f t="shared" ref="X137:X139" si="586">O137/L137</f>
        <v>#DIV/0!</v>
      </c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79"/>
        <v>#REF!</v>
      </c>
      <c r="H138" s="94" t="e">
        <f t="shared" si="580"/>
        <v>#REF!</v>
      </c>
      <c r="I138" s="119"/>
      <c r="J138" s="96"/>
      <c r="K138" s="96"/>
      <c r="L138" s="202"/>
      <c r="M138" s="97">
        <f t="shared" ref="M138:O138" si="587">Y138+AB138+AE138+AH138+AK138+AN138+AQ138+AT138+AW138+AZ138+BC138+BF138</f>
        <v>0</v>
      </c>
      <c r="N138" s="97">
        <f t="shared" si="587"/>
        <v>0</v>
      </c>
      <c r="O138" s="97">
        <f t="shared" si="587"/>
        <v>0</v>
      </c>
      <c r="P138" s="97">
        <f t="shared" ref="P138:R138" si="588">IF(BI138=0,SUM(Y138+AB138+AE138+AH138+AK138+AN138+AQ138+AT138+AW138+AZ138+BC138+BF138),BI138)</f>
        <v>0</v>
      </c>
      <c r="Q138" s="97">
        <f t="shared" si="588"/>
        <v>0</v>
      </c>
      <c r="R138" s="97">
        <f t="shared" si="588"/>
        <v>0</v>
      </c>
      <c r="S138" s="97">
        <f t="shared" ref="S138:T138" si="589">I138-M138</f>
        <v>0</v>
      </c>
      <c r="T138" s="97">
        <f t="shared" si="589"/>
        <v>0</v>
      </c>
      <c r="U138" s="97">
        <f t="shared" si="584"/>
        <v>0</v>
      </c>
      <c r="V138" s="98" t="e">
        <f t="shared" ref="V138:W138" si="590">M138/I138</f>
        <v>#DIV/0!</v>
      </c>
      <c r="W138" s="98" t="e">
        <f t="shared" si="590"/>
        <v>#DIV/0!</v>
      </c>
      <c r="X138" s="98" t="e">
        <f t="shared" si="586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91">I139/E139</f>
        <v>#DIV/0!</v>
      </c>
      <c r="H139" s="94" t="e">
        <f t="shared" ref="H139:H143" si="592">M139/E139</f>
        <v>#DIV/0!</v>
      </c>
      <c r="I139" s="96"/>
      <c r="J139" s="96">
        <v>10474.1</v>
      </c>
      <c r="K139" s="96"/>
      <c r="L139" s="244"/>
      <c r="M139" s="97">
        <f t="shared" ref="M139:O139" si="593">Y139+AB139+AE139+AH139+AK139+AN139+AQ139+AT139+AW139+AZ139+BC139+BF139</f>
        <v>0</v>
      </c>
      <c r="N139" s="97">
        <f t="shared" si="593"/>
        <v>0</v>
      </c>
      <c r="O139" s="97">
        <f t="shared" si="593"/>
        <v>0</v>
      </c>
      <c r="P139" s="97">
        <f t="shared" ref="P139:R139" si="594">IF(BI139=0,SUM(Y139+AB139+AE139+AH139+AK139+AN139+AQ139+AT139+AW139+AZ139+BC139+BF139),BI139)</f>
        <v>0</v>
      </c>
      <c r="Q139" s="97">
        <f t="shared" si="594"/>
        <v>0</v>
      </c>
      <c r="R139" s="97">
        <f t="shared" si="594"/>
        <v>0</v>
      </c>
      <c r="S139" s="97">
        <f t="shared" ref="S139:T139" si="595">I139-M139</f>
        <v>0</v>
      </c>
      <c r="T139" s="97">
        <f t="shared" si="595"/>
        <v>10474.1</v>
      </c>
      <c r="U139" s="97">
        <f t="shared" si="584"/>
        <v>0</v>
      </c>
      <c r="V139" s="98" t="e">
        <f t="shared" ref="V139:W139" si="596">M139/I139</f>
        <v>#DIV/0!</v>
      </c>
      <c r="W139" s="98">
        <f t="shared" si="596"/>
        <v>0</v>
      </c>
      <c r="X139" s="98" t="e">
        <f t="shared" si="586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97">SUM(E141:E143)</f>
        <v>0</v>
      </c>
      <c r="F140" s="242">
        <f t="shared" si="597"/>
        <v>90000</v>
      </c>
      <c r="G140" s="187" t="e">
        <f t="shared" si="591"/>
        <v>#DIV/0!</v>
      </c>
      <c r="H140" s="187" t="e">
        <f t="shared" si="592"/>
        <v>#DIV/0!</v>
      </c>
      <c r="I140" s="242">
        <f>SUM(I141:I143)</f>
        <v>0</v>
      </c>
      <c r="J140" s="242">
        <f t="shared" ref="J140:K140" si="598">SUM(J141:J144)</f>
        <v>4237.2</v>
      </c>
      <c r="K140" s="242">
        <f t="shared" si="598"/>
        <v>0</v>
      </c>
      <c r="L140" s="242">
        <f t="shared" ref="L140:O140" si="599">SUM(L141:L143)</f>
        <v>0</v>
      </c>
      <c r="M140" s="242">
        <f t="shared" si="599"/>
        <v>0</v>
      </c>
      <c r="N140" s="243">
        <f t="shared" si="599"/>
        <v>0</v>
      </c>
      <c r="O140" s="243">
        <f t="shared" si="599"/>
        <v>0</v>
      </c>
      <c r="P140" s="243">
        <f t="shared" ref="P140:R140" si="600">IF(BI140=0,SUM(Y140+AB140+AE140+AH140+AK140+AN140+AQ140+AT140+AW140+AZ140+BC140+BF140),BI140)</f>
        <v>0</v>
      </c>
      <c r="Q140" s="243">
        <f t="shared" si="600"/>
        <v>0</v>
      </c>
      <c r="R140" s="243">
        <f t="shared" si="600"/>
        <v>0</v>
      </c>
      <c r="S140" s="242">
        <f t="shared" ref="S140:BK140" si="601">SUM(S141:S143)</f>
        <v>0</v>
      </c>
      <c r="T140" s="186">
        <f t="shared" si="601"/>
        <v>0</v>
      </c>
      <c r="U140" s="186">
        <f t="shared" si="601"/>
        <v>0</v>
      </c>
      <c r="V140" s="186" t="e">
        <f t="shared" si="601"/>
        <v>#DIV/0!</v>
      </c>
      <c r="W140" s="186" t="e">
        <f t="shared" si="601"/>
        <v>#DIV/0!</v>
      </c>
      <c r="X140" s="186" t="e">
        <f t="shared" si="601"/>
        <v>#DIV/0!</v>
      </c>
      <c r="Y140" s="242">
        <f t="shared" si="601"/>
        <v>0</v>
      </c>
      <c r="Z140" s="242">
        <f t="shared" si="601"/>
        <v>0</v>
      </c>
      <c r="AA140" s="242">
        <f t="shared" si="601"/>
        <v>0</v>
      </c>
      <c r="AB140" s="242">
        <f t="shared" si="601"/>
        <v>0</v>
      </c>
      <c r="AC140" s="242">
        <f t="shared" si="601"/>
        <v>0</v>
      </c>
      <c r="AD140" s="242">
        <f t="shared" si="601"/>
        <v>0</v>
      </c>
      <c r="AE140" s="242">
        <f t="shared" si="601"/>
        <v>0</v>
      </c>
      <c r="AF140" s="242">
        <f t="shared" si="601"/>
        <v>0</v>
      </c>
      <c r="AG140" s="242">
        <f t="shared" si="601"/>
        <v>0</v>
      </c>
      <c r="AH140" s="242">
        <f t="shared" si="601"/>
        <v>0</v>
      </c>
      <c r="AI140" s="242">
        <f t="shared" si="601"/>
        <v>0</v>
      </c>
      <c r="AJ140" s="242">
        <f t="shared" si="601"/>
        <v>0</v>
      </c>
      <c r="AK140" s="242">
        <f t="shared" si="601"/>
        <v>0</v>
      </c>
      <c r="AL140" s="242">
        <f t="shared" si="601"/>
        <v>0</v>
      </c>
      <c r="AM140" s="242">
        <f t="shared" si="601"/>
        <v>0</v>
      </c>
      <c r="AN140" s="242">
        <f t="shared" si="601"/>
        <v>0</v>
      </c>
      <c r="AO140" s="242">
        <f t="shared" si="601"/>
        <v>0</v>
      </c>
      <c r="AP140" s="242">
        <f t="shared" si="601"/>
        <v>0</v>
      </c>
      <c r="AQ140" s="242">
        <f t="shared" si="601"/>
        <v>0</v>
      </c>
      <c r="AR140" s="242">
        <f t="shared" si="601"/>
        <v>0</v>
      </c>
      <c r="AS140" s="242">
        <f t="shared" si="601"/>
        <v>0</v>
      </c>
      <c r="AT140" s="242">
        <f t="shared" si="601"/>
        <v>0</v>
      </c>
      <c r="AU140" s="242">
        <f t="shared" si="601"/>
        <v>0</v>
      </c>
      <c r="AV140" s="242">
        <f t="shared" si="601"/>
        <v>0</v>
      </c>
      <c r="AW140" s="242">
        <f t="shared" si="601"/>
        <v>0</v>
      </c>
      <c r="AX140" s="242">
        <f t="shared" si="601"/>
        <v>0</v>
      </c>
      <c r="AY140" s="242">
        <f t="shared" si="601"/>
        <v>0</v>
      </c>
      <c r="AZ140" s="242">
        <f t="shared" si="601"/>
        <v>0</v>
      </c>
      <c r="BA140" s="242">
        <f t="shared" si="601"/>
        <v>0</v>
      </c>
      <c r="BB140" s="242">
        <f t="shared" si="601"/>
        <v>0</v>
      </c>
      <c r="BC140" s="242">
        <f t="shared" si="601"/>
        <v>0</v>
      </c>
      <c r="BD140" s="242">
        <f t="shared" si="601"/>
        <v>0</v>
      </c>
      <c r="BE140" s="242">
        <f t="shared" si="601"/>
        <v>0</v>
      </c>
      <c r="BF140" s="242">
        <f t="shared" si="601"/>
        <v>0</v>
      </c>
      <c r="BG140" s="242">
        <f t="shared" si="601"/>
        <v>0</v>
      </c>
      <c r="BH140" s="242">
        <f t="shared" si="601"/>
        <v>0</v>
      </c>
      <c r="BI140" s="242">
        <f t="shared" si="601"/>
        <v>0</v>
      </c>
      <c r="BJ140" s="242">
        <f t="shared" si="601"/>
        <v>0</v>
      </c>
      <c r="BK140" s="242">
        <f t="shared" si="60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526</v>
      </c>
      <c r="E141" s="166"/>
      <c r="F141" s="147">
        <v>90000</v>
      </c>
      <c r="G141" s="94" t="e">
        <f t="shared" si="591"/>
        <v>#DIV/0!</v>
      </c>
      <c r="H141" s="94" t="e">
        <f t="shared" si="592"/>
        <v>#DIV/0!</v>
      </c>
      <c r="I141" s="96"/>
      <c r="J141" s="96"/>
      <c r="K141" s="96"/>
      <c r="L141" s="202"/>
      <c r="M141" s="97">
        <f t="shared" ref="M141:O141" si="602">Y141+AB141+AE141+AH141+AK141+AN141+AQ141+AT141+AW141+AZ141+BC141+BF141</f>
        <v>0</v>
      </c>
      <c r="N141" s="97">
        <f t="shared" si="602"/>
        <v>0</v>
      </c>
      <c r="O141" s="97">
        <f t="shared" si="602"/>
        <v>0</v>
      </c>
      <c r="P141" s="97">
        <f t="shared" ref="P141:R141" si="603">IF(BI141=0,SUM(Y141+AB141+AE141+AH141+AK141+AN141+AQ141+AT141+AW141+AZ141+BC141+BF141),BI141)</f>
        <v>0</v>
      </c>
      <c r="Q141" s="97">
        <f t="shared" si="603"/>
        <v>0</v>
      </c>
      <c r="R141" s="97">
        <f t="shared" si="603"/>
        <v>0</v>
      </c>
      <c r="S141" s="97">
        <f t="shared" ref="S141:T141" si="604">I141-M141</f>
        <v>0</v>
      </c>
      <c r="T141" s="97">
        <f t="shared" si="604"/>
        <v>0</v>
      </c>
      <c r="U141" s="97">
        <f t="shared" ref="U141:U143" si="605">L141-O141</f>
        <v>0</v>
      </c>
      <c r="V141" s="98" t="e">
        <f t="shared" ref="V141:W141" si="606">M141/I141</f>
        <v>#DIV/0!</v>
      </c>
      <c r="W141" s="98" t="e">
        <f t="shared" si="606"/>
        <v>#DIV/0!</v>
      </c>
      <c r="X141" s="98" t="e">
        <f t="shared" ref="X141:X143" si="60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91"/>
        <v>#DIV/0!</v>
      </c>
      <c r="H142" s="94" t="e">
        <f t="shared" si="592"/>
        <v>#DIV/0!</v>
      </c>
      <c r="I142" s="202"/>
      <c r="J142" s="96"/>
      <c r="K142" s="96"/>
      <c r="L142" s="202"/>
      <c r="M142" s="97">
        <f t="shared" ref="M142:O142" si="608">Y142+AB142+AE142+AH142+AK142+AN142+AQ142+AT142+AW142+AZ142+BC142+BF142</f>
        <v>0</v>
      </c>
      <c r="N142" s="97">
        <f t="shared" si="608"/>
        <v>0</v>
      </c>
      <c r="O142" s="97">
        <f t="shared" si="608"/>
        <v>0</v>
      </c>
      <c r="P142" s="97">
        <f t="shared" ref="P142:R142" si="609">IF(BI142=0,SUM(Y142+AB142+AE142+AH142+AK142+AN142+AQ142+AT142+AW142+AZ142+BC142+BF142),BI142)</f>
        <v>0</v>
      </c>
      <c r="Q142" s="97">
        <f t="shared" si="609"/>
        <v>0</v>
      </c>
      <c r="R142" s="97">
        <f t="shared" si="609"/>
        <v>0</v>
      </c>
      <c r="S142" s="97">
        <f t="shared" ref="S142:T142" si="610">I142-M142</f>
        <v>0</v>
      </c>
      <c r="T142" s="97">
        <f t="shared" si="610"/>
        <v>0</v>
      </c>
      <c r="U142" s="97">
        <f t="shared" si="605"/>
        <v>0</v>
      </c>
      <c r="V142" s="98" t="e">
        <f t="shared" ref="V142:W142" si="611">M142/I142</f>
        <v>#DIV/0!</v>
      </c>
      <c r="W142" s="98" t="e">
        <f t="shared" si="611"/>
        <v>#DIV/0!</v>
      </c>
      <c r="X142" s="98" t="e">
        <f t="shared" si="60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91"/>
        <v>#DIV/0!</v>
      </c>
      <c r="H143" s="94" t="e">
        <f t="shared" si="592"/>
        <v>#DIV/0!</v>
      </c>
      <c r="I143" s="96"/>
      <c r="J143" s="96"/>
      <c r="K143" s="96"/>
      <c r="L143" s="244"/>
      <c r="M143" s="97">
        <f t="shared" ref="M143:O143" si="612">Y143+AB143+AE143+AH143+AK143+AN143+AQ143+AT143+AW143+AZ143+BC143+BF143</f>
        <v>0</v>
      </c>
      <c r="N143" s="97">
        <f t="shared" si="612"/>
        <v>0</v>
      </c>
      <c r="O143" s="97">
        <f t="shared" si="612"/>
        <v>0</v>
      </c>
      <c r="P143" s="97">
        <f t="shared" ref="P143:R143" si="613">IF(BI143=0,SUM(Y143+AB143+AE143+AH143+AK143+AN143+AQ143+AT143+AW143+AZ143+BC143+BF143),BI143)</f>
        <v>0</v>
      </c>
      <c r="Q143" s="97">
        <f t="shared" si="613"/>
        <v>0</v>
      </c>
      <c r="R143" s="97">
        <f t="shared" si="613"/>
        <v>0</v>
      </c>
      <c r="S143" s="97">
        <f t="shared" ref="S143:T143" si="614">I143-M143</f>
        <v>0</v>
      </c>
      <c r="T143" s="97">
        <f t="shared" si="614"/>
        <v>0</v>
      </c>
      <c r="U143" s="97">
        <f t="shared" si="605"/>
        <v>0</v>
      </c>
      <c r="V143" s="98" t="e">
        <f t="shared" ref="V143:W143" si="615">M143/I143</f>
        <v>#DIV/0!</v>
      </c>
      <c r="W143" s="98" t="e">
        <f t="shared" si="615"/>
        <v>#DIV/0!</v>
      </c>
      <c r="X143" s="98" t="e">
        <f t="shared" si="60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/>
      <c r="O144" s="97"/>
      <c r="P144" s="97">
        <f t="shared" ref="P144:P169" si="616">IF(BI144=0,SUM(Y144+AB144+AE144+AH144+AK144+AN144+AQ144+AT144+AW144+AZ144+BC144+BF144),BI144)</f>
        <v>0</v>
      </c>
      <c r="Q144" s="97"/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617">SUM(E146:E149)</f>
        <v>0</v>
      </c>
      <c r="F145" s="186">
        <f t="shared" si="617"/>
        <v>0</v>
      </c>
      <c r="G145" s="223" t="e">
        <f t="shared" ref="G145:G147" si="618">I145/E145</f>
        <v>#DIV/0!</v>
      </c>
      <c r="H145" s="187" t="e">
        <f t="shared" ref="H145:H147" si="619">M145/E145</f>
        <v>#DIV/0!</v>
      </c>
      <c r="I145" s="186">
        <f t="shared" ref="I145:O145" si="620">SUM(I146:I149)</f>
        <v>0</v>
      </c>
      <c r="J145" s="186">
        <f t="shared" si="620"/>
        <v>500</v>
      </c>
      <c r="K145" s="186">
        <f t="shared" si="620"/>
        <v>0</v>
      </c>
      <c r="L145" s="186">
        <f t="shared" si="620"/>
        <v>0</v>
      </c>
      <c r="M145" s="186">
        <f t="shared" si="620"/>
        <v>0</v>
      </c>
      <c r="N145" s="186">
        <f t="shared" si="620"/>
        <v>0</v>
      </c>
      <c r="O145" s="186">
        <f t="shared" si="620"/>
        <v>0</v>
      </c>
      <c r="P145" s="245">
        <f t="shared" si="616"/>
        <v>0</v>
      </c>
      <c r="Q145" s="245">
        <f t="shared" ref="Q145:R145" si="621">IF(BJ145=0,SUM(Z145+AC145+AF145+AI145+AL145+AO145+AR145+AU145+AX145+BA145+BD145+BG145),BJ145)</f>
        <v>500</v>
      </c>
      <c r="R145" s="245">
        <f t="shared" si="621"/>
        <v>0</v>
      </c>
      <c r="S145" s="186">
        <f t="shared" ref="S145:U145" si="622">SUM(S146:S149)</f>
        <v>0</v>
      </c>
      <c r="T145" s="186">
        <f t="shared" si="622"/>
        <v>0</v>
      </c>
      <c r="U145" s="186">
        <f t="shared" si="622"/>
        <v>0</v>
      </c>
      <c r="V145" s="189" t="e">
        <f t="shared" ref="V145:W145" si="623">M145/I145</f>
        <v>#DIV/0!</v>
      </c>
      <c r="W145" s="189">
        <f t="shared" si="623"/>
        <v>0</v>
      </c>
      <c r="X145" s="189" t="e">
        <f t="shared" ref="X145:X147" si="624">O145/L145</f>
        <v>#DIV/0!</v>
      </c>
      <c r="Y145" s="186">
        <f t="shared" ref="Y145:BK145" si="625">SUM(Y146:Y149)</f>
        <v>0</v>
      </c>
      <c r="Z145" s="186">
        <f t="shared" si="625"/>
        <v>500</v>
      </c>
      <c r="AA145" s="186">
        <f t="shared" si="625"/>
        <v>0</v>
      </c>
      <c r="AB145" s="186">
        <f t="shared" si="625"/>
        <v>0</v>
      </c>
      <c r="AC145" s="186">
        <f t="shared" si="625"/>
        <v>0</v>
      </c>
      <c r="AD145" s="186">
        <f t="shared" si="625"/>
        <v>0</v>
      </c>
      <c r="AE145" s="186">
        <f t="shared" si="625"/>
        <v>0</v>
      </c>
      <c r="AF145" s="186">
        <f t="shared" si="625"/>
        <v>0</v>
      </c>
      <c r="AG145" s="186">
        <f t="shared" si="625"/>
        <v>0</v>
      </c>
      <c r="AH145" s="186">
        <f t="shared" si="625"/>
        <v>0</v>
      </c>
      <c r="AI145" s="186">
        <f t="shared" si="625"/>
        <v>0</v>
      </c>
      <c r="AJ145" s="186">
        <f t="shared" si="625"/>
        <v>0</v>
      </c>
      <c r="AK145" s="186">
        <f t="shared" si="625"/>
        <v>0</v>
      </c>
      <c r="AL145" s="186">
        <f t="shared" si="625"/>
        <v>0</v>
      </c>
      <c r="AM145" s="186">
        <f t="shared" si="625"/>
        <v>0</v>
      </c>
      <c r="AN145" s="186">
        <f t="shared" si="625"/>
        <v>0</v>
      </c>
      <c r="AO145" s="186">
        <f t="shared" si="625"/>
        <v>0</v>
      </c>
      <c r="AP145" s="186">
        <f t="shared" si="625"/>
        <v>0</v>
      </c>
      <c r="AQ145" s="186">
        <f t="shared" si="625"/>
        <v>0</v>
      </c>
      <c r="AR145" s="186">
        <f t="shared" si="625"/>
        <v>0</v>
      </c>
      <c r="AS145" s="186">
        <f t="shared" si="625"/>
        <v>0</v>
      </c>
      <c r="AT145" s="186">
        <f t="shared" si="625"/>
        <v>0</v>
      </c>
      <c r="AU145" s="186">
        <f t="shared" si="625"/>
        <v>0</v>
      </c>
      <c r="AV145" s="186">
        <f t="shared" si="625"/>
        <v>0</v>
      </c>
      <c r="AW145" s="186">
        <f t="shared" si="625"/>
        <v>0</v>
      </c>
      <c r="AX145" s="186">
        <f t="shared" si="625"/>
        <v>0</v>
      </c>
      <c r="AY145" s="186">
        <f t="shared" si="625"/>
        <v>0</v>
      </c>
      <c r="AZ145" s="186">
        <f t="shared" si="625"/>
        <v>0</v>
      </c>
      <c r="BA145" s="186">
        <f t="shared" si="625"/>
        <v>0</v>
      </c>
      <c r="BB145" s="186">
        <f t="shared" si="625"/>
        <v>0</v>
      </c>
      <c r="BC145" s="186">
        <f t="shared" si="625"/>
        <v>0</v>
      </c>
      <c r="BD145" s="186">
        <f t="shared" si="625"/>
        <v>0</v>
      </c>
      <c r="BE145" s="186">
        <f t="shared" si="625"/>
        <v>0</v>
      </c>
      <c r="BF145" s="186">
        <f t="shared" si="625"/>
        <v>0</v>
      </c>
      <c r="BG145" s="186">
        <f t="shared" si="625"/>
        <v>0</v>
      </c>
      <c r="BH145" s="186">
        <f t="shared" si="625"/>
        <v>0</v>
      </c>
      <c r="BI145" s="186">
        <f t="shared" si="625"/>
        <v>0</v>
      </c>
      <c r="BJ145" s="186">
        <f t="shared" si="625"/>
        <v>0</v>
      </c>
      <c r="BK145" s="186">
        <f t="shared" si="625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618"/>
        <v>#DIV/0!</v>
      </c>
      <c r="H146" s="94" t="e">
        <f t="shared" si="619"/>
        <v>#DIV/0!</v>
      </c>
      <c r="I146" s="142"/>
      <c r="J146" s="96"/>
      <c r="K146" s="96"/>
      <c r="L146" s="202"/>
      <c r="M146" s="97">
        <f t="shared" ref="M146:O146" si="626">Y146+AB146+AE146+AH146+AK146+AN146+AQ146+AT146+AW146+AZ146+BC146+BF146</f>
        <v>0</v>
      </c>
      <c r="N146" s="97">
        <f t="shared" si="626"/>
        <v>0</v>
      </c>
      <c r="O146" s="97">
        <f t="shared" si="626"/>
        <v>0</v>
      </c>
      <c r="P146" s="97">
        <f t="shared" si="616"/>
        <v>0</v>
      </c>
      <c r="Q146" s="97">
        <f t="shared" ref="Q146:R146" si="627">IF(BJ146=0,SUM(Z146+AC146+AF146+AI146+AL146+AO146+AR146+AU146+AX146+BA146+BD146+BG146),BJ146)</f>
        <v>0</v>
      </c>
      <c r="R146" s="97">
        <f t="shared" si="627"/>
        <v>0</v>
      </c>
      <c r="S146" s="97">
        <f t="shared" ref="S146:T146" si="628">I146-M146</f>
        <v>0</v>
      </c>
      <c r="T146" s="97">
        <f t="shared" si="628"/>
        <v>0</v>
      </c>
      <c r="U146" s="97">
        <f t="shared" ref="U146:U147" si="629">L146-O146</f>
        <v>0</v>
      </c>
      <c r="V146" s="98" t="e">
        <f t="shared" ref="V146:W146" si="630">M146/I146</f>
        <v>#DIV/0!</v>
      </c>
      <c r="W146" s="98" t="e">
        <f t="shared" si="630"/>
        <v>#DIV/0!</v>
      </c>
      <c r="X146" s="98" t="e">
        <f t="shared" si="624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618"/>
        <v>#DIV/0!</v>
      </c>
      <c r="H147" s="94" t="e">
        <f t="shared" si="619"/>
        <v>#DIV/0!</v>
      </c>
      <c r="I147" s="119"/>
      <c r="J147" s="96"/>
      <c r="K147" s="96"/>
      <c r="L147" s="202"/>
      <c r="M147" s="97">
        <f t="shared" ref="M147:O147" si="631">Y147+AB147+AE147+AH147+AK147+AN147+AQ147+AT147+AW147+AZ147+BC147+BF147</f>
        <v>0</v>
      </c>
      <c r="N147" s="97">
        <f t="shared" si="631"/>
        <v>0</v>
      </c>
      <c r="O147" s="97">
        <f t="shared" si="631"/>
        <v>0</v>
      </c>
      <c r="P147" s="97">
        <f t="shared" si="616"/>
        <v>0</v>
      </c>
      <c r="Q147" s="97">
        <f t="shared" ref="Q147:R147" si="632">IF(BJ147=0,SUM(Z147+AC147+AF147+AI147+AL147+AO147+AR147+AU147+AX147+BA147+BD147+BG147),BJ147)</f>
        <v>0</v>
      </c>
      <c r="R147" s="97">
        <f t="shared" si="632"/>
        <v>0</v>
      </c>
      <c r="S147" s="97">
        <f t="shared" ref="S147:T147" si="633">I147-M147</f>
        <v>0</v>
      </c>
      <c r="T147" s="97">
        <f t="shared" si="633"/>
        <v>0</v>
      </c>
      <c r="U147" s="97">
        <f t="shared" si="629"/>
        <v>0</v>
      </c>
      <c r="V147" s="98" t="e">
        <f t="shared" ref="V147:W147" si="634">M147/I147</f>
        <v>#DIV/0!</v>
      </c>
      <c r="W147" s="98" t="e">
        <f t="shared" si="634"/>
        <v>#DIV/0!</v>
      </c>
      <c r="X147" s="98" t="e">
        <f t="shared" si="624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/>
      <c r="O148" s="97"/>
      <c r="P148" s="97">
        <f t="shared" si="616"/>
        <v>0</v>
      </c>
      <c r="Q148" s="97"/>
      <c r="R148" s="97"/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35">I149/E149</f>
        <v>#DIV/0!</v>
      </c>
      <c r="H149" s="94" t="e">
        <f t="shared" ref="H149:H151" si="636">M149/E149</f>
        <v>#DIV/0!</v>
      </c>
      <c r="I149" s="96"/>
      <c r="J149" s="96"/>
      <c r="K149" s="96"/>
      <c r="L149" s="96"/>
      <c r="M149" s="97">
        <f t="shared" ref="M149:O149" si="637">Y149+AB149+AE149+AH149+AK149+AN149+AQ149+AT149+AW149+AZ149+BC149+BF149</f>
        <v>0</v>
      </c>
      <c r="N149" s="97">
        <f t="shared" si="637"/>
        <v>0</v>
      </c>
      <c r="O149" s="97">
        <f t="shared" si="637"/>
        <v>0</v>
      </c>
      <c r="P149" s="97">
        <f t="shared" si="616"/>
        <v>0</v>
      </c>
      <c r="Q149" s="97">
        <f t="shared" ref="Q149:R149" si="638">IF(BJ149=0,SUM(Z149+AC149+AF149+AI149+AL149+AO149+AR149+AU149+AX149+BA149+BD149+BG149),BJ149)</f>
        <v>0</v>
      </c>
      <c r="R149" s="97">
        <f t="shared" si="638"/>
        <v>0</v>
      </c>
      <c r="S149" s="97">
        <f t="shared" ref="S149:T149" si="639">I149-M149</f>
        <v>0</v>
      </c>
      <c r="T149" s="97">
        <f t="shared" si="639"/>
        <v>0</v>
      </c>
      <c r="U149" s="97">
        <f>L149-O149</f>
        <v>0</v>
      </c>
      <c r="V149" s="98" t="e">
        <f t="shared" ref="V149:W149" si="640">M149/I149</f>
        <v>#DIV/0!</v>
      </c>
      <c r="W149" s="98" t="e">
        <f t="shared" si="640"/>
        <v>#DIV/0!</v>
      </c>
      <c r="X149" s="98" t="e">
        <f t="shared" ref="X149:X156" si="641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42">SUM(E151:E153)</f>
        <v>0</v>
      </c>
      <c r="F150" s="249">
        <f t="shared" si="642"/>
        <v>0</v>
      </c>
      <c r="G150" s="223" t="e">
        <f t="shared" si="635"/>
        <v>#DIV/0!</v>
      </c>
      <c r="H150" s="187" t="e">
        <f t="shared" si="636"/>
        <v>#DIV/0!</v>
      </c>
      <c r="I150" s="249">
        <f t="shared" ref="I150:O150" si="643">SUM(I151:I153)</f>
        <v>0</v>
      </c>
      <c r="J150" s="249">
        <f t="shared" si="643"/>
        <v>293.62</v>
      </c>
      <c r="K150" s="249">
        <f t="shared" si="643"/>
        <v>0</v>
      </c>
      <c r="L150" s="249">
        <f t="shared" si="643"/>
        <v>0</v>
      </c>
      <c r="M150" s="249">
        <f t="shared" si="643"/>
        <v>0</v>
      </c>
      <c r="N150" s="249">
        <f t="shared" si="643"/>
        <v>0</v>
      </c>
      <c r="O150" s="249">
        <f t="shared" si="643"/>
        <v>0</v>
      </c>
      <c r="P150" s="238">
        <f t="shared" si="616"/>
        <v>0</v>
      </c>
      <c r="Q150" s="238">
        <f t="shared" ref="Q150:R150" si="644">IF(BJ150=0,SUM(Z150+AC150+AF150+AI150+AL150+AO150+AR150+AU150+AX150+BA150+BD150+BG150),BJ150)</f>
        <v>0</v>
      </c>
      <c r="R150" s="238">
        <f t="shared" si="644"/>
        <v>0</v>
      </c>
      <c r="S150" s="249">
        <f t="shared" ref="S150:U150" si="645">SUM(S151:S153)</f>
        <v>0</v>
      </c>
      <c r="T150" s="249">
        <f t="shared" si="645"/>
        <v>293.62</v>
      </c>
      <c r="U150" s="249">
        <f t="shared" si="645"/>
        <v>0</v>
      </c>
      <c r="V150" s="250" t="e">
        <f t="shared" ref="V150:W150" si="646">M150/I150</f>
        <v>#DIV/0!</v>
      </c>
      <c r="W150" s="250">
        <f t="shared" si="646"/>
        <v>0</v>
      </c>
      <c r="X150" s="250" t="e">
        <f t="shared" si="641"/>
        <v>#DIV/0!</v>
      </c>
      <c r="Y150" s="249">
        <f t="shared" ref="Y150:BK150" si="647">SUM(Y151:Y153)</f>
        <v>0</v>
      </c>
      <c r="Z150" s="249">
        <f t="shared" si="647"/>
        <v>0</v>
      </c>
      <c r="AA150" s="249">
        <f t="shared" si="647"/>
        <v>0</v>
      </c>
      <c r="AB150" s="249">
        <f t="shared" si="647"/>
        <v>0</v>
      </c>
      <c r="AC150" s="249">
        <f t="shared" si="647"/>
        <v>0</v>
      </c>
      <c r="AD150" s="249">
        <f t="shared" si="647"/>
        <v>0</v>
      </c>
      <c r="AE150" s="249">
        <f t="shared" si="647"/>
        <v>0</v>
      </c>
      <c r="AF150" s="249">
        <f t="shared" si="647"/>
        <v>0</v>
      </c>
      <c r="AG150" s="249">
        <f t="shared" si="647"/>
        <v>0</v>
      </c>
      <c r="AH150" s="249">
        <f t="shared" si="647"/>
        <v>0</v>
      </c>
      <c r="AI150" s="249">
        <f t="shared" si="647"/>
        <v>0</v>
      </c>
      <c r="AJ150" s="249">
        <f t="shared" si="647"/>
        <v>0</v>
      </c>
      <c r="AK150" s="249">
        <f t="shared" si="647"/>
        <v>0</v>
      </c>
      <c r="AL150" s="249">
        <f t="shared" si="647"/>
        <v>0</v>
      </c>
      <c r="AM150" s="249">
        <f t="shared" si="647"/>
        <v>0</v>
      </c>
      <c r="AN150" s="249">
        <f t="shared" si="647"/>
        <v>0</v>
      </c>
      <c r="AO150" s="249">
        <f t="shared" si="647"/>
        <v>0</v>
      </c>
      <c r="AP150" s="249">
        <f t="shared" si="647"/>
        <v>0</v>
      </c>
      <c r="AQ150" s="249">
        <f t="shared" si="647"/>
        <v>0</v>
      </c>
      <c r="AR150" s="249">
        <f t="shared" si="647"/>
        <v>0</v>
      </c>
      <c r="AS150" s="249">
        <f t="shared" si="647"/>
        <v>0</v>
      </c>
      <c r="AT150" s="249">
        <f t="shared" si="647"/>
        <v>0</v>
      </c>
      <c r="AU150" s="249">
        <f t="shared" si="647"/>
        <v>0</v>
      </c>
      <c r="AV150" s="249">
        <f t="shared" si="647"/>
        <v>0</v>
      </c>
      <c r="AW150" s="249">
        <f t="shared" si="647"/>
        <v>0</v>
      </c>
      <c r="AX150" s="249">
        <f t="shared" si="647"/>
        <v>0</v>
      </c>
      <c r="AY150" s="249">
        <f t="shared" si="647"/>
        <v>0</v>
      </c>
      <c r="AZ150" s="249">
        <f t="shared" si="647"/>
        <v>0</v>
      </c>
      <c r="BA150" s="249">
        <f t="shared" si="647"/>
        <v>0</v>
      </c>
      <c r="BB150" s="249">
        <f t="shared" si="647"/>
        <v>0</v>
      </c>
      <c r="BC150" s="249">
        <f t="shared" si="647"/>
        <v>0</v>
      </c>
      <c r="BD150" s="249">
        <f t="shared" si="647"/>
        <v>0</v>
      </c>
      <c r="BE150" s="249">
        <f t="shared" si="647"/>
        <v>0</v>
      </c>
      <c r="BF150" s="249">
        <f t="shared" si="647"/>
        <v>0</v>
      </c>
      <c r="BG150" s="249">
        <f t="shared" si="647"/>
        <v>0</v>
      </c>
      <c r="BH150" s="249">
        <f t="shared" si="647"/>
        <v>0</v>
      </c>
      <c r="BI150" s="249">
        <f t="shared" si="647"/>
        <v>0</v>
      </c>
      <c r="BJ150" s="249">
        <f t="shared" si="647"/>
        <v>0</v>
      </c>
      <c r="BK150" s="249">
        <f t="shared" si="647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35"/>
        <v>#DIV/0!</v>
      </c>
      <c r="H151" s="94" t="e">
        <f t="shared" si="636"/>
        <v>#DIV/0!</v>
      </c>
      <c r="I151" s="142"/>
      <c r="J151" s="131">
        <v>293.62</v>
      </c>
      <c r="K151" s="204"/>
      <c r="L151" s="202"/>
      <c r="M151" s="97">
        <f t="shared" ref="M151:O151" si="648">Y151+AB151+AE151+AH151+AK151+AN151+AQ151+AT151+AW151+AZ151+BC151+BF151</f>
        <v>0</v>
      </c>
      <c r="N151" s="97">
        <f t="shared" si="648"/>
        <v>0</v>
      </c>
      <c r="O151" s="97">
        <f t="shared" si="648"/>
        <v>0</v>
      </c>
      <c r="P151" s="97">
        <f t="shared" si="616"/>
        <v>0</v>
      </c>
      <c r="Q151" s="97">
        <f t="shared" ref="Q151:R151" si="649">IF(BJ151=0,SUM(Z151+AC151+AF151+AI151+AL151+AO151+AR151+AU151+AX151+BA151+BD151+BG151),BJ151)</f>
        <v>0</v>
      </c>
      <c r="R151" s="97">
        <f t="shared" si="649"/>
        <v>0</v>
      </c>
      <c r="S151" s="97">
        <f t="shared" ref="S151:T151" si="650">I151-M151</f>
        <v>0</v>
      </c>
      <c r="T151" s="97">
        <f t="shared" si="650"/>
        <v>293.62</v>
      </c>
      <c r="U151" s="97">
        <f t="shared" ref="U151:U153" si="651">L151-O151</f>
        <v>0</v>
      </c>
      <c r="V151" s="98" t="e">
        <f t="shared" ref="V151:W151" si="652">M151/I151</f>
        <v>#DIV/0!</v>
      </c>
      <c r="W151" s="98">
        <f t="shared" si="652"/>
        <v>0</v>
      </c>
      <c r="X151" s="98" t="e">
        <f t="shared" si="641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53">Y152+AB152+AE152+AH152+AK152+AN152+AQ152+AT152+AW152+AZ152+BC152+BF152</f>
        <v>0</v>
      </c>
      <c r="N152" s="97">
        <f t="shared" si="653"/>
        <v>0</v>
      </c>
      <c r="O152" s="97">
        <f t="shared" si="653"/>
        <v>0</v>
      </c>
      <c r="P152" s="97">
        <f t="shared" si="616"/>
        <v>0</v>
      </c>
      <c r="Q152" s="97">
        <f t="shared" ref="Q152:R152" si="654">IF(BJ152=0,SUM(Z152+AC152+AF152+AI152+AL152+AO152+AR152+AU152+AX152+BA152+BD152+BG152),BJ152)</f>
        <v>0</v>
      </c>
      <c r="R152" s="97">
        <f t="shared" si="654"/>
        <v>0</v>
      </c>
      <c r="S152" s="97">
        <f t="shared" ref="S152:T152" si="655">I152-M152</f>
        <v>0</v>
      </c>
      <c r="T152" s="97">
        <f t="shared" si="655"/>
        <v>0</v>
      </c>
      <c r="U152" s="97">
        <f t="shared" si="651"/>
        <v>0</v>
      </c>
      <c r="V152" s="98" t="e">
        <f t="shared" ref="V152:W152" si="656">M152/I152</f>
        <v>#DIV/0!</v>
      </c>
      <c r="W152" s="98" t="e">
        <f t="shared" si="656"/>
        <v>#DIV/0!</v>
      </c>
      <c r="X152" s="98" t="e">
        <f t="shared" si="641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57">I153/E153</f>
        <v>#DIV/0!</v>
      </c>
      <c r="H153" s="94" t="e">
        <f t="shared" ref="H153:H156" si="658">M153/E153</f>
        <v>#DIV/0!</v>
      </c>
      <c r="I153" s="96"/>
      <c r="J153" s="96"/>
      <c r="K153" s="96"/>
      <c r="L153" s="96"/>
      <c r="M153" s="97">
        <f t="shared" ref="M153:O153" si="659">Y153+AB153+AE153+AH153+AK153+AN153+AQ153+AT153+AW153+AZ153+BC153+BF153</f>
        <v>0</v>
      </c>
      <c r="N153" s="97">
        <f t="shared" si="659"/>
        <v>0</v>
      </c>
      <c r="O153" s="97">
        <f t="shared" si="659"/>
        <v>0</v>
      </c>
      <c r="P153" s="97">
        <f t="shared" si="616"/>
        <v>0</v>
      </c>
      <c r="Q153" s="97">
        <f t="shared" ref="Q153:R153" si="660">IF(BJ153=0,SUM(Z153+AC153+AF153+AI153+AL153+AO153+AR153+AU153+AX153+BA153+BD153+BG153),BJ153)</f>
        <v>0</v>
      </c>
      <c r="R153" s="97">
        <f t="shared" si="660"/>
        <v>0</v>
      </c>
      <c r="S153" s="97">
        <f t="shared" ref="S153:T153" si="661">I153-M153</f>
        <v>0</v>
      </c>
      <c r="T153" s="97">
        <f t="shared" si="661"/>
        <v>0</v>
      </c>
      <c r="U153" s="97">
        <f t="shared" si="651"/>
        <v>0</v>
      </c>
      <c r="V153" s="98" t="e">
        <f t="shared" ref="V153:W153" si="662">M153/I153</f>
        <v>#DIV/0!</v>
      </c>
      <c r="W153" s="98" t="e">
        <f t="shared" si="662"/>
        <v>#DIV/0!</v>
      </c>
      <c r="X153" s="98" t="e">
        <f t="shared" si="641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63">SUM(E155:E158)</f>
        <v>0</v>
      </c>
      <c r="F154" s="249">
        <f t="shared" si="663"/>
        <v>0</v>
      </c>
      <c r="G154" s="223" t="e">
        <f t="shared" si="657"/>
        <v>#DIV/0!</v>
      </c>
      <c r="H154" s="187" t="e">
        <f t="shared" si="658"/>
        <v>#DIV/0!</v>
      </c>
      <c r="I154" s="249">
        <f t="shared" ref="I154:O154" si="664">SUM(I155:I158)</f>
        <v>0</v>
      </c>
      <c r="J154" s="249">
        <f t="shared" si="664"/>
        <v>8700</v>
      </c>
      <c r="K154" s="249">
        <f t="shared" si="664"/>
        <v>0</v>
      </c>
      <c r="L154" s="249">
        <f t="shared" si="664"/>
        <v>0</v>
      </c>
      <c r="M154" s="249">
        <f t="shared" si="664"/>
        <v>0</v>
      </c>
      <c r="N154" s="249">
        <f t="shared" si="664"/>
        <v>0</v>
      </c>
      <c r="O154" s="249">
        <f t="shared" si="664"/>
        <v>0</v>
      </c>
      <c r="P154" s="238">
        <f t="shared" si="616"/>
        <v>0</v>
      </c>
      <c r="Q154" s="238">
        <f t="shared" ref="Q154:R154" si="665">IF(BJ154=0,SUM(Z154+AC154+AF154+AI154+AL154+AO154+AR154+AU154+AX154+BA154+BD154+BG154),BJ154)</f>
        <v>0</v>
      </c>
      <c r="R154" s="238">
        <f t="shared" si="665"/>
        <v>0</v>
      </c>
      <c r="S154" s="249">
        <f t="shared" ref="S154:U154" si="666">SUM(S155:S158)</f>
        <v>0</v>
      </c>
      <c r="T154" s="249">
        <f t="shared" si="666"/>
        <v>8700</v>
      </c>
      <c r="U154" s="249">
        <f t="shared" si="666"/>
        <v>0</v>
      </c>
      <c r="V154" s="250" t="e">
        <f t="shared" ref="V154:W154" si="667">M154/I154</f>
        <v>#DIV/0!</v>
      </c>
      <c r="W154" s="250">
        <f t="shared" si="667"/>
        <v>0</v>
      </c>
      <c r="X154" s="250" t="e">
        <f t="shared" si="641"/>
        <v>#DIV/0!</v>
      </c>
      <c r="Y154" s="249">
        <f t="shared" ref="Y154:BK154" si="668">SUM(Y155:Y158)</f>
        <v>0</v>
      </c>
      <c r="Z154" s="249">
        <f t="shared" si="668"/>
        <v>0</v>
      </c>
      <c r="AA154" s="249">
        <f t="shared" si="668"/>
        <v>0</v>
      </c>
      <c r="AB154" s="249">
        <f t="shared" si="668"/>
        <v>0</v>
      </c>
      <c r="AC154" s="249">
        <f t="shared" si="668"/>
        <v>0</v>
      </c>
      <c r="AD154" s="249">
        <f t="shared" si="668"/>
        <v>0</v>
      </c>
      <c r="AE154" s="249">
        <f t="shared" si="668"/>
        <v>0</v>
      </c>
      <c r="AF154" s="249">
        <f t="shared" si="668"/>
        <v>0</v>
      </c>
      <c r="AG154" s="249">
        <f t="shared" si="668"/>
        <v>0</v>
      </c>
      <c r="AH154" s="249">
        <f t="shared" si="668"/>
        <v>0</v>
      </c>
      <c r="AI154" s="249">
        <f t="shared" si="668"/>
        <v>0</v>
      </c>
      <c r="AJ154" s="249">
        <f t="shared" si="668"/>
        <v>0</v>
      </c>
      <c r="AK154" s="249">
        <f t="shared" si="668"/>
        <v>0</v>
      </c>
      <c r="AL154" s="249">
        <f t="shared" si="668"/>
        <v>0</v>
      </c>
      <c r="AM154" s="249">
        <f t="shared" si="668"/>
        <v>0</v>
      </c>
      <c r="AN154" s="249">
        <f t="shared" si="668"/>
        <v>0</v>
      </c>
      <c r="AO154" s="249">
        <f t="shared" si="668"/>
        <v>0</v>
      </c>
      <c r="AP154" s="249">
        <f t="shared" si="668"/>
        <v>0</v>
      </c>
      <c r="AQ154" s="249">
        <f t="shared" si="668"/>
        <v>0</v>
      </c>
      <c r="AR154" s="249">
        <f t="shared" si="668"/>
        <v>0</v>
      </c>
      <c r="AS154" s="249">
        <f t="shared" si="668"/>
        <v>0</v>
      </c>
      <c r="AT154" s="249">
        <f t="shared" si="668"/>
        <v>0</v>
      </c>
      <c r="AU154" s="249">
        <f t="shared" si="668"/>
        <v>0</v>
      </c>
      <c r="AV154" s="249">
        <f t="shared" si="668"/>
        <v>0</v>
      </c>
      <c r="AW154" s="249">
        <f t="shared" si="668"/>
        <v>0</v>
      </c>
      <c r="AX154" s="249">
        <f t="shared" si="668"/>
        <v>0</v>
      </c>
      <c r="AY154" s="249">
        <f t="shared" si="668"/>
        <v>0</v>
      </c>
      <c r="AZ154" s="249">
        <f t="shared" si="668"/>
        <v>0</v>
      </c>
      <c r="BA154" s="249">
        <f t="shared" si="668"/>
        <v>0</v>
      </c>
      <c r="BB154" s="249">
        <f t="shared" si="668"/>
        <v>0</v>
      </c>
      <c r="BC154" s="249">
        <f t="shared" si="668"/>
        <v>0</v>
      </c>
      <c r="BD154" s="249">
        <f t="shared" si="668"/>
        <v>0</v>
      </c>
      <c r="BE154" s="249">
        <f t="shared" si="668"/>
        <v>0</v>
      </c>
      <c r="BF154" s="249">
        <f t="shared" si="668"/>
        <v>0</v>
      </c>
      <c r="BG154" s="249">
        <f t="shared" si="668"/>
        <v>0</v>
      </c>
      <c r="BH154" s="249">
        <f t="shared" si="668"/>
        <v>0</v>
      </c>
      <c r="BI154" s="249">
        <f t="shared" si="668"/>
        <v>0</v>
      </c>
      <c r="BJ154" s="249">
        <f t="shared" si="668"/>
        <v>0</v>
      </c>
      <c r="BK154" s="249">
        <f t="shared" si="668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57"/>
        <v>#DIV/0!</v>
      </c>
      <c r="H155" s="94" t="e">
        <f t="shared" si="658"/>
        <v>#DIV/0!</v>
      </c>
      <c r="I155" s="96"/>
      <c r="J155" s="96"/>
      <c r="K155" s="96"/>
      <c r="L155" s="95"/>
      <c r="M155" s="97">
        <f t="shared" ref="M155:O155" si="669">Y155+AB155+AE155+AH155+AK155+AN155+AQ155+AT155+AW155+AZ155+BC155+BF155</f>
        <v>0</v>
      </c>
      <c r="N155" s="97">
        <f t="shared" si="669"/>
        <v>0</v>
      </c>
      <c r="O155" s="97">
        <f t="shared" si="669"/>
        <v>0</v>
      </c>
      <c r="P155" s="97">
        <f t="shared" si="616"/>
        <v>0</v>
      </c>
      <c r="Q155" s="97">
        <f t="shared" ref="Q155:R155" si="670">IF(BJ155=0,SUM(Z155+AC155+AF155+AI155+AL155+AO155+AR155+AU155+AX155+BA155+BD155+BG155),BJ155)</f>
        <v>0</v>
      </c>
      <c r="R155" s="97">
        <f t="shared" si="670"/>
        <v>0</v>
      </c>
      <c r="S155" s="97">
        <f t="shared" ref="S155:T155" si="671">I155-M155</f>
        <v>0</v>
      </c>
      <c r="T155" s="97">
        <f t="shared" si="671"/>
        <v>0</v>
      </c>
      <c r="U155" s="97">
        <f t="shared" ref="U155:U158" si="672">L155-O155</f>
        <v>0</v>
      </c>
      <c r="V155" s="98" t="e">
        <f t="shared" ref="V155:W155" si="673">M155/I155</f>
        <v>#DIV/0!</v>
      </c>
      <c r="W155" s="98" t="e">
        <f t="shared" si="673"/>
        <v>#DIV/0!</v>
      </c>
      <c r="X155" s="98" t="e">
        <f t="shared" si="641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57"/>
        <v>#DIV/0!</v>
      </c>
      <c r="H156" s="94" t="e">
        <f t="shared" si="658"/>
        <v>#DIV/0!</v>
      </c>
      <c r="I156" s="96"/>
      <c r="J156" s="167">
        <v>8700</v>
      </c>
      <c r="K156" s="117"/>
      <c r="L156" s="95"/>
      <c r="M156" s="97">
        <f t="shared" ref="M156:O156" si="674">Y156+AB156+AE156+AH156+AK156+AN156+AQ156+AT156+AW156+AZ156+BC156+BF156</f>
        <v>0</v>
      </c>
      <c r="N156" s="97">
        <f t="shared" si="674"/>
        <v>0</v>
      </c>
      <c r="O156" s="97">
        <f t="shared" si="674"/>
        <v>0</v>
      </c>
      <c r="P156" s="97">
        <f t="shared" si="616"/>
        <v>0</v>
      </c>
      <c r="Q156" s="97">
        <f t="shared" ref="Q156:R156" si="675">IF(BJ156=0,SUM(Z156+AC156+AF156+AI156+AL156+AO156+AR156+AU156+AX156+BA156+BD156+BG156),BJ156)</f>
        <v>0</v>
      </c>
      <c r="R156" s="97">
        <f t="shared" si="675"/>
        <v>0</v>
      </c>
      <c r="S156" s="97">
        <f t="shared" ref="S156:T156" si="676">I156-M156</f>
        <v>0</v>
      </c>
      <c r="T156" s="97">
        <f t="shared" si="676"/>
        <v>8700</v>
      </c>
      <c r="U156" s="97">
        <f t="shared" si="672"/>
        <v>0</v>
      </c>
      <c r="V156" s="98" t="e">
        <f t="shared" ref="V156:W156" si="677">M156/I156</f>
        <v>#DIV/0!</v>
      </c>
      <c r="W156" s="98">
        <f t="shared" si="677"/>
        <v>0</v>
      </c>
      <c r="X156" s="98" t="e">
        <f t="shared" si="641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78">Y157+AB157+AE157+AH157+AK157+AN157+AQ157+AT157+AW157+AZ157+BC157+BF157</f>
        <v>0</v>
      </c>
      <c r="N157" s="97">
        <f t="shared" si="678"/>
        <v>0</v>
      </c>
      <c r="O157" s="97">
        <f t="shared" si="678"/>
        <v>0</v>
      </c>
      <c r="P157" s="97">
        <f t="shared" si="616"/>
        <v>0</v>
      </c>
      <c r="Q157" s="97">
        <f t="shared" ref="Q157:R157" si="679">IF(BJ157=0,SUM(Z157+AC157+AF157+AI157+AL157+AO157+AR157+AU157+AX157+BA157+BD157+BG157),BJ157)</f>
        <v>0</v>
      </c>
      <c r="R157" s="97">
        <f t="shared" si="679"/>
        <v>0</v>
      </c>
      <c r="S157" s="97">
        <f t="shared" ref="S157:T157" si="680">I157-M157</f>
        <v>0</v>
      </c>
      <c r="T157" s="97">
        <f t="shared" si="680"/>
        <v>0</v>
      </c>
      <c r="U157" s="97">
        <f t="shared" si="672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81">I158/E158</f>
        <v>#DIV/0!</v>
      </c>
      <c r="H158" s="94" t="e">
        <f t="shared" ref="H158:H178" si="682">M158/E158</f>
        <v>#DIV/0!</v>
      </c>
      <c r="I158" s="202"/>
      <c r="J158" s="204"/>
      <c r="K158" s="204"/>
      <c r="L158" s="202"/>
      <c r="M158" s="97">
        <f t="shared" ref="M158:N158" si="683">Y158+AB158+AE158+AH158+AK158+AN158+AQ158+AT158+AW158+AZ158+BC158+BF158</f>
        <v>0</v>
      </c>
      <c r="N158" s="97">
        <f t="shared" si="683"/>
        <v>0</v>
      </c>
      <c r="O158" s="97"/>
      <c r="P158" s="97">
        <f t="shared" si="616"/>
        <v>0</v>
      </c>
      <c r="Q158" s="97">
        <f t="shared" ref="Q158:Q169" si="684">IF(BJ158=0,SUM(Z158+AC158+AF158+AI158+AL158+AO158+AR158+AU158+AX158+BA158+BD158+BG158),BJ158)</f>
        <v>0</v>
      </c>
      <c r="R158" s="97"/>
      <c r="S158" s="97">
        <f t="shared" ref="S158:T158" si="685">I158-M158</f>
        <v>0</v>
      </c>
      <c r="T158" s="97">
        <f t="shared" si="685"/>
        <v>0</v>
      </c>
      <c r="U158" s="97">
        <f t="shared" si="672"/>
        <v>0</v>
      </c>
      <c r="V158" s="98" t="e">
        <f t="shared" ref="V158:W158" si="686">M158/I158</f>
        <v>#DIV/0!</v>
      </c>
      <c r="W158" s="98" t="e">
        <f t="shared" si="686"/>
        <v>#DIV/0!</v>
      </c>
      <c r="X158" s="98" t="e">
        <f t="shared" ref="X158:X169" si="687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88">E160+E168+E183</f>
        <v>121389.6</v>
      </c>
      <c r="F159" s="87">
        <f t="shared" si="688"/>
        <v>36000</v>
      </c>
      <c r="G159" s="107">
        <f t="shared" si="681"/>
        <v>1.2356907016746081E-2</v>
      </c>
      <c r="H159" s="107">
        <f t="shared" si="682"/>
        <v>0</v>
      </c>
      <c r="I159" s="87">
        <f t="shared" ref="I159:O159" si="689">I160+I168+I183</f>
        <v>1500</v>
      </c>
      <c r="J159" s="87">
        <f t="shared" si="689"/>
        <v>984.93000000000006</v>
      </c>
      <c r="K159" s="87">
        <f t="shared" si="689"/>
        <v>0</v>
      </c>
      <c r="L159" s="87">
        <f t="shared" si="689"/>
        <v>0</v>
      </c>
      <c r="M159" s="87">
        <f t="shared" si="689"/>
        <v>0</v>
      </c>
      <c r="N159" s="87">
        <f t="shared" si="689"/>
        <v>0</v>
      </c>
      <c r="O159" s="87">
        <f t="shared" si="689"/>
        <v>0</v>
      </c>
      <c r="P159" s="87">
        <f t="shared" si="616"/>
        <v>0</v>
      </c>
      <c r="Q159" s="87">
        <f t="shared" si="684"/>
        <v>250</v>
      </c>
      <c r="R159" s="87">
        <f t="shared" ref="R159:R169" si="690">IF(BK159=0,SUM(AA159+AD159+AG159+AJ159+AM159+AP159+AS159+AV159+AY159+BB159+BE159+BH159),BK159)</f>
        <v>0</v>
      </c>
      <c r="S159" s="87">
        <f t="shared" ref="S159:U159" si="691">S160+S168+S183</f>
        <v>1500</v>
      </c>
      <c r="T159" s="87">
        <f t="shared" si="691"/>
        <v>734.93000000000006</v>
      </c>
      <c r="U159" s="87">
        <f t="shared" si="691"/>
        <v>0</v>
      </c>
      <c r="V159" s="88">
        <f t="shared" ref="V159:W159" si="692">M159/I159</f>
        <v>0</v>
      </c>
      <c r="W159" s="88">
        <f t="shared" si="692"/>
        <v>0</v>
      </c>
      <c r="X159" s="88" t="e">
        <f t="shared" si="687"/>
        <v>#DIV/0!</v>
      </c>
      <c r="Y159" s="87">
        <f t="shared" ref="Y159:BK159" si="693">Y160+Y168+Y183</f>
        <v>0</v>
      </c>
      <c r="Z159" s="87">
        <f t="shared" si="693"/>
        <v>250</v>
      </c>
      <c r="AA159" s="87">
        <f t="shared" si="693"/>
        <v>0</v>
      </c>
      <c r="AB159" s="87">
        <f t="shared" si="693"/>
        <v>0</v>
      </c>
      <c r="AC159" s="87">
        <f t="shared" si="693"/>
        <v>0</v>
      </c>
      <c r="AD159" s="87">
        <f t="shared" si="693"/>
        <v>0</v>
      </c>
      <c r="AE159" s="87">
        <f t="shared" si="693"/>
        <v>0</v>
      </c>
      <c r="AF159" s="87">
        <f t="shared" si="693"/>
        <v>0</v>
      </c>
      <c r="AG159" s="87">
        <f t="shared" si="693"/>
        <v>0</v>
      </c>
      <c r="AH159" s="87">
        <f t="shared" si="693"/>
        <v>0</v>
      </c>
      <c r="AI159" s="87">
        <f t="shared" si="693"/>
        <v>0</v>
      </c>
      <c r="AJ159" s="87">
        <f t="shared" si="693"/>
        <v>0</v>
      </c>
      <c r="AK159" s="87">
        <f t="shared" si="693"/>
        <v>0</v>
      </c>
      <c r="AL159" s="87">
        <f t="shared" si="693"/>
        <v>0</v>
      </c>
      <c r="AM159" s="87">
        <f t="shared" si="693"/>
        <v>0</v>
      </c>
      <c r="AN159" s="87">
        <f t="shared" si="693"/>
        <v>0</v>
      </c>
      <c r="AO159" s="87">
        <f t="shared" si="693"/>
        <v>0</v>
      </c>
      <c r="AP159" s="87">
        <f t="shared" si="693"/>
        <v>0</v>
      </c>
      <c r="AQ159" s="87">
        <f t="shared" si="693"/>
        <v>0</v>
      </c>
      <c r="AR159" s="87">
        <f t="shared" si="693"/>
        <v>0</v>
      </c>
      <c r="AS159" s="87">
        <f t="shared" si="693"/>
        <v>0</v>
      </c>
      <c r="AT159" s="87">
        <f t="shared" si="693"/>
        <v>0</v>
      </c>
      <c r="AU159" s="87">
        <f t="shared" si="693"/>
        <v>0</v>
      </c>
      <c r="AV159" s="87">
        <f t="shared" si="693"/>
        <v>0</v>
      </c>
      <c r="AW159" s="87">
        <f t="shared" si="693"/>
        <v>0</v>
      </c>
      <c r="AX159" s="87">
        <f t="shared" si="693"/>
        <v>0</v>
      </c>
      <c r="AY159" s="87">
        <f t="shared" si="693"/>
        <v>0</v>
      </c>
      <c r="AZ159" s="87">
        <f t="shared" si="693"/>
        <v>0</v>
      </c>
      <c r="BA159" s="87">
        <f t="shared" si="693"/>
        <v>0</v>
      </c>
      <c r="BB159" s="87">
        <f t="shared" si="693"/>
        <v>0</v>
      </c>
      <c r="BC159" s="87">
        <f t="shared" si="693"/>
        <v>0</v>
      </c>
      <c r="BD159" s="87">
        <f t="shared" si="693"/>
        <v>0</v>
      </c>
      <c r="BE159" s="87">
        <f t="shared" si="693"/>
        <v>0</v>
      </c>
      <c r="BF159" s="87">
        <f t="shared" si="693"/>
        <v>0</v>
      </c>
      <c r="BG159" s="87">
        <f t="shared" si="693"/>
        <v>0</v>
      </c>
      <c r="BH159" s="87">
        <f t="shared" si="693"/>
        <v>0</v>
      </c>
      <c r="BI159" s="87">
        <f t="shared" si="693"/>
        <v>0</v>
      </c>
      <c r="BJ159" s="87">
        <f t="shared" si="693"/>
        <v>0</v>
      </c>
      <c r="BK159" s="87">
        <f t="shared" si="693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94">E161+E165</f>
        <v>36444.800000000003</v>
      </c>
      <c r="F160" s="255">
        <f t="shared" si="694"/>
        <v>0</v>
      </c>
      <c r="G160" s="223">
        <f t="shared" si="681"/>
        <v>4.1158135042584948E-2</v>
      </c>
      <c r="H160" s="223">
        <f t="shared" si="682"/>
        <v>0</v>
      </c>
      <c r="I160" s="255">
        <f t="shared" ref="I160:O160" si="695">I161+I165</f>
        <v>1500</v>
      </c>
      <c r="J160" s="255">
        <f t="shared" si="695"/>
        <v>0</v>
      </c>
      <c r="K160" s="255">
        <f t="shared" si="695"/>
        <v>0</v>
      </c>
      <c r="L160" s="255">
        <f t="shared" si="695"/>
        <v>0</v>
      </c>
      <c r="M160" s="255">
        <f t="shared" si="695"/>
        <v>0</v>
      </c>
      <c r="N160" s="255">
        <f t="shared" si="695"/>
        <v>0</v>
      </c>
      <c r="O160" s="255">
        <f t="shared" si="695"/>
        <v>0</v>
      </c>
      <c r="P160" s="245">
        <f t="shared" si="616"/>
        <v>0</v>
      </c>
      <c r="Q160" s="245">
        <f t="shared" si="684"/>
        <v>0</v>
      </c>
      <c r="R160" s="245">
        <f t="shared" si="690"/>
        <v>0</v>
      </c>
      <c r="S160" s="255">
        <f t="shared" ref="S160:U160" si="696">S161+S165</f>
        <v>1500</v>
      </c>
      <c r="T160" s="255">
        <f t="shared" si="696"/>
        <v>0</v>
      </c>
      <c r="U160" s="255">
        <f t="shared" si="696"/>
        <v>0</v>
      </c>
      <c r="V160" s="256">
        <f t="shared" ref="V160:W160" si="697">M160/I160</f>
        <v>0</v>
      </c>
      <c r="W160" s="256" t="e">
        <f t="shared" si="697"/>
        <v>#DIV/0!</v>
      </c>
      <c r="X160" s="256" t="e">
        <f t="shared" si="687"/>
        <v>#DIV/0!</v>
      </c>
      <c r="Y160" s="255">
        <f t="shared" ref="Y160:BK160" si="698">Y161+Y165</f>
        <v>0</v>
      </c>
      <c r="Z160" s="255">
        <f t="shared" si="698"/>
        <v>0</v>
      </c>
      <c r="AA160" s="255">
        <f t="shared" si="698"/>
        <v>0</v>
      </c>
      <c r="AB160" s="255">
        <f t="shared" si="698"/>
        <v>0</v>
      </c>
      <c r="AC160" s="255">
        <f t="shared" si="698"/>
        <v>0</v>
      </c>
      <c r="AD160" s="255">
        <f t="shared" si="698"/>
        <v>0</v>
      </c>
      <c r="AE160" s="255">
        <f t="shared" si="698"/>
        <v>0</v>
      </c>
      <c r="AF160" s="255">
        <f t="shared" si="698"/>
        <v>0</v>
      </c>
      <c r="AG160" s="255">
        <f t="shared" si="698"/>
        <v>0</v>
      </c>
      <c r="AH160" s="255">
        <f t="shared" si="698"/>
        <v>0</v>
      </c>
      <c r="AI160" s="255">
        <f t="shared" si="698"/>
        <v>0</v>
      </c>
      <c r="AJ160" s="255">
        <f t="shared" si="698"/>
        <v>0</v>
      </c>
      <c r="AK160" s="255">
        <f t="shared" si="698"/>
        <v>0</v>
      </c>
      <c r="AL160" s="255">
        <f t="shared" si="698"/>
        <v>0</v>
      </c>
      <c r="AM160" s="255">
        <f t="shared" si="698"/>
        <v>0</v>
      </c>
      <c r="AN160" s="255">
        <f t="shared" si="698"/>
        <v>0</v>
      </c>
      <c r="AO160" s="255">
        <f t="shared" si="698"/>
        <v>0</v>
      </c>
      <c r="AP160" s="255">
        <f t="shared" si="698"/>
        <v>0</v>
      </c>
      <c r="AQ160" s="255">
        <f t="shared" si="698"/>
        <v>0</v>
      </c>
      <c r="AR160" s="255">
        <f t="shared" si="698"/>
        <v>0</v>
      </c>
      <c r="AS160" s="255">
        <f t="shared" si="698"/>
        <v>0</v>
      </c>
      <c r="AT160" s="255">
        <f t="shared" si="698"/>
        <v>0</v>
      </c>
      <c r="AU160" s="255">
        <f t="shared" si="698"/>
        <v>0</v>
      </c>
      <c r="AV160" s="255">
        <f t="shared" si="698"/>
        <v>0</v>
      </c>
      <c r="AW160" s="255">
        <f t="shared" si="698"/>
        <v>0</v>
      </c>
      <c r="AX160" s="255">
        <f t="shared" si="698"/>
        <v>0</v>
      </c>
      <c r="AY160" s="255">
        <f t="shared" si="698"/>
        <v>0</v>
      </c>
      <c r="AZ160" s="255">
        <f t="shared" si="698"/>
        <v>0</v>
      </c>
      <c r="BA160" s="255">
        <f t="shared" si="698"/>
        <v>0</v>
      </c>
      <c r="BB160" s="255">
        <f t="shared" si="698"/>
        <v>0</v>
      </c>
      <c r="BC160" s="255">
        <f t="shared" si="698"/>
        <v>0</v>
      </c>
      <c r="BD160" s="255">
        <f t="shared" si="698"/>
        <v>0</v>
      </c>
      <c r="BE160" s="255">
        <f t="shared" si="698"/>
        <v>0</v>
      </c>
      <c r="BF160" s="255">
        <f t="shared" si="698"/>
        <v>0</v>
      </c>
      <c r="BG160" s="255">
        <f t="shared" si="698"/>
        <v>0</v>
      </c>
      <c r="BH160" s="255">
        <f t="shared" si="698"/>
        <v>0</v>
      </c>
      <c r="BI160" s="255">
        <f t="shared" si="698"/>
        <v>0</v>
      </c>
      <c r="BJ160" s="255">
        <f t="shared" si="698"/>
        <v>0</v>
      </c>
      <c r="BK160" s="255">
        <f t="shared" si="698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99">SUM(E162:E164)</f>
        <v>36444.800000000003</v>
      </c>
      <c r="F161" s="231">
        <f t="shared" si="699"/>
        <v>0</v>
      </c>
      <c r="G161" s="187">
        <f t="shared" si="681"/>
        <v>4.1158135042584948E-2</v>
      </c>
      <c r="H161" s="187">
        <f t="shared" si="682"/>
        <v>0</v>
      </c>
      <c r="I161" s="231">
        <f t="shared" ref="I161:O161" si="700">SUM(I162:I164)</f>
        <v>1500</v>
      </c>
      <c r="J161" s="231">
        <f t="shared" si="700"/>
        <v>0</v>
      </c>
      <c r="K161" s="231">
        <f t="shared" si="700"/>
        <v>0</v>
      </c>
      <c r="L161" s="231">
        <f t="shared" si="700"/>
        <v>0</v>
      </c>
      <c r="M161" s="231">
        <f t="shared" si="700"/>
        <v>0</v>
      </c>
      <c r="N161" s="231">
        <f t="shared" si="700"/>
        <v>0</v>
      </c>
      <c r="O161" s="231">
        <f t="shared" si="700"/>
        <v>0</v>
      </c>
      <c r="P161" s="258">
        <f t="shared" si="616"/>
        <v>0</v>
      </c>
      <c r="Q161" s="258">
        <f t="shared" si="684"/>
        <v>0</v>
      </c>
      <c r="R161" s="258">
        <f t="shared" si="690"/>
        <v>0</v>
      </c>
      <c r="S161" s="231">
        <f t="shared" ref="S161:U161" si="701">SUM(S162:S164)</f>
        <v>1500</v>
      </c>
      <c r="T161" s="231">
        <f t="shared" si="701"/>
        <v>0</v>
      </c>
      <c r="U161" s="231">
        <f t="shared" si="701"/>
        <v>0</v>
      </c>
      <c r="V161" s="259">
        <f t="shared" ref="V161:W161" si="702">M161/I161</f>
        <v>0</v>
      </c>
      <c r="W161" s="259" t="e">
        <f t="shared" si="702"/>
        <v>#DIV/0!</v>
      </c>
      <c r="X161" s="259" t="e">
        <f t="shared" si="687"/>
        <v>#DIV/0!</v>
      </c>
      <c r="Y161" s="231">
        <f t="shared" ref="Y161:BK161" si="703">SUM(Y162:Y164)</f>
        <v>0</v>
      </c>
      <c r="Z161" s="231">
        <f t="shared" si="703"/>
        <v>0</v>
      </c>
      <c r="AA161" s="231">
        <f t="shared" si="703"/>
        <v>0</v>
      </c>
      <c r="AB161" s="231">
        <f t="shared" si="703"/>
        <v>0</v>
      </c>
      <c r="AC161" s="231">
        <f t="shared" si="703"/>
        <v>0</v>
      </c>
      <c r="AD161" s="231">
        <f t="shared" si="703"/>
        <v>0</v>
      </c>
      <c r="AE161" s="231">
        <f t="shared" si="703"/>
        <v>0</v>
      </c>
      <c r="AF161" s="231">
        <f t="shared" si="703"/>
        <v>0</v>
      </c>
      <c r="AG161" s="231">
        <f t="shared" si="703"/>
        <v>0</v>
      </c>
      <c r="AH161" s="231">
        <f t="shared" si="703"/>
        <v>0</v>
      </c>
      <c r="AI161" s="231">
        <f t="shared" si="703"/>
        <v>0</v>
      </c>
      <c r="AJ161" s="231">
        <f t="shared" si="703"/>
        <v>0</v>
      </c>
      <c r="AK161" s="231">
        <f t="shared" si="703"/>
        <v>0</v>
      </c>
      <c r="AL161" s="231">
        <f t="shared" si="703"/>
        <v>0</v>
      </c>
      <c r="AM161" s="231">
        <f t="shared" si="703"/>
        <v>0</v>
      </c>
      <c r="AN161" s="231">
        <f t="shared" si="703"/>
        <v>0</v>
      </c>
      <c r="AO161" s="231">
        <f t="shared" si="703"/>
        <v>0</v>
      </c>
      <c r="AP161" s="231">
        <f t="shared" si="703"/>
        <v>0</v>
      </c>
      <c r="AQ161" s="231">
        <f t="shared" si="703"/>
        <v>0</v>
      </c>
      <c r="AR161" s="231">
        <f t="shared" si="703"/>
        <v>0</v>
      </c>
      <c r="AS161" s="231">
        <f t="shared" si="703"/>
        <v>0</v>
      </c>
      <c r="AT161" s="231">
        <f t="shared" si="703"/>
        <v>0</v>
      </c>
      <c r="AU161" s="231">
        <f t="shared" si="703"/>
        <v>0</v>
      </c>
      <c r="AV161" s="231">
        <f t="shared" si="703"/>
        <v>0</v>
      </c>
      <c r="AW161" s="231">
        <f t="shared" si="703"/>
        <v>0</v>
      </c>
      <c r="AX161" s="231">
        <f t="shared" si="703"/>
        <v>0</v>
      </c>
      <c r="AY161" s="231">
        <f t="shared" si="703"/>
        <v>0</v>
      </c>
      <c r="AZ161" s="231">
        <f t="shared" si="703"/>
        <v>0</v>
      </c>
      <c r="BA161" s="231">
        <f t="shared" si="703"/>
        <v>0</v>
      </c>
      <c r="BB161" s="231">
        <f t="shared" si="703"/>
        <v>0</v>
      </c>
      <c r="BC161" s="231">
        <f t="shared" si="703"/>
        <v>0</v>
      </c>
      <c r="BD161" s="231">
        <f t="shared" si="703"/>
        <v>0</v>
      </c>
      <c r="BE161" s="231">
        <f t="shared" si="703"/>
        <v>0</v>
      </c>
      <c r="BF161" s="231">
        <f t="shared" si="703"/>
        <v>0</v>
      </c>
      <c r="BG161" s="231">
        <f t="shared" si="703"/>
        <v>0</v>
      </c>
      <c r="BH161" s="231">
        <f t="shared" si="703"/>
        <v>0</v>
      </c>
      <c r="BI161" s="231">
        <f t="shared" si="703"/>
        <v>0</v>
      </c>
      <c r="BJ161" s="231">
        <f t="shared" si="703"/>
        <v>0</v>
      </c>
      <c r="BK161" s="231">
        <f t="shared" si="703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81"/>
        <v>0</v>
      </c>
      <c r="H162" s="94">
        <f t="shared" si="682"/>
        <v>0</v>
      </c>
      <c r="I162" s="142">
        <v>0</v>
      </c>
      <c r="J162" s="96"/>
      <c r="K162" s="96"/>
      <c r="L162" s="96"/>
      <c r="M162" s="97">
        <f t="shared" ref="M162:O162" si="704">Y162+AB162+AE162+AH162+AK162+AN162+AQ162+AT162+AW162+AZ162+BC162+BF162</f>
        <v>0</v>
      </c>
      <c r="N162" s="97">
        <f t="shared" si="704"/>
        <v>0</v>
      </c>
      <c r="O162" s="97">
        <f t="shared" si="704"/>
        <v>0</v>
      </c>
      <c r="P162" s="97">
        <f t="shared" si="616"/>
        <v>0</v>
      </c>
      <c r="Q162" s="97">
        <f t="shared" si="684"/>
        <v>0</v>
      </c>
      <c r="R162" s="97">
        <f t="shared" si="690"/>
        <v>0</v>
      </c>
      <c r="S162" s="138">
        <f t="shared" ref="S162:T162" si="705">I162-M162</f>
        <v>0</v>
      </c>
      <c r="T162" s="97">
        <f t="shared" si="705"/>
        <v>0</v>
      </c>
      <c r="U162" s="97">
        <f t="shared" ref="U162:U164" si="706">L162-O162</f>
        <v>0</v>
      </c>
      <c r="V162" s="98" t="e">
        <f t="shared" ref="V162:W162" si="707">M162/I162</f>
        <v>#DIV/0!</v>
      </c>
      <c r="W162" s="98" t="e">
        <f t="shared" si="707"/>
        <v>#DIV/0!</v>
      </c>
      <c r="X162" s="98" t="e">
        <f t="shared" si="687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81"/>
        <v>1</v>
      </c>
      <c r="H163" s="94">
        <f t="shared" si="682"/>
        <v>0</v>
      </c>
      <c r="I163" s="95">
        <v>1500</v>
      </c>
      <c r="J163" s="96"/>
      <c r="K163" s="96"/>
      <c r="L163" s="261"/>
      <c r="M163" s="97">
        <f t="shared" ref="M163:O163" si="708">Y163+AB163+AE163+AH163+AK163+AN163+AQ163+AT163+AW163+AZ163+BC163+BF163</f>
        <v>0</v>
      </c>
      <c r="N163" s="97">
        <f t="shared" si="708"/>
        <v>0</v>
      </c>
      <c r="O163" s="97">
        <f t="shared" si="708"/>
        <v>0</v>
      </c>
      <c r="P163" s="97">
        <f t="shared" si="616"/>
        <v>0</v>
      </c>
      <c r="Q163" s="97">
        <f t="shared" si="684"/>
        <v>0</v>
      </c>
      <c r="R163" s="97">
        <f t="shared" si="690"/>
        <v>0</v>
      </c>
      <c r="S163" s="97">
        <f t="shared" ref="S163:T163" si="709">I163-M163</f>
        <v>1500</v>
      </c>
      <c r="T163" s="97">
        <f t="shared" si="709"/>
        <v>0</v>
      </c>
      <c r="U163" s="97">
        <f t="shared" si="706"/>
        <v>0</v>
      </c>
      <c r="V163" s="98">
        <f t="shared" ref="V163:W163" si="710">M163/I163</f>
        <v>0</v>
      </c>
      <c r="W163" s="98" t="e">
        <f t="shared" si="710"/>
        <v>#DIV/0!</v>
      </c>
      <c r="X163" s="98" t="e">
        <f t="shared" si="687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81"/>
        <v>#DIV/0!</v>
      </c>
      <c r="H164" s="94" t="e">
        <f t="shared" si="682"/>
        <v>#DIV/0!</v>
      </c>
      <c r="I164" s="95"/>
      <c r="J164" s="96"/>
      <c r="K164" s="96"/>
      <c r="L164" s="95"/>
      <c r="M164" s="97">
        <f t="shared" ref="M164:O164" si="711">Y164+AB164+AE164+AH164+AK164+AN164+AQ164+AT164+AW164+AZ164+BC164+BF164</f>
        <v>0</v>
      </c>
      <c r="N164" s="97">
        <f t="shared" si="711"/>
        <v>0</v>
      </c>
      <c r="O164" s="97">
        <f t="shared" si="711"/>
        <v>0</v>
      </c>
      <c r="P164" s="97">
        <f t="shared" si="616"/>
        <v>0</v>
      </c>
      <c r="Q164" s="97">
        <f t="shared" si="684"/>
        <v>0</v>
      </c>
      <c r="R164" s="97">
        <f t="shared" si="690"/>
        <v>0</v>
      </c>
      <c r="S164" s="97">
        <f t="shared" ref="S164:T164" si="712">I164-M164</f>
        <v>0</v>
      </c>
      <c r="T164" s="97">
        <f t="shared" si="712"/>
        <v>0</v>
      </c>
      <c r="U164" s="97">
        <f t="shared" si="706"/>
        <v>0</v>
      </c>
      <c r="V164" s="98" t="e">
        <f t="shared" ref="V164:W164" si="713">M164/I164</f>
        <v>#DIV/0!</v>
      </c>
      <c r="W164" s="98" t="e">
        <f t="shared" si="713"/>
        <v>#DIV/0!</v>
      </c>
      <c r="X164" s="98" t="e">
        <f t="shared" si="687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714">SUM(E166:E167)</f>
        <v>0</v>
      </c>
      <c r="F165" s="231">
        <f t="shared" si="714"/>
        <v>0</v>
      </c>
      <c r="G165" s="188" t="e">
        <f t="shared" si="681"/>
        <v>#DIV/0!</v>
      </c>
      <c r="H165" s="188" t="e">
        <f t="shared" si="682"/>
        <v>#DIV/0!</v>
      </c>
      <c r="I165" s="231">
        <f t="shared" ref="I165:O165" si="715">SUM(I166:I167)</f>
        <v>0</v>
      </c>
      <c r="J165" s="231">
        <f t="shared" si="715"/>
        <v>0</v>
      </c>
      <c r="K165" s="231">
        <f t="shared" si="715"/>
        <v>0</v>
      </c>
      <c r="L165" s="231">
        <f t="shared" si="715"/>
        <v>0</v>
      </c>
      <c r="M165" s="231">
        <f t="shared" si="715"/>
        <v>0</v>
      </c>
      <c r="N165" s="231">
        <f t="shared" si="715"/>
        <v>0</v>
      </c>
      <c r="O165" s="231">
        <f t="shared" si="715"/>
        <v>0</v>
      </c>
      <c r="P165" s="258">
        <f t="shared" si="616"/>
        <v>0</v>
      </c>
      <c r="Q165" s="258">
        <f t="shared" si="684"/>
        <v>0</v>
      </c>
      <c r="R165" s="258">
        <f t="shared" si="690"/>
        <v>0</v>
      </c>
      <c r="S165" s="231">
        <f t="shared" ref="S165:U165" si="716">SUM(S166:S167)</f>
        <v>0</v>
      </c>
      <c r="T165" s="231">
        <f t="shared" si="716"/>
        <v>0</v>
      </c>
      <c r="U165" s="231">
        <f t="shared" si="716"/>
        <v>0</v>
      </c>
      <c r="V165" s="259" t="e">
        <f t="shared" ref="V165:W165" si="717">M165/I165</f>
        <v>#DIV/0!</v>
      </c>
      <c r="W165" s="259" t="e">
        <f t="shared" si="717"/>
        <v>#DIV/0!</v>
      </c>
      <c r="X165" s="259" t="e">
        <f t="shared" si="687"/>
        <v>#DIV/0!</v>
      </c>
      <c r="Y165" s="231">
        <f t="shared" ref="Y165:BK165" si="718">SUM(Y166:Y167)</f>
        <v>0</v>
      </c>
      <c r="Z165" s="231">
        <f t="shared" si="718"/>
        <v>0</v>
      </c>
      <c r="AA165" s="231">
        <f t="shared" si="718"/>
        <v>0</v>
      </c>
      <c r="AB165" s="231">
        <f t="shared" si="718"/>
        <v>0</v>
      </c>
      <c r="AC165" s="231">
        <f t="shared" si="718"/>
        <v>0</v>
      </c>
      <c r="AD165" s="231">
        <f t="shared" si="718"/>
        <v>0</v>
      </c>
      <c r="AE165" s="231">
        <f t="shared" si="718"/>
        <v>0</v>
      </c>
      <c r="AF165" s="231">
        <f t="shared" si="718"/>
        <v>0</v>
      </c>
      <c r="AG165" s="231">
        <f t="shared" si="718"/>
        <v>0</v>
      </c>
      <c r="AH165" s="231">
        <f t="shared" si="718"/>
        <v>0</v>
      </c>
      <c r="AI165" s="231">
        <f t="shared" si="718"/>
        <v>0</v>
      </c>
      <c r="AJ165" s="231">
        <f t="shared" si="718"/>
        <v>0</v>
      </c>
      <c r="AK165" s="231">
        <f t="shared" si="718"/>
        <v>0</v>
      </c>
      <c r="AL165" s="231">
        <f t="shared" si="718"/>
        <v>0</v>
      </c>
      <c r="AM165" s="231">
        <f t="shared" si="718"/>
        <v>0</v>
      </c>
      <c r="AN165" s="231">
        <f t="shared" si="718"/>
        <v>0</v>
      </c>
      <c r="AO165" s="231">
        <f t="shared" si="718"/>
        <v>0</v>
      </c>
      <c r="AP165" s="231">
        <f t="shared" si="718"/>
        <v>0</v>
      </c>
      <c r="AQ165" s="231">
        <f t="shared" si="718"/>
        <v>0</v>
      </c>
      <c r="AR165" s="231">
        <f t="shared" si="718"/>
        <v>0</v>
      </c>
      <c r="AS165" s="231">
        <f t="shared" si="718"/>
        <v>0</v>
      </c>
      <c r="AT165" s="231">
        <f t="shared" si="718"/>
        <v>0</v>
      </c>
      <c r="AU165" s="231">
        <f t="shared" si="718"/>
        <v>0</v>
      </c>
      <c r="AV165" s="231">
        <f t="shared" si="718"/>
        <v>0</v>
      </c>
      <c r="AW165" s="231">
        <f t="shared" si="718"/>
        <v>0</v>
      </c>
      <c r="AX165" s="231">
        <f t="shared" si="718"/>
        <v>0</v>
      </c>
      <c r="AY165" s="231">
        <f t="shared" si="718"/>
        <v>0</v>
      </c>
      <c r="AZ165" s="231">
        <f t="shared" si="718"/>
        <v>0</v>
      </c>
      <c r="BA165" s="231">
        <f t="shared" si="718"/>
        <v>0</v>
      </c>
      <c r="BB165" s="231">
        <f t="shared" si="718"/>
        <v>0</v>
      </c>
      <c r="BC165" s="231">
        <f t="shared" si="718"/>
        <v>0</v>
      </c>
      <c r="BD165" s="231">
        <f t="shared" si="718"/>
        <v>0</v>
      </c>
      <c r="BE165" s="231">
        <f t="shared" si="718"/>
        <v>0</v>
      </c>
      <c r="BF165" s="231">
        <f t="shared" si="718"/>
        <v>0</v>
      </c>
      <c r="BG165" s="231">
        <f t="shared" si="718"/>
        <v>0</v>
      </c>
      <c r="BH165" s="231">
        <f t="shared" si="718"/>
        <v>0</v>
      </c>
      <c r="BI165" s="231">
        <f t="shared" si="718"/>
        <v>0</v>
      </c>
      <c r="BJ165" s="231">
        <f t="shared" si="718"/>
        <v>0</v>
      </c>
      <c r="BK165" s="231">
        <f t="shared" si="718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81"/>
        <v>#DIV/0!</v>
      </c>
      <c r="H166" s="94" t="e">
        <f t="shared" si="682"/>
        <v>#DIV/0!</v>
      </c>
      <c r="I166" s="95"/>
      <c r="J166" s="96"/>
      <c r="K166" s="96"/>
      <c r="L166" s="95"/>
      <c r="M166" s="97">
        <f t="shared" ref="M166:O166" si="719">Y166+AB166+AE166+AH166+AK166+AN166+AQ166+AT166+AW166+AZ166+BC166+BF166</f>
        <v>0</v>
      </c>
      <c r="N166" s="97">
        <f t="shared" si="719"/>
        <v>0</v>
      </c>
      <c r="O166" s="97">
        <f t="shared" si="719"/>
        <v>0</v>
      </c>
      <c r="P166" s="97">
        <f t="shared" si="616"/>
        <v>0</v>
      </c>
      <c r="Q166" s="97">
        <f t="shared" si="684"/>
        <v>0</v>
      </c>
      <c r="R166" s="97">
        <f t="shared" si="690"/>
        <v>0</v>
      </c>
      <c r="S166" s="97">
        <f t="shared" ref="S166:T166" si="720">I166-M166</f>
        <v>0</v>
      </c>
      <c r="T166" s="97">
        <f t="shared" si="720"/>
        <v>0</v>
      </c>
      <c r="U166" s="97">
        <f t="shared" ref="U166:U167" si="721">L166-O166</f>
        <v>0</v>
      </c>
      <c r="V166" s="98" t="e">
        <f t="shared" ref="V166:W166" si="722">M166/I166</f>
        <v>#DIV/0!</v>
      </c>
      <c r="W166" s="98" t="e">
        <f t="shared" si="722"/>
        <v>#DIV/0!</v>
      </c>
      <c r="X166" s="98" t="e">
        <f t="shared" si="687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81"/>
        <v>#DIV/0!</v>
      </c>
      <c r="H167" s="94" t="e">
        <f t="shared" si="682"/>
        <v>#DIV/0!</v>
      </c>
      <c r="I167" s="95"/>
      <c r="J167" s="96"/>
      <c r="K167" s="96"/>
      <c r="L167" s="95"/>
      <c r="M167" s="97"/>
      <c r="N167" s="97">
        <f t="shared" ref="N167:O167" si="723">Z167+AC167+AF167+AI167+AL167+AO167+AR167+AU167+AX167+BA167+BD167+BG167</f>
        <v>0</v>
      </c>
      <c r="O167" s="97">
        <f t="shared" si="723"/>
        <v>0</v>
      </c>
      <c r="P167" s="97">
        <f t="shared" si="616"/>
        <v>0</v>
      </c>
      <c r="Q167" s="97">
        <f t="shared" si="684"/>
        <v>0</v>
      </c>
      <c r="R167" s="97">
        <f t="shared" si="690"/>
        <v>0</v>
      </c>
      <c r="S167" s="97">
        <f t="shared" ref="S167:T167" si="724">I167-M167</f>
        <v>0</v>
      </c>
      <c r="T167" s="97">
        <f t="shared" si="724"/>
        <v>0</v>
      </c>
      <c r="U167" s="97">
        <f t="shared" si="721"/>
        <v>0</v>
      </c>
      <c r="V167" s="98" t="e">
        <f t="shared" ref="V167:W167" si="725">M167/I167</f>
        <v>#DIV/0!</v>
      </c>
      <c r="W167" s="98" t="e">
        <f t="shared" si="725"/>
        <v>#DIV/0!</v>
      </c>
      <c r="X167" s="98" t="e">
        <f t="shared" si="687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26">E169+E176</f>
        <v>84944.8</v>
      </c>
      <c r="F168" s="255">
        <f t="shared" si="726"/>
        <v>36000</v>
      </c>
      <c r="G168" s="223">
        <f t="shared" si="681"/>
        <v>0</v>
      </c>
      <c r="H168" s="223">
        <f t="shared" si="682"/>
        <v>0</v>
      </c>
      <c r="I168" s="255">
        <f t="shared" ref="I168:O168" si="727">I169+I176</f>
        <v>0</v>
      </c>
      <c r="J168" s="255">
        <f t="shared" si="727"/>
        <v>250</v>
      </c>
      <c r="K168" s="255">
        <f t="shared" si="727"/>
        <v>0</v>
      </c>
      <c r="L168" s="255">
        <f t="shared" si="727"/>
        <v>0</v>
      </c>
      <c r="M168" s="255">
        <f t="shared" si="727"/>
        <v>0</v>
      </c>
      <c r="N168" s="255">
        <f t="shared" si="727"/>
        <v>0</v>
      </c>
      <c r="O168" s="255">
        <f t="shared" si="727"/>
        <v>0</v>
      </c>
      <c r="P168" s="255">
        <f t="shared" si="616"/>
        <v>0</v>
      </c>
      <c r="Q168" s="255">
        <f t="shared" si="684"/>
        <v>250</v>
      </c>
      <c r="R168" s="255">
        <f t="shared" si="690"/>
        <v>0</v>
      </c>
      <c r="S168" s="255">
        <f t="shared" ref="S168:U168" si="728">S169+S176</f>
        <v>0</v>
      </c>
      <c r="T168" s="255">
        <f t="shared" si="728"/>
        <v>0</v>
      </c>
      <c r="U168" s="255">
        <f t="shared" si="728"/>
        <v>0</v>
      </c>
      <c r="V168" s="256" t="e">
        <f t="shared" ref="V168:W168" si="729">M168/I168</f>
        <v>#DIV/0!</v>
      </c>
      <c r="W168" s="256">
        <f t="shared" si="729"/>
        <v>0</v>
      </c>
      <c r="X168" s="256" t="e">
        <f t="shared" si="687"/>
        <v>#DIV/0!</v>
      </c>
      <c r="Y168" s="255">
        <f t="shared" ref="Y168:BK168" si="730">Y169+Y176</f>
        <v>0</v>
      </c>
      <c r="Z168" s="255">
        <f t="shared" si="730"/>
        <v>250</v>
      </c>
      <c r="AA168" s="255">
        <f t="shared" si="730"/>
        <v>0</v>
      </c>
      <c r="AB168" s="255">
        <f t="shared" si="730"/>
        <v>0</v>
      </c>
      <c r="AC168" s="255">
        <f t="shared" si="730"/>
        <v>0</v>
      </c>
      <c r="AD168" s="255">
        <f t="shared" si="730"/>
        <v>0</v>
      </c>
      <c r="AE168" s="255">
        <f t="shared" si="730"/>
        <v>0</v>
      </c>
      <c r="AF168" s="255">
        <f t="shared" si="730"/>
        <v>0</v>
      </c>
      <c r="AG168" s="255">
        <f t="shared" si="730"/>
        <v>0</v>
      </c>
      <c r="AH168" s="255">
        <f t="shared" si="730"/>
        <v>0</v>
      </c>
      <c r="AI168" s="255">
        <f t="shared" si="730"/>
        <v>0</v>
      </c>
      <c r="AJ168" s="255">
        <f t="shared" si="730"/>
        <v>0</v>
      </c>
      <c r="AK168" s="255">
        <f t="shared" si="730"/>
        <v>0</v>
      </c>
      <c r="AL168" s="255">
        <f t="shared" si="730"/>
        <v>0</v>
      </c>
      <c r="AM168" s="255">
        <f t="shared" si="730"/>
        <v>0</v>
      </c>
      <c r="AN168" s="255">
        <f t="shared" si="730"/>
        <v>0</v>
      </c>
      <c r="AO168" s="255">
        <f t="shared" si="730"/>
        <v>0</v>
      </c>
      <c r="AP168" s="255">
        <f t="shared" si="730"/>
        <v>0</v>
      </c>
      <c r="AQ168" s="255">
        <f t="shared" si="730"/>
        <v>0</v>
      </c>
      <c r="AR168" s="255">
        <f t="shared" si="730"/>
        <v>0</v>
      </c>
      <c r="AS168" s="255">
        <f t="shared" si="730"/>
        <v>0</v>
      </c>
      <c r="AT168" s="255">
        <f t="shared" si="730"/>
        <v>0</v>
      </c>
      <c r="AU168" s="255">
        <f t="shared" si="730"/>
        <v>0</v>
      </c>
      <c r="AV168" s="255">
        <f t="shared" si="730"/>
        <v>0</v>
      </c>
      <c r="AW168" s="255">
        <f t="shared" si="730"/>
        <v>0</v>
      </c>
      <c r="AX168" s="255">
        <f t="shared" si="730"/>
        <v>0</v>
      </c>
      <c r="AY168" s="255">
        <f t="shared" si="730"/>
        <v>0</v>
      </c>
      <c r="AZ168" s="255">
        <f t="shared" si="730"/>
        <v>0</v>
      </c>
      <c r="BA168" s="255">
        <f t="shared" si="730"/>
        <v>0</v>
      </c>
      <c r="BB168" s="255">
        <f t="shared" si="730"/>
        <v>0</v>
      </c>
      <c r="BC168" s="255">
        <f t="shared" si="730"/>
        <v>0</v>
      </c>
      <c r="BD168" s="255">
        <f t="shared" si="730"/>
        <v>0</v>
      </c>
      <c r="BE168" s="255">
        <f t="shared" si="730"/>
        <v>0</v>
      </c>
      <c r="BF168" s="255">
        <f t="shared" si="730"/>
        <v>0</v>
      </c>
      <c r="BG168" s="255">
        <f t="shared" si="730"/>
        <v>0</v>
      </c>
      <c r="BH168" s="255">
        <f t="shared" si="730"/>
        <v>0</v>
      </c>
      <c r="BI168" s="255">
        <f t="shared" si="730"/>
        <v>0</v>
      </c>
      <c r="BJ168" s="255">
        <f t="shared" si="730"/>
        <v>0</v>
      </c>
      <c r="BK168" s="255">
        <f t="shared" si="730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81"/>
        <v>0</v>
      </c>
      <c r="H169" s="188">
        <f t="shared" si="682"/>
        <v>0</v>
      </c>
      <c r="I169" s="231">
        <f t="shared" ref="I169:K169" si="731">SUM(I170:I175)</f>
        <v>0</v>
      </c>
      <c r="J169" s="231">
        <f t="shared" si="731"/>
        <v>250</v>
      </c>
      <c r="K169" s="231">
        <f t="shared" si="731"/>
        <v>0</v>
      </c>
      <c r="L169" s="231">
        <f t="shared" ref="L169:O169" si="732">SUM(L170:L174)</f>
        <v>0</v>
      </c>
      <c r="M169" s="231">
        <f t="shared" si="732"/>
        <v>0</v>
      </c>
      <c r="N169" s="231">
        <f t="shared" si="732"/>
        <v>0</v>
      </c>
      <c r="O169" s="231">
        <f t="shared" si="732"/>
        <v>0</v>
      </c>
      <c r="P169" s="232">
        <f t="shared" si="616"/>
        <v>0</v>
      </c>
      <c r="Q169" s="232">
        <f t="shared" si="684"/>
        <v>250</v>
      </c>
      <c r="R169" s="232">
        <f t="shared" si="690"/>
        <v>0</v>
      </c>
      <c r="S169" s="231">
        <f t="shared" ref="S169:T169" si="733">SUM(S170:S175)</f>
        <v>0</v>
      </c>
      <c r="T169" s="231">
        <f t="shared" si="733"/>
        <v>0</v>
      </c>
      <c r="U169" s="231">
        <f>SUM(U170:U174)</f>
        <v>0</v>
      </c>
      <c r="V169" s="259" t="e">
        <f t="shared" ref="V169:W169" si="734">M169/I169</f>
        <v>#DIV/0!</v>
      </c>
      <c r="W169" s="259">
        <f t="shared" si="734"/>
        <v>0</v>
      </c>
      <c r="X169" s="259" t="e">
        <f t="shared" si="687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35">SUM(AA170:AA174)</f>
        <v>0</v>
      </c>
      <c r="AB169" s="231">
        <f t="shared" si="735"/>
        <v>0</v>
      </c>
      <c r="AC169" s="231">
        <f t="shared" si="735"/>
        <v>0</v>
      </c>
      <c r="AD169" s="231">
        <f t="shared" si="735"/>
        <v>0</v>
      </c>
      <c r="AE169" s="231">
        <f t="shared" si="735"/>
        <v>0</v>
      </c>
      <c r="AF169" s="231">
        <f>SUM(AF170:AF175)</f>
        <v>0</v>
      </c>
      <c r="AG169" s="231">
        <f t="shared" ref="AG169:BK169" si="736">SUM(AG170:AG174)</f>
        <v>0</v>
      </c>
      <c r="AH169" s="231">
        <f t="shared" si="736"/>
        <v>0</v>
      </c>
      <c r="AI169" s="231">
        <f t="shared" si="736"/>
        <v>0</v>
      </c>
      <c r="AJ169" s="231">
        <f t="shared" si="736"/>
        <v>0</v>
      </c>
      <c r="AK169" s="231">
        <f t="shared" si="736"/>
        <v>0</v>
      </c>
      <c r="AL169" s="231">
        <f t="shared" si="736"/>
        <v>0</v>
      </c>
      <c r="AM169" s="231">
        <f t="shared" si="736"/>
        <v>0</v>
      </c>
      <c r="AN169" s="231">
        <f t="shared" si="736"/>
        <v>0</v>
      </c>
      <c r="AO169" s="231">
        <f t="shared" si="736"/>
        <v>0</v>
      </c>
      <c r="AP169" s="231">
        <f t="shared" si="736"/>
        <v>0</v>
      </c>
      <c r="AQ169" s="231">
        <f t="shared" si="736"/>
        <v>0</v>
      </c>
      <c r="AR169" s="231">
        <f t="shared" si="736"/>
        <v>0</v>
      </c>
      <c r="AS169" s="231">
        <f t="shared" si="736"/>
        <v>0</v>
      </c>
      <c r="AT169" s="231">
        <f t="shared" si="736"/>
        <v>0</v>
      </c>
      <c r="AU169" s="231">
        <f t="shared" si="736"/>
        <v>0</v>
      </c>
      <c r="AV169" s="231">
        <f t="shared" si="736"/>
        <v>0</v>
      </c>
      <c r="AW169" s="231">
        <f t="shared" si="736"/>
        <v>0</v>
      </c>
      <c r="AX169" s="231">
        <f t="shared" si="736"/>
        <v>0</v>
      </c>
      <c r="AY169" s="231">
        <f t="shared" si="736"/>
        <v>0</v>
      </c>
      <c r="AZ169" s="231">
        <f t="shared" si="736"/>
        <v>0</v>
      </c>
      <c r="BA169" s="231">
        <f t="shared" si="736"/>
        <v>0</v>
      </c>
      <c r="BB169" s="231">
        <f t="shared" si="736"/>
        <v>0</v>
      </c>
      <c r="BC169" s="231">
        <f t="shared" si="736"/>
        <v>0</v>
      </c>
      <c r="BD169" s="231">
        <f t="shared" si="736"/>
        <v>0</v>
      </c>
      <c r="BE169" s="231">
        <f t="shared" si="736"/>
        <v>0</v>
      </c>
      <c r="BF169" s="231">
        <f t="shared" si="736"/>
        <v>0</v>
      </c>
      <c r="BG169" s="231">
        <f t="shared" si="736"/>
        <v>0</v>
      </c>
      <c r="BH169" s="231">
        <f t="shared" si="736"/>
        <v>0</v>
      </c>
      <c r="BI169" s="231">
        <f t="shared" si="736"/>
        <v>0</v>
      </c>
      <c r="BJ169" s="231">
        <f t="shared" si="736"/>
        <v>0</v>
      </c>
      <c r="BK169" s="231">
        <f t="shared" si="736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81"/>
        <v>0</v>
      </c>
      <c r="H170" s="94">
        <f t="shared" si="682"/>
        <v>0</v>
      </c>
      <c r="I170" s="95"/>
      <c r="J170" s="95"/>
      <c r="K170" s="95"/>
      <c r="L170" s="263"/>
      <c r="M170" s="97"/>
      <c r="N170" s="97"/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81"/>
        <v>0</v>
      </c>
      <c r="H171" s="94">
        <f t="shared" si="682"/>
        <v>0</v>
      </c>
      <c r="I171" s="95">
        <v>0</v>
      </c>
      <c r="J171" s="95"/>
      <c r="K171" s="95"/>
      <c r="L171" s="263"/>
      <c r="M171" s="97"/>
      <c r="N171" s="97"/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81"/>
        <v>#DIV/0!</v>
      </c>
      <c r="H172" s="94" t="e">
        <f t="shared" si="682"/>
        <v>#DIV/0!</v>
      </c>
      <c r="I172" s="95"/>
      <c r="J172" s="95"/>
      <c r="K172" s="95"/>
      <c r="L172" s="202"/>
      <c r="M172" s="97">
        <f t="shared" ref="M172:O172" si="737">Y172+AB172+AE172+AH172+AK172+AN172+AQ172+AT172+AW172+AZ172+BC172+BF172</f>
        <v>0</v>
      </c>
      <c r="N172" s="97">
        <f t="shared" si="737"/>
        <v>0</v>
      </c>
      <c r="O172" s="97">
        <f t="shared" si="737"/>
        <v>0</v>
      </c>
      <c r="P172" s="97">
        <f t="shared" ref="P172:R172" si="738">IF(BI172=0,SUM(Y172+AB172+AE172+AH172+AK172+AN172+AQ172+AT172+AW172+AZ172+BC172+BF172),BI172)</f>
        <v>0</v>
      </c>
      <c r="Q172" s="97">
        <f t="shared" si="738"/>
        <v>0</v>
      </c>
      <c r="R172" s="97">
        <f t="shared" si="738"/>
        <v>0</v>
      </c>
      <c r="S172" s="97">
        <f t="shared" ref="S172:T172" si="739">I172-M172</f>
        <v>0</v>
      </c>
      <c r="T172" s="97">
        <f t="shared" si="739"/>
        <v>0</v>
      </c>
      <c r="U172" s="97">
        <f t="shared" ref="U172:U175" si="740">L172-O172</f>
        <v>0</v>
      </c>
      <c r="V172" s="98" t="e">
        <f t="shared" ref="V172:W172" si="741">M172/I172</f>
        <v>#DIV/0!</v>
      </c>
      <c r="W172" s="98" t="e">
        <f t="shared" si="741"/>
        <v>#DIV/0!</v>
      </c>
      <c r="X172" s="98" t="e">
        <f t="shared" ref="X172:X187" si="742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81"/>
        <v>0</v>
      </c>
      <c r="H173" s="94">
        <f t="shared" si="682"/>
        <v>0</v>
      </c>
      <c r="I173" s="139">
        <v>0</v>
      </c>
      <c r="J173" s="95"/>
      <c r="K173" s="95"/>
      <c r="L173" s="202"/>
      <c r="M173" s="97">
        <f t="shared" ref="M173:O173" si="743">Y173+AB173+AE173+AH173+AK173+AN173+AQ173+AT173+AW173+AZ173+BC173+BF173</f>
        <v>0</v>
      </c>
      <c r="N173" s="97">
        <f t="shared" si="743"/>
        <v>0</v>
      </c>
      <c r="O173" s="97">
        <f t="shared" si="743"/>
        <v>0</v>
      </c>
      <c r="P173" s="97">
        <f t="shared" ref="P173:R173" si="744">IF(BI173=0,SUM(Y173+AB173+AE173+AH173+AK173+AN173+AQ173+AT173+AW173+AZ173+BC173+BF173),BI173)</f>
        <v>0</v>
      </c>
      <c r="Q173" s="97">
        <f t="shared" si="744"/>
        <v>0</v>
      </c>
      <c r="R173" s="97">
        <f t="shared" si="744"/>
        <v>0</v>
      </c>
      <c r="S173" s="138">
        <f t="shared" ref="S173:T173" si="745">I173-M173</f>
        <v>0</v>
      </c>
      <c r="T173" s="97">
        <f t="shared" si="745"/>
        <v>0</v>
      </c>
      <c r="U173" s="97">
        <f t="shared" si="740"/>
        <v>0</v>
      </c>
      <c r="V173" s="98" t="e">
        <f t="shared" ref="V173:W173" si="746">M173/I173</f>
        <v>#DIV/0!</v>
      </c>
      <c r="W173" s="98" t="e">
        <f t="shared" si="746"/>
        <v>#DIV/0!</v>
      </c>
      <c r="X173" s="98" t="e">
        <f t="shared" si="742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81"/>
        <v>0</v>
      </c>
      <c r="H174" s="94">
        <f t="shared" si="682"/>
        <v>0</v>
      </c>
      <c r="I174" s="95">
        <v>0</v>
      </c>
      <c r="J174" s="95"/>
      <c r="K174" s="95"/>
      <c r="L174" s="202"/>
      <c r="M174" s="97">
        <f t="shared" ref="M174:O174" si="747">Y174+AB174+AE174+AH174+AK174+AN174+AQ174+AT174+AW174+AZ174+BC174+BF174</f>
        <v>0</v>
      </c>
      <c r="N174" s="97">
        <f t="shared" si="747"/>
        <v>0</v>
      </c>
      <c r="O174" s="97">
        <f t="shared" si="747"/>
        <v>0</v>
      </c>
      <c r="P174" s="97">
        <f t="shared" ref="P174:R174" si="748">IF(BI174=0,SUM(Y174+AB174+AE174+AH174+AK174+AN174+AQ174+AT174+AW174+AZ174+BC174+BF174),BI174)</f>
        <v>0</v>
      </c>
      <c r="Q174" s="97">
        <f t="shared" si="748"/>
        <v>0</v>
      </c>
      <c r="R174" s="97">
        <f t="shared" si="748"/>
        <v>0</v>
      </c>
      <c r="S174" s="97">
        <f t="shared" ref="S174:T174" si="749">I174-M174</f>
        <v>0</v>
      </c>
      <c r="T174" s="97">
        <f t="shared" si="749"/>
        <v>0</v>
      </c>
      <c r="U174" s="97">
        <f t="shared" si="740"/>
        <v>0</v>
      </c>
      <c r="V174" s="98" t="e">
        <f t="shared" ref="V174:W174" si="750">M174/I174</f>
        <v>#DIV/0!</v>
      </c>
      <c r="W174" s="98" t="e">
        <f t="shared" si="750"/>
        <v>#DIV/0!</v>
      </c>
      <c r="X174" s="98" t="e">
        <f t="shared" si="742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81"/>
        <v>#DIV/0!</v>
      </c>
      <c r="H175" s="94" t="e">
        <f t="shared" si="682"/>
        <v>#DIV/0!</v>
      </c>
      <c r="I175" s="95"/>
      <c r="J175" s="146">
        <v>250</v>
      </c>
      <c r="K175" s="146"/>
      <c r="L175" s="202"/>
      <c r="M175" s="97">
        <f t="shared" ref="M175:O175" si="751">Y175+AB175+AE175+AH175+AK175+AN175+AQ175+AT175+AW175+AZ175+BC175+BF175</f>
        <v>0</v>
      </c>
      <c r="N175" s="97">
        <f t="shared" si="751"/>
        <v>250</v>
      </c>
      <c r="O175" s="97">
        <f t="shared" si="751"/>
        <v>0</v>
      </c>
      <c r="P175" s="97">
        <f t="shared" ref="P175:R175" si="752">IF(BI175=0,SUM(Y175+AB175+AE175+AH175+AK175+AN175+AQ175+AT175+AW175+AZ175+BC175+BF175),BI175)</f>
        <v>0</v>
      </c>
      <c r="Q175" s="97">
        <f t="shared" si="752"/>
        <v>250</v>
      </c>
      <c r="R175" s="97">
        <f t="shared" si="752"/>
        <v>0</v>
      </c>
      <c r="S175" s="97">
        <f>I175-M175</f>
        <v>0</v>
      </c>
      <c r="T175" s="97">
        <f>J175-N175-K175</f>
        <v>0</v>
      </c>
      <c r="U175" s="97">
        <f t="shared" si="740"/>
        <v>0</v>
      </c>
      <c r="V175" s="98" t="e">
        <f t="shared" ref="V175:W175" si="753">M175/I175</f>
        <v>#DIV/0!</v>
      </c>
      <c r="W175" s="98">
        <f t="shared" si="753"/>
        <v>1</v>
      </c>
      <c r="X175" s="98" t="e">
        <f t="shared" si="742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54">SUM(E177:E182)</f>
        <v>0</v>
      </c>
      <c r="F176" s="231">
        <f t="shared" si="754"/>
        <v>36000</v>
      </c>
      <c r="G176" s="188" t="e">
        <f t="shared" si="681"/>
        <v>#DIV/0!</v>
      </c>
      <c r="H176" s="188" t="e">
        <f t="shared" si="682"/>
        <v>#DIV/0!</v>
      </c>
      <c r="I176" s="231">
        <f t="shared" ref="I176:O176" si="755">SUM(I177:I182)</f>
        <v>0</v>
      </c>
      <c r="J176" s="231">
        <f t="shared" si="755"/>
        <v>0</v>
      </c>
      <c r="K176" s="231">
        <f t="shared" si="755"/>
        <v>0</v>
      </c>
      <c r="L176" s="231">
        <f t="shared" si="755"/>
        <v>0</v>
      </c>
      <c r="M176" s="231">
        <f t="shared" si="755"/>
        <v>0</v>
      </c>
      <c r="N176" s="231">
        <f t="shared" si="755"/>
        <v>0</v>
      </c>
      <c r="O176" s="231">
        <f t="shared" si="755"/>
        <v>0</v>
      </c>
      <c r="P176" s="258">
        <f t="shared" ref="P176:R176" si="756">IF(BI176=0,SUM(Y176+AB176+AE176+AH176+AK176+AN176+AQ176+AT176+AW176+AZ176+BC176+BF176),BI176)</f>
        <v>0</v>
      </c>
      <c r="Q176" s="258">
        <f t="shared" si="756"/>
        <v>0</v>
      </c>
      <c r="R176" s="258">
        <f t="shared" si="756"/>
        <v>0</v>
      </c>
      <c r="S176" s="231">
        <f t="shared" ref="S176:U176" si="757">SUM(S177:S182)</f>
        <v>0</v>
      </c>
      <c r="T176" s="231">
        <f t="shared" si="757"/>
        <v>0</v>
      </c>
      <c r="U176" s="231">
        <f t="shared" si="757"/>
        <v>0</v>
      </c>
      <c r="V176" s="259" t="e">
        <f t="shared" ref="V176:W176" si="758">M176/I176</f>
        <v>#DIV/0!</v>
      </c>
      <c r="W176" s="259" t="e">
        <f t="shared" si="758"/>
        <v>#DIV/0!</v>
      </c>
      <c r="X176" s="259" t="e">
        <f t="shared" si="742"/>
        <v>#DIV/0!</v>
      </c>
      <c r="Y176" s="231">
        <f t="shared" ref="Y176:BK176" si="759">SUM(Y177:Y182)</f>
        <v>0</v>
      </c>
      <c r="Z176" s="231">
        <f t="shared" si="759"/>
        <v>0</v>
      </c>
      <c r="AA176" s="231">
        <f t="shared" si="759"/>
        <v>0</v>
      </c>
      <c r="AB176" s="231">
        <f t="shared" si="759"/>
        <v>0</v>
      </c>
      <c r="AC176" s="231">
        <f t="shared" si="759"/>
        <v>0</v>
      </c>
      <c r="AD176" s="231">
        <f t="shared" si="759"/>
        <v>0</v>
      </c>
      <c r="AE176" s="231">
        <f t="shared" si="759"/>
        <v>0</v>
      </c>
      <c r="AF176" s="231">
        <f t="shared" si="759"/>
        <v>0</v>
      </c>
      <c r="AG176" s="231">
        <f t="shared" si="759"/>
        <v>0</v>
      </c>
      <c r="AH176" s="231">
        <f t="shared" si="759"/>
        <v>0</v>
      </c>
      <c r="AI176" s="231">
        <f t="shared" si="759"/>
        <v>0</v>
      </c>
      <c r="AJ176" s="231">
        <f t="shared" si="759"/>
        <v>0</v>
      </c>
      <c r="AK176" s="231">
        <f t="shared" si="759"/>
        <v>0</v>
      </c>
      <c r="AL176" s="231">
        <f t="shared" si="759"/>
        <v>0</v>
      </c>
      <c r="AM176" s="231">
        <f t="shared" si="759"/>
        <v>0</v>
      </c>
      <c r="AN176" s="231">
        <f t="shared" si="759"/>
        <v>0</v>
      </c>
      <c r="AO176" s="231">
        <f t="shared" si="759"/>
        <v>0</v>
      </c>
      <c r="AP176" s="231">
        <f t="shared" si="759"/>
        <v>0</v>
      </c>
      <c r="AQ176" s="231">
        <f t="shared" si="759"/>
        <v>0</v>
      </c>
      <c r="AR176" s="231">
        <f t="shared" si="759"/>
        <v>0</v>
      </c>
      <c r="AS176" s="231">
        <f t="shared" si="759"/>
        <v>0</v>
      </c>
      <c r="AT176" s="231">
        <f t="shared" si="759"/>
        <v>0</v>
      </c>
      <c r="AU176" s="231">
        <f t="shared" si="759"/>
        <v>0</v>
      </c>
      <c r="AV176" s="231">
        <f t="shared" si="759"/>
        <v>0</v>
      </c>
      <c r="AW176" s="231">
        <f t="shared" si="759"/>
        <v>0</v>
      </c>
      <c r="AX176" s="231">
        <f t="shared" si="759"/>
        <v>0</v>
      </c>
      <c r="AY176" s="231">
        <f t="shared" si="759"/>
        <v>0</v>
      </c>
      <c r="AZ176" s="231">
        <f t="shared" si="759"/>
        <v>0</v>
      </c>
      <c r="BA176" s="231">
        <f t="shared" si="759"/>
        <v>0</v>
      </c>
      <c r="BB176" s="231">
        <f t="shared" si="759"/>
        <v>0</v>
      </c>
      <c r="BC176" s="231">
        <f t="shared" si="759"/>
        <v>0</v>
      </c>
      <c r="BD176" s="231">
        <f t="shared" si="759"/>
        <v>0</v>
      </c>
      <c r="BE176" s="231">
        <f t="shared" si="759"/>
        <v>0</v>
      </c>
      <c r="BF176" s="231">
        <f t="shared" si="759"/>
        <v>0</v>
      </c>
      <c r="BG176" s="231">
        <f t="shared" si="759"/>
        <v>0</v>
      </c>
      <c r="BH176" s="231">
        <f t="shared" si="759"/>
        <v>0</v>
      </c>
      <c r="BI176" s="231">
        <f t="shared" si="759"/>
        <v>0</v>
      </c>
      <c r="BJ176" s="231">
        <f t="shared" si="759"/>
        <v>0</v>
      </c>
      <c r="BK176" s="231">
        <f t="shared" si="759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81"/>
        <v>#DIV/0!</v>
      </c>
      <c r="H177" s="94" t="e">
        <f t="shared" si="682"/>
        <v>#DIV/0!</v>
      </c>
      <c r="I177" s="95"/>
      <c r="J177" s="146">
        <v>0</v>
      </c>
      <c r="K177" s="146"/>
      <c r="L177" s="202"/>
      <c r="M177" s="97">
        <f t="shared" ref="M177:O177" si="760">Y177+AB177+AE177+AH177+AK177+AN177+AQ177+AT177+AW177+AZ177+BC177+BF177</f>
        <v>0</v>
      </c>
      <c r="N177" s="97">
        <f t="shared" si="760"/>
        <v>0</v>
      </c>
      <c r="O177" s="97">
        <f t="shared" si="760"/>
        <v>0</v>
      </c>
      <c r="P177" s="97">
        <f t="shared" ref="P177:R177" si="761">IF(BI177=0,SUM(Y177+AB177+AE177+AH177+AK177+AN177+AQ177+AT177+AW177+AZ177+BC177+BF177),BI177)</f>
        <v>0</v>
      </c>
      <c r="Q177" s="97">
        <f t="shared" si="761"/>
        <v>0</v>
      </c>
      <c r="R177" s="97">
        <f t="shared" si="761"/>
        <v>0</v>
      </c>
      <c r="S177" s="97">
        <f t="shared" ref="S177:T177" si="762">I177-M177</f>
        <v>0</v>
      </c>
      <c r="T177" s="97">
        <f t="shared" si="762"/>
        <v>0</v>
      </c>
      <c r="U177" s="97">
        <f t="shared" ref="U177:U182" si="763">L177-O177</f>
        <v>0</v>
      </c>
      <c r="V177" s="98" t="e">
        <f t="shared" ref="V177:W177" si="764">M177/I177</f>
        <v>#DIV/0!</v>
      </c>
      <c r="W177" s="98" t="e">
        <f t="shared" si="764"/>
        <v>#DIV/0!</v>
      </c>
      <c r="X177" s="98" t="e">
        <f t="shared" si="742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81"/>
        <v>#DIV/0!</v>
      </c>
      <c r="H178" s="94" t="e">
        <f t="shared" si="682"/>
        <v>#DIV/0!</v>
      </c>
      <c r="I178" s="95"/>
      <c r="J178" s="95"/>
      <c r="K178" s="95"/>
      <c r="L178" s="202"/>
      <c r="M178" s="97">
        <f t="shared" ref="M178:O178" si="765">Y178+AB178+AE178+AH178+AK178+AN178+AQ178+AT178+AW178+AZ178+BC178+BF178</f>
        <v>0</v>
      </c>
      <c r="N178" s="97">
        <f t="shared" si="765"/>
        <v>0</v>
      </c>
      <c r="O178" s="97">
        <f t="shared" si="765"/>
        <v>0</v>
      </c>
      <c r="P178" s="97">
        <f t="shared" ref="P178:R178" si="766">IF(BI178=0,SUM(Y178+AB178+AE178+AH178+AK178+AN178+AQ178+AT178+AW178+AZ178+BC178+BF178),BI178)</f>
        <v>0</v>
      </c>
      <c r="Q178" s="97">
        <f t="shared" si="766"/>
        <v>0</v>
      </c>
      <c r="R178" s="97">
        <f t="shared" si="766"/>
        <v>0</v>
      </c>
      <c r="S178" s="97">
        <f t="shared" ref="S178:T178" si="767">I178-M178</f>
        <v>0</v>
      </c>
      <c r="T178" s="97">
        <f t="shared" si="767"/>
        <v>0</v>
      </c>
      <c r="U178" s="97">
        <f t="shared" si="763"/>
        <v>0</v>
      </c>
      <c r="V178" s="98" t="e">
        <f t="shared" ref="V178:W178" si="768">M178/I178</f>
        <v>#DIV/0!</v>
      </c>
      <c r="W178" s="98" t="e">
        <f t="shared" si="768"/>
        <v>#DIV/0!</v>
      </c>
      <c r="X178" s="98" t="e">
        <f t="shared" si="742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69">Y179+AB179+AE179+AH179+AK179+AN179+AQ179+AT179+AW179+AZ179+BC179+BF179</f>
        <v>0</v>
      </c>
      <c r="N179" s="97">
        <f t="shared" si="769"/>
        <v>0</v>
      </c>
      <c r="O179" s="97">
        <f t="shared" si="769"/>
        <v>0</v>
      </c>
      <c r="P179" s="97">
        <f t="shared" ref="P179:R179" si="770">IF(BI179=0,SUM(Y179+AB179+AE179+AH179+AK179+AN179+AQ179+AT179+AW179+AZ179+BC179+BF179),BI179)</f>
        <v>0</v>
      </c>
      <c r="Q179" s="97">
        <f t="shared" si="770"/>
        <v>0</v>
      </c>
      <c r="R179" s="97">
        <f t="shared" si="770"/>
        <v>0</v>
      </c>
      <c r="S179" s="97">
        <f t="shared" ref="S179:T179" si="771">I179-M179</f>
        <v>0</v>
      </c>
      <c r="T179" s="97">
        <f t="shared" si="771"/>
        <v>0</v>
      </c>
      <c r="U179" s="97">
        <f t="shared" si="763"/>
        <v>0</v>
      </c>
      <c r="V179" s="98" t="e">
        <f t="shared" ref="V179:W179" si="772">M179/I179</f>
        <v>#DIV/0!</v>
      </c>
      <c r="W179" s="98" t="e">
        <f t="shared" si="772"/>
        <v>#DIV/0!</v>
      </c>
      <c r="X179" s="98" t="e">
        <f t="shared" si="742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73">Y180+AB180+AE180+AH180+AK180+AN180+AQ180+AT180+AW180+AZ180+BC180+BF180</f>
        <v>0</v>
      </c>
      <c r="N180" s="97">
        <f t="shared" si="773"/>
        <v>0</v>
      </c>
      <c r="O180" s="97">
        <f t="shared" si="773"/>
        <v>0</v>
      </c>
      <c r="P180" s="97">
        <f t="shared" ref="P180:R180" si="774">IF(BI180=0,SUM(Y180+AB180+AE180+AH180+AK180+AN180+AQ180+AT180+AW180+AZ180+BC180+BF180),BI180)</f>
        <v>0</v>
      </c>
      <c r="Q180" s="97">
        <f t="shared" si="774"/>
        <v>0</v>
      </c>
      <c r="R180" s="97">
        <f t="shared" si="774"/>
        <v>0</v>
      </c>
      <c r="S180" s="97">
        <f t="shared" ref="S180:T180" si="775">I180-M180</f>
        <v>0</v>
      </c>
      <c r="T180" s="97">
        <f t="shared" si="775"/>
        <v>0</v>
      </c>
      <c r="U180" s="97">
        <f t="shared" si="763"/>
        <v>0</v>
      </c>
      <c r="V180" s="98" t="e">
        <f t="shared" ref="V180:W180" si="776">M180/I180</f>
        <v>#DIV/0!</v>
      </c>
      <c r="W180" s="98" t="e">
        <f t="shared" si="776"/>
        <v>#DIV/0!</v>
      </c>
      <c r="X180" s="98" t="e">
        <f t="shared" si="742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77">Y181+AB181+AE181+AH181+AK181+AN181+AQ181+AT181+AW181+AZ181+BC181+BF181</f>
        <v>0</v>
      </c>
      <c r="N181" s="97">
        <f t="shared" si="777"/>
        <v>0</v>
      </c>
      <c r="O181" s="97">
        <f t="shared" si="777"/>
        <v>0</v>
      </c>
      <c r="P181" s="97">
        <f t="shared" ref="P181:R181" si="778">IF(BI181=0,SUM(Y181+AB181+AE181+AH181+AK181+AN181+AQ181+AT181+AW181+AZ181+BC181+BF181),BI181)</f>
        <v>0</v>
      </c>
      <c r="Q181" s="97">
        <f t="shared" si="778"/>
        <v>0</v>
      </c>
      <c r="R181" s="97">
        <f t="shared" si="778"/>
        <v>0</v>
      </c>
      <c r="S181" s="97">
        <f t="shared" ref="S181:T181" si="779">I181-M181</f>
        <v>0</v>
      </c>
      <c r="T181" s="97">
        <f t="shared" si="779"/>
        <v>0</v>
      </c>
      <c r="U181" s="97">
        <f t="shared" si="763"/>
        <v>0</v>
      </c>
      <c r="V181" s="98" t="e">
        <f t="shared" ref="V181:W181" si="780">M181/I181</f>
        <v>#DIV/0!</v>
      </c>
      <c r="W181" s="98" t="e">
        <f t="shared" si="780"/>
        <v>#DIV/0!</v>
      </c>
      <c r="X181" s="98" t="e">
        <f t="shared" si="742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81">I182/E182</f>
        <v>#DIV/0!</v>
      </c>
      <c r="H182" s="94" t="e">
        <f t="shared" ref="H182:H184" si="782">M182/E182</f>
        <v>#DIV/0!</v>
      </c>
      <c r="I182" s="95"/>
      <c r="J182" s="95"/>
      <c r="K182" s="95"/>
      <c r="L182" s="266"/>
      <c r="M182" s="97">
        <f t="shared" ref="M182:O182" si="783">Y182+AB182+AE182+AH182+AK182+AN182+AQ182+AT182+AW182+AZ182+BC182+BF182</f>
        <v>0</v>
      </c>
      <c r="N182" s="97">
        <f t="shared" si="783"/>
        <v>0</v>
      </c>
      <c r="O182" s="97">
        <f t="shared" si="783"/>
        <v>0</v>
      </c>
      <c r="P182" s="97">
        <f t="shared" ref="P182:R182" si="784">IF(BI182=0,SUM(Y182+AB182+AE182+AH182+AK182+AN182+AQ182+AT182+AW182+AZ182+BC182+BF182),BI182)</f>
        <v>0</v>
      </c>
      <c r="Q182" s="97">
        <f t="shared" si="784"/>
        <v>0</v>
      </c>
      <c r="R182" s="97">
        <f t="shared" si="784"/>
        <v>0</v>
      </c>
      <c r="S182" s="97">
        <f t="shared" ref="S182:T182" si="785">I182-M182</f>
        <v>0</v>
      </c>
      <c r="T182" s="97">
        <f t="shared" si="785"/>
        <v>0</v>
      </c>
      <c r="U182" s="97">
        <f t="shared" si="763"/>
        <v>0</v>
      </c>
      <c r="V182" s="98" t="e">
        <f t="shared" ref="V182:W182" si="786">M182/I182</f>
        <v>#DIV/0!</v>
      </c>
      <c r="W182" s="98" t="e">
        <f t="shared" si="786"/>
        <v>#DIV/0!</v>
      </c>
      <c r="X182" s="98" t="e">
        <f t="shared" si="742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87">SUM(E184:E187)</f>
        <v>0</v>
      </c>
      <c r="F183" s="270">
        <f t="shared" si="787"/>
        <v>0</v>
      </c>
      <c r="G183" s="223" t="e">
        <f t="shared" si="781"/>
        <v>#DIV/0!</v>
      </c>
      <c r="H183" s="223" t="e">
        <f t="shared" si="782"/>
        <v>#DIV/0!</v>
      </c>
      <c r="I183" s="270">
        <f t="shared" ref="I183:O183" si="788">SUM(I184:I187)</f>
        <v>0</v>
      </c>
      <c r="J183" s="270">
        <f t="shared" si="788"/>
        <v>734.93000000000006</v>
      </c>
      <c r="K183" s="270">
        <f t="shared" si="788"/>
        <v>0</v>
      </c>
      <c r="L183" s="270">
        <f t="shared" si="788"/>
        <v>0</v>
      </c>
      <c r="M183" s="270">
        <f t="shared" si="788"/>
        <v>0</v>
      </c>
      <c r="N183" s="270">
        <f t="shared" si="788"/>
        <v>0</v>
      </c>
      <c r="O183" s="270">
        <f t="shared" si="788"/>
        <v>0</v>
      </c>
      <c r="P183" s="238">
        <f t="shared" ref="P183:R183" si="789">IF(BI183=0,SUM(Y183+AB183+AE183+AH183+AK183+AN183+AQ183+AT183+AW183+AZ183+BC183+BF183),BI183)</f>
        <v>0</v>
      </c>
      <c r="Q183" s="238">
        <f t="shared" si="789"/>
        <v>0</v>
      </c>
      <c r="R183" s="238">
        <f t="shared" si="789"/>
        <v>0</v>
      </c>
      <c r="S183" s="270">
        <f t="shared" ref="S183:U183" si="790">SUM(S184:S187)</f>
        <v>0</v>
      </c>
      <c r="T183" s="270">
        <f t="shared" si="790"/>
        <v>734.93000000000006</v>
      </c>
      <c r="U183" s="270">
        <f t="shared" si="790"/>
        <v>0</v>
      </c>
      <c r="V183" s="271" t="e">
        <f t="shared" ref="V183:W183" si="791">M183/I183</f>
        <v>#DIV/0!</v>
      </c>
      <c r="W183" s="271">
        <f t="shared" si="791"/>
        <v>0</v>
      </c>
      <c r="X183" s="271" t="e">
        <f t="shared" si="742"/>
        <v>#DIV/0!</v>
      </c>
      <c r="Y183" s="270">
        <f t="shared" ref="Y183:BK183" si="792">SUM(Y184:Y187)</f>
        <v>0</v>
      </c>
      <c r="Z183" s="270">
        <f t="shared" si="792"/>
        <v>0</v>
      </c>
      <c r="AA183" s="270">
        <f t="shared" si="792"/>
        <v>0</v>
      </c>
      <c r="AB183" s="270">
        <f t="shared" si="792"/>
        <v>0</v>
      </c>
      <c r="AC183" s="270">
        <f t="shared" si="792"/>
        <v>0</v>
      </c>
      <c r="AD183" s="270">
        <f t="shared" si="792"/>
        <v>0</v>
      </c>
      <c r="AE183" s="270">
        <f t="shared" si="792"/>
        <v>0</v>
      </c>
      <c r="AF183" s="270">
        <f t="shared" si="792"/>
        <v>0</v>
      </c>
      <c r="AG183" s="270">
        <f t="shared" si="792"/>
        <v>0</v>
      </c>
      <c r="AH183" s="270">
        <f t="shared" si="792"/>
        <v>0</v>
      </c>
      <c r="AI183" s="270">
        <f t="shared" si="792"/>
        <v>0</v>
      </c>
      <c r="AJ183" s="270">
        <f t="shared" si="792"/>
        <v>0</v>
      </c>
      <c r="AK183" s="270">
        <f t="shared" si="792"/>
        <v>0</v>
      </c>
      <c r="AL183" s="270">
        <f t="shared" si="792"/>
        <v>0</v>
      </c>
      <c r="AM183" s="270">
        <f t="shared" si="792"/>
        <v>0</v>
      </c>
      <c r="AN183" s="270">
        <f t="shared" si="792"/>
        <v>0</v>
      </c>
      <c r="AO183" s="270">
        <f t="shared" si="792"/>
        <v>0</v>
      </c>
      <c r="AP183" s="270">
        <f t="shared" si="792"/>
        <v>0</v>
      </c>
      <c r="AQ183" s="270">
        <f t="shared" si="792"/>
        <v>0</v>
      </c>
      <c r="AR183" s="270">
        <f t="shared" si="792"/>
        <v>0</v>
      </c>
      <c r="AS183" s="270">
        <f t="shared" si="792"/>
        <v>0</v>
      </c>
      <c r="AT183" s="270">
        <f t="shared" si="792"/>
        <v>0</v>
      </c>
      <c r="AU183" s="270">
        <f t="shared" si="792"/>
        <v>0</v>
      </c>
      <c r="AV183" s="270">
        <f t="shared" si="792"/>
        <v>0</v>
      </c>
      <c r="AW183" s="270">
        <f t="shared" si="792"/>
        <v>0</v>
      </c>
      <c r="AX183" s="270">
        <f t="shared" si="792"/>
        <v>0</v>
      </c>
      <c r="AY183" s="270">
        <f t="shared" si="792"/>
        <v>0</v>
      </c>
      <c r="AZ183" s="270">
        <f t="shared" si="792"/>
        <v>0</v>
      </c>
      <c r="BA183" s="270">
        <f t="shared" si="792"/>
        <v>0</v>
      </c>
      <c r="BB183" s="270">
        <f t="shared" si="792"/>
        <v>0</v>
      </c>
      <c r="BC183" s="270">
        <f t="shared" si="792"/>
        <v>0</v>
      </c>
      <c r="BD183" s="270">
        <f t="shared" si="792"/>
        <v>0</v>
      </c>
      <c r="BE183" s="270">
        <f t="shared" si="792"/>
        <v>0</v>
      </c>
      <c r="BF183" s="270">
        <f t="shared" si="792"/>
        <v>0</v>
      </c>
      <c r="BG183" s="270">
        <f t="shared" si="792"/>
        <v>0</v>
      </c>
      <c r="BH183" s="270">
        <f t="shared" si="792"/>
        <v>0</v>
      </c>
      <c r="BI183" s="270">
        <f t="shared" si="792"/>
        <v>0</v>
      </c>
      <c r="BJ183" s="270">
        <f t="shared" si="792"/>
        <v>0</v>
      </c>
      <c r="BK183" s="270">
        <f t="shared" si="792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81"/>
        <v>#DIV/0!</v>
      </c>
      <c r="H184" s="94" t="e">
        <f t="shared" si="782"/>
        <v>#DIV/0!</v>
      </c>
      <c r="I184" s="95"/>
      <c r="J184" s="146">
        <v>376.89</v>
      </c>
      <c r="K184" s="146"/>
      <c r="L184" s="272"/>
      <c r="M184" s="97">
        <f t="shared" ref="M184:O184" si="793">Y184+AB184+AE184+AH184+AK184+AN184+AQ184+AT184+AW184+AZ184+BC184+BF184</f>
        <v>0</v>
      </c>
      <c r="N184" s="97">
        <f t="shared" si="793"/>
        <v>0</v>
      </c>
      <c r="O184" s="97">
        <f t="shared" si="793"/>
        <v>0</v>
      </c>
      <c r="P184" s="97">
        <f t="shared" ref="P184:R184" si="794">IF(BI184=0,SUM(Y184+AB184+AE184+AH184+AK184+AN184+AQ184+AT184+AW184+AZ184+BC184+BF184),BI184)</f>
        <v>0</v>
      </c>
      <c r="Q184" s="97">
        <f t="shared" si="794"/>
        <v>0</v>
      </c>
      <c r="R184" s="97">
        <f t="shared" si="794"/>
        <v>0</v>
      </c>
      <c r="S184" s="97">
        <f t="shared" ref="S184:T184" si="795">I184-M184</f>
        <v>0</v>
      </c>
      <c r="T184" s="97">
        <f t="shared" si="795"/>
        <v>376.89</v>
      </c>
      <c r="U184" s="97">
        <f t="shared" ref="U184:U187" si="796">L184-O184</f>
        <v>0</v>
      </c>
      <c r="V184" s="98" t="e">
        <f t="shared" ref="V184:W184" si="797">M184/I184</f>
        <v>#DIV/0!</v>
      </c>
      <c r="W184" s="98">
        <f t="shared" si="797"/>
        <v>0</v>
      </c>
      <c r="X184" s="98" t="e">
        <f t="shared" si="742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98">Y185+AB185+AE185+AH185+AK185+AN185+AQ185+AT185+AW185+AZ185+BC185+BF185</f>
        <v>0</v>
      </c>
      <c r="N185" s="97">
        <f t="shared" si="798"/>
        <v>0</v>
      </c>
      <c r="O185" s="97">
        <f t="shared" si="798"/>
        <v>0</v>
      </c>
      <c r="P185" s="97">
        <f t="shared" ref="P185:R185" si="799">IF(BI185=0,SUM(Y185+AB185+AE185+AH185+AK185+AN185+AQ185+AT185+AW185+AZ185+BC185+BF185),BI185)</f>
        <v>0</v>
      </c>
      <c r="Q185" s="97">
        <f t="shared" si="799"/>
        <v>0</v>
      </c>
      <c r="R185" s="97">
        <f t="shared" si="799"/>
        <v>0</v>
      </c>
      <c r="S185" s="97">
        <f t="shared" ref="S185:T185" si="800">I185-M185</f>
        <v>0</v>
      </c>
      <c r="T185" s="97">
        <f t="shared" si="800"/>
        <v>358.04</v>
      </c>
      <c r="U185" s="97">
        <f t="shared" si="796"/>
        <v>0</v>
      </c>
      <c r="V185" s="98" t="e">
        <f t="shared" ref="V185:W185" si="801">M185/I185</f>
        <v>#DIV/0!</v>
      </c>
      <c r="W185" s="98">
        <f t="shared" si="801"/>
        <v>0</v>
      </c>
      <c r="X185" s="98" t="e">
        <f t="shared" si="742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802">I186/E186</f>
        <v>#DIV/0!</v>
      </c>
      <c r="H186" s="94" t="e">
        <f t="shared" ref="H186:H187" si="803">M186/E186</f>
        <v>#DIV/0!</v>
      </c>
      <c r="I186" s="95"/>
      <c r="J186" s="95"/>
      <c r="K186" s="95"/>
      <c r="L186" s="272"/>
      <c r="M186" s="97">
        <f t="shared" ref="M186:O186" si="804">Y186+AB186+AE186+AH186+AK186+AN186+AQ186+AT186+AW186+AZ186+BC186+BF186</f>
        <v>0</v>
      </c>
      <c r="N186" s="97">
        <f t="shared" si="804"/>
        <v>0</v>
      </c>
      <c r="O186" s="97">
        <f t="shared" si="804"/>
        <v>0</v>
      </c>
      <c r="P186" s="97">
        <f t="shared" ref="P186:R186" si="805">IF(BI186=0,SUM(Y186+AB186+AE186+AH186+AK186+AN186+AQ186+AT186+AW186+AZ186+BC186+BF186),BI186)</f>
        <v>0</v>
      </c>
      <c r="Q186" s="97">
        <f t="shared" si="805"/>
        <v>0</v>
      </c>
      <c r="R186" s="97">
        <f t="shared" si="805"/>
        <v>0</v>
      </c>
      <c r="S186" s="97">
        <f t="shared" ref="S186:T186" si="806">I186-M186</f>
        <v>0</v>
      </c>
      <c r="T186" s="97">
        <f t="shared" si="806"/>
        <v>0</v>
      </c>
      <c r="U186" s="97">
        <f t="shared" si="796"/>
        <v>0</v>
      </c>
      <c r="V186" s="98" t="e">
        <f t="shared" ref="V186:W186" si="807">M186/I186</f>
        <v>#DIV/0!</v>
      </c>
      <c r="W186" s="98" t="e">
        <f t="shared" si="807"/>
        <v>#DIV/0!</v>
      </c>
      <c r="X186" s="98" t="e">
        <f t="shared" si="742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802"/>
        <v>#DIV/0!</v>
      </c>
      <c r="H187" s="94" t="e">
        <f t="shared" si="803"/>
        <v>#DIV/0!</v>
      </c>
      <c r="I187" s="95"/>
      <c r="J187" s="95"/>
      <c r="K187" s="95"/>
      <c r="L187" s="276"/>
      <c r="M187" s="97">
        <f t="shared" ref="M187:O187" si="808">Y187+AB187+AE187+AH187+AK187+AN187+AQ187+AT187+AW187+AZ187+BC187+BF187</f>
        <v>0</v>
      </c>
      <c r="N187" s="97">
        <f t="shared" si="808"/>
        <v>0</v>
      </c>
      <c r="O187" s="97">
        <f t="shared" si="808"/>
        <v>0</v>
      </c>
      <c r="P187" s="97">
        <f t="shared" ref="P187:R187" si="809">IF(BI187=0,SUM(Y187+AB187+AE187+AH187+AK187+AN187+AQ187+AT187+AW187+AZ187+BC187+BF187),BI187)</f>
        <v>0</v>
      </c>
      <c r="Q187" s="97">
        <f t="shared" si="809"/>
        <v>0</v>
      </c>
      <c r="R187" s="97">
        <f t="shared" si="809"/>
        <v>0</v>
      </c>
      <c r="S187" s="97">
        <f t="shared" ref="S187:T187" si="810">I187-M187</f>
        <v>0</v>
      </c>
      <c r="T187" s="97">
        <f t="shared" si="810"/>
        <v>0</v>
      </c>
      <c r="U187" s="97">
        <f t="shared" si="796"/>
        <v>0</v>
      </c>
      <c r="V187" s="98" t="e">
        <f t="shared" ref="V187:W187" si="811">M187/I187</f>
        <v>#DIV/0!</v>
      </c>
      <c r="W187" s="98" t="e">
        <f t="shared" si="811"/>
        <v>#DIV/0!</v>
      </c>
      <c r="X187" s="98" t="e">
        <f t="shared" si="742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59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59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812">E4+E12+E67+E96+E159</f>
        <v>2379653.64</v>
      </c>
      <c r="F190" s="291">
        <f t="shared" si="812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396609</v>
      </c>
      <c r="F191" s="299">
        <f>SUM(AE191:BB191)+SUM(AE193:BB193)</f>
        <v>209032</v>
      </c>
      <c r="G191" s="300">
        <f t="shared" ref="G191:H191" si="813">E191/E190</f>
        <v>0.16666669188042002</v>
      </c>
      <c r="H191" s="300">
        <f t="shared" si="813"/>
        <v>4.5300004869113383E-2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v>396609</v>
      </c>
      <c r="AA191" s="302"/>
      <c r="AB191" s="303"/>
      <c r="AC191" s="303"/>
      <c r="AD191" s="303"/>
      <c r="AE191" s="301"/>
      <c r="AF191" s="351">
        <v>125000</v>
      </c>
      <c r="AG191" s="302"/>
      <c r="AH191" s="303"/>
      <c r="AI191" s="303"/>
      <c r="AJ191" s="303"/>
      <c r="AK191" s="301"/>
      <c r="AL191" s="351"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02"/>
      <c r="AZ191" s="303"/>
      <c r="BA191" s="303"/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47185.649999999994</v>
      </c>
      <c r="F192" s="291">
        <f>L192</f>
        <v>0</v>
      </c>
      <c r="G192" s="300">
        <f t="shared" ref="G192:H192" si="814">E192/E191</f>
        <v>0.11897271620159904</v>
      </c>
      <c r="H192" s="300">
        <f t="shared" si="814"/>
        <v>0</v>
      </c>
      <c r="I192" s="304">
        <f t="shared" ref="I192:J192" si="815">I4+I12+I67+I96+I159</f>
        <v>47185.649999999994</v>
      </c>
      <c r="J192" s="304">
        <f t="shared" si="815"/>
        <v>2383247.4700000002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0</v>
      </c>
      <c r="F193" s="291">
        <f>O193</f>
        <v>0</v>
      </c>
      <c r="G193" s="300">
        <f t="shared" ref="G193:H193" si="816">E193/E191</f>
        <v>0</v>
      </c>
      <c r="H193" s="300">
        <f t="shared" si="816"/>
        <v>0</v>
      </c>
      <c r="I193" s="308"/>
      <c r="J193" s="308"/>
      <c r="K193" s="308"/>
      <c r="L193" s="308"/>
      <c r="M193" s="299">
        <f t="shared" ref="M193:O193" si="817">M4+M12+M67+M96+M159</f>
        <v>0</v>
      </c>
      <c r="N193" s="299">
        <f t="shared" si="817"/>
        <v>451656.71</v>
      </c>
      <c r="O193" s="299">
        <f t="shared" si="817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0</v>
      </c>
      <c r="F194" s="291">
        <f>R194</f>
        <v>0</v>
      </c>
      <c r="G194" s="300">
        <f t="shared" ref="G194:H194" si="818">E194/E191</f>
        <v>0</v>
      </c>
      <c r="H194" s="300">
        <f t="shared" si="818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19">P4+P12+P67+P96+P159</f>
        <v>0</v>
      </c>
      <c r="Q194" s="304">
        <f t="shared" si="819"/>
        <v>452406.70999999996</v>
      </c>
      <c r="R194" s="304">
        <f t="shared" si="819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20">E190-E191</f>
        <v>1983044.6400000001</v>
      </c>
      <c r="F195" s="313">
        <f t="shared" si="820"/>
        <v>4405360.4400000004</v>
      </c>
      <c r="G195" s="314">
        <f t="shared" ref="G195:H195" si="821">E195/E190</f>
        <v>0.83333330811957995</v>
      </c>
      <c r="H195" s="314">
        <f t="shared" si="821"/>
        <v>0.95469999513088666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349423.35</v>
      </c>
      <c r="F196" s="315">
        <f>F191-L192</f>
        <v>209032</v>
      </c>
      <c r="G196" s="314">
        <f t="shared" ref="G196:H196" si="822">E196/E191</f>
        <v>0.8810272837984009</v>
      </c>
      <c r="H196" s="314">
        <f t="shared" si="822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47185.649999999994</v>
      </c>
      <c r="F197" s="315">
        <f>L192-O193</f>
        <v>0</v>
      </c>
      <c r="G197" s="314">
        <f>E197/I192</f>
        <v>1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0</v>
      </c>
      <c r="F198" s="315">
        <f>O193-R194</f>
        <v>0</v>
      </c>
      <c r="G198" s="314" t="e">
        <f>E198/M193</f>
        <v>#DIV/0!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1931590.7600000002</v>
      </c>
      <c r="F199" s="321"/>
      <c r="G199" s="322">
        <f>E199/J192</f>
        <v>0.81048686060285635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1:68" ht="15.75" customHeight="1">
      <c r="C225" s="345"/>
      <c r="E225" s="21"/>
      <c r="F225" s="21"/>
      <c r="K225" s="21"/>
      <c r="W225" s="344"/>
    </row>
    <row r="226" spans="1:68" ht="15.75" customHeight="1">
      <c r="A226" s="346" t="s">
        <v>460</v>
      </c>
      <c r="B226" s="346"/>
      <c r="C226" s="347"/>
      <c r="D226" s="346"/>
      <c r="E226" s="21"/>
      <c r="F226" s="21"/>
      <c r="K226" s="21"/>
      <c r="W226" s="344"/>
    </row>
    <row r="227" spans="1:68" ht="15.75" customHeight="1">
      <c r="A227" s="346" t="s">
        <v>461</v>
      </c>
      <c r="B227" s="346"/>
      <c r="C227" s="347"/>
      <c r="D227" s="346"/>
      <c r="E227" s="21"/>
      <c r="F227" s="21"/>
      <c r="K227" s="21"/>
      <c r="W227" s="344"/>
    </row>
    <row r="228" spans="1:68" ht="15.75" customHeight="1">
      <c r="C228" s="345"/>
      <c r="E228" s="21"/>
      <c r="F228" s="21"/>
      <c r="K228" s="21"/>
      <c r="W228" s="344"/>
    </row>
    <row r="229" spans="1:68" ht="15.75" customHeight="1">
      <c r="C229" s="345"/>
      <c r="E229" s="21"/>
      <c r="F229" s="21"/>
      <c r="K229" s="21"/>
      <c r="W229" s="344"/>
    </row>
    <row r="230" spans="1:68" ht="15.75" customHeight="1">
      <c r="C230" s="345"/>
      <c r="E230" s="21"/>
      <c r="F230" s="21"/>
      <c r="K230" s="21"/>
      <c r="W230" s="344"/>
    </row>
    <row r="231" spans="1:68" ht="15.75" customHeight="1">
      <c r="A231" s="348" t="s">
        <v>462</v>
      </c>
      <c r="B231" s="348">
        <v>8188000000</v>
      </c>
      <c r="C231" s="349">
        <v>70000</v>
      </c>
      <c r="E231" s="21"/>
      <c r="F231" s="21"/>
      <c r="K231" s="21"/>
      <c r="W231" s="344"/>
    </row>
    <row r="232" spans="1:68" ht="15.75" customHeight="1">
      <c r="A232" s="348" t="s">
        <v>463</v>
      </c>
      <c r="B232" s="348">
        <v>8188000000</v>
      </c>
      <c r="C232" s="349">
        <v>109295.41</v>
      </c>
      <c r="E232" s="21"/>
      <c r="F232" s="21"/>
      <c r="K232" s="21"/>
      <c r="W232" s="344"/>
    </row>
    <row r="233" spans="1:68" ht="15.75" customHeight="1">
      <c r="A233" s="348" t="s">
        <v>464</v>
      </c>
      <c r="B233" s="348">
        <v>113150072</v>
      </c>
      <c r="C233" s="349">
        <v>92791.6</v>
      </c>
      <c r="E233" s="21"/>
      <c r="F233" s="21"/>
      <c r="K233" s="21"/>
      <c r="W233" s="344"/>
    </row>
    <row r="234" spans="1:68" ht="15.75" customHeight="1">
      <c r="A234" s="348" t="s">
        <v>465</v>
      </c>
      <c r="B234" s="348">
        <v>8186261010</v>
      </c>
      <c r="C234" s="349">
        <v>249261.22</v>
      </c>
      <c r="E234" s="21"/>
      <c r="F234" s="21"/>
      <c r="K234" s="21"/>
      <c r="W234" s="344"/>
    </row>
    <row r="235" spans="1:68" ht="15.75" customHeight="1">
      <c r="A235" s="348" t="s">
        <v>466</v>
      </c>
      <c r="B235" s="348">
        <v>8100000000</v>
      </c>
      <c r="C235" s="349">
        <v>37013.43</v>
      </c>
      <c r="E235" s="21"/>
      <c r="F235" s="21"/>
      <c r="K235" s="21"/>
      <c r="W235" s="344"/>
    </row>
    <row r="236" spans="1:68" ht="15.75" customHeight="1">
      <c r="A236" s="348" t="s">
        <v>467</v>
      </c>
      <c r="B236" s="348">
        <v>8100000000</v>
      </c>
      <c r="C236" s="349">
        <v>83705.490000000005</v>
      </c>
      <c r="E236" s="21"/>
      <c r="F236" s="21"/>
      <c r="K236" s="21"/>
      <c r="W236" s="344"/>
    </row>
    <row r="237" spans="1:68" ht="15.75" customHeight="1">
      <c r="A237" s="348" t="s">
        <v>468</v>
      </c>
      <c r="B237" s="348">
        <v>8186261010</v>
      </c>
      <c r="C237" s="349">
        <v>572638.71999999997</v>
      </c>
      <c r="E237" s="21"/>
      <c r="F237" s="21"/>
      <c r="K237" s="21"/>
      <c r="W237" s="344"/>
    </row>
    <row r="238" spans="1:68" ht="15.75" customHeight="1">
      <c r="A238" s="348" t="s">
        <v>363</v>
      </c>
      <c r="B238" s="348">
        <v>10000000</v>
      </c>
      <c r="C238" s="349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4"/>
    </row>
    <row r="240" spans="1:68" ht="15.75" customHeight="1">
      <c r="A240" s="348" t="s">
        <v>469</v>
      </c>
      <c r="B240" s="348">
        <v>8100000000</v>
      </c>
      <c r="C240" s="349">
        <v>300000</v>
      </c>
      <c r="E240" s="21"/>
      <c r="F240" s="21"/>
      <c r="K240" s="21"/>
      <c r="W240" s="344"/>
    </row>
    <row r="241" spans="1:23" ht="15.75" customHeight="1">
      <c r="A241" s="348" t="s">
        <v>470</v>
      </c>
      <c r="B241" s="348">
        <v>8100000000</v>
      </c>
      <c r="C241" s="349">
        <v>105000</v>
      </c>
      <c r="E241" s="21"/>
      <c r="F241" s="21"/>
      <c r="K241" s="21"/>
      <c r="W241" s="344"/>
    </row>
    <row r="242" spans="1:23" ht="15.75" customHeight="1">
      <c r="A242" s="348" t="s">
        <v>471</v>
      </c>
      <c r="B242" s="348">
        <v>8100000000</v>
      </c>
      <c r="C242" s="349">
        <v>155726</v>
      </c>
      <c r="E242" s="21"/>
      <c r="F242" s="21"/>
      <c r="K242" s="21"/>
      <c r="W242" s="344"/>
    </row>
    <row r="243" spans="1:23" ht="15.75" customHeight="1">
      <c r="A243" s="348" t="s">
        <v>470</v>
      </c>
      <c r="B243" s="348">
        <v>8100000000</v>
      </c>
      <c r="C243" s="349">
        <v>50000</v>
      </c>
      <c r="E243" s="21"/>
      <c r="F243" s="21"/>
      <c r="K243" s="21"/>
      <c r="W243" s="344"/>
    </row>
    <row r="244" spans="1:23" ht="15.75" customHeight="1">
      <c r="C244" s="345"/>
      <c r="E244" s="21"/>
      <c r="F244" s="21"/>
      <c r="K244" s="21"/>
      <c r="W244" s="344"/>
    </row>
    <row r="245" spans="1:23" ht="15.75" customHeight="1">
      <c r="C245" s="345"/>
      <c r="E245" s="21"/>
      <c r="F245" s="21"/>
      <c r="K245" s="21"/>
      <c r="W245" s="344"/>
    </row>
    <row r="246" spans="1:23" ht="15.75" customHeight="1">
      <c r="C246" s="345"/>
      <c r="E246" s="21"/>
      <c r="F246" s="21"/>
      <c r="K246" s="21"/>
      <c r="W246" s="344"/>
    </row>
    <row r="247" spans="1:23" ht="15.75" customHeight="1">
      <c r="C247" s="345"/>
      <c r="E247" s="21"/>
      <c r="F247" s="21"/>
      <c r="K247" s="21"/>
      <c r="W247" s="344"/>
    </row>
    <row r="248" spans="1:23" ht="15.75" customHeight="1">
      <c r="C248" s="345"/>
      <c r="E248" s="21"/>
      <c r="F248" s="21"/>
      <c r="K248" s="21"/>
      <c r="W248" s="344"/>
    </row>
    <row r="249" spans="1:23" ht="15.75" customHeight="1">
      <c r="C249" s="345"/>
      <c r="E249" s="21"/>
      <c r="F249" s="21"/>
      <c r="K249" s="21"/>
      <c r="W249" s="344"/>
    </row>
    <row r="250" spans="1:23" ht="15.75" customHeight="1">
      <c r="C250" s="345"/>
      <c r="E250" s="21"/>
      <c r="F250" s="21"/>
      <c r="K250" s="21"/>
      <c r="W250" s="344"/>
    </row>
    <row r="251" spans="1:23" ht="15.75" customHeight="1">
      <c r="C251" s="345"/>
      <c r="E251" s="21"/>
      <c r="F251" s="21"/>
      <c r="K251" s="21"/>
      <c r="W251" s="344"/>
    </row>
    <row r="252" spans="1:23" ht="15.75" customHeight="1">
      <c r="C252" s="345"/>
      <c r="E252" s="21"/>
      <c r="F252" s="21"/>
      <c r="K252" s="21"/>
      <c r="W252" s="344"/>
    </row>
    <row r="253" spans="1:23" ht="15.75" customHeight="1">
      <c r="C253" s="345"/>
      <c r="E253" s="21"/>
      <c r="F253" s="21"/>
      <c r="K253" s="21"/>
      <c r="W253" s="344"/>
    </row>
    <row r="254" spans="1:23" ht="15.75" customHeight="1">
      <c r="C254" s="345"/>
      <c r="E254" s="21"/>
      <c r="F254" s="21"/>
      <c r="K254" s="21"/>
      <c r="W254" s="344"/>
    </row>
    <row r="255" spans="1:23" ht="15.75" customHeight="1">
      <c r="C255" s="345"/>
      <c r="E255" s="21"/>
      <c r="F255" s="21"/>
      <c r="K255" s="21"/>
      <c r="W255" s="344"/>
    </row>
    <row r="256" spans="1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  <row r="377" spans="3:23" ht="15.75" customHeight="1">
      <c r="C377" s="345"/>
      <c r="E377" s="21"/>
      <c r="F377" s="21"/>
      <c r="K377" s="21"/>
      <c r="W377" s="344"/>
    </row>
    <row r="378" spans="3:23" ht="15.75" customHeight="1">
      <c r="C378" s="345"/>
      <c r="E378" s="21"/>
      <c r="F378" s="21"/>
      <c r="K378" s="21"/>
      <c r="W378" s="344"/>
    </row>
    <row r="379" spans="3:23" ht="15.75" customHeight="1">
      <c r="C379" s="345"/>
      <c r="E379" s="21"/>
      <c r="F379" s="21"/>
      <c r="K379" s="21"/>
      <c r="W379" s="344"/>
    </row>
    <row r="380" spans="3:23" ht="15.75" customHeight="1">
      <c r="C380" s="345"/>
      <c r="E380" s="21"/>
      <c r="F380" s="21"/>
      <c r="K380" s="21"/>
      <c r="W380" s="344"/>
    </row>
    <row r="381" spans="3:23" ht="15.75" customHeight="1">
      <c r="C381" s="345"/>
      <c r="E381" s="21"/>
      <c r="F381" s="21"/>
      <c r="K381" s="21"/>
      <c r="W381" s="344"/>
    </row>
    <row r="382" spans="3:23" ht="15.75" customHeight="1">
      <c r="C382" s="345"/>
      <c r="E382" s="21"/>
      <c r="F382" s="21"/>
      <c r="K382" s="21"/>
      <c r="W382" s="344"/>
    </row>
    <row r="383" spans="3:23" ht="15.75" customHeight="1">
      <c r="C383" s="345"/>
      <c r="E383" s="21"/>
      <c r="F383" s="21"/>
      <c r="K383" s="21"/>
      <c r="W383" s="344"/>
    </row>
    <row r="384" spans="3:23" ht="15.75" customHeight="1">
      <c r="C384" s="345"/>
      <c r="E384" s="21"/>
      <c r="F384" s="21"/>
      <c r="K384" s="21"/>
      <c r="W384" s="344"/>
    </row>
    <row r="385" spans="3:23" ht="15.75" customHeight="1">
      <c r="C385" s="345"/>
      <c r="E385" s="21"/>
      <c r="F385" s="21"/>
      <c r="K385" s="21"/>
      <c r="W385" s="344"/>
    </row>
    <row r="386" spans="3:23" ht="15.75" customHeight="1">
      <c r="C386" s="345"/>
      <c r="E386" s="21"/>
      <c r="F386" s="21"/>
      <c r="K386" s="21"/>
      <c r="W386" s="344"/>
    </row>
    <row r="387" spans="3:23" ht="15.75" customHeight="1">
      <c r="C387" s="345"/>
      <c r="E387" s="21"/>
      <c r="F387" s="21"/>
      <c r="K387" s="21"/>
      <c r="W387" s="344"/>
    </row>
    <row r="388" spans="3:23" ht="15.75" customHeight="1">
      <c r="C388" s="345"/>
      <c r="E388" s="21"/>
      <c r="F388" s="21"/>
      <c r="K388" s="21"/>
      <c r="W388" s="344"/>
    </row>
    <row r="389" spans="3:23" ht="15.75" customHeight="1">
      <c r="C389" s="345"/>
      <c r="E389" s="21"/>
      <c r="F389" s="21"/>
      <c r="K389" s="21"/>
      <c r="W389" s="344"/>
    </row>
    <row r="390" spans="3:23" ht="15.75" customHeight="1">
      <c r="C390" s="345"/>
      <c r="E390" s="21"/>
      <c r="F390" s="21"/>
      <c r="K390" s="21"/>
      <c r="W390" s="344"/>
    </row>
    <row r="391" spans="3:23" ht="15.75" customHeight="1">
      <c r="C391" s="345"/>
      <c r="E391" s="21"/>
      <c r="F391" s="21"/>
      <c r="K391" s="21"/>
      <c r="W391" s="344"/>
    </row>
    <row r="392" spans="3:23" ht="15.75" customHeight="1">
      <c r="C392" s="345"/>
      <c r="E392" s="21"/>
      <c r="F392" s="21"/>
      <c r="K392" s="21"/>
      <c r="W392" s="344"/>
    </row>
    <row r="393" spans="3:23" ht="15.75" customHeight="1">
      <c r="C393" s="345"/>
      <c r="E393" s="21"/>
      <c r="F393" s="21"/>
      <c r="K393" s="21"/>
      <c r="W393" s="344"/>
    </row>
    <row r="394" spans="3:23" ht="15.75" customHeight="1">
      <c r="C394" s="345"/>
      <c r="E394" s="21"/>
      <c r="F394" s="21"/>
      <c r="K394" s="21"/>
      <c r="W394" s="344"/>
    </row>
    <row r="395" spans="3:23" ht="15.75" customHeight="1">
      <c r="C395" s="345"/>
      <c r="E395" s="21"/>
      <c r="F395" s="21"/>
      <c r="K395" s="21"/>
      <c r="W395" s="344"/>
    </row>
    <row r="396" spans="3:23" ht="15.75" customHeight="1">
      <c r="C396" s="345"/>
      <c r="E396" s="21"/>
      <c r="F396" s="21"/>
      <c r="K396" s="21"/>
      <c r="W396" s="344"/>
    </row>
    <row r="397" spans="3:23" ht="15.75" customHeight="1">
      <c r="C397" s="345"/>
      <c r="E397" s="21"/>
      <c r="F397" s="21"/>
      <c r="K397" s="21"/>
      <c r="W397" s="344"/>
    </row>
    <row r="398" spans="3:23" ht="15.75" customHeight="1">
      <c r="C398" s="345"/>
      <c r="E398" s="21"/>
      <c r="F398" s="21"/>
      <c r="K398" s="21"/>
      <c r="W398" s="344"/>
    </row>
    <row r="399" spans="3:23" ht="15.75" customHeight="1">
      <c r="C399" s="345"/>
      <c r="E399" s="21"/>
      <c r="F399" s="21"/>
      <c r="K399" s="21"/>
      <c r="W399" s="344"/>
    </row>
    <row r="400" spans="3:23" ht="15.75" customHeight="1">
      <c r="C400" s="345"/>
      <c r="E400" s="21"/>
      <c r="F400" s="21"/>
      <c r="K400" s="21"/>
      <c r="W400" s="344"/>
    </row>
    <row r="401" spans="3:23" ht="15.75" customHeight="1">
      <c r="C401" s="345"/>
      <c r="E401" s="21"/>
      <c r="F401" s="21"/>
      <c r="K401" s="21"/>
      <c r="W401" s="344"/>
    </row>
    <row r="402" spans="3:23" ht="15.75" customHeight="1">
      <c r="C402" s="345"/>
      <c r="E402" s="21"/>
      <c r="F402" s="21"/>
      <c r="K402" s="21"/>
      <c r="W402" s="344"/>
    </row>
    <row r="403" spans="3:23" ht="15.75" customHeight="1">
      <c r="C403" s="345"/>
      <c r="E403" s="21"/>
      <c r="F403" s="21"/>
      <c r="K403" s="21"/>
      <c r="W403" s="344"/>
    </row>
    <row r="404" spans="3:23" ht="15.75" customHeight="1">
      <c r="C404" s="345"/>
      <c r="E404" s="21"/>
      <c r="F404" s="21"/>
      <c r="K404" s="21"/>
      <c r="W404" s="344"/>
    </row>
    <row r="405" spans="3:23" ht="15.75" customHeight="1">
      <c r="C405" s="345"/>
      <c r="E405" s="21"/>
      <c r="F405" s="21"/>
      <c r="K405" s="21"/>
      <c r="W405" s="344"/>
    </row>
    <row r="406" spans="3:23" ht="15.75" customHeight="1">
      <c r="C406" s="345"/>
      <c r="E406" s="21"/>
      <c r="F406" s="21"/>
      <c r="K406" s="21"/>
      <c r="W406" s="344"/>
    </row>
    <row r="407" spans="3:23" ht="15.75" customHeight="1">
      <c r="C407" s="345"/>
      <c r="E407" s="21"/>
      <c r="F407" s="21"/>
      <c r="K407" s="21"/>
      <c r="W407" s="344"/>
    </row>
    <row r="408" spans="3:23" ht="15.75" customHeight="1">
      <c r="C408" s="345"/>
      <c r="E408" s="21"/>
      <c r="F408" s="21"/>
      <c r="K408" s="21"/>
      <c r="W408" s="344"/>
    </row>
    <row r="409" spans="3:23" ht="15.75" customHeight="1">
      <c r="C409" s="345"/>
      <c r="E409" s="21"/>
      <c r="F409" s="21"/>
      <c r="K409" s="21"/>
      <c r="W409" s="344"/>
    </row>
    <row r="410" spans="3:23" ht="15.75" customHeight="1">
      <c r="C410" s="345"/>
      <c r="E410" s="21"/>
      <c r="F410" s="21"/>
      <c r="K410" s="21"/>
      <c r="W410" s="344"/>
    </row>
    <row r="411" spans="3:23" ht="15.75" customHeight="1">
      <c r="C411" s="345"/>
      <c r="E411" s="21"/>
      <c r="F411" s="21"/>
      <c r="K411" s="21"/>
      <c r="W411" s="344"/>
    </row>
    <row r="412" spans="3:23" ht="15.75" customHeight="1">
      <c r="C412" s="345"/>
      <c r="E412" s="21"/>
      <c r="F412" s="21"/>
      <c r="K412" s="21"/>
      <c r="W412" s="344"/>
    </row>
    <row r="413" spans="3:23" ht="15.75" customHeight="1">
      <c r="C413" s="345"/>
      <c r="E413" s="21"/>
      <c r="F413" s="21"/>
      <c r="K413" s="21"/>
      <c r="W413" s="344"/>
    </row>
    <row r="414" spans="3:23" ht="15.75" customHeight="1">
      <c r="C414" s="345"/>
      <c r="E414" s="21"/>
      <c r="F414" s="21"/>
      <c r="K414" s="21"/>
      <c r="W414" s="344"/>
    </row>
    <row r="415" spans="3:23" ht="15.75" customHeight="1">
      <c r="C415" s="345"/>
      <c r="E415" s="21"/>
      <c r="F415" s="21"/>
      <c r="K415" s="21"/>
      <c r="W415" s="344"/>
    </row>
    <row r="416" spans="3:23" ht="15.75" customHeight="1">
      <c r="C416" s="345"/>
      <c r="E416" s="21"/>
      <c r="F416" s="21"/>
      <c r="K416" s="21"/>
      <c r="W416" s="344"/>
    </row>
    <row r="417" spans="3:23" ht="15.75" customHeight="1">
      <c r="C417" s="345"/>
      <c r="E417" s="21"/>
      <c r="F417" s="21"/>
      <c r="K417" s="21"/>
      <c r="W417" s="344"/>
    </row>
    <row r="418" spans="3:23" ht="15.75" customHeight="1">
      <c r="C418" s="345"/>
      <c r="E418" s="21"/>
      <c r="F418" s="21"/>
      <c r="K418" s="21"/>
      <c r="W418" s="344"/>
    </row>
    <row r="419" spans="3:23" ht="15.75" customHeight="1">
      <c r="C419" s="345"/>
      <c r="E419" s="21"/>
      <c r="F419" s="21"/>
      <c r="K419" s="21"/>
      <c r="W419" s="344"/>
    </row>
    <row r="420" spans="3:23" ht="15.75" customHeight="1">
      <c r="C420" s="345"/>
      <c r="E420" s="21"/>
      <c r="F420" s="21"/>
      <c r="K420" s="21"/>
      <c r="W420" s="344"/>
    </row>
    <row r="421" spans="3:23" ht="15.75" customHeight="1">
      <c r="C421" s="345"/>
      <c r="E421" s="21"/>
      <c r="F421" s="21"/>
      <c r="K421" s="21"/>
      <c r="W421" s="344"/>
    </row>
    <row r="422" spans="3:23" ht="15.75" customHeight="1">
      <c r="C422" s="345"/>
      <c r="E422" s="21"/>
      <c r="F422" s="21"/>
      <c r="K422" s="21"/>
      <c r="W422" s="344"/>
    </row>
    <row r="423" spans="3:23" ht="15.75" customHeight="1">
      <c r="C423" s="345"/>
      <c r="E423" s="21"/>
      <c r="F423" s="21"/>
      <c r="K423" s="21"/>
      <c r="W423" s="344"/>
    </row>
    <row r="424" spans="3:23" ht="15.75" customHeight="1">
      <c r="C424" s="345"/>
      <c r="E424" s="21"/>
      <c r="F424" s="21"/>
      <c r="K424" s="21"/>
      <c r="W424" s="344"/>
    </row>
    <row r="425" spans="3:23" ht="15.75" customHeight="1">
      <c r="C425" s="345"/>
      <c r="E425" s="21"/>
      <c r="F425" s="21"/>
      <c r="K425" s="21"/>
      <c r="W425" s="344"/>
    </row>
    <row r="426" spans="3:23" ht="15.75" customHeight="1">
      <c r="C426" s="345"/>
      <c r="E426" s="21"/>
      <c r="F426" s="21"/>
      <c r="K426" s="21"/>
      <c r="W426" s="344"/>
    </row>
    <row r="427" spans="3:23" ht="15.75" customHeight="1">
      <c r="C427" s="345"/>
      <c r="E427" s="21"/>
      <c r="F427" s="21"/>
      <c r="K427" s="21"/>
      <c r="W427" s="344"/>
    </row>
    <row r="428" spans="3:23" ht="15.75" customHeight="1">
      <c r="C428" s="345"/>
      <c r="E428" s="21"/>
      <c r="F428" s="21"/>
      <c r="K428" s="21"/>
      <c r="W428" s="344"/>
    </row>
    <row r="429" spans="3:23" ht="15.75" customHeight="1">
      <c r="C429" s="345"/>
      <c r="E429" s="21"/>
      <c r="F429" s="21"/>
      <c r="K429" s="21"/>
      <c r="W429" s="344"/>
    </row>
    <row r="430" spans="3:23" ht="15.75" customHeight="1">
      <c r="C430" s="345"/>
      <c r="E430" s="21"/>
      <c r="F430" s="21"/>
      <c r="K430" s="21"/>
      <c r="W430" s="344"/>
    </row>
    <row r="431" spans="3:23" ht="15.75" customHeight="1">
      <c r="C431" s="345"/>
      <c r="E431" s="21"/>
      <c r="F431" s="21"/>
      <c r="K431" s="21"/>
      <c r="W431" s="344"/>
    </row>
    <row r="432" spans="3:23" ht="15.75" customHeight="1">
      <c r="C432" s="345"/>
      <c r="E432" s="21"/>
      <c r="F432" s="21"/>
      <c r="K432" s="21"/>
      <c r="W432" s="344"/>
    </row>
    <row r="433" spans="3:23" ht="15.75" customHeight="1">
      <c r="C433" s="345"/>
      <c r="E433" s="21"/>
      <c r="F433" s="21"/>
      <c r="K433" s="21"/>
      <c r="W433" s="344"/>
    </row>
    <row r="434" spans="3:23" ht="15.75" customHeight="1">
      <c r="C434" s="345"/>
      <c r="E434" s="21"/>
      <c r="F434" s="21"/>
      <c r="K434" s="21"/>
      <c r="W434" s="344"/>
    </row>
    <row r="435" spans="3:23" ht="15.75" customHeight="1">
      <c r="C435" s="345"/>
      <c r="E435" s="21"/>
      <c r="F435" s="21"/>
      <c r="K435" s="21"/>
      <c r="W435" s="344"/>
    </row>
    <row r="436" spans="3:23" ht="15.75" customHeight="1">
      <c r="C436" s="345"/>
      <c r="E436" s="21"/>
      <c r="F436" s="21"/>
      <c r="K436" s="21"/>
      <c r="W436" s="344"/>
    </row>
    <row r="437" spans="3:23" ht="15.75" customHeight="1">
      <c r="C437" s="345"/>
      <c r="E437" s="21"/>
      <c r="F437" s="21"/>
      <c r="K437" s="21"/>
      <c r="W437" s="344"/>
    </row>
    <row r="438" spans="3:23" ht="15.75" customHeight="1">
      <c r="C438" s="345"/>
      <c r="E438" s="21"/>
      <c r="F438" s="21"/>
      <c r="K438" s="21"/>
      <c r="W438" s="344"/>
    </row>
    <row r="439" spans="3:23" ht="15.75" customHeight="1">
      <c r="C439" s="345"/>
      <c r="E439" s="21"/>
      <c r="F439" s="21"/>
      <c r="K439" s="21"/>
      <c r="W439" s="344"/>
    </row>
    <row r="440" spans="3:23" ht="15.75" customHeight="1">
      <c r="C440" s="345"/>
      <c r="E440" s="21"/>
      <c r="F440" s="21"/>
      <c r="K440" s="21"/>
      <c r="W440" s="344"/>
    </row>
    <row r="441" spans="3:23" ht="15.75" customHeight="1">
      <c r="C441" s="345"/>
      <c r="E441" s="21"/>
      <c r="F441" s="21"/>
      <c r="K441" s="21"/>
      <c r="W441" s="344"/>
    </row>
    <row r="442" spans="3:23" ht="15.75" customHeight="1">
      <c r="C442" s="345"/>
      <c r="E442" s="21"/>
      <c r="F442" s="21"/>
      <c r="K442" s="21"/>
      <c r="W442" s="344"/>
    </row>
    <row r="443" spans="3:23" ht="15.75" customHeight="1">
      <c r="C443" s="345"/>
      <c r="E443" s="21"/>
      <c r="F443" s="21"/>
      <c r="K443" s="21"/>
      <c r="W443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95" priority="5" operator="greaterThanOrEqual">
      <formula>"100%"</formula>
    </cfRule>
  </conditionalFormatting>
  <conditionalFormatting sqref="V137:X139">
    <cfRule type="cellIs" dxfId="194" priority="6" operator="between">
      <formula>"0%"</formula>
      <formula>"25%"</formula>
    </cfRule>
  </conditionalFormatting>
  <conditionalFormatting sqref="V137:X139">
    <cfRule type="cellIs" dxfId="193" priority="7" operator="between">
      <formula>"25.01%"</formula>
      <formula>"50%"</formula>
    </cfRule>
  </conditionalFormatting>
  <conditionalFormatting sqref="V137:X139">
    <cfRule type="cellIs" dxfId="192" priority="8" operator="between">
      <formula>"50.01%"</formula>
      <formula>"75%"</formula>
    </cfRule>
  </conditionalFormatting>
  <conditionalFormatting sqref="V137:X139">
    <cfRule type="cellIs" dxfId="191" priority="9" operator="between">
      <formula>"75.01%"</formula>
      <formula>"99.99%"</formula>
    </cfRule>
  </conditionalFormatting>
  <conditionalFormatting sqref="V137:X139">
    <cfRule type="cellIs" dxfId="190" priority="10" operator="greaterThanOrEqual">
      <formula>"100%"</formula>
    </cfRule>
  </conditionalFormatting>
  <conditionalFormatting sqref="G90:H91 V90:X91">
    <cfRule type="cellIs" dxfId="189" priority="11" operator="between">
      <formula>"0%"</formula>
      <formula>"25%"</formula>
    </cfRule>
  </conditionalFormatting>
  <conditionalFormatting sqref="G90:H91 V90:X91">
    <cfRule type="cellIs" dxfId="188" priority="12" operator="between">
      <formula>"25.01%"</formula>
      <formula>"50%"</formula>
    </cfRule>
  </conditionalFormatting>
  <conditionalFormatting sqref="G90:H91 V90:X91">
    <cfRule type="cellIs" dxfId="187" priority="13" operator="between">
      <formula>"50.01%"</formula>
      <formula>"75%"</formula>
    </cfRule>
  </conditionalFormatting>
  <conditionalFormatting sqref="G90:H91 V90:X91">
    <cfRule type="cellIs" dxfId="186" priority="14" operator="between">
      <formula>"75.01%"</formula>
      <formula>"99.99%"</formula>
    </cfRule>
  </conditionalFormatting>
  <conditionalFormatting sqref="G90:H91 V90:X91">
    <cfRule type="cellIs" dxfId="185" priority="15" operator="greaterThanOrEqual">
      <formula>"100%"</formula>
    </cfRule>
  </conditionalFormatting>
  <conditionalFormatting sqref="G5:H5 V5:X5">
    <cfRule type="cellIs" dxfId="184" priority="16" operator="between">
      <formula>"0%"</formula>
      <formula>"25%"</formula>
    </cfRule>
  </conditionalFormatting>
  <conditionalFormatting sqref="G5:H5 V5:X5">
    <cfRule type="cellIs" dxfId="183" priority="17" operator="between">
      <formula>"25.01%"</formula>
      <formula>"50%"</formula>
    </cfRule>
  </conditionalFormatting>
  <conditionalFormatting sqref="G5:H5 V5:X5">
    <cfRule type="cellIs" dxfId="182" priority="18" operator="between">
      <formula>"50.01%"</formula>
      <formula>"75%"</formula>
    </cfRule>
  </conditionalFormatting>
  <conditionalFormatting sqref="G5:H5 V5:X5">
    <cfRule type="cellIs" dxfId="181" priority="19" operator="between">
      <formula>"75.01%"</formula>
      <formula>"99.99%"</formula>
    </cfRule>
  </conditionalFormatting>
  <conditionalFormatting sqref="G5:H5 V5:X5">
    <cfRule type="cellIs" dxfId="180" priority="20" operator="greaterThanOrEqual">
      <formula>"100%"</formula>
    </cfRule>
  </conditionalFormatting>
  <conditionalFormatting sqref="G69:H69 V69:X69">
    <cfRule type="cellIs" dxfId="179" priority="21" operator="between">
      <formula>"0%"</formula>
      <formula>"25%"</formula>
    </cfRule>
  </conditionalFormatting>
  <conditionalFormatting sqref="G69:H69 V69:X69">
    <cfRule type="cellIs" dxfId="178" priority="22" operator="between">
      <formula>"25.01%"</formula>
      <formula>"50%"</formula>
    </cfRule>
  </conditionalFormatting>
  <conditionalFormatting sqref="G69:H69 V69:X69">
    <cfRule type="cellIs" dxfId="177" priority="23" operator="between">
      <formula>"50.01%"</formula>
      <formula>"75%"</formula>
    </cfRule>
  </conditionalFormatting>
  <conditionalFormatting sqref="G69:H69 V69:X69">
    <cfRule type="cellIs" dxfId="176" priority="24" operator="between">
      <formula>"75.01%"</formula>
      <formula>"99.99%"</formula>
    </cfRule>
  </conditionalFormatting>
  <conditionalFormatting sqref="G69:H69 V69:X69">
    <cfRule type="cellIs" dxfId="175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P443"/>
  <sheetViews>
    <sheetView showGridLines="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5.5660289284788514E-2</v>
      </c>
      <c r="H3" s="79">
        <f t="shared" ref="H3:H4" si="2">M3/E3</f>
        <v>7.2502988292027235E-4</v>
      </c>
      <c r="I3" s="80">
        <f t="shared" ref="I3:O3" si="3">I4+I12+I67+I96+I159</f>
        <v>132452.21</v>
      </c>
      <c r="J3" s="80">
        <f t="shared" si="3"/>
        <v>2466010.4700000002</v>
      </c>
      <c r="K3" s="80">
        <f t="shared" si="3"/>
        <v>16240</v>
      </c>
      <c r="L3" s="80">
        <f t="shared" si="3"/>
        <v>0</v>
      </c>
      <c r="M3" s="81">
        <f t="shared" si="3"/>
        <v>1725.32</v>
      </c>
      <c r="N3" s="81">
        <f t="shared" si="3"/>
        <v>668465.60000000009</v>
      </c>
      <c r="O3" s="81">
        <f t="shared" si="3"/>
        <v>0</v>
      </c>
      <c r="P3" s="82">
        <f t="shared" ref="P3:R3" si="4">IF(BI3=0,SUM(Y3+AB3+AE3+AH3+AK3+AN3+AQ3+AT3+AW3+AZ3+BC3+BF3),BI3)</f>
        <v>2029.32</v>
      </c>
      <c r="Q3" s="82">
        <f t="shared" si="4"/>
        <v>721258.90999999992</v>
      </c>
      <c r="R3" s="69">
        <f t="shared" si="4"/>
        <v>0</v>
      </c>
      <c r="S3" s="71" t="e">
        <f t="shared" ref="S3:U3" si="5">S4+S12+S67+S96+S159</f>
        <v>#REF!</v>
      </c>
      <c r="T3" s="71">
        <f t="shared" si="5"/>
        <v>1790607.67</v>
      </c>
      <c r="U3" s="71" t="e">
        <f t="shared" si="5"/>
        <v>#REF!</v>
      </c>
      <c r="V3" s="73">
        <f t="shared" ref="V3:W3" si="6">M3/I3</f>
        <v>1.3025981219943404E-2</v>
      </c>
      <c r="W3" s="73">
        <f t="shared" si="6"/>
        <v>0.27107167959428818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0</v>
      </c>
      <c r="AI3" s="83">
        <f t="shared" si="8"/>
        <v>0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4.0878322289465842E-2</v>
      </c>
      <c r="H4" s="88">
        <f t="shared" si="2"/>
        <v>0</v>
      </c>
      <c r="I4" s="87">
        <f>SUM(I5:I11)</f>
        <v>1987</v>
      </c>
      <c r="J4" s="87">
        <f>SUM(J6:J11)</f>
        <v>17783.25</v>
      </c>
      <c r="K4" s="87"/>
      <c r="L4" s="87">
        <f t="shared" ref="L4:O4" si="9">SUM(L14)</f>
        <v>0</v>
      </c>
      <c r="M4" s="87">
        <f t="shared" si="9"/>
        <v>0</v>
      </c>
      <c r="N4" s="87">
        <f t="shared" si="9"/>
        <v>0</v>
      </c>
      <c r="O4" s="87">
        <f t="shared" si="9"/>
        <v>0</v>
      </c>
      <c r="P4" s="87">
        <f t="shared" ref="P4:R4" si="10">IF(BI4=0,SUM(Y4+AB4+AE4+AH4+AK4+AN4+AQ4+AT4+AW4+AZ4+BC4+BF4),BI4)</f>
        <v>304</v>
      </c>
      <c r="Q4" s="87">
        <f t="shared" si="10"/>
        <v>0</v>
      </c>
      <c r="R4" s="87">
        <f t="shared" si="10"/>
        <v>0</v>
      </c>
      <c r="S4" s="87">
        <f>SUM(S14)</f>
        <v>207.34</v>
      </c>
      <c r="T4" s="87">
        <f>SUM(T8)</f>
        <v>15833.25</v>
      </c>
      <c r="U4" s="87">
        <f>SUM(U14)</f>
        <v>0</v>
      </c>
      <c r="V4" s="87">
        <f t="shared" ref="V4:W4" si="11">M4/I4</f>
        <v>0</v>
      </c>
      <c r="W4" s="88">
        <f t="shared" si="11"/>
        <v>0</v>
      </c>
      <c r="X4" s="88" t="e">
        <f t="shared" si="7"/>
        <v>#DIV/0!</v>
      </c>
      <c r="Y4" s="87">
        <f t="shared" ref="Y4:AD4" si="12">SUM(Y14)</f>
        <v>0</v>
      </c>
      <c r="Z4" s="87">
        <f t="shared" si="12"/>
        <v>0</v>
      </c>
      <c r="AA4" s="87">
        <f t="shared" si="12"/>
        <v>0</v>
      </c>
      <c r="AB4" s="87">
        <f t="shared" si="12"/>
        <v>0</v>
      </c>
      <c r="AC4" s="87">
        <f t="shared" si="12"/>
        <v>0</v>
      </c>
      <c r="AD4" s="87">
        <f t="shared" si="12"/>
        <v>0</v>
      </c>
      <c r="AE4" s="87">
        <f>SUM(AE5:AE11)</f>
        <v>304</v>
      </c>
      <c r="AF4" s="87">
        <f t="shared" ref="AF4:BK4" si="13">SUM(AF14)</f>
        <v>0</v>
      </c>
      <c r="AG4" s="87">
        <f t="shared" si="13"/>
        <v>0</v>
      </c>
      <c r="AH4" s="87">
        <f t="shared" si="13"/>
        <v>0</v>
      </c>
      <c r="AI4" s="87">
        <f t="shared" si="13"/>
        <v>0</v>
      </c>
      <c r="AJ4" s="87">
        <f t="shared" si="13"/>
        <v>0</v>
      </c>
      <c r="AK4" s="87">
        <f t="shared" si="13"/>
        <v>0</v>
      </c>
      <c r="AL4" s="87">
        <f t="shared" si="13"/>
        <v>0</v>
      </c>
      <c r="AM4" s="87">
        <f t="shared" si="13"/>
        <v>0</v>
      </c>
      <c r="AN4" s="87">
        <f t="shared" si="13"/>
        <v>0</v>
      </c>
      <c r="AO4" s="87">
        <f t="shared" si="13"/>
        <v>0</v>
      </c>
      <c r="AP4" s="87">
        <f t="shared" si="13"/>
        <v>0</v>
      </c>
      <c r="AQ4" s="87">
        <f t="shared" si="13"/>
        <v>0</v>
      </c>
      <c r="AR4" s="87">
        <f t="shared" si="13"/>
        <v>0</v>
      </c>
      <c r="AS4" s="87">
        <f t="shared" si="13"/>
        <v>0</v>
      </c>
      <c r="AT4" s="87">
        <f t="shared" si="13"/>
        <v>0</v>
      </c>
      <c r="AU4" s="87">
        <f t="shared" si="13"/>
        <v>0</v>
      </c>
      <c r="AV4" s="87">
        <f t="shared" si="13"/>
        <v>0</v>
      </c>
      <c r="AW4" s="87">
        <f t="shared" si="13"/>
        <v>0</v>
      </c>
      <c r="AX4" s="87">
        <f t="shared" si="13"/>
        <v>0</v>
      </c>
      <c r="AY4" s="87">
        <f t="shared" si="13"/>
        <v>0</v>
      </c>
      <c r="AZ4" s="87">
        <f t="shared" si="13"/>
        <v>0</v>
      </c>
      <c r="BA4" s="87">
        <f t="shared" si="13"/>
        <v>0</v>
      </c>
      <c r="BB4" s="87">
        <f t="shared" si="13"/>
        <v>0</v>
      </c>
      <c r="BC4" s="87">
        <f t="shared" si="13"/>
        <v>0</v>
      </c>
      <c r="BD4" s="87">
        <f t="shared" si="13"/>
        <v>0</v>
      </c>
      <c r="BE4" s="87">
        <f t="shared" si="13"/>
        <v>0</v>
      </c>
      <c r="BF4" s="87">
        <f t="shared" si="13"/>
        <v>0</v>
      </c>
      <c r="BG4" s="87">
        <f t="shared" si="13"/>
        <v>0</v>
      </c>
      <c r="BH4" s="87">
        <f t="shared" si="13"/>
        <v>0</v>
      </c>
      <c r="BI4" s="87">
        <f t="shared" si="13"/>
        <v>0</v>
      </c>
      <c r="BJ4" s="87">
        <f t="shared" si="13"/>
        <v>0</v>
      </c>
      <c r="BK4" s="87">
        <f t="shared" si="13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4">Y5+AB5+AE5+AH5+AK5+AN5+AQ5+AT5+AW5+AZ5+BC5+BF5</f>
        <v>0</v>
      </c>
      <c r="N5" s="97">
        <f t="shared" si="14"/>
        <v>0</v>
      </c>
      <c r="O5" s="97">
        <f t="shared" si="14"/>
        <v>0</v>
      </c>
      <c r="P5" s="82">
        <f t="shared" ref="P5:R5" si="15">IF(BI5=0,SUM(Y5+AB5+AE5+AH5+AK5+AN5+AQ5+AT5+AW5+AZ5+BC5+BF5),BI5)</f>
        <v>0</v>
      </c>
      <c r="Q5" s="82">
        <f t="shared" si="15"/>
        <v>0</v>
      </c>
      <c r="R5" s="82">
        <f t="shared" si="15"/>
        <v>0</v>
      </c>
      <c r="S5" s="97"/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6">I6/E6</f>
        <v>0</v>
      </c>
      <c r="H6" s="94">
        <f t="shared" ref="H6:H23" si="17">M6/E6</f>
        <v>0</v>
      </c>
      <c r="I6" s="95"/>
      <c r="J6" s="96"/>
      <c r="K6" s="96"/>
      <c r="L6" s="95"/>
      <c r="M6" s="97">
        <f t="shared" ref="M6:O6" si="18">Y6+AB6+AE6+AH6+AK6+AN6+AQ6+AT6+AW6+AZ6+BC6+BF6</f>
        <v>0</v>
      </c>
      <c r="N6" s="97">
        <f t="shared" si="18"/>
        <v>0</v>
      </c>
      <c r="O6" s="97">
        <f t="shared" si="18"/>
        <v>0</v>
      </c>
      <c r="P6" s="82">
        <f t="shared" ref="P6:R6" si="19">IF(BI6=0,SUM(Y6+AB6+AE6+AH6+AK6+AN6+AQ6+AT6+AW6+AZ6+BC6+BF6),BI6)</f>
        <v>0</v>
      </c>
      <c r="Q6" s="82">
        <f t="shared" si="19"/>
        <v>0</v>
      </c>
      <c r="R6" s="82">
        <f t="shared" si="19"/>
        <v>0</v>
      </c>
      <c r="S6" s="97">
        <f t="shared" ref="S6:T6" si="20">I6-M6</f>
        <v>0</v>
      </c>
      <c r="T6" s="97">
        <f t="shared" si="20"/>
        <v>0</v>
      </c>
      <c r="U6" s="97">
        <f t="shared" ref="U6:U11" si="21">L6-O6</f>
        <v>0</v>
      </c>
      <c r="V6" s="97" t="e">
        <f t="shared" ref="V6:W6" si="22">M6/I6</f>
        <v>#DIV/0!</v>
      </c>
      <c r="W6" s="98" t="e">
        <f t="shared" si="22"/>
        <v>#DIV/0!</v>
      </c>
      <c r="X6" s="98" t="e">
        <f t="shared" ref="X6:X89" si="23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6"/>
        <v>0</v>
      </c>
      <c r="H7" s="94">
        <f t="shared" si="17"/>
        <v>0</v>
      </c>
      <c r="I7" s="95"/>
      <c r="J7" s="96"/>
      <c r="K7" s="96"/>
      <c r="L7" s="95"/>
      <c r="M7" s="97">
        <f t="shared" ref="M7:O7" si="24">Y7+AB7+AE7+AH7+AK7+AN7+AQ7+AT7+AW7+AZ7+BC7+BF7</f>
        <v>0</v>
      </c>
      <c r="N7" s="97">
        <f t="shared" si="24"/>
        <v>0</v>
      </c>
      <c r="O7" s="97">
        <f t="shared" si="24"/>
        <v>0</v>
      </c>
      <c r="P7" s="82">
        <f t="shared" ref="P7:R7" si="25">IF(BI7=0,SUM(Y7+AB7+AE7+AH7+AK7+AN7+AQ7+AT7+AW7+AZ7+BC7+BF7),BI7)</f>
        <v>0</v>
      </c>
      <c r="Q7" s="82">
        <f t="shared" si="25"/>
        <v>0</v>
      </c>
      <c r="R7" s="82">
        <f t="shared" si="25"/>
        <v>0</v>
      </c>
      <c r="S7" s="97">
        <f t="shared" ref="S7:T7" si="26">I7-M7</f>
        <v>0</v>
      </c>
      <c r="T7" s="97">
        <f t="shared" si="26"/>
        <v>0</v>
      </c>
      <c r="U7" s="97">
        <f t="shared" si="21"/>
        <v>0</v>
      </c>
      <c r="V7" s="97" t="e">
        <f t="shared" ref="V7:W7" si="27">M7/I7</f>
        <v>#DIV/0!</v>
      </c>
      <c r="W7" s="98" t="e">
        <f t="shared" si="27"/>
        <v>#DIV/0!</v>
      </c>
      <c r="X7" s="98" t="e">
        <f t="shared" si="23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528</v>
      </c>
      <c r="E8" s="92">
        <v>15127.2</v>
      </c>
      <c r="F8" s="93">
        <v>58483.53</v>
      </c>
      <c r="G8" s="94">
        <f t="shared" si="16"/>
        <v>0</v>
      </c>
      <c r="H8" s="94">
        <f t="shared" si="17"/>
        <v>0</v>
      </c>
      <c r="I8" s="95"/>
      <c r="J8" s="96">
        <v>15833.25</v>
      </c>
      <c r="K8" s="96"/>
      <c r="L8" s="95"/>
      <c r="M8" s="97">
        <f t="shared" ref="M8:O8" si="28">Y8+AB8+AE8+AH8+AK8+AN8+AQ8+AT8+AW8+AZ8+BC8+BF8</f>
        <v>0</v>
      </c>
      <c r="N8" s="97">
        <f t="shared" si="28"/>
        <v>0</v>
      </c>
      <c r="O8" s="97">
        <f t="shared" si="28"/>
        <v>0</v>
      </c>
      <c r="P8" s="82">
        <f t="shared" ref="P8:R8" si="29">IF(BI8=0,SUM(Y8+AB8+AE8+AH8+AK8+AN8+AQ8+AT8+AW8+AZ8+BC8+BF8),BI8)</f>
        <v>0</v>
      </c>
      <c r="Q8" s="82">
        <f t="shared" si="29"/>
        <v>0</v>
      </c>
      <c r="R8" s="82">
        <f t="shared" si="29"/>
        <v>0</v>
      </c>
      <c r="S8" s="97">
        <f t="shared" ref="S8:T8" si="30">I8-M8</f>
        <v>0</v>
      </c>
      <c r="T8" s="97">
        <f t="shared" si="30"/>
        <v>15833.25</v>
      </c>
      <c r="U8" s="97">
        <f t="shared" si="21"/>
        <v>0</v>
      </c>
      <c r="V8" s="97" t="e">
        <f t="shared" ref="V8:W8" si="31">M8/I8</f>
        <v>#DIV/0!</v>
      </c>
      <c r="W8" s="98">
        <f t="shared" si="31"/>
        <v>0</v>
      </c>
      <c r="X8" s="98" t="e">
        <f t="shared" si="23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6"/>
        <v>0</v>
      </c>
      <c r="H9" s="94">
        <f t="shared" si="17"/>
        <v>0</v>
      </c>
      <c r="I9" s="95"/>
      <c r="J9" s="353">
        <v>1950</v>
      </c>
      <c r="K9" s="96"/>
      <c r="L9" s="95"/>
      <c r="M9" s="97">
        <f t="shared" ref="M9:O9" si="32">Y9+AB9+AE9+AH9+AK9+AN9+AQ9+AT9+AW9+AZ9+BC9+BF9</f>
        <v>0</v>
      </c>
      <c r="N9" s="97">
        <f t="shared" si="32"/>
        <v>0</v>
      </c>
      <c r="O9" s="97">
        <f t="shared" si="32"/>
        <v>0</v>
      </c>
      <c r="P9" s="82">
        <f t="shared" ref="P9:R9" si="33">IF(BI9=0,SUM(Y9+AB9+AE9+AH9+AK9+AN9+AQ9+AT9+AW9+AZ9+BC9+BF9),BI9)</f>
        <v>0</v>
      </c>
      <c r="Q9" s="82">
        <f t="shared" si="33"/>
        <v>0</v>
      </c>
      <c r="R9" s="82">
        <f t="shared" si="33"/>
        <v>0</v>
      </c>
      <c r="S9" s="97">
        <f t="shared" ref="S9:T9" si="34">I9-M9</f>
        <v>0</v>
      </c>
      <c r="T9" s="97">
        <f t="shared" si="34"/>
        <v>1950</v>
      </c>
      <c r="U9" s="97">
        <f t="shared" si="21"/>
        <v>0</v>
      </c>
      <c r="V9" s="97" t="e">
        <f t="shared" ref="V9:W9" si="35">M9/I9</f>
        <v>#DIV/0!</v>
      </c>
      <c r="W9" s="98">
        <f t="shared" si="35"/>
        <v>0</v>
      </c>
      <c r="X9" s="98" t="e">
        <f t="shared" si="23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4" t="s">
        <v>529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6"/>
        <v>3.512036115558248E-2</v>
      </c>
      <c r="H10" s="94">
        <f t="shared" si="17"/>
        <v>2.1923182322991938E-2</v>
      </c>
      <c r="I10" s="95">
        <f>304+183</f>
        <v>487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ref="S10:T10" si="38">I10-M10</f>
        <v>183</v>
      </c>
      <c r="T10" s="97">
        <f t="shared" si="38"/>
        <v>0</v>
      </c>
      <c r="U10" s="97">
        <f t="shared" si="21"/>
        <v>0</v>
      </c>
      <c r="V10" s="97">
        <f t="shared" ref="V10:W10" si="39">M10/I10</f>
        <v>0.62422997946611913</v>
      </c>
      <c r="W10" s="98" t="e">
        <f t="shared" si="39"/>
        <v>#DIV/0!</v>
      </c>
      <c r="X10" s="98" t="e">
        <f t="shared" si="23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6"/>
        <v>0</v>
      </c>
      <c r="H11" s="94">
        <f t="shared" si="17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ref="S11:T11" si="42">I11-M11</f>
        <v>0</v>
      </c>
      <c r="T11" s="97">
        <f t="shared" si="42"/>
        <v>0</v>
      </c>
      <c r="U11" s="97">
        <f t="shared" si="21"/>
        <v>0</v>
      </c>
      <c r="V11" s="97" t="e">
        <f t="shared" ref="V11:W11" si="43">M11/I11</f>
        <v>#DIV/0!</v>
      </c>
      <c r="W11" s="98" t="e">
        <f t="shared" si="43"/>
        <v>#DIV/0!</v>
      </c>
      <c r="X11" s="98" t="e">
        <f t="shared" si="23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4">SUM(E13:E66)</f>
        <v>1669164.1900000002</v>
      </c>
      <c r="F12" s="87">
        <f t="shared" si="44"/>
        <v>3250000</v>
      </c>
      <c r="G12" s="107">
        <f t="shared" si="16"/>
        <v>6.7704669604731926E-2</v>
      </c>
      <c r="H12" s="107">
        <f t="shared" si="17"/>
        <v>1.0336430713865242E-3</v>
      </c>
      <c r="I12" s="87">
        <f>SUM(I13:I66)</f>
        <v>113010.20999999999</v>
      </c>
      <c r="J12" s="87">
        <f t="shared" ref="J12:N12" si="45">SUM(J15:J66)</f>
        <v>1611770.46</v>
      </c>
      <c r="K12" s="87">
        <f t="shared" si="45"/>
        <v>16240</v>
      </c>
      <c r="L12" s="87">
        <f t="shared" si="45"/>
        <v>0</v>
      </c>
      <c r="M12" s="87">
        <f t="shared" si="45"/>
        <v>1725.32</v>
      </c>
      <c r="N12" s="87">
        <f t="shared" si="45"/>
        <v>477566.29000000004</v>
      </c>
      <c r="O12" s="108">
        <f>SUM(O15:O63)</f>
        <v>0</v>
      </c>
      <c r="P12" s="87">
        <f t="shared" ref="P12:R12" si="46">IF(BI12=0,SUM(Y12+AB12+AE12+AH12+AK12+AN12+AQ12+AT12+AW12+AZ12+BC12+BF12),BI12)</f>
        <v>1725.32</v>
      </c>
      <c r="Q12" s="87">
        <f t="shared" si="46"/>
        <v>525372.39999999991</v>
      </c>
      <c r="R12" s="108">
        <f t="shared" si="46"/>
        <v>0</v>
      </c>
      <c r="S12" s="87">
        <f t="shared" ref="S12:U12" si="47">SUM(S15:S66)</f>
        <v>109577.54999999999</v>
      </c>
      <c r="T12" s="87">
        <f t="shared" si="47"/>
        <v>1134204.17</v>
      </c>
      <c r="U12" s="108">
        <f t="shared" si="47"/>
        <v>0</v>
      </c>
      <c r="V12" s="88">
        <f t="shared" ref="V12:W12" si="48">M12/I12</f>
        <v>1.5266939155320569E-2</v>
      </c>
      <c r="W12" s="88">
        <f t="shared" si="48"/>
        <v>0.29629919510995384</v>
      </c>
      <c r="X12" s="88" t="e">
        <f t="shared" si="23"/>
        <v>#DIV/0!</v>
      </c>
      <c r="Y12" s="87">
        <f t="shared" ref="Y12:AC12" si="49">SUM(Y15:Y66)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50">SUM(AH15:AH66)</f>
        <v>0</v>
      </c>
      <c r="AI12" s="87">
        <f t="shared" si="50"/>
        <v>0</v>
      </c>
      <c r="AJ12" s="87">
        <f>SUM(AJ15:AJ63)</f>
        <v>0</v>
      </c>
      <c r="AK12" s="87">
        <f t="shared" ref="AK12:AL12" si="51">SUM(AK15:AK66)</f>
        <v>0</v>
      </c>
      <c r="AL12" s="87">
        <f t="shared" si="51"/>
        <v>0</v>
      </c>
      <c r="AM12" s="87">
        <f>SUM(AM15:AM63)</f>
        <v>0</v>
      </c>
      <c r="AN12" s="87">
        <f t="shared" ref="AN12:AO12" si="52">SUM(AN15:AN66)</f>
        <v>0</v>
      </c>
      <c r="AO12" s="87">
        <f t="shared" si="52"/>
        <v>0</v>
      </c>
      <c r="AP12" s="87">
        <f>SUM(AP15:AP63)</f>
        <v>0</v>
      </c>
      <c r="AQ12" s="87">
        <f t="shared" ref="AQ12:AR12" si="53">SUM(AQ15:AQ66)</f>
        <v>0</v>
      </c>
      <c r="AR12" s="87">
        <f t="shared" si="53"/>
        <v>0</v>
      </c>
      <c r="AS12" s="87">
        <f>SUM(AS15:AS63)</f>
        <v>0</v>
      </c>
      <c r="AT12" s="87">
        <f>SUM(AT15:AT66)</f>
        <v>0</v>
      </c>
      <c r="AU12" s="87">
        <f t="shared" ref="AU12:AV12" si="54">SUM(AU15:AU63)</f>
        <v>0</v>
      </c>
      <c r="AV12" s="87">
        <f t="shared" si="54"/>
        <v>0</v>
      </c>
      <c r="AW12" s="87">
        <f t="shared" ref="AW12:AX12" si="55">SUM(AW15:AW66)</f>
        <v>0</v>
      </c>
      <c r="AX12" s="87">
        <f t="shared" si="55"/>
        <v>0</v>
      </c>
      <c r="AY12" s="87">
        <f t="shared" ref="AY12:BK12" si="56">SUM(AY15:AY63)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6"/>
        <v>1</v>
      </c>
      <c r="H13" s="94">
        <f t="shared" si="17"/>
        <v>0</v>
      </c>
      <c r="I13" s="96">
        <v>1500</v>
      </c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T13" si="59">I13-M13</f>
        <v>1500</v>
      </c>
      <c r="T13" s="97">
        <f t="shared" si="59"/>
        <v>0</v>
      </c>
      <c r="U13" s="97">
        <f t="shared" ref="U13:U66" si="60">L13-O13</f>
        <v>0</v>
      </c>
      <c r="V13" s="112">
        <f t="shared" ref="V13:W13" si="61">M13/I13</f>
        <v>0</v>
      </c>
      <c r="W13" s="98" t="e">
        <f t="shared" si="61"/>
        <v>#DIV/0!</v>
      </c>
      <c r="X13" s="98" t="e">
        <f t="shared" si="23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6"/>
        <v>0.10367</v>
      </c>
      <c r="H14" s="94">
        <f t="shared" si="17"/>
        <v>0</v>
      </c>
      <c r="I14" s="355">
        <v>207.34</v>
      </c>
      <c r="J14" s="96"/>
      <c r="K14" s="96"/>
      <c r="L14" s="95"/>
      <c r="M14" s="97">
        <f t="shared" ref="M14:O14" si="62">Y14+AB14+AE14+AH14+AK14+AN14+AQ14+AT14+AW14+AZ14+BC14+BF14</f>
        <v>0</v>
      </c>
      <c r="N14" s="97">
        <f t="shared" si="62"/>
        <v>0</v>
      </c>
      <c r="O14" s="97">
        <f t="shared" si="62"/>
        <v>0</v>
      </c>
      <c r="P14" s="82">
        <f t="shared" ref="P14:R14" si="63">IF(BI14=0,SUM(Y14+AB14+AE14+AH14+AK14+AN14+AQ14+AT14+AW14+AZ14+BC14+BF14),BI14)</f>
        <v>0</v>
      </c>
      <c r="Q14" s="82">
        <f t="shared" si="63"/>
        <v>0</v>
      </c>
      <c r="R14" s="82">
        <f t="shared" si="63"/>
        <v>0</v>
      </c>
      <c r="S14" s="97">
        <f t="shared" ref="S14:T14" si="64">I14-M14</f>
        <v>207.34</v>
      </c>
      <c r="T14" s="97">
        <f t="shared" si="64"/>
        <v>0</v>
      </c>
      <c r="U14" s="97">
        <f t="shared" si="60"/>
        <v>0</v>
      </c>
      <c r="V14" s="97">
        <f t="shared" ref="V14:W14" si="65">M14/I14</f>
        <v>0</v>
      </c>
      <c r="W14" s="98" t="e">
        <f t="shared" si="65"/>
        <v>#DIV/0!</v>
      </c>
      <c r="X14" s="98" t="e">
        <f t="shared" si="23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532</v>
      </c>
      <c r="E15" s="116">
        <v>280175</v>
      </c>
      <c r="F15" s="116"/>
      <c r="G15" s="94">
        <f t="shared" si="16"/>
        <v>1.784598911394664E-2</v>
      </c>
      <c r="H15" s="94">
        <f t="shared" si="17"/>
        <v>0</v>
      </c>
      <c r="I15" s="96">
        <f>5000</f>
        <v>5000</v>
      </c>
      <c r="J15" s="117">
        <v>194909.32</v>
      </c>
      <c r="K15" s="117"/>
      <c r="L15" s="118"/>
      <c r="M15" s="97">
        <f t="shared" ref="M15:O15" si="66">Y15+AB15+AE15+AH15+AK15+AN15+AQ15+AT15+AW15+AZ15+BC15+BF15</f>
        <v>0</v>
      </c>
      <c r="N15" s="97">
        <f t="shared" si="66"/>
        <v>33923.020000000004</v>
      </c>
      <c r="O15" s="97">
        <f t="shared" si="66"/>
        <v>0</v>
      </c>
      <c r="P15" s="82">
        <f t="shared" ref="P15:R15" si="67">IF(BI15=0,SUM(Y15+AB15+AE15+AH15+AK15+AN15+AQ15+AT15+AW15+AZ15+BC15+BF15),BI15)</f>
        <v>0</v>
      </c>
      <c r="Q15" s="82">
        <f t="shared" si="67"/>
        <v>33923.020000000004</v>
      </c>
      <c r="R15" s="82">
        <f t="shared" si="67"/>
        <v>0</v>
      </c>
      <c r="S15" s="97">
        <f t="shared" ref="S15:T15" si="68">I15-M15</f>
        <v>5000</v>
      </c>
      <c r="T15" s="97">
        <f t="shared" si="68"/>
        <v>160986.29999999999</v>
      </c>
      <c r="U15" s="97">
        <f t="shared" si="60"/>
        <v>0</v>
      </c>
      <c r="V15" s="98">
        <f t="shared" ref="V15:W15" si="69">M15/I15</f>
        <v>0</v>
      </c>
      <c r="W15" s="98">
        <f t="shared" si="69"/>
        <v>0.17404514058127135</v>
      </c>
      <c r="X15" s="98" t="e">
        <f t="shared" si="23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533</v>
      </c>
      <c r="E16" s="92">
        <v>2000</v>
      </c>
      <c r="F16" s="116"/>
      <c r="G16" s="94">
        <f t="shared" si="16"/>
        <v>0</v>
      </c>
      <c r="H16" s="94">
        <f t="shared" si="17"/>
        <v>0</v>
      </c>
      <c r="I16" s="96"/>
      <c r="J16" s="117">
        <f>2600+2712.58</f>
        <v>5312.58</v>
      </c>
      <c r="K16" s="117"/>
      <c r="L16" s="118"/>
      <c r="M16" s="97">
        <f t="shared" ref="M16:O16" si="70">Y16+AB16+AE16+AH16+AK16+AN16+AQ16+AT16+AW16+AZ16+BC16+BF16</f>
        <v>0</v>
      </c>
      <c r="N16" s="97">
        <f t="shared" si="70"/>
        <v>0</v>
      </c>
      <c r="O16" s="97">
        <f t="shared" si="70"/>
        <v>0</v>
      </c>
      <c r="P16" s="82">
        <f t="shared" ref="P16:R16" si="71">IF(BI16=0,SUM(Y16+AB16+AE16+AH16+AK16+AN16+AQ16+AT16+AW16+AZ16+BC16+BF16),BI16)</f>
        <v>0</v>
      </c>
      <c r="Q16" s="82">
        <f t="shared" si="71"/>
        <v>0</v>
      </c>
      <c r="R16" s="82">
        <f t="shared" si="71"/>
        <v>0</v>
      </c>
      <c r="S16" s="97">
        <f t="shared" ref="S16:T16" si="72">I16-M16</f>
        <v>0</v>
      </c>
      <c r="T16" s="97">
        <f t="shared" si="72"/>
        <v>5312.58</v>
      </c>
      <c r="U16" s="97">
        <f t="shared" si="60"/>
        <v>0</v>
      </c>
      <c r="V16" s="98" t="e">
        <f t="shared" ref="V16:W16" si="73">M16/I16</f>
        <v>#DIV/0!</v>
      </c>
      <c r="W16" s="98">
        <f t="shared" si="73"/>
        <v>0</v>
      </c>
      <c r="X16" s="98" t="e">
        <f t="shared" si="23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534</v>
      </c>
      <c r="E17" s="123">
        <v>0</v>
      </c>
      <c r="F17" s="124">
        <v>0</v>
      </c>
      <c r="G17" s="94" t="e">
        <f t="shared" si="16"/>
        <v>#DIV/0!</v>
      </c>
      <c r="H17" s="94" t="e">
        <f t="shared" si="17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4">Y17+AB17+AE17+AH17+AK17+AN17+AQ17+AT17+AW17+AZ17+BC17+BF17</f>
        <v>0</v>
      </c>
      <c r="N17" s="97">
        <f t="shared" si="74"/>
        <v>12487.09</v>
      </c>
      <c r="O17" s="97">
        <f t="shared" si="74"/>
        <v>0</v>
      </c>
      <c r="P17" s="82">
        <f t="shared" ref="P17:R17" si="75">IF(BI17=0,SUM(Y17+AB17+AE17+AH17+AK17+AN17+AQ17+AT17+AW17+AZ17+BC17+BF17),BI17)</f>
        <v>0</v>
      </c>
      <c r="Q17" s="82">
        <f t="shared" si="75"/>
        <v>12487.09</v>
      </c>
      <c r="R17" s="82">
        <f t="shared" si="75"/>
        <v>0</v>
      </c>
      <c r="S17" s="97">
        <f t="shared" ref="S17:T17" si="76">I17-M17</f>
        <v>0</v>
      </c>
      <c r="T17" s="97">
        <f t="shared" si="76"/>
        <v>0</v>
      </c>
      <c r="U17" s="97">
        <f t="shared" si="60"/>
        <v>0</v>
      </c>
      <c r="V17" s="98" t="e">
        <f t="shared" ref="V17:W17" si="77">M17/I17</f>
        <v>#DIV/0!</v>
      </c>
      <c r="W17" s="98">
        <f t="shared" si="77"/>
        <v>1</v>
      </c>
      <c r="X17" s="98" t="e">
        <f t="shared" si="23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535</v>
      </c>
      <c r="E18" s="92">
        <v>309000</v>
      </c>
      <c r="F18" s="116"/>
      <c r="G18" s="94">
        <f t="shared" si="16"/>
        <v>0</v>
      </c>
      <c r="H18" s="94">
        <f t="shared" si="17"/>
        <v>0</v>
      </c>
      <c r="I18" s="96"/>
      <c r="J18" s="117">
        <v>93746.62</v>
      </c>
      <c r="K18" s="117"/>
      <c r="L18" s="118"/>
      <c r="M18" s="97">
        <f t="shared" ref="M18:O18" si="78">Y18+AB18+AE18+AH18+AK18+AN18+AQ18+AT18+AW18+AZ18+BC18+BF18</f>
        <v>0</v>
      </c>
      <c r="N18" s="97">
        <f t="shared" si="78"/>
        <v>53399.97</v>
      </c>
      <c r="O18" s="97">
        <f t="shared" si="78"/>
        <v>0</v>
      </c>
      <c r="P18" s="82">
        <f t="shared" ref="P18:Q18" si="79">IF(BI18=0,SUM(Y18+AB18+AE18+AH18+AK18+AN18+AQ18+AT18+AW18+AZ18+BC18+BF18),BI18)</f>
        <v>0</v>
      </c>
      <c r="Q18" s="82">
        <f t="shared" si="79"/>
        <v>53399.97</v>
      </c>
      <c r="R18" s="82"/>
      <c r="S18" s="97">
        <f t="shared" ref="S18:T18" si="80">I18-M18</f>
        <v>0</v>
      </c>
      <c r="T18" s="97">
        <f t="shared" si="80"/>
        <v>40346.649999999994</v>
      </c>
      <c r="U18" s="97">
        <f t="shared" si="60"/>
        <v>0</v>
      </c>
      <c r="V18" s="98" t="e">
        <f t="shared" ref="V18:W18" si="81">M18/I18</f>
        <v>#DIV/0!</v>
      </c>
      <c r="W18" s="98">
        <f t="shared" si="81"/>
        <v>0.56962021670754637</v>
      </c>
      <c r="X18" s="98" t="e">
        <f t="shared" si="23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536</v>
      </c>
      <c r="E19" s="92">
        <v>610000</v>
      </c>
      <c r="F19" s="116"/>
      <c r="G19" s="94">
        <f t="shared" si="16"/>
        <v>0</v>
      </c>
      <c r="H19" s="94">
        <f t="shared" si="17"/>
        <v>0</v>
      </c>
      <c r="I19" s="96"/>
      <c r="J19" s="117">
        <v>180180.54</v>
      </c>
      <c r="K19" s="117"/>
      <c r="L19" s="118"/>
      <c r="M19" s="97">
        <f t="shared" ref="M19:M66" si="82">Y19+AB19+AE19+AH19+AK19+AN19+AQ19+AT19+AW19+AZ19+BC19+BF19</f>
        <v>0</v>
      </c>
      <c r="N19" s="97">
        <f>Z19+AC19+AI19+AO19+AR19+AU19+AX19+BA19+BD19+BG19</f>
        <v>59125.919999999998</v>
      </c>
      <c r="O19" s="97">
        <f>AA19+AD19+AG19+AJ19+AM19+AP19+AS19+AV19+AY19+BB19+BE19+BH19</f>
        <v>0</v>
      </c>
      <c r="P19" s="82">
        <f t="shared" ref="P19:R19" si="83">IF(BI19=0,SUM(Y19+AB19+AE19+AH19+AK19+AN19+AQ19+AT19+AW19+AZ19+BC19+BF19),BI19)</f>
        <v>0</v>
      </c>
      <c r="Q19" s="82">
        <f t="shared" si="83"/>
        <v>106932.03</v>
      </c>
      <c r="R19" s="82">
        <f t="shared" si="83"/>
        <v>0</v>
      </c>
      <c r="S19" s="97">
        <f t="shared" ref="S19:T19" si="84">I19-M19</f>
        <v>0</v>
      </c>
      <c r="T19" s="97">
        <f t="shared" si="84"/>
        <v>121054.62000000001</v>
      </c>
      <c r="U19" s="97">
        <f t="shared" si="60"/>
        <v>0</v>
      </c>
      <c r="V19" s="98" t="e">
        <f t="shared" ref="V19:W19" si="85">M19/I19</f>
        <v>#DIV/0!</v>
      </c>
      <c r="W19" s="98">
        <f t="shared" si="85"/>
        <v>0.32814820068804318</v>
      </c>
      <c r="X19" s="98" t="e">
        <f t="shared" si="23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537</v>
      </c>
      <c r="E20" s="92">
        <v>43000</v>
      </c>
      <c r="F20" s="92"/>
      <c r="G20" s="94">
        <f t="shared" si="16"/>
        <v>0</v>
      </c>
      <c r="H20" s="94">
        <f t="shared" si="17"/>
        <v>0</v>
      </c>
      <c r="I20" s="96"/>
      <c r="J20" s="117">
        <v>20565.900000000001</v>
      </c>
      <c r="K20" s="117"/>
      <c r="L20" s="118"/>
      <c r="M20" s="97">
        <f t="shared" si="82"/>
        <v>0</v>
      </c>
      <c r="N20" s="97">
        <f t="shared" ref="N20:O20" si="86">Z20+AC20+AF20+AI20+AL20+AO20+AR20+AU20+AX20+BA20+BD20+BG20</f>
        <v>10385.68</v>
      </c>
      <c r="O20" s="97">
        <f t="shared" si="86"/>
        <v>0</v>
      </c>
      <c r="P20" s="82">
        <f t="shared" ref="P20:R20" si="87">IF(BI20=0,SUM(Y20+AB20+AE20+AH20+AK20+AN20+AQ20+AT20+AW20+AZ20+BC20+BF20),BI20)</f>
        <v>0</v>
      </c>
      <c r="Q20" s="82">
        <f t="shared" si="87"/>
        <v>10385.68</v>
      </c>
      <c r="R20" s="82">
        <f t="shared" si="87"/>
        <v>0</v>
      </c>
      <c r="S20" s="97">
        <f t="shared" ref="S20:T20" si="88">I20-M20</f>
        <v>0</v>
      </c>
      <c r="T20" s="97">
        <f t="shared" si="88"/>
        <v>10180.220000000001</v>
      </c>
      <c r="U20" s="97">
        <f t="shared" si="60"/>
        <v>0</v>
      </c>
      <c r="V20" s="98" t="e">
        <f t="shared" ref="V20:W20" si="89">M20/I20</f>
        <v>#DIV/0!</v>
      </c>
      <c r="W20" s="98">
        <f t="shared" si="89"/>
        <v>0.50499516189420346</v>
      </c>
      <c r="X20" s="98" t="e">
        <f t="shared" si="23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538</v>
      </c>
      <c r="E21" s="92">
        <v>2000</v>
      </c>
      <c r="F21" s="92"/>
      <c r="G21" s="94">
        <f t="shared" si="16"/>
        <v>0</v>
      </c>
      <c r="H21" s="94">
        <f t="shared" si="17"/>
        <v>0</v>
      </c>
      <c r="I21" s="96"/>
      <c r="J21" s="117">
        <v>1838.67</v>
      </c>
      <c r="K21" s="117"/>
      <c r="L21" s="118"/>
      <c r="M21" s="97">
        <f t="shared" si="82"/>
        <v>0</v>
      </c>
      <c r="N21" s="97">
        <f t="shared" ref="N21:O21" si="90">Z21+AC21+AF21+AI21+AL21+AO21+AR21+AU21+AX21+BA21+BD21+BG21</f>
        <v>0</v>
      </c>
      <c r="O21" s="97">
        <f t="shared" si="90"/>
        <v>0</v>
      </c>
      <c r="P21" s="82">
        <f t="shared" ref="P21:R21" si="91">IF(BI21=0,SUM(Y21+AB21+AE21+AH21+AK21+AN21+AQ21+AT21+AW21+AZ21+BC21+BF21),BI21)</f>
        <v>0</v>
      </c>
      <c r="Q21" s="82">
        <f t="shared" si="91"/>
        <v>0</v>
      </c>
      <c r="R21" s="82">
        <f t="shared" si="91"/>
        <v>0</v>
      </c>
      <c r="S21" s="97">
        <f t="shared" ref="S21:T21" si="92">I21-M21</f>
        <v>0</v>
      </c>
      <c r="T21" s="97">
        <f t="shared" si="92"/>
        <v>1838.67</v>
      </c>
      <c r="U21" s="97">
        <f t="shared" si="60"/>
        <v>0</v>
      </c>
      <c r="V21" s="98" t="e">
        <f t="shared" ref="V21:W21" si="93">M21/I21</f>
        <v>#DIV/0!</v>
      </c>
      <c r="W21" s="98">
        <f t="shared" si="93"/>
        <v>0</v>
      </c>
      <c r="X21" s="98" t="e">
        <f t="shared" si="23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539</v>
      </c>
      <c r="E22" s="92">
        <v>45000</v>
      </c>
      <c r="F22" s="116"/>
      <c r="G22" s="94">
        <f t="shared" si="16"/>
        <v>9.7643111111111097E-2</v>
      </c>
      <c r="H22" s="94">
        <f t="shared" si="17"/>
        <v>2.6038000000000002E-2</v>
      </c>
      <c r="I22" s="96">
        <v>4393.9399999999996</v>
      </c>
      <c r="J22" s="117">
        <v>16833.330000000002</v>
      </c>
      <c r="K22" s="117"/>
      <c r="L22" s="118"/>
      <c r="M22" s="97">
        <f t="shared" si="82"/>
        <v>1171.71</v>
      </c>
      <c r="N22" s="97">
        <f t="shared" ref="N22:O22" si="94">Z22+AC22+AF22+AI22+AL22+AO22+AR22+AU22+AX22+BA22+BD22+BG22</f>
        <v>13856.23</v>
      </c>
      <c r="O22" s="97">
        <f t="shared" si="94"/>
        <v>0</v>
      </c>
      <c r="P22" s="82">
        <f t="shared" ref="P22:R22" si="95">IF(BI22=0,SUM(Y22+AB22+AE22+AH22+AK22+AN22+AQ22+AT22+AW22+AZ22+BC22+BF22),BI22)</f>
        <v>1171.71</v>
      </c>
      <c r="Q22" s="82">
        <f t="shared" si="95"/>
        <v>13856.23</v>
      </c>
      <c r="R22" s="82">
        <f t="shared" si="95"/>
        <v>0</v>
      </c>
      <c r="S22" s="97">
        <f t="shared" ref="S22:T22" si="96">I22-M22</f>
        <v>3222.2299999999996</v>
      </c>
      <c r="T22" s="97">
        <f t="shared" si="96"/>
        <v>2977.1000000000022</v>
      </c>
      <c r="U22" s="97">
        <f t="shared" si="60"/>
        <v>0</v>
      </c>
      <c r="V22" s="98">
        <f t="shared" ref="V22:W22" si="97">M22/I22</f>
        <v>0.26666499770137964</v>
      </c>
      <c r="W22" s="98">
        <f t="shared" si="97"/>
        <v>0.82314253923614622</v>
      </c>
      <c r="X22" s="98" t="e">
        <f t="shared" si="23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540</v>
      </c>
      <c r="E23" s="92">
        <v>43000</v>
      </c>
      <c r="F23" s="116"/>
      <c r="G23" s="94">
        <f t="shared" si="16"/>
        <v>0</v>
      </c>
      <c r="H23" s="94">
        <f t="shared" si="17"/>
        <v>0</v>
      </c>
      <c r="I23" s="96"/>
      <c r="J23" s="117">
        <v>18798.599999999999</v>
      </c>
      <c r="K23" s="117"/>
      <c r="L23" s="118"/>
      <c r="M23" s="97">
        <f t="shared" si="82"/>
        <v>0</v>
      </c>
      <c r="N23" s="97">
        <f t="shared" ref="N23:O23" si="98">Z23+AC23+AF23+AI23+AL23+AO23+AR23+AU23+AX23+BA23+BD23+BG23</f>
        <v>10286.01</v>
      </c>
      <c r="O23" s="97">
        <f t="shared" si="98"/>
        <v>0</v>
      </c>
      <c r="P23" s="82">
        <f t="shared" ref="P23:R23" si="99">IF(BI23=0,SUM(Y23+AB23+AE23+AH23+AK23+AN23+AQ23+AT23+AW23+AZ23+BC23+BF23),BI23)</f>
        <v>0</v>
      </c>
      <c r="Q23" s="82">
        <f t="shared" si="99"/>
        <v>10286.01</v>
      </c>
      <c r="R23" s="82">
        <f t="shared" si="99"/>
        <v>0</v>
      </c>
      <c r="S23" s="97">
        <f t="shared" ref="S23:T23" si="100">I23-M23</f>
        <v>0</v>
      </c>
      <c r="T23" s="97">
        <f t="shared" si="100"/>
        <v>8512.5899999999983</v>
      </c>
      <c r="U23" s="97">
        <f t="shared" si="60"/>
        <v>0</v>
      </c>
      <c r="V23" s="98" t="e">
        <f t="shared" ref="V23:W23" si="101">M23/I23</f>
        <v>#DIV/0!</v>
      </c>
      <c r="W23" s="98">
        <f t="shared" si="101"/>
        <v>0.54716893811241263</v>
      </c>
      <c r="X23" s="98" t="e">
        <f t="shared" si="23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129"/>
      <c r="AJ23" s="129"/>
      <c r="AK23" s="96"/>
      <c r="AL23" s="129"/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6"/>
        <v>0</v>
      </c>
      <c r="H24" s="94"/>
      <c r="I24" s="96"/>
      <c r="J24" s="117"/>
      <c r="K24" s="117"/>
      <c r="L24" s="118"/>
      <c r="M24" s="97">
        <f t="shared" si="82"/>
        <v>0</v>
      </c>
      <c r="N24" s="97">
        <f t="shared" ref="N24:O24" si="102">Z24+AC24+AF24+AI24+AL24+AO24+AR24+AU24+AX24+BA24+BD24+BG24</f>
        <v>0</v>
      </c>
      <c r="O24" s="97">
        <f t="shared" si="102"/>
        <v>0</v>
      </c>
      <c r="P24" s="82">
        <f t="shared" ref="P24:R24" si="103">IF(BI24=0,SUM(Y24+AB24+AE24+AH24+AK24+AN24+AQ24+AT24+AW24+AZ24+BC24+BF24),BI24)</f>
        <v>0</v>
      </c>
      <c r="Q24" s="82">
        <f t="shared" si="103"/>
        <v>0</v>
      </c>
      <c r="R24" s="82">
        <f t="shared" si="103"/>
        <v>0</v>
      </c>
      <c r="S24" s="97">
        <f t="shared" ref="S24:T24" si="104">I24-M24</f>
        <v>0</v>
      </c>
      <c r="T24" s="97">
        <f t="shared" si="104"/>
        <v>0</v>
      </c>
      <c r="U24" s="97">
        <f t="shared" si="60"/>
        <v>0</v>
      </c>
      <c r="V24" s="98" t="e">
        <f t="shared" ref="V24:W24" si="105">M24/I24</f>
        <v>#DIV/0!</v>
      </c>
      <c r="W24" s="98" t="e">
        <f t="shared" si="105"/>
        <v>#DIV/0!</v>
      </c>
      <c r="X24" s="98" t="e">
        <f t="shared" si="23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541</v>
      </c>
      <c r="E25" s="92">
        <v>7000</v>
      </c>
      <c r="F25" s="92"/>
      <c r="G25" s="94">
        <f t="shared" si="16"/>
        <v>0</v>
      </c>
      <c r="H25" s="94">
        <f t="shared" ref="H25:H54" si="106">M25/E25</f>
        <v>0</v>
      </c>
      <c r="I25" s="96"/>
      <c r="J25" s="117">
        <v>5583.4</v>
      </c>
      <c r="K25" s="117"/>
      <c r="L25" s="118"/>
      <c r="M25" s="97">
        <f t="shared" si="82"/>
        <v>0</v>
      </c>
      <c r="N25" s="97">
        <f t="shared" ref="N25:O25" si="107">Z25+AC25+AF25+AI25+AL25+AO25+AR25+AU25+AX25+BA25+BD25+BG25</f>
        <v>5583.4</v>
      </c>
      <c r="O25" s="97">
        <f t="shared" si="107"/>
        <v>0</v>
      </c>
      <c r="P25" s="82">
        <f t="shared" ref="P25:R25" si="108">IF(BI25=0,SUM(Y25+AB25+AE25+AH25+AK25+AN25+AQ25+AT25+AW25+AZ25+BC25+BF25),BI25)</f>
        <v>0</v>
      </c>
      <c r="Q25" s="82">
        <f t="shared" si="108"/>
        <v>5583.4</v>
      </c>
      <c r="R25" s="82">
        <f t="shared" si="108"/>
        <v>0</v>
      </c>
      <c r="S25" s="97">
        <f t="shared" ref="S25:T25" si="109">I25-M25</f>
        <v>0</v>
      </c>
      <c r="T25" s="97">
        <f t="shared" si="109"/>
        <v>0</v>
      </c>
      <c r="U25" s="97">
        <f t="shared" si="60"/>
        <v>0</v>
      </c>
      <c r="V25" s="98" t="e">
        <f t="shared" ref="V25:W25" si="110">M25/I25</f>
        <v>#DIV/0!</v>
      </c>
      <c r="W25" s="98">
        <f t="shared" si="110"/>
        <v>1</v>
      </c>
      <c r="X25" s="98" t="e">
        <f t="shared" si="23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/>
      <c r="C26" s="101" t="s">
        <v>242</v>
      </c>
      <c r="D26" s="122" t="s">
        <v>542</v>
      </c>
      <c r="E26" s="116">
        <v>8404</v>
      </c>
      <c r="F26" s="116"/>
      <c r="G26" s="94">
        <f t="shared" si="16"/>
        <v>0</v>
      </c>
      <c r="H26" s="94">
        <f t="shared" si="106"/>
        <v>0</v>
      </c>
      <c r="I26" s="96"/>
      <c r="J26" s="117"/>
      <c r="K26" s="117"/>
      <c r="L26" s="118"/>
      <c r="M26" s="97">
        <f t="shared" si="82"/>
        <v>0</v>
      </c>
      <c r="N26" s="97">
        <f t="shared" ref="N26:O26" si="111">Z26+AC26+AF26+AI26+AL26+AO26+AR26+AU26+AX26+BA26+BD26+BG26</f>
        <v>0</v>
      </c>
      <c r="O26" s="97">
        <f t="shared" si="111"/>
        <v>0</v>
      </c>
      <c r="P26" s="82">
        <f t="shared" ref="P26:R26" si="112">IF(BI26=0,SUM(Y26+AB26+AE26+AH26+AK26+AN26+AQ26+AT26+AW26+AZ26+BC26+BF26),BI26)</f>
        <v>0</v>
      </c>
      <c r="Q26" s="82">
        <f t="shared" si="112"/>
        <v>0</v>
      </c>
      <c r="R26" s="82">
        <f t="shared" si="112"/>
        <v>0</v>
      </c>
      <c r="S26" s="97">
        <f t="shared" ref="S26:T26" si="113">I26-M26</f>
        <v>0</v>
      </c>
      <c r="T26" s="97">
        <f t="shared" si="113"/>
        <v>0</v>
      </c>
      <c r="U26" s="97">
        <f t="shared" si="60"/>
        <v>0</v>
      </c>
      <c r="V26" s="98" t="e">
        <f t="shared" ref="V26:W26" si="114">M26/I26</f>
        <v>#DIV/0!</v>
      </c>
      <c r="W26" s="98" t="e">
        <f t="shared" si="114"/>
        <v>#DIV/0!</v>
      </c>
      <c r="X26" s="98" t="e">
        <f t="shared" si="23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6"/>
        <v>0</v>
      </c>
      <c r="H27" s="94">
        <f t="shared" si="106"/>
        <v>0</v>
      </c>
      <c r="I27" s="96"/>
      <c r="J27" s="117">
        <v>13095</v>
      </c>
      <c r="K27" s="117"/>
      <c r="L27" s="118"/>
      <c r="M27" s="97">
        <f t="shared" si="82"/>
        <v>0</v>
      </c>
      <c r="N27" s="97">
        <f t="shared" ref="N27:O27" si="115">Z27+AC27+AF27+AI27+AL27+AO27+AR27+AU27+AX27+BA27+BD27+BG27</f>
        <v>13095</v>
      </c>
      <c r="O27" s="97">
        <f t="shared" si="115"/>
        <v>0</v>
      </c>
      <c r="P27" s="82">
        <f t="shared" ref="P27:R27" si="116">IF(BI27=0,SUM(Y27+AB27+AE27+AH27+AK27+AN27+AQ27+AT27+AW27+AZ27+BC27+BF27),BI27)</f>
        <v>0</v>
      </c>
      <c r="Q27" s="82">
        <f t="shared" si="116"/>
        <v>13095</v>
      </c>
      <c r="R27" s="82">
        <f t="shared" si="116"/>
        <v>0</v>
      </c>
      <c r="S27" s="97">
        <f t="shared" ref="S27:T27" si="117">I27-M27</f>
        <v>0</v>
      </c>
      <c r="T27" s="97">
        <f t="shared" si="117"/>
        <v>0</v>
      </c>
      <c r="U27" s="97">
        <f t="shared" si="60"/>
        <v>0</v>
      </c>
      <c r="V27" s="98" t="e">
        <f t="shared" ref="V27:W27" si="118">M27/I27</f>
        <v>#DIV/0!</v>
      </c>
      <c r="W27" s="98">
        <f t="shared" si="118"/>
        <v>1</v>
      </c>
      <c r="X27" s="98" t="e">
        <f t="shared" si="23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6"/>
        <v>0</v>
      </c>
      <c r="H28" s="94">
        <f t="shared" si="106"/>
        <v>0</v>
      </c>
      <c r="I28" s="96"/>
      <c r="J28" s="117">
        <v>16850</v>
      </c>
      <c r="K28" s="117"/>
      <c r="L28" s="118"/>
      <c r="M28" s="97">
        <f t="shared" si="82"/>
        <v>0</v>
      </c>
      <c r="N28" s="97">
        <f t="shared" ref="N28:O28" si="119">Z28+AC28+AF28+AI28+AL28+AO28+AR28+AU28+AX28+BA28+BD28+BG28</f>
        <v>5229.5</v>
      </c>
      <c r="O28" s="97">
        <f t="shared" si="119"/>
        <v>0</v>
      </c>
      <c r="P28" s="82">
        <f t="shared" ref="P28:R28" si="120">IF(BI28=0,SUM(Y28+AB28+AE28+AH28+AK28+AN28+AQ28+AT28+AW28+AZ28+BC28+BF28),BI28)</f>
        <v>0</v>
      </c>
      <c r="Q28" s="82">
        <f t="shared" si="120"/>
        <v>5229.5</v>
      </c>
      <c r="R28" s="82">
        <f t="shared" si="120"/>
        <v>0</v>
      </c>
      <c r="S28" s="97">
        <f t="shared" ref="S28:T28" si="121">I28-M28</f>
        <v>0</v>
      </c>
      <c r="T28" s="97">
        <f t="shared" si="121"/>
        <v>11620.5</v>
      </c>
      <c r="U28" s="97">
        <f t="shared" si="60"/>
        <v>0</v>
      </c>
      <c r="V28" s="98" t="e">
        <f t="shared" ref="V28:W28" si="122">M28/I28</f>
        <v>#DIV/0!</v>
      </c>
      <c r="W28" s="98">
        <f t="shared" si="122"/>
        <v>0.31035608308605339</v>
      </c>
      <c r="X28" s="98" t="e">
        <f t="shared" si="23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6"/>
        <v>0</v>
      </c>
      <c r="H29" s="94">
        <f t="shared" si="106"/>
        <v>0</v>
      </c>
      <c r="I29" s="96"/>
      <c r="J29" s="117"/>
      <c r="K29" s="117"/>
      <c r="L29" s="118"/>
      <c r="M29" s="97">
        <f t="shared" si="82"/>
        <v>0</v>
      </c>
      <c r="N29" s="97">
        <f t="shared" ref="N29:O29" si="123">Z29+AC29+AF29+AI29+AL29+AO29+AR29+AU29+AX29+BA29+BD29+BG29</f>
        <v>0</v>
      </c>
      <c r="O29" s="97">
        <f t="shared" si="123"/>
        <v>0</v>
      </c>
      <c r="P29" s="82">
        <f t="shared" ref="P29:R29" si="124">IF(BI29=0,SUM(Y29+AB29+AE29+AH29+AK29+AN29+AQ29+AT29+AW29+AZ29+BC29+BF29),BI29)</f>
        <v>0</v>
      </c>
      <c r="Q29" s="82">
        <f t="shared" si="124"/>
        <v>0</v>
      </c>
      <c r="R29" s="82">
        <f t="shared" si="124"/>
        <v>0</v>
      </c>
      <c r="S29" s="97">
        <f t="shared" ref="S29:T29" si="125">I29-M29</f>
        <v>0</v>
      </c>
      <c r="T29" s="97">
        <f t="shared" si="125"/>
        <v>0</v>
      </c>
      <c r="U29" s="97">
        <f t="shared" si="60"/>
        <v>0</v>
      </c>
      <c r="V29" s="98" t="e">
        <f t="shared" ref="V29:W29" si="126">M29/I29</f>
        <v>#DIV/0!</v>
      </c>
      <c r="W29" s="98" t="e">
        <f t="shared" si="126"/>
        <v>#DIV/0!</v>
      </c>
      <c r="X29" s="98" t="e">
        <f t="shared" si="23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543</v>
      </c>
      <c r="E30" s="92">
        <v>18404</v>
      </c>
      <c r="F30" s="92"/>
      <c r="G30" s="94">
        <f t="shared" si="16"/>
        <v>0</v>
      </c>
      <c r="H30" s="94">
        <f t="shared" si="106"/>
        <v>0</v>
      </c>
      <c r="I30" s="96"/>
      <c r="J30" s="117">
        <f>2515+5718.85</f>
        <v>8233.85</v>
      </c>
      <c r="K30" s="117"/>
      <c r="L30" s="118"/>
      <c r="M30" s="97">
        <f t="shared" si="82"/>
        <v>0</v>
      </c>
      <c r="N30" s="97">
        <f t="shared" ref="N30:O30" si="127">Z30+AC30+AF30+AI30+AL30+AO30+AR30+AU30+AX30+BA30+BD30+BG30</f>
        <v>0</v>
      </c>
      <c r="O30" s="97">
        <f t="shared" si="127"/>
        <v>0</v>
      </c>
      <c r="P30" s="82">
        <f t="shared" ref="P30:R30" si="128">IF(BI30=0,SUM(Y30+AB30+AE30+AH30+AK30+AN30+AQ30+AT30+AW30+AZ30+BC30+BF30),BI30)</f>
        <v>0</v>
      </c>
      <c r="Q30" s="82">
        <f t="shared" si="128"/>
        <v>0</v>
      </c>
      <c r="R30" s="82">
        <f t="shared" si="128"/>
        <v>0</v>
      </c>
      <c r="S30" s="97">
        <f t="shared" ref="S30:T30" si="129">I30-M30</f>
        <v>0</v>
      </c>
      <c r="T30" s="97">
        <f t="shared" si="129"/>
        <v>8233.85</v>
      </c>
      <c r="U30" s="97">
        <f t="shared" si="60"/>
        <v>0</v>
      </c>
      <c r="V30" s="98" t="e">
        <f t="shared" ref="V30:W30" si="130">M30/I30</f>
        <v>#DIV/0!</v>
      </c>
      <c r="W30" s="98">
        <f t="shared" si="130"/>
        <v>0</v>
      </c>
      <c r="X30" s="98" t="e">
        <f t="shared" si="23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490</v>
      </c>
      <c r="C31" s="101" t="s">
        <v>240</v>
      </c>
      <c r="D31" s="130" t="s">
        <v>544</v>
      </c>
      <c r="E31" s="92"/>
      <c r="F31" s="92"/>
      <c r="G31" s="94" t="e">
        <f t="shared" si="16"/>
        <v>#DIV/0!</v>
      </c>
      <c r="H31" s="94" t="e">
        <f t="shared" si="106"/>
        <v>#DIV/0!</v>
      </c>
      <c r="I31" s="96"/>
      <c r="J31" s="117">
        <f>977.38+2861.28</f>
        <v>3838.6600000000003</v>
      </c>
      <c r="K31" s="117"/>
      <c r="L31" s="118"/>
      <c r="M31" s="97">
        <f t="shared" si="82"/>
        <v>0</v>
      </c>
      <c r="N31" s="97">
        <f t="shared" ref="N31:O31" si="131">Z31+AC31+AF31+AI31+AL31+AO31+AR31+AU31+AX31+BA31+BD31+BG31</f>
        <v>0</v>
      </c>
      <c r="O31" s="97">
        <f t="shared" si="131"/>
        <v>0</v>
      </c>
      <c r="P31" s="82">
        <f t="shared" ref="P31:R31" si="132">IF(BI31=0,SUM(Y31+AB31+AE31+AH31+AK31+AN31+AQ31+AT31+AW31+AZ31+BC31+BF31),BI31)</f>
        <v>0</v>
      </c>
      <c r="Q31" s="82">
        <f t="shared" si="132"/>
        <v>0</v>
      </c>
      <c r="R31" s="82">
        <f t="shared" si="132"/>
        <v>0</v>
      </c>
      <c r="S31" s="97">
        <f t="shared" ref="S31:T31" si="133">I31-M31</f>
        <v>0</v>
      </c>
      <c r="T31" s="97">
        <f t="shared" si="133"/>
        <v>3838.6600000000003</v>
      </c>
      <c r="U31" s="97">
        <f t="shared" si="60"/>
        <v>0</v>
      </c>
      <c r="V31" s="98" t="e">
        <f t="shared" ref="V31:W31" si="134">M31/I31</f>
        <v>#DIV/0!</v>
      </c>
      <c r="W31" s="98">
        <f t="shared" si="134"/>
        <v>0</v>
      </c>
      <c r="X31" s="98" t="e">
        <f t="shared" si="23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545</v>
      </c>
      <c r="E32" s="92">
        <v>20000</v>
      </c>
      <c r="F32" s="92"/>
      <c r="G32" s="94">
        <f t="shared" si="16"/>
        <v>0</v>
      </c>
      <c r="H32" s="94">
        <f t="shared" si="106"/>
        <v>0</v>
      </c>
      <c r="I32" s="96"/>
      <c r="J32" s="117"/>
      <c r="K32" s="117"/>
      <c r="L32" s="118"/>
      <c r="M32" s="97">
        <f t="shared" si="82"/>
        <v>0</v>
      </c>
      <c r="N32" s="97">
        <f t="shared" ref="N32:O32" si="135">Z32+AC32+AF32+AI32+AL32+AO32+AR32+AU32+AX32+BA32+BD32+BG32</f>
        <v>0</v>
      </c>
      <c r="O32" s="97">
        <f t="shared" si="135"/>
        <v>0</v>
      </c>
      <c r="P32" s="82">
        <f t="shared" ref="P32:R32" si="136">IF(BI32=0,SUM(Y32+AB32+AE32+AH32+AK32+AN32+AQ32+AT32+AW32+AZ32+BC32+BF32),BI32)</f>
        <v>0</v>
      </c>
      <c r="Q32" s="82">
        <f t="shared" si="136"/>
        <v>0</v>
      </c>
      <c r="R32" s="82">
        <f t="shared" si="136"/>
        <v>0</v>
      </c>
      <c r="S32" s="97">
        <f t="shared" ref="S32:T32" si="137">I32-M32</f>
        <v>0</v>
      </c>
      <c r="T32" s="97">
        <f t="shared" si="137"/>
        <v>0</v>
      </c>
      <c r="U32" s="97">
        <f t="shared" si="60"/>
        <v>0</v>
      </c>
      <c r="V32" s="98" t="e">
        <f t="shared" ref="V32:W32" si="138">M32/I32</f>
        <v>#DIV/0!</v>
      </c>
      <c r="W32" s="98" t="e">
        <f t="shared" si="138"/>
        <v>#DIV/0!</v>
      </c>
      <c r="X32" s="98" t="e">
        <f t="shared" si="23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6"/>
        <v>0</v>
      </c>
      <c r="H33" s="94">
        <f t="shared" si="106"/>
        <v>0</v>
      </c>
      <c r="I33" s="96"/>
      <c r="J33" s="117">
        <v>3374.7</v>
      </c>
      <c r="K33" s="117"/>
      <c r="L33" s="118"/>
      <c r="M33" s="97">
        <f t="shared" si="82"/>
        <v>0</v>
      </c>
      <c r="N33" s="97">
        <f t="shared" ref="N33:O33" si="139">Z33+AC33+AF33+AI33+AL33+AO33+AR33+AU33+AX33+BA33+BD33+BG33</f>
        <v>3374.7</v>
      </c>
      <c r="O33" s="97">
        <f t="shared" si="139"/>
        <v>0</v>
      </c>
      <c r="P33" s="82">
        <f t="shared" ref="P33:R33" si="140">IF(BI33=0,SUM(Y33+AB33+AE33+AH33+AK33+AN33+AQ33+AT33+AW33+AZ33+BC33+BF33),BI33)</f>
        <v>0</v>
      </c>
      <c r="Q33" s="82">
        <f t="shared" si="140"/>
        <v>3374.7</v>
      </c>
      <c r="R33" s="82">
        <f t="shared" si="140"/>
        <v>0</v>
      </c>
      <c r="S33" s="97">
        <f t="shared" ref="S33:T33" si="141">I33-M33</f>
        <v>0</v>
      </c>
      <c r="T33" s="97">
        <f t="shared" si="141"/>
        <v>0</v>
      </c>
      <c r="U33" s="97">
        <f t="shared" si="60"/>
        <v>0</v>
      </c>
      <c r="V33" s="98" t="e">
        <f t="shared" ref="V33:W33" si="142">M33/I33</f>
        <v>#DIV/0!</v>
      </c>
      <c r="W33" s="98">
        <f t="shared" si="142"/>
        <v>1</v>
      </c>
      <c r="X33" s="98" t="e">
        <f t="shared" si="23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6"/>
        <v>0</v>
      </c>
      <c r="H34" s="94">
        <f t="shared" si="106"/>
        <v>0</v>
      </c>
      <c r="I34" s="133"/>
      <c r="J34" s="117">
        <v>4100</v>
      </c>
      <c r="K34" s="117"/>
      <c r="L34" s="118"/>
      <c r="M34" s="97">
        <f t="shared" si="82"/>
        <v>0</v>
      </c>
      <c r="N34" s="97">
        <f t="shared" ref="N34:O34" si="143">Z34+AC34+AF34+AI34+AL34+AO34+AR34+AU34+AX34+BA34+BD34+BG34</f>
        <v>0</v>
      </c>
      <c r="O34" s="97">
        <f t="shared" si="143"/>
        <v>0</v>
      </c>
      <c r="P34" s="82">
        <f t="shared" ref="P34:R34" si="144">IF(BI34=0,SUM(Y34+AB34+AE34+AH34+AK34+AN34+AQ34+AT34+AW34+AZ34+BC34+BF34),BI34)</f>
        <v>0</v>
      </c>
      <c r="Q34" s="82">
        <f t="shared" si="144"/>
        <v>0</v>
      </c>
      <c r="R34" s="82">
        <f t="shared" si="144"/>
        <v>0</v>
      </c>
      <c r="S34" s="134">
        <f t="shared" ref="S34:T34" si="145">I34-M34</f>
        <v>0</v>
      </c>
      <c r="T34" s="97">
        <f t="shared" si="145"/>
        <v>4100</v>
      </c>
      <c r="U34" s="97">
        <f t="shared" si="60"/>
        <v>0</v>
      </c>
      <c r="V34" s="98" t="e">
        <f t="shared" ref="V34:W34" si="146">M34/I34</f>
        <v>#DIV/0!</v>
      </c>
      <c r="W34" s="98">
        <f t="shared" si="146"/>
        <v>0</v>
      </c>
      <c r="X34" s="98" t="e">
        <f t="shared" si="23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120"/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6"/>
        <v>0</v>
      </c>
      <c r="H35" s="94">
        <f t="shared" si="106"/>
        <v>0</v>
      </c>
      <c r="I35" s="96"/>
      <c r="J35" s="117">
        <f>19903.04+4541.3+16240</f>
        <v>40684.339999999997</v>
      </c>
      <c r="K35" s="135">
        <v>16240</v>
      </c>
      <c r="L35" s="118"/>
      <c r="M35" s="97">
        <f t="shared" si="82"/>
        <v>0</v>
      </c>
      <c r="N35" s="97">
        <f t="shared" ref="N35:O35" si="147">Z35+AC35+AF35+AI35+AL35+AO35+AR35+AU35+AX35+BA35+BD35+BG35</f>
        <v>19903.04</v>
      </c>
      <c r="O35" s="97">
        <f t="shared" si="147"/>
        <v>0</v>
      </c>
      <c r="P35" s="82">
        <f t="shared" ref="P35:R35" si="148">IF(BI35=0,SUM(Y35+AB35+AE35+AH35+AK35+AN35+AQ35+AT35+AW35+AZ35+BC35+BF35),BI35)</f>
        <v>0</v>
      </c>
      <c r="Q35" s="82">
        <f t="shared" si="148"/>
        <v>19903.04</v>
      </c>
      <c r="R35" s="82">
        <f t="shared" si="148"/>
        <v>0</v>
      </c>
      <c r="S35" s="97">
        <f t="shared" ref="S35:T35" si="149">I35-M35</f>
        <v>0</v>
      </c>
      <c r="T35" s="97">
        <f t="shared" si="149"/>
        <v>20781.299999999996</v>
      </c>
      <c r="U35" s="97">
        <f t="shared" si="60"/>
        <v>0</v>
      </c>
      <c r="V35" s="98" t="e">
        <f t="shared" ref="V35:W35" si="150">M35/I35</f>
        <v>#DIV/0!</v>
      </c>
      <c r="W35" s="98">
        <f t="shared" si="150"/>
        <v>0.48920641209861099</v>
      </c>
      <c r="X35" s="98" t="e">
        <f t="shared" si="23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6"/>
        <v>#DIV/0!</v>
      </c>
      <c r="H36" s="94" t="e">
        <f t="shared" si="106"/>
        <v>#DIV/0!</v>
      </c>
      <c r="I36" s="96"/>
      <c r="J36" s="117">
        <v>949.5</v>
      </c>
      <c r="K36" s="117"/>
      <c r="L36" s="118"/>
      <c r="M36" s="97">
        <f t="shared" si="82"/>
        <v>0</v>
      </c>
      <c r="N36" s="97">
        <f t="shared" ref="N36:O36" si="151">Z36+AC36+AF36+AI36+AL36+AO36+AR36+AU36+AX36+BA36+BD36+BG36</f>
        <v>949.5</v>
      </c>
      <c r="O36" s="97">
        <f t="shared" si="151"/>
        <v>0</v>
      </c>
      <c r="P36" s="82">
        <f t="shared" ref="P36:R36" si="152">IF(BI36=0,SUM(Y36+AB36+AE36+AH36+AK36+AN36+AQ36+AT36+AW36+AZ36+BC36+BF36),BI36)</f>
        <v>0</v>
      </c>
      <c r="Q36" s="82">
        <f t="shared" si="152"/>
        <v>949.5</v>
      </c>
      <c r="R36" s="82">
        <f t="shared" si="152"/>
        <v>0</v>
      </c>
      <c r="S36" s="97">
        <f t="shared" ref="S36:T36" si="153">I36-M36</f>
        <v>0</v>
      </c>
      <c r="T36" s="97">
        <f t="shared" si="153"/>
        <v>0</v>
      </c>
      <c r="U36" s="97">
        <f t="shared" si="60"/>
        <v>0</v>
      </c>
      <c r="V36" s="98" t="e">
        <f t="shared" ref="V36:W36" si="154">M36/I36</f>
        <v>#DIV/0!</v>
      </c>
      <c r="W36" s="98">
        <f t="shared" si="154"/>
        <v>1</v>
      </c>
      <c r="X36" s="98" t="e">
        <f t="shared" si="23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6"/>
        <v>0</v>
      </c>
      <c r="H37" s="94">
        <f t="shared" si="106"/>
        <v>0</v>
      </c>
      <c r="I37" s="96"/>
      <c r="J37" s="358">
        <v>50813</v>
      </c>
      <c r="K37" s="117"/>
      <c r="L37" s="118"/>
      <c r="M37" s="97">
        <f t="shared" si="82"/>
        <v>0</v>
      </c>
      <c r="N37" s="97">
        <f t="shared" ref="N37:O37" si="155">Z37+AC37+AF37+AI37+AL37+AO37+AR37+AU37+AX37+BA37+BD37+BG37</f>
        <v>0</v>
      </c>
      <c r="O37" s="97">
        <f t="shared" si="155"/>
        <v>0</v>
      </c>
      <c r="P37" s="82">
        <f t="shared" ref="P37:R37" si="156">IF(BI37=0,SUM(Y37+AB37+AE37+AH37+AK37+AN37+AQ37+AT37+AW37+AZ37+BC37+BF37),BI37)</f>
        <v>0</v>
      </c>
      <c r="Q37" s="82">
        <f t="shared" si="156"/>
        <v>0</v>
      </c>
      <c r="R37" s="82">
        <f t="shared" si="156"/>
        <v>0</v>
      </c>
      <c r="S37" s="97">
        <f t="shared" ref="S37:T37" si="157">I37-M37</f>
        <v>0</v>
      </c>
      <c r="T37" s="97">
        <f t="shared" si="157"/>
        <v>50813</v>
      </c>
      <c r="U37" s="97">
        <f t="shared" si="60"/>
        <v>0</v>
      </c>
      <c r="V37" s="98" t="e">
        <f t="shared" ref="V37:W37" si="158">M37/I37</f>
        <v>#DIV/0!</v>
      </c>
      <c r="W37" s="98">
        <f t="shared" si="158"/>
        <v>0</v>
      </c>
      <c r="X37" s="98" t="e">
        <f t="shared" si="23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6"/>
        <v>0</v>
      </c>
      <c r="H38" s="94">
        <f t="shared" si="106"/>
        <v>0</v>
      </c>
      <c r="I38" s="96"/>
      <c r="J38" s="117"/>
      <c r="K38" s="117"/>
      <c r="L38" s="118"/>
      <c r="M38" s="97">
        <f t="shared" si="82"/>
        <v>0</v>
      </c>
      <c r="N38" s="97">
        <f t="shared" ref="N38:O38" si="159">Z38+AC38+AF38+AI38+AL38+AO38+AR38+AU38+AX38+BA38+BD38+BG38</f>
        <v>0</v>
      </c>
      <c r="O38" s="97">
        <f t="shared" si="159"/>
        <v>0</v>
      </c>
      <c r="P38" s="82">
        <f t="shared" ref="P38:R38" si="160">IF(BI38=0,SUM(Y38+AB38+AE38+AH38+AK38+AN38+AQ38+AT38+AW38+AZ38+BC38+BF38),BI38)</f>
        <v>0</v>
      </c>
      <c r="Q38" s="82">
        <f t="shared" si="160"/>
        <v>0</v>
      </c>
      <c r="R38" s="82">
        <f t="shared" si="160"/>
        <v>0</v>
      </c>
      <c r="S38" s="97">
        <f t="shared" ref="S38:T38" si="161">I38-M38</f>
        <v>0</v>
      </c>
      <c r="T38" s="97">
        <f t="shared" si="161"/>
        <v>0</v>
      </c>
      <c r="U38" s="97">
        <f t="shared" si="60"/>
        <v>0</v>
      </c>
      <c r="V38" s="98" t="e">
        <f t="shared" ref="V38:W38" si="162">M38/I38</f>
        <v>#DIV/0!</v>
      </c>
      <c r="W38" s="98" t="e">
        <f t="shared" si="162"/>
        <v>#DIV/0!</v>
      </c>
      <c r="X38" s="98" t="e">
        <f t="shared" si="23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546</v>
      </c>
      <c r="E39" s="116">
        <v>2344.5</v>
      </c>
      <c r="F39" s="92"/>
      <c r="G39" s="94">
        <f t="shared" si="16"/>
        <v>0</v>
      </c>
      <c r="H39" s="94">
        <f t="shared" si="106"/>
        <v>0</v>
      </c>
      <c r="I39" s="96"/>
      <c r="J39" s="117">
        <v>1424.02</v>
      </c>
      <c r="K39" s="117"/>
      <c r="L39" s="118"/>
      <c r="M39" s="97">
        <f t="shared" si="82"/>
        <v>0</v>
      </c>
      <c r="N39" s="97">
        <f t="shared" ref="N39:O39" si="163">Z39+AC39+AF39+AI39+AL39+AO39+AR39+AU39+AX39+BA39+BD39+BG39</f>
        <v>0</v>
      </c>
      <c r="O39" s="97">
        <f t="shared" si="163"/>
        <v>0</v>
      </c>
      <c r="P39" s="82">
        <f t="shared" ref="P39:R39" si="164">IF(BI39=0,SUM(Y39+AB39+AE39+AH39+AK39+AN39+AQ39+AT39+AW39+AZ39+BC39+BF39),BI39)</f>
        <v>0</v>
      </c>
      <c r="Q39" s="82">
        <f t="shared" si="164"/>
        <v>0</v>
      </c>
      <c r="R39" s="82">
        <f t="shared" si="164"/>
        <v>0</v>
      </c>
      <c r="S39" s="97">
        <f t="shared" ref="S39:T39" si="165">I39-M39</f>
        <v>0</v>
      </c>
      <c r="T39" s="97">
        <f t="shared" si="165"/>
        <v>1424.02</v>
      </c>
      <c r="U39" s="97">
        <f t="shared" si="60"/>
        <v>0</v>
      </c>
      <c r="V39" s="98" t="e">
        <f t="shared" ref="V39:W39" si="166">M39/I39</f>
        <v>#DIV/0!</v>
      </c>
      <c r="W39" s="98">
        <f t="shared" si="166"/>
        <v>0</v>
      </c>
      <c r="X39" s="98" t="e">
        <f t="shared" si="23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6"/>
        <v>1.7454999999999998E-2</v>
      </c>
      <c r="H40" s="94">
        <f t="shared" si="106"/>
        <v>1.805E-3</v>
      </c>
      <c r="I40" s="96">
        <v>34.909999999999997</v>
      </c>
      <c r="J40" s="117">
        <v>576.45000000000005</v>
      </c>
      <c r="K40" s="117"/>
      <c r="L40" s="118"/>
      <c r="M40" s="97">
        <f t="shared" si="82"/>
        <v>3.61</v>
      </c>
      <c r="N40" s="97">
        <f t="shared" ref="N40:O40" si="167">Z40+AC40+AF40+AI40+AL40+AO40+AR40+AU40+AX40+BA40+BD40+BG40</f>
        <v>0</v>
      </c>
      <c r="O40" s="97">
        <f t="shared" si="167"/>
        <v>0</v>
      </c>
      <c r="P40" s="82">
        <f t="shared" ref="P40:R40" si="168">IF(BI40=0,SUM(Y40+AB40+AE40+AH40+AK40+AN40+AQ40+AT40+AW40+AZ40+BC40+BF40),BI40)</f>
        <v>3.61</v>
      </c>
      <c r="Q40" s="82">
        <f t="shared" si="168"/>
        <v>0</v>
      </c>
      <c r="R40" s="82">
        <f t="shared" si="168"/>
        <v>0</v>
      </c>
      <c r="S40" s="97">
        <f t="shared" ref="S40:T40" si="169">I40-M40</f>
        <v>31.299999999999997</v>
      </c>
      <c r="T40" s="97">
        <f t="shared" si="169"/>
        <v>576.45000000000005</v>
      </c>
      <c r="U40" s="97">
        <f t="shared" si="60"/>
        <v>0</v>
      </c>
      <c r="V40" s="98">
        <f t="shared" ref="V40:W40" si="170">M40/I40</f>
        <v>0.10340876539673446</v>
      </c>
      <c r="W40" s="98">
        <f t="shared" si="170"/>
        <v>0</v>
      </c>
      <c r="X40" s="98" t="e">
        <f t="shared" si="23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547</v>
      </c>
      <c r="B41" s="114"/>
      <c r="C41" s="101" t="s">
        <v>268</v>
      </c>
      <c r="D41" s="91" t="s">
        <v>548</v>
      </c>
      <c r="E41" s="116">
        <f>5000+1000</f>
        <v>6000</v>
      </c>
      <c r="F41" s="92"/>
      <c r="G41" s="94">
        <f t="shared" si="16"/>
        <v>9.166666666666666E-2</v>
      </c>
      <c r="H41" s="94">
        <f t="shared" si="106"/>
        <v>9.166666666666666E-2</v>
      </c>
      <c r="I41" s="103">
        <v>550</v>
      </c>
      <c r="J41" s="117"/>
      <c r="K41" s="117"/>
      <c r="L41" s="118"/>
      <c r="M41" s="97">
        <f t="shared" si="82"/>
        <v>550</v>
      </c>
      <c r="N41" s="97">
        <f t="shared" ref="N41:O41" si="171">Z41+AC41+AF41+AI41+AL41+AO41+AR41+AU41+AX41+BA41+BD41+BG41</f>
        <v>0</v>
      </c>
      <c r="O41" s="97">
        <f t="shared" si="171"/>
        <v>0</v>
      </c>
      <c r="P41" s="82">
        <f t="shared" ref="P41:R41" si="172">IF(BI41=0,SUM(Y41+AB41+AE41+AH41+AK41+AN41+AQ41+AT41+AW41+AZ41+BC41+BF41),BI41)</f>
        <v>550</v>
      </c>
      <c r="Q41" s="82">
        <f t="shared" si="172"/>
        <v>0</v>
      </c>
      <c r="R41" s="82">
        <f t="shared" si="172"/>
        <v>0</v>
      </c>
      <c r="S41" s="97">
        <f t="shared" ref="S41:T41" si="173">I41-M41</f>
        <v>0</v>
      </c>
      <c r="T41" s="97">
        <f t="shared" si="173"/>
        <v>0</v>
      </c>
      <c r="U41" s="97">
        <f t="shared" si="60"/>
        <v>0</v>
      </c>
      <c r="V41" s="98">
        <f t="shared" ref="V41:W41" si="174">M41/I41</f>
        <v>1</v>
      </c>
      <c r="W41" s="98" t="e">
        <f t="shared" si="174"/>
        <v>#DIV/0!</v>
      </c>
      <c r="X41" s="98" t="e">
        <f t="shared" si="23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549</v>
      </c>
      <c r="E42" s="116">
        <v>30000</v>
      </c>
      <c r="F42" s="92"/>
      <c r="G42" s="94">
        <f t="shared" si="16"/>
        <v>0.58333333333333337</v>
      </c>
      <c r="H42" s="94">
        <f t="shared" si="106"/>
        <v>0</v>
      </c>
      <c r="I42" s="96">
        <f>17500</f>
        <v>17500</v>
      </c>
      <c r="J42" s="135">
        <v>362.4</v>
      </c>
      <c r="K42" s="117"/>
      <c r="L42" s="118"/>
      <c r="M42" s="97">
        <f t="shared" si="82"/>
        <v>0</v>
      </c>
      <c r="N42" s="97">
        <f t="shared" ref="N42:O42" si="175">Z42+AC42+AF42+AI42+AL42+AO42+AR42+AU42+AX42+BA42+BD42+BG42</f>
        <v>0</v>
      </c>
      <c r="O42" s="97">
        <f t="shared" si="175"/>
        <v>0</v>
      </c>
      <c r="P42" s="82">
        <f t="shared" ref="P42:R42" si="176">IF(BI42=0,SUM(Y42+AB42+AE42+AH42+AK42+AN42+AQ42+AT42+AW42+AZ42+BC42+BF42),BI42)</f>
        <v>0</v>
      </c>
      <c r="Q42" s="82">
        <f t="shared" si="176"/>
        <v>0</v>
      </c>
      <c r="R42" s="82">
        <f t="shared" si="176"/>
        <v>0</v>
      </c>
      <c r="S42" s="97">
        <f t="shared" ref="S42:T42" si="177">I42-M42</f>
        <v>17500</v>
      </c>
      <c r="T42" s="97">
        <f t="shared" si="177"/>
        <v>362.4</v>
      </c>
      <c r="U42" s="97">
        <f t="shared" si="60"/>
        <v>0</v>
      </c>
      <c r="V42" s="98">
        <f t="shared" ref="V42:W42" si="178">M42/I42</f>
        <v>0</v>
      </c>
      <c r="W42" s="98">
        <f t="shared" si="178"/>
        <v>0</v>
      </c>
      <c r="X42" s="98" t="e">
        <f t="shared" si="23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6"/>
        <v>0</v>
      </c>
      <c r="H43" s="94">
        <f t="shared" si="106"/>
        <v>0</v>
      </c>
      <c r="I43" s="96"/>
      <c r="J43" s="117">
        <f>1256.9+740+1407.15+678.68+610.54+4654.38+742.72+1006.2+186.96</f>
        <v>11283.53</v>
      </c>
      <c r="K43" s="117"/>
      <c r="L43" s="118"/>
      <c r="M43" s="97">
        <f t="shared" si="82"/>
        <v>0</v>
      </c>
      <c r="N43" s="97">
        <f t="shared" ref="N43:O43" si="179">Z43+AC43+AF43+AI43+AL43+AO43+AR43+AU43+AX43+BA43+BD43+BG43</f>
        <v>3702.5699999999997</v>
      </c>
      <c r="O43" s="97">
        <f t="shared" si="179"/>
        <v>0</v>
      </c>
      <c r="P43" s="82">
        <f t="shared" ref="P43:R43" si="180">IF(BI43=0,SUM(Y43+AB43+AE43+AH43+AK43+AN43+AQ43+AT43+AW43+AZ43+BC43+BF43),BI43)</f>
        <v>0</v>
      </c>
      <c r="Q43" s="82">
        <f t="shared" si="180"/>
        <v>3702.5699999999997</v>
      </c>
      <c r="R43" s="82">
        <f t="shared" si="180"/>
        <v>0</v>
      </c>
      <c r="S43" s="97">
        <f t="shared" ref="S43:T43" si="181">I43-M43</f>
        <v>0</v>
      </c>
      <c r="T43" s="97">
        <f t="shared" si="181"/>
        <v>7580.9600000000009</v>
      </c>
      <c r="U43" s="97">
        <f t="shared" si="60"/>
        <v>0</v>
      </c>
      <c r="V43" s="98" t="e">
        <f t="shared" ref="V43:W43" si="182">M43/I43</f>
        <v>#DIV/0!</v>
      </c>
      <c r="W43" s="98">
        <f t="shared" si="182"/>
        <v>0.32813933228342546</v>
      </c>
      <c r="X43" s="98" t="e">
        <f t="shared" si="23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550</v>
      </c>
      <c r="B44" s="141" t="s">
        <v>551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6"/>
        <v>0.27238083333333329</v>
      </c>
      <c r="H44" s="94">
        <f t="shared" si="106"/>
        <v>0</v>
      </c>
      <c r="I44" s="142">
        <f>1890+2443+727.8+5511.95+3821.32+104.82+319.96+1524</f>
        <v>16342.849999999999</v>
      </c>
      <c r="J44" s="117">
        <f>4740+413+1266+3806.39</f>
        <v>10225.39</v>
      </c>
      <c r="K44" s="117"/>
      <c r="L44" s="118"/>
      <c r="M44" s="97">
        <f t="shared" si="82"/>
        <v>0</v>
      </c>
      <c r="N44" s="97">
        <f t="shared" ref="N44:O44" si="183">Z44+AC44+AF44+AI44+AL44+AO44+AR44+AU44+AX44+BA44+BD44+BG44</f>
        <v>4740</v>
      </c>
      <c r="O44" s="97">
        <f t="shared" si="183"/>
        <v>0</v>
      </c>
      <c r="P44" s="82">
        <f t="shared" ref="P44:R44" si="184">IF(BI44=0,SUM(Y44+AB44+AE44+AH44+AK44+AN44+AQ44+AT44+AW44+AZ44+BC44+BF44),BI44)</f>
        <v>0</v>
      </c>
      <c r="Q44" s="82">
        <f t="shared" si="184"/>
        <v>4740</v>
      </c>
      <c r="R44" s="82">
        <f t="shared" si="184"/>
        <v>0</v>
      </c>
      <c r="S44" s="97">
        <f t="shared" ref="S44:T44" si="185">I44-M44</f>
        <v>16342.849999999999</v>
      </c>
      <c r="T44" s="97">
        <f t="shared" si="185"/>
        <v>5485.3899999999994</v>
      </c>
      <c r="U44" s="97">
        <f t="shared" si="60"/>
        <v>0</v>
      </c>
      <c r="V44" s="98">
        <f t="shared" ref="V44:W44" si="186">M44/I44</f>
        <v>0</v>
      </c>
      <c r="W44" s="98">
        <f t="shared" si="186"/>
        <v>0.46355200143955394</v>
      </c>
      <c r="X44" s="98" t="e">
        <f t="shared" si="23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111"/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6"/>
        <v>0</v>
      </c>
      <c r="H45" s="94">
        <f t="shared" si="106"/>
        <v>0</v>
      </c>
      <c r="I45" s="96"/>
      <c r="J45" s="358">
        <v>30000</v>
      </c>
      <c r="K45" s="117"/>
      <c r="L45" s="118"/>
      <c r="M45" s="97">
        <f t="shared" si="82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87">IF(BI45=0,SUM(Y45+AB45+AE45+AH45+AK45+AN45+AQ45+AT45+AW45+AZ45+BC45+BF45),BI45)</f>
        <v>0</v>
      </c>
      <c r="Q45" s="82">
        <f t="shared" si="187"/>
        <v>0</v>
      </c>
      <c r="R45" s="82">
        <f t="shared" si="187"/>
        <v>0</v>
      </c>
      <c r="S45" s="97">
        <f t="shared" ref="S45:T45" si="188">I45-M45</f>
        <v>0</v>
      </c>
      <c r="T45" s="97">
        <f t="shared" si="188"/>
        <v>30000</v>
      </c>
      <c r="U45" s="97">
        <f t="shared" si="60"/>
        <v>0</v>
      </c>
      <c r="V45" s="98" t="e">
        <f t="shared" ref="V45:W45" si="189">M45/I45</f>
        <v>#DIV/0!</v>
      </c>
      <c r="W45" s="98">
        <f t="shared" si="189"/>
        <v>0</v>
      </c>
      <c r="X45" s="98" t="e">
        <f t="shared" si="23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552</v>
      </c>
      <c r="E46" s="116"/>
      <c r="F46" s="93"/>
      <c r="G46" s="94" t="e">
        <f t="shared" si="16"/>
        <v>#DIV/0!</v>
      </c>
      <c r="H46" s="94" t="e">
        <f t="shared" si="106"/>
        <v>#DIV/0!</v>
      </c>
      <c r="I46" s="96"/>
      <c r="J46" s="117">
        <v>22098.39</v>
      </c>
      <c r="K46" s="117"/>
      <c r="L46" s="118"/>
      <c r="M46" s="97">
        <f t="shared" si="82"/>
        <v>0</v>
      </c>
      <c r="N46" s="97">
        <f t="shared" ref="N46:O46" si="190">Z46+AC46+AF46+AI46+AL46+AO46+AR46+AU46+AX46+BA46+BD46+BG46</f>
        <v>8367.65</v>
      </c>
      <c r="O46" s="97">
        <f t="shared" si="190"/>
        <v>0</v>
      </c>
      <c r="P46" s="82">
        <f t="shared" ref="P46:R46" si="191">IF(BI46=0,SUM(Y46+AB46+AE46+AH46+AK46+AN46+AQ46+AT46+AW46+AZ46+BC46+BF46),BI46)</f>
        <v>0</v>
      </c>
      <c r="Q46" s="82">
        <f t="shared" si="191"/>
        <v>8367.65</v>
      </c>
      <c r="R46" s="82">
        <f t="shared" si="191"/>
        <v>0</v>
      </c>
      <c r="S46" s="97">
        <f t="shared" ref="S46:T46" si="192">I46-M46</f>
        <v>0</v>
      </c>
      <c r="T46" s="97">
        <f t="shared" si="192"/>
        <v>13730.74</v>
      </c>
      <c r="U46" s="97">
        <f t="shared" si="60"/>
        <v>0</v>
      </c>
      <c r="V46" s="98" t="e">
        <f t="shared" ref="V46:W46" si="193">M46/I46</f>
        <v>#DIV/0!</v>
      </c>
      <c r="W46" s="98">
        <f t="shared" si="193"/>
        <v>0.37865428205403201</v>
      </c>
      <c r="X46" s="98" t="e">
        <f t="shared" si="23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553</v>
      </c>
      <c r="C47" s="101" t="s">
        <v>278</v>
      </c>
      <c r="D47" s="91" t="s">
        <v>554</v>
      </c>
      <c r="E47" s="116"/>
      <c r="F47" s="92"/>
      <c r="G47" s="94" t="e">
        <f t="shared" si="16"/>
        <v>#DIV/0!</v>
      </c>
      <c r="H47" s="94" t="e">
        <f t="shared" si="106"/>
        <v>#DIV/0!</v>
      </c>
      <c r="I47" s="96"/>
      <c r="J47" s="117">
        <f>50068.66+42203.34</f>
        <v>92272</v>
      </c>
      <c r="K47" s="117"/>
      <c r="L47" s="96"/>
      <c r="M47" s="97">
        <f t="shared" si="82"/>
        <v>0</v>
      </c>
      <c r="N47" s="97">
        <f t="shared" ref="N47:O47" si="194">Z47+AC47+AF47+AI47+AL47+AO47+AR47+AU47+AX47+BA47+BD47+BG47</f>
        <v>66585.66</v>
      </c>
      <c r="O47" s="97">
        <f t="shared" si="194"/>
        <v>0</v>
      </c>
      <c r="P47" s="82">
        <f t="shared" ref="P47:R47" si="195">IF(BI47=0,SUM(Y47+AB47+AE47+AH47+AK47+AN47+AQ47+AT47+AW47+AZ47+BC47+BF47),BI47)</f>
        <v>0</v>
      </c>
      <c r="Q47" s="82">
        <f t="shared" si="195"/>
        <v>66585.66</v>
      </c>
      <c r="R47" s="82">
        <f t="shared" si="195"/>
        <v>0</v>
      </c>
      <c r="S47" s="97">
        <f t="shared" ref="S47:T47" si="196">I47-M47</f>
        <v>0</v>
      </c>
      <c r="T47" s="97">
        <f t="shared" si="196"/>
        <v>25686.339999999997</v>
      </c>
      <c r="U47" s="97">
        <f t="shared" si="60"/>
        <v>0</v>
      </c>
      <c r="V47" s="98" t="e">
        <f t="shared" ref="V47:W47" si="197">M47/I47</f>
        <v>#DIV/0!</v>
      </c>
      <c r="W47" s="98">
        <f t="shared" si="197"/>
        <v>0.72162367782209125</v>
      </c>
      <c r="X47" s="98" t="e">
        <f t="shared" si="23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555</v>
      </c>
      <c r="E48" s="116"/>
      <c r="F48" s="92"/>
      <c r="G48" s="94" t="e">
        <f t="shared" si="16"/>
        <v>#DIV/0!</v>
      </c>
      <c r="H48" s="94" t="e">
        <f t="shared" si="106"/>
        <v>#DIV/0!</v>
      </c>
      <c r="I48" s="96"/>
      <c r="J48" s="117">
        <v>6782.31</v>
      </c>
      <c r="K48" s="117"/>
      <c r="L48" s="96"/>
      <c r="M48" s="97">
        <f t="shared" si="82"/>
        <v>0</v>
      </c>
      <c r="N48" s="97">
        <f t="shared" ref="N48:O48" si="198">Z48+AC48+AF48+AI48+AL48+AO48+AR48+AU48+AX48+BA48+BD48+BG48</f>
        <v>6782.31</v>
      </c>
      <c r="O48" s="97">
        <f t="shared" si="198"/>
        <v>0</v>
      </c>
      <c r="P48" s="82">
        <f t="shared" ref="P48:R48" si="199">IF(BI48=0,SUM(Y48+AB48+AE48+AH48+AK48+AN48+AQ48+AT48+AW48+AZ48+BC48+BF48),BI48)</f>
        <v>0</v>
      </c>
      <c r="Q48" s="82">
        <f t="shared" si="199"/>
        <v>6782.31</v>
      </c>
      <c r="R48" s="82">
        <f t="shared" si="199"/>
        <v>0</v>
      </c>
      <c r="S48" s="97">
        <f t="shared" ref="S48:T48" si="200">I48-M48</f>
        <v>0</v>
      </c>
      <c r="T48" s="97">
        <f t="shared" si="200"/>
        <v>0</v>
      </c>
      <c r="U48" s="97">
        <f t="shared" si="60"/>
        <v>0</v>
      </c>
      <c r="V48" s="98" t="e">
        <f t="shared" ref="V48:W48" si="201">M48/I48</f>
        <v>#DIV/0!</v>
      </c>
      <c r="W48" s="98">
        <f t="shared" si="201"/>
        <v>1</v>
      </c>
      <c r="X48" s="98" t="e">
        <f t="shared" si="23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556</v>
      </c>
      <c r="E49" s="116"/>
      <c r="F49" s="92"/>
      <c r="G49" s="94" t="e">
        <f t="shared" si="16"/>
        <v>#DIV/0!</v>
      </c>
      <c r="H49" s="94" t="e">
        <f t="shared" si="106"/>
        <v>#DIV/0!</v>
      </c>
      <c r="I49" s="133"/>
      <c r="J49" s="117">
        <f>51880+30383</f>
        <v>82263</v>
      </c>
      <c r="K49" s="117"/>
      <c r="L49" s="96"/>
      <c r="M49" s="97">
        <f t="shared" si="82"/>
        <v>0</v>
      </c>
      <c r="N49" s="97">
        <f t="shared" ref="N49:O49" si="202">Z49+AC49+AF49+AI49+AL49+AO49+AR49+AU49+AX49+BA49+BD49+BG49</f>
        <v>82263</v>
      </c>
      <c r="O49" s="97">
        <f t="shared" si="202"/>
        <v>0</v>
      </c>
      <c r="P49" s="82">
        <f t="shared" ref="P49:R49" si="203">IF(BI49=0,SUM(Y49+AB49+AE49+AH49+AK49+AN49+AQ49+AT49+AW49+AZ49+BC49+BF49),BI49)</f>
        <v>0</v>
      </c>
      <c r="Q49" s="82">
        <f t="shared" si="203"/>
        <v>82263</v>
      </c>
      <c r="R49" s="82">
        <f t="shared" si="203"/>
        <v>0</v>
      </c>
      <c r="S49" s="97">
        <f t="shared" ref="S49:T49" si="204">I49-M49</f>
        <v>0</v>
      </c>
      <c r="T49" s="97">
        <f t="shared" si="204"/>
        <v>0</v>
      </c>
      <c r="U49" s="97">
        <f t="shared" si="60"/>
        <v>0</v>
      </c>
      <c r="V49" s="98" t="e">
        <f t="shared" ref="V49:W49" si="205">M49/I49</f>
        <v>#DIV/0!</v>
      </c>
      <c r="W49" s="98">
        <f t="shared" si="205"/>
        <v>1</v>
      </c>
      <c r="X49" s="98" t="e">
        <f t="shared" si="23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60" t="s">
        <v>557</v>
      </c>
      <c r="B50" s="140" t="s">
        <v>286</v>
      </c>
      <c r="C50" s="101" t="s">
        <v>278</v>
      </c>
      <c r="D50" s="144" t="s">
        <v>558</v>
      </c>
      <c r="E50" s="116"/>
      <c r="F50" s="92"/>
      <c r="G50" s="94" t="e">
        <f t="shared" si="16"/>
        <v>#DIV/0!</v>
      </c>
      <c r="H50" s="94" t="e">
        <f t="shared" si="106"/>
        <v>#DIV/0!</v>
      </c>
      <c r="I50" s="361">
        <v>67481.17</v>
      </c>
      <c r="J50" s="117">
        <f>572638.78+46434.84</f>
        <v>619073.62</v>
      </c>
      <c r="K50" s="117"/>
      <c r="L50" s="118"/>
      <c r="M50" s="97">
        <f t="shared" si="82"/>
        <v>0</v>
      </c>
      <c r="N50" s="97">
        <f t="shared" ref="N50:O50" si="206">Z50+AC50+AF50+AI50+AL50+AO50+AR50+AU50+AX50+BA50+BD50+BG50</f>
        <v>23186.240000000002</v>
      </c>
      <c r="O50" s="97">
        <f t="shared" si="206"/>
        <v>0</v>
      </c>
      <c r="P50" s="82">
        <f t="shared" ref="P50:R50" si="207">IF(BI50=0,SUM(Y50+AB50+AE50+AH50+AK50+AN50+AQ50+AT50+AW50+AZ50+BC50+BF50),BI50)</f>
        <v>0</v>
      </c>
      <c r="Q50" s="82">
        <f t="shared" si="207"/>
        <v>23186.240000000002</v>
      </c>
      <c r="R50" s="82">
        <f t="shared" si="207"/>
        <v>0</v>
      </c>
      <c r="S50" s="97">
        <f t="shared" ref="S50:T50" si="208">I50-M50</f>
        <v>67481.17</v>
      </c>
      <c r="T50" s="97">
        <f t="shared" si="208"/>
        <v>595887.38</v>
      </c>
      <c r="U50" s="97">
        <f t="shared" si="60"/>
        <v>0</v>
      </c>
      <c r="V50" s="98">
        <f t="shared" ref="V50:W50" si="209">M50/I50</f>
        <v>0</v>
      </c>
      <c r="W50" s="98">
        <f t="shared" si="209"/>
        <v>3.7453122295858773E-2</v>
      </c>
      <c r="X50" s="98" t="e">
        <f t="shared" si="23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6"/>
        <v>#DIV/0!</v>
      </c>
      <c r="H51" s="94" t="e">
        <f t="shared" si="106"/>
        <v>#DIV/0!</v>
      </c>
      <c r="I51" s="133"/>
      <c r="J51" s="117">
        <f>5855+6447</f>
        <v>12302</v>
      </c>
      <c r="K51" s="117"/>
      <c r="L51" s="96"/>
      <c r="M51" s="97">
        <f t="shared" si="82"/>
        <v>0</v>
      </c>
      <c r="N51" s="97">
        <f t="shared" ref="N51:O51" si="210">Z51+AC51+AF51+AI51+AL51+AO51+AR51+AU51+AX51+BA51+BD51+BG51</f>
        <v>12302</v>
      </c>
      <c r="O51" s="97">
        <f t="shared" si="210"/>
        <v>0</v>
      </c>
      <c r="P51" s="82">
        <f t="shared" ref="P51:R51" si="211">IF(BI51=0,SUM(Y51+AB51+AE51+AH51+AK51+AN51+AQ51+AT51+AW51+AZ51+BC51+BF51),BI51)</f>
        <v>0</v>
      </c>
      <c r="Q51" s="82">
        <f t="shared" si="211"/>
        <v>12302</v>
      </c>
      <c r="R51" s="82">
        <f t="shared" si="211"/>
        <v>0</v>
      </c>
      <c r="S51" s="97">
        <f t="shared" ref="S51:T51" si="212">I51-M51</f>
        <v>0</v>
      </c>
      <c r="T51" s="97">
        <f t="shared" si="212"/>
        <v>0</v>
      </c>
      <c r="U51" s="97">
        <f t="shared" si="60"/>
        <v>0</v>
      </c>
      <c r="V51" s="98" t="e">
        <f t="shared" ref="V51:W51" si="213">M51/I51</f>
        <v>#DIV/0!</v>
      </c>
      <c r="W51" s="98">
        <f t="shared" si="213"/>
        <v>1</v>
      </c>
      <c r="X51" s="98" t="e">
        <f t="shared" si="23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559</v>
      </c>
      <c r="E52" s="116"/>
      <c r="F52" s="92"/>
      <c r="G52" s="94" t="e">
        <f t="shared" si="16"/>
        <v>#DIV/0!</v>
      </c>
      <c r="H52" s="94" t="e">
        <f t="shared" si="106"/>
        <v>#DIV/0!</v>
      </c>
      <c r="I52" s="133"/>
      <c r="J52" s="117">
        <f>2874.45+8500+15300+2420</f>
        <v>29094.45</v>
      </c>
      <c r="K52" s="117"/>
      <c r="L52" s="145"/>
      <c r="M52" s="97">
        <f t="shared" si="82"/>
        <v>0</v>
      </c>
      <c r="N52" s="97">
        <f t="shared" ref="N52:O52" si="214">Z52+AC52+AF52+AI52+AL52+AO52+AR52+AU52+AX52+BA52+BD52+BG52</f>
        <v>26220</v>
      </c>
      <c r="O52" s="97">
        <f t="shared" si="214"/>
        <v>0</v>
      </c>
      <c r="P52" s="82">
        <f t="shared" ref="P52:R52" si="215">IF(BI52=0,SUM(Y52+AB52+AE52+AH52+AK52+AN52+AQ52+AT52+AW52+AZ52+BC52+BF52),BI52)</f>
        <v>0</v>
      </c>
      <c r="Q52" s="82">
        <f t="shared" si="215"/>
        <v>26220</v>
      </c>
      <c r="R52" s="82">
        <f t="shared" si="215"/>
        <v>0</v>
      </c>
      <c r="S52" s="97">
        <f t="shared" ref="S52:T52" si="216">I52-M52</f>
        <v>0</v>
      </c>
      <c r="T52" s="97">
        <f t="shared" si="216"/>
        <v>2874.4500000000007</v>
      </c>
      <c r="U52" s="97">
        <f t="shared" si="60"/>
        <v>0</v>
      </c>
      <c r="V52" s="98" t="e">
        <f t="shared" ref="V52:W52" si="217">M52/I52</f>
        <v>#DIV/0!</v>
      </c>
      <c r="W52" s="98">
        <f t="shared" si="217"/>
        <v>0.90120280672086939</v>
      </c>
      <c r="X52" s="98" t="e">
        <f t="shared" si="23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6"/>
        <v>#DIV/0!</v>
      </c>
      <c r="H53" s="94" t="e">
        <f t="shared" si="106"/>
        <v>#DIV/0!</v>
      </c>
      <c r="I53" s="133"/>
      <c r="J53" s="117"/>
      <c r="K53" s="117"/>
      <c r="L53" s="145"/>
      <c r="M53" s="97">
        <f t="shared" si="82"/>
        <v>0</v>
      </c>
      <c r="N53" s="97">
        <f t="shared" ref="N53:O53" si="218">Z53+AC53+AF53+AI53+AL53+AO53+AR53+AU53+AX53+BA53+BD53+BG53</f>
        <v>0</v>
      </c>
      <c r="O53" s="97">
        <f t="shared" si="218"/>
        <v>0</v>
      </c>
      <c r="P53" s="82">
        <f t="shared" ref="P53:R53" si="219">IF(BI53=0,SUM(Y53+AB53+AE53+AH53+AK53+AN53+AQ53+AT53+AW53+AZ53+BC53+BF53),BI53)</f>
        <v>0</v>
      </c>
      <c r="Q53" s="82">
        <f t="shared" si="219"/>
        <v>0</v>
      </c>
      <c r="R53" s="82">
        <f t="shared" si="219"/>
        <v>0</v>
      </c>
      <c r="S53" s="97">
        <f t="shared" ref="S53:T53" si="220">I53-M53</f>
        <v>0</v>
      </c>
      <c r="T53" s="97">
        <f t="shared" si="220"/>
        <v>0</v>
      </c>
      <c r="U53" s="97">
        <f t="shared" si="60"/>
        <v>0</v>
      </c>
      <c r="V53" s="98" t="e">
        <f t="shared" ref="V53:W53" si="221">M53/I53</f>
        <v>#DIV/0!</v>
      </c>
      <c r="W53" s="98" t="e">
        <f t="shared" si="221"/>
        <v>#DIV/0!</v>
      </c>
      <c r="X53" s="98" t="e">
        <f t="shared" si="23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6"/>
        <v>#DIV/0!</v>
      </c>
      <c r="H54" s="94" t="e">
        <f t="shared" si="106"/>
        <v>#DIV/0!</v>
      </c>
      <c r="I54" s="133"/>
      <c r="J54" s="117"/>
      <c r="K54" s="117"/>
      <c r="L54" s="145"/>
      <c r="M54" s="97">
        <f t="shared" si="82"/>
        <v>0</v>
      </c>
      <c r="N54" s="97">
        <f t="shared" ref="N54:O54" si="222">Z54+AC54+AF54+AI54+AL54+AO54+AR54+AU54+AX54+BA54+BD54+BG54</f>
        <v>0</v>
      </c>
      <c r="O54" s="97">
        <f t="shared" si="222"/>
        <v>0</v>
      </c>
      <c r="P54" s="82">
        <f t="shared" ref="P54:R54" si="223">IF(BI54=0,SUM(Y54+AB54+AE54+AH54+AK54+AN54+AQ54+AT54+AW54+AZ54+BC54+BF54),BI54)</f>
        <v>0</v>
      </c>
      <c r="Q54" s="82">
        <f t="shared" si="223"/>
        <v>0</v>
      </c>
      <c r="R54" s="82">
        <f t="shared" si="223"/>
        <v>0</v>
      </c>
      <c r="S54" s="97">
        <f t="shared" ref="S54:T54" si="224">I54-M54</f>
        <v>0</v>
      </c>
      <c r="T54" s="97">
        <f t="shared" si="224"/>
        <v>0</v>
      </c>
      <c r="U54" s="97">
        <f t="shared" si="60"/>
        <v>0</v>
      </c>
      <c r="V54" s="98" t="e">
        <f t="shared" ref="V54:W54" si="225">M54/I54</f>
        <v>#DIV/0!</v>
      </c>
      <c r="W54" s="98" t="e">
        <f t="shared" si="225"/>
        <v>#DIV/0!</v>
      </c>
      <c r="X54" s="98" t="e">
        <f t="shared" si="23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6"/>
        <v>#DIV/0!</v>
      </c>
      <c r="H55" s="94">
        <f t="shared" ref="H55:H60" si="226">M55/F55</f>
        <v>0</v>
      </c>
      <c r="I55" s="96"/>
      <c r="J55" s="117"/>
      <c r="K55" s="117"/>
      <c r="L55" s="118"/>
      <c r="M55" s="97">
        <f t="shared" si="82"/>
        <v>0</v>
      </c>
      <c r="N55" s="97">
        <f t="shared" ref="N55:O55" si="227">Z55+AC55+AF55+AI55+AL55+AO55+AR55+AU55+AX55+BA55+BD55+BG55</f>
        <v>0</v>
      </c>
      <c r="O55" s="97">
        <f t="shared" si="227"/>
        <v>0</v>
      </c>
      <c r="P55" s="82">
        <f t="shared" ref="P55:R55" si="228">IF(BI55=0,SUM(Y55+AB55+AE55+AH55+AK55+AN55+AQ55+AT55+AW55+AZ55+BC55+BF55),BI55)</f>
        <v>0</v>
      </c>
      <c r="Q55" s="82">
        <f t="shared" si="228"/>
        <v>0</v>
      </c>
      <c r="R55" s="82">
        <f t="shared" si="228"/>
        <v>0</v>
      </c>
      <c r="S55" s="97">
        <f t="shared" ref="S55:T55" si="229">I55-M55</f>
        <v>0</v>
      </c>
      <c r="T55" s="97">
        <f t="shared" si="229"/>
        <v>0</v>
      </c>
      <c r="U55" s="97">
        <f t="shared" si="60"/>
        <v>0</v>
      </c>
      <c r="V55" s="98" t="e">
        <f t="shared" ref="V55:W55" si="230">M55/I55</f>
        <v>#DIV/0!</v>
      </c>
      <c r="W55" s="98" t="e">
        <f t="shared" si="230"/>
        <v>#DIV/0!</v>
      </c>
      <c r="X55" s="98" t="e">
        <f t="shared" si="23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6"/>
        <v>#DIV/0!</v>
      </c>
      <c r="H56" s="94">
        <f t="shared" si="226"/>
        <v>0</v>
      </c>
      <c r="I56" s="96"/>
      <c r="J56" s="117">
        <v>1817.8</v>
      </c>
      <c r="K56" s="117"/>
      <c r="L56" s="118"/>
      <c r="M56" s="97">
        <f t="shared" si="82"/>
        <v>0</v>
      </c>
      <c r="N56" s="97">
        <f t="shared" ref="N56:O56" si="231">Z56+AC56+AF56+AI56+AL56+AO56+AR56+AU56+AX56+BA56+BD56+BG56</f>
        <v>1817.8</v>
      </c>
      <c r="O56" s="97">
        <f t="shared" si="231"/>
        <v>0</v>
      </c>
      <c r="P56" s="82">
        <f t="shared" ref="P56:R56" si="232">IF(BI56=0,SUM(Y56+AB56+AE56+AH56+AK56+AN56+AQ56+AT56+AW56+AZ56+BC56+BF56),BI56)</f>
        <v>0</v>
      </c>
      <c r="Q56" s="82">
        <f t="shared" si="232"/>
        <v>1817.8</v>
      </c>
      <c r="R56" s="82">
        <f t="shared" si="232"/>
        <v>0</v>
      </c>
      <c r="S56" s="97">
        <f t="shared" ref="S56:T56" si="233">I56-M56</f>
        <v>0</v>
      </c>
      <c r="T56" s="97">
        <f t="shared" si="233"/>
        <v>0</v>
      </c>
      <c r="U56" s="97">
        <f t="shared" si="60"/>
        <v>0</v>
      </c>
      <c r="V56" s="98" t="e">
        <f t="shared" ref="V56:W56" si="234">M56/I56</f>
        <v>#DIV/0!</v>
      </c>
      <c r="W56" s="98">
        <f t="shared" si="234"/>
        <v>1</v>
      </c>
      <c r="X56" s="98" t="e">
        <f t="shared" si="23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35">I57/F57</f>
        <v>0</v>
      </c>
      <c r="H57" s="94">
        <f t="shared" si="226"/>
        <v>0</v>
      </c>
      <c r="I57" s="96"/>
      <c r="J57" s="117"/>
      <c r="K57" s="117"/>
      <c r="L57" s="118"/>
      <c r="M57" s="97">
        <f t="shared" si="82"/>
        <v>0</v>
      </c>
      <c r="N57" s="97">
        <f t="shared" ref="N57:O57" si="236">Z57+AC57+AF57+AI57+AL57+AO57+AR57+AU57+AX57+BA57+BD57+BG57</f>
        <v>0</v>
      </c>
      <c r="O57" s="97">
        <f t="shared" si="236"/>
        <v>0</v>
      </c>
      <c r="P57" s="82">
        <f t="shared" ref="P57:R57" si="237">IF(BI57=0,SUM(Y57+AB57+AE57+AH57+AK57+AN57+AQ57+AT57+AW57+AZ57+BC57+BF57),BI57)</f>
        <v>0</v>
      </c>
      <c r="Q57" s="82">
        <f t="shared" si="237"/>
        <v>0</v>
      </c>
      <c r="R57" s="82">
        <f t="shared" si="237"/>
        <v>0</v>
      </c>
      <c r="S57" s="97">
        <f t="shared" ref="S57:T57" si="238">I57-M57</f>
        <v>0</v>
      </c>
      <c r="T57" s="97">
        <f t="shared" si="238"/>
        <v>0</v>
      </c>
      <c r="U57" s="97">
        <f t="shared" si="60"/>
        <v>0</v>
      </c>
      <c r="V57" s="98" t="e">
        <f t="shared" ref="V57:W57" si="239">M57/I57</f>
        <v>#DIV/0!</v>
      </c>
      <c r="W57" s="98" t="e">
        <f t="shared" si="239"/>
        <v>#DIV/0!</v>
      </c>
      <c r="X57" s="98" t="e">
        <f t="shared" si="23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35"/>
        <v>0</v>
      </c>
      <c r="H58" s="94">
        <f t="shared" si="226"/>
        <v>0</v>
      </c>
      <c r="I58" s="142"/>
      <c r="J58" s="117"/>
      <c r="K58" s="117"/>
      <c r="L58" s="118"/>
      <c r="M58" s="97">
        <f t="shared" si="82"/>
        <v>0</v>
      </c>
      <c r="N58" s="97">
        <f t="shared" ref="N58:O58" si="240">Z58+AC58+AF58+AI58+AL58+AO58+AR58+AU58+AX58+BA58+BD58+BG58</f>
        <v>0</v>
      </c>
      <c r="O58" s="97">
        <f t="shared" si="240"/>
        <v>0</v>
      </c>
      <c r="P58" s="82">
        <f t="shared" ref="P58:R58" si="241">IF(BI58=0,SUM(Y58+AB58+AE58+AH58+AK58+AN58+AQ58+AT58+AW58+AZ58+BC58+BF58),BI58)</f>
        <v>0</v>
      </c>
      <c r="Q58" s="82">
        <f t="shared" si="241"/>
        <v>0</v>
      </c>
      <c r="R58" s="82">
        <f t="shared" si="241"/>
        <v>0</v>
      </c>
      <c r="S58" s="97">
        <f t="shared" ref="S58:T58" si="242">I58-M58</f>
        <v>0</v>
      </c>
      <c r="T58" s="97">
        <f t="shared" si="242"/>
        <v>0</v>
      </c>
      <c r="U58" s="97">
        <f t="shared" si="60"/>
        <v>0</v>
      </c>
      <c r="V58" s="98" t="e">
        <f t="shared" ref="V58:W58" si="243">M58/I58</f>
        <v>#DIV/0!</v>
      </c>
      <c r="W58" s="98" t="e">
        <f t="shared" si="243"/>
        <v>#DIV/0!</v>
      </c>
      <c r="X58" s="98" t="e">
        <f t="shared" si="23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35"/>
        <v>0</v>
      </c>
      <c r="H59" s="94">
        <f t="shared" si="226"/>
        <v>0</v>
      </c>
      <c r="I59" s="96"/>
      <c r="J59" s="117"/>
      <c r="K59" s="117"/>
      <c r="L59" s="118"/>
      <c r="M59" s="97">
        <f t="shared" si="82"/>
        <v>0</v>
      </c>
      <c r="N59" s="97">
        <f t="shared" ref="N59:O59" si="244">Z59+AC59+AF59+AI59+AL59+AO59+AR59+AU59+AX59+BA59+BD59+BG59</f>
        <v>0</v>
      </c>
      <c r="O59" s="97">
        <f t="shared" si="244"/>
        <v>0</v>
      </c>
      <c r="P59" s="82">
        <f t="shared" ref="P59:R59" si="245">IF(BI59=0,SUM(Y59+AB59+AE59+AH59+AK59+AN59+AQ59+AT59+AW59+AZ59+BC59+BF59),BI59)</f>
        <v>0</v>
      </c>
      <c r="Q59" s="82">
        <f t="shared" si="245"/>
        <v>0</v>
      </c>
      <c r="R59" s="82">
        <f t="shared" si="245"/>
        <v>0</v>
      </c>
      <c r="S59" s="97">
        <f t="shared" ref="S59:T59" si="246">I59-M59</f>
        <v>0</v>
      </c>
      <c r="T59" s="97">
        <f t="shared" si="246"/>
        <v>0</v>
      </c>
      <c r="U59" s="97">
        <f t="shared" si="60"/>
        <v>0</v>
      </c>
      <c r="V59" s="98" t="e">
        <f t="shared" ref="V59:W59" si="247">M59/I59</f>
        <v>#DIV/0!</v>
      </c>
      <c r="W59" s="98" t="e">
        <f t="shared" si="247"/>
        <v>#DIV/0!</v>
      </c>
      <c r="X59" s="98" t="e">
        <f t="shared" si="23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35"/>
        <v>0</v>
      </c>
      <c r="H60" s="94">
        <f t="shared" si="226"/>
        <v>0</v>
      </c>
      <c r="I60" s="96"/>
      <c r="J60" s="146"/>
      <c r="K60" s="146"/>
      <c r="L60" s="118"/>
      <c r="M60" s="97">
        <f t="shared" si="82"/>
        <v>0</v>
      </c>
      <c r="N60" s="97">
        <f t="shared" ref="N60:O60" si="248">Z60+AC60+AF60+AI60+AL60+AO60+AR60+AU60+AX60+BA60+BD60+BG60</f>
        <v>0</v>
      </c>
      <c r="O60" s="97">
        <f t="shared" si="248"/>
        <v>0</v>
      </c>
      <c r="P60" s="82">
        <f t="shared" ref="P60:R60" si="249">IF(BI60=0,SUM(Y60+AB60+AE60+AH60+AK60+AN60+AQ60+AT60+AW60+AZ60+BC60+BF60),BI60)</f>
        <v>0</v>
      </c>
      <c r="Q60" s="82">
        <f t="shared" si="249"/>
        <v>0</v>
      </c>
      <c r="R60" s="82">
        <f t="shared" si="249"/>
        <v>0</v>
      </c>
      <c r="S60" s="97">
        <f t="shared" ref="S60:T60" si="250">I60-M60</f>
        <v>0</v>
      </c>
      <c r="T60" s="97">
        <f t="shared" si="250"/>
        <v>0</v>
      </c>
      <c r="U60" s="97">
        <f t="shared" si="60"/>
        <v>0</v>
      </c>
      <c r="V60" s="98" t="e">
        <f t="shared" ref="V60:W60" si="251">M60/I60</f>
        <v>#DIV/0!</v>
      </c>
      <c r="W60" s="98" t="e">
        <f t="shared" si="251"/>
        <v>#DIV/0!</v>
      </c>
      <c r="X60" s="98" t="e">
        <f t="shared" si="23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35"/>
        <v>0</v>
      </c>
      <c r="H61" s="94"/>
      <c r="I61" s="96"/>
      <c r="J61" s="146"/>
      <c r="K61" s="146"/>
      <c r="L61" s="118"/>
      <c r="M61" s="97">
        <f t="shared" si="82"/>
        <v>0</v>
      </c>
      <c r="N61" s="97">
        <f t="shared" ref="N61:O61" si="252">Z61+AC61+AF61+AI61+AL61+AO61+AR61+AU61+AX61+BA61+BD61+BG61</f>
        <v>0</v>
      </c>
      <c r="O61" s="97">
        <f t="shared" si="252"/>
        <v>0</v>
      </c>
      <c r="P61" s="82">
        <f t="shared" ref="P61:R61" si="253">IF(BI61=0,SUM(Y61+AB61+AE61+AH61+AK61+AN61+AQ61+AT61+AW61+AZ61+BC61+BF61),BI61)</f>
        <v>0</v>
      </c>
      <c r="Q61" s="82">
        <f t="shared" si="253"/>
        <v>0</v>
      </c>
      <c r="R61" s="82">
        <f t="shared" si="253"/>
        <v>0</v>
      </c>
      <c r="S61" s="97">
        <f t="shared" ref="S61:T61" si="254">I61-M61</f>
        <v>0</v>
      </c>
      <c r="T61" s="97">
        <f t="shared" si="254"/>
        <v>0</v>
      </c>
      <c r="U61" s="97">
        <f t="shared" si="60"/>
        <v>0</v>
      </c>
      <c r="V61" s="98" t="e">
        <f t="shared" ref="V61:W61" si="255">M61/I61</f>
        <v>#DIV/0!</v>
      </c>
      <c r="W61" s="98" t="e">
        <f t="shared" si="255"/>
        <v>#DIV/0!</v>
      </c>
      <c r="X61" s="98" t="e">
        <f t="shared" si="23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35"/>
        <v>0</v>
      </c>
      <c r="H62" s="94"/>
      <c r="I62" s="96"/>
      <c r="J62" s="146"/>
      <c r="K62" s="146"/>
      <c r="L62" s="118"/>
      <c r="M62" s="97">
        <f t="shared" si="82"/>
        <v>0</v>
      </c>
      <c r="N62" s="97">
        <f t="shared" ref="N62:O62" si="256">Z62+AC62+AF62+AI62+AL62+AO62+AR62+AU62+AX62+BA62+BD62+BG62</f>
        <v>0</v>
      </c>
      <c r="O62" s="97">
        <f t="shared" si="256"/>
        <v>0</v>
      </c>
      <c r="P62" s="82">
        <f t="shared" ref="P62:R62" si="257">IF(BI62=0,SUM(Y62+AB62+AE62+AH62+AK62+AN62+AQ62+AT62+AW62+AZ62+BC62+BF62),BI62)</f>
        <v>0</v>
      </c>
      <c r="Q62" s="82">
        <f t="shared" si="257"/>
        <v>0</v>
      </c>
      <c r="R62" s="82">
        <f t="shared" si="257"/>
        <v>0</v>
      </c>
      <c r="S62" s="97">
        <f t="shared" ref="S62:T62" si="258">I62-M62</f>
        <v>0</v>
      </c>
      <c r="T62" s="97">
        <f t="shared" si="258"/>
        <v>0</v>
      </c>
      <c r="U62" s="97">
        <f t="shared" si="60"/>
        <v>0</v>
      </c>
      <c r="V62" s="98" t="e">
        <f t="shared" ref="V62:W62" si="259">M62/I62</f>
        <v>#DIV/0!</v>
      </c>
      <c r="W62" s="98" t="e">
        <f t="shared" si="259"/>
        <v>#DIV/0!</v>
      </c>
      <c r="X62" s="98" t="e">
        <f t="shared" si="23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60">I63/E63</f>
        <v>#DIV/0!</v>
      </c>
      <c r="H63" s="94" t="e">
        <f t="shared" ref="H63:H80" si="261">M63/E63</f>
        <v>#DIV/0!</v>
      </c>
      <c r="I63" s="96"/>
      <c r="J63" s="146"/>
      <c r="K63" s="146"/>
      <c r="L63" s="118"/>
      <c r="M63" s="97">
        <f t="shared" si="82"/>
        <v>0</v>
      </c>
      <c r="N63" s="97">
        <f t="shared" ref="N63:O63" si="262">Z63+AC63+AF63+AI63+AL63+AO63+AR63+AU63+AX63+BA63+BD63+BG63</f>
        <v>0</v>
      </c>
      <c r="O63" s="97">
        <f t="shared" si="262"/>
        <v>0</v>
      </c>
      <c r="P63" s="82">
        <f t="shared" ref="P63:R63" si="263">IF(BI63=0,SUM(Y63+AB63+AE63+AH63+AK63+AN63+AQ63+AT63+AW63+AZ63+BC63+BF63),BI63)</f>
        <v>0</v>
      </c>
      <c r="Q63" s="82">
        <f t="shared" si="263"/>
        <v>0</v>
      </c>
      <c r="R63" s="82">
        <f t="shared" si="263"/>
        <v>0</v>
      </c>
      <c r="S63" s="97">
        <f t="shared" ref="S63:T63" si="264">I63-M63</f>
        <v>0</v>
      </c>
      <c r="T63" s="97">
        <f t="shared" si="264"/>
        <v>0</v>
      </c>
      <c r="U63" s="97">
        <f t="shared" si="60"/>
        <v>0</v>
      </c>
      <c r="V63" s="98" t="e">
        <f t="shared" ref="V63:W63" si="265">M63/I63</f>
        <v>#DIV/0!</v>
      </c>
      <c r="W63" s="98" t="e">
        <f t="shared" si="265"/>
        <v>#DIV/0!</v>
      </c>
      <c r="X63" s="98" t="e">
        <f t="shared" si="23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60"/>
        <v>#DIV/0!</v>
      </c>
      <c r="H64" s="94" t="e">
        <f t="shared" si="261"/>
        <v>#DIV/0!</v>
      </c>
      <c r="I64" s="96"/>
      <c r="J64" s="146"/>
      <c r="K64" s="146"/>
      <c r="L64" s="118"/>
      <c r="M64" s="97">
        <f t="shared" si="82"/>
        <v>0</v>
      </c>
      <c r="N64" s="97">
        <f t="shared" ref="N64:O64" si="266">Z64+AC64+AF64+AI64+AL64+AO64+AR64+AU64+AX64+BA64+BD64+BG64</f>
        <v>0</v>
      </c>
      <c r="O64" s="97">
        <f t="shared" si="266"/>
        <v>0</v>
      </c>
      <c r="P64" s="82">
        <f t="shared" ref="P64:R64" si="267">IF(BI64=0,SUM(Y64+AB64+AE64+AH64+AK64+AN64+AQ64+AT64+AW64+AZ64+BC64+BF64),BI64)</f>
        <v>0</v>
      </c>
      <c r="Q64" s="82">
        <f t="shared" si="267"/>
        <v>0</v>
      </c>
      <c r="R64" s="82">
        <f t="shared" si="267"/>
        <v>0</v>
      </c>
      <c r="S64" s="97">
        <f t="shared" ref="S64:T64" si="268">I64-M64</f>
        <v>0</v>
      </c>
      <c r="T64" s="97">
        <f t="shared" si="268"/>
        <v>0</v>
      </c>
      <c r="U64" s="97">
        <f t="shared" si="60"/>
        <v>0</v>
      </c>
      <c r="V64" s="98" t="e">
        <f t="shared" ref="V64:W64" si="269">M64/I64</f>
        <v>#DIV/0!</v>
      </c>
      <c r="W64" s="98" t="e">
        <f t="shared" si="269"/>
        <v>#DIV/0!</v>
      </c>
      <c r="X64" s="98" t="e">
        <f t="shared" si="23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60"/>
        <v>#DIV/0!</v>
      </c>
      <c r="H65" s="94" t="e">
        <f t="shared" si="261"/>
        <v>#DIV/0!</v>
      </c>
      <c r="I65" s="96"/>
      <c r="J65" s="126"/>
      <c r="K65" s="126"/>
      <c r="L65" s="118"/>
      <c r="M65" s="97">
        <f t="shared" si="82"/>
        <v>0</v>
      </c>
      <c r="N65" s="97">
        <f t="shared" ref="N65:O65" si="270">Z65+AC65+AF65+AI65+AL65+AO65+AR65+AU65+AX65+BA65+BD65+BG65</f>
        <v>0</v>
      </c>
      <c r="O65" s="97">
        <f t="shared" si="270"/>
        <v>0</v>
      </c>
      <c r="P65" s="82">
        <f t="shared" ref="P65:R65" si="271">IF(BI65=0,SUM(Y65+AB65+AE65+AH65+AK65+AN65+AQ65+AT65+AW65+AZ65+BC65+BF65),BI65)</f>
        <v>0</v>
      </c>
      <c r="Q65" s="82">
        <f t="shared" si="271"/>
        <v>0</v>
      </c>
      <c r="R65" s="82">
        <f t="shared" si="271"/>
        <v>0</v>
      </c>
      <c r="S65" s="97">
        <f t="shared" ref="S65:T65" si="272">I65-M65</f>
        <v>0</v>
      </c>
      <c r="T65" s="97">
        <f t="shared" si="272"/>
        <v>0</v>
      </c>
      <c r="U65" s="97">
        <f t="shared" si="60"/>
        <v>0</v>
      </c>
      <c r="V65" s="98" t="e">
        <f t="shared" ref="V65:W65" si="273">M65/I65</f>
        <v>#DIV/0!</v>
      </c>
      <c r="W65" s="98" t="e">
        <f t="shared" si="273"/>
        <v>#DIV/0!</v>
      </c>
      <c r="X65" s="98" t="e">
        <f t="shared" si="23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60"/>
        <v>#DIV/0!</v>
      </c>
      <c r="H66" s="94" t="e">
        <f t="shared" si="261"/>
        <v>#DIV/0!</v>
      </c>
      <c r="I66" s="96"/>
      <c r="J66" s="146"/>
      <c r="K66" s="146"/>
      <c r="L66" s="95"/>
      <c r="M66" s="97">
        <f t="shared" si="82"/>
        <v>0</v>
      </c>
      <c r="N66" s="97">
        <f t="shared" ref="N66:O66" si="274">Z66+AC66+AF66+AI66+AL66+AO66+AR66+AU66+AX66+BA66+BD66+BG66</f>
        <v>0</v>
      </c>
      <c r="O66" s="97">
        <f t="shared" si="274"/>
        <v>0</v>
      </c>
      <c r="P66" s="82">
        <f t="shared" ref="P66:R66" si="275">IF(BI66=0,SUM(Y66+AB66+AE66+AH66+AK66+AN66+AQ66+AT66+AW66+AZ66+BC66+BF66),BI66)</f>
        <v>0</v>
      </c>
      <c r="Q66" s="82">
        <f t="shared" si="275"/>
        <v>0</v>
      </c>
      <c r="R66" s="82">
        <f t="shared" si="275"/>
        <v>0</v>
      </c>
      <c r="S66" s="97">
        <f t="shared" ref="S66:T66" si="276">I66-M66</f>
        <v>0</v>
      </c>
      <c r="T66" s="97">
        <f t="shared" si="276"/>
        <v>0</v>
      </c>
      <c r="U66" s="97">
        <f t="shared" si="60"/>
        <v>0</v>
      </c>
      <c r="V66" s="98" t="e">
        <f t="shared" ref="V66:W66" si="277">M66/I66</f>
        <v>#DIV/0!</v>
      </c>
      <c r="W66" s="98" t="e">
        <f t="shared" si="277"/>
        <v>#DIV/0!</v>
      </c>
      <c r="X66" s="98" t="e">
        <f t="shared" si="23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60"/>
        <v>3.3511943948719647E-2</v>
      </c>
      <c r="H67" s="107">
        <f t="shared" si="261"/>
        <v>0</v>
      </c>
      <c r="I67" s="87">
        <f t="shared" ref="I67:Q67" si="278">I68+I75+I76+I77+I80+I84+I89</f>
        <v>8955</v>
      </c>
      <c r="J67" s="87">
        <f t="shared" si="278"/>
        <v>84340.34</v>
      </c>
      <c r="K67" s="87">
        <f t="shared" si="278"/>
        <v>0</v>
      </c>
      <c r="L67" s="87">
        <f t="shared" si="278"/>
        <v>0</v>
      </c>
      <c r="M67" s="87">
        <f t="shared" si="278"/>
        <v>0</v>
      </c>
      <c r="N67" s="87">
        <f t="shared" si="278"/>
        <v>17708.259999999998</v>
      </c>
      <c r="O67" s="87">
        <f t="shared" si="278"/>
        <v>0</v>
      </c>
      <c r="P67" s="87">
        <f t="shared" si="278"/>
        <v>0</v>
      </c>
      <c r="Q67" s="87">
        <f t="shared" si="278"/>
        <v>17708.259999999998</v>
      </c>
      <c r="R67" s="87">
        <f>IF(BK67=0,SUM(AA67+AD67+AG67+AJ67+AM67+AP67+AS67+AV67+AY67+BB67+BE67+BH67),BK67)</f>
        <v>0</v>
      </c>
      <c r="S67" s="87" t="e">
        <f>S68+S75+S76+#REF!+#REF!+S77+S80+S84+S89</f>
        <v>#REF!</v>
      </c>
      <c r="T67" s="87">
        <f>T68+T84</f>
        <v>66632.08</v>
      </c>
      <c r="U67" s="87" t="e">
        <f>U68+U75+U76+#REF!+#REF!+U77+U80+U84+U89</f>
        <v>#REF!</v>
      </c>
      <c r="V67" s="88">
        <f t="shared" ref="V67:W67" si="279">M67/I67</f>
        <v>0</v>
      </c>
      <c r="W67" s="88">
        <f t="shared" si="279"/>
        <v>0.20996192332162758</v>
      </c>
      <c r="X67" s="88" t="e">
        <f t="shared" si="23"/>
        <v>#DIV/0!</v>
      </c>
      <c r="Y67" s="87">
        <f t="shared" ref="Y67:BK67" si="280">Y68+Y75+Y76+Y77+Y80+Y84+Y89</f>
        <v>0</v>
      </c>
      <c r="Z67" s="87">
        <f t="shared" si="280"/>
        <v>4595.8899999999994</v>
      </c>
      <c r="AA67" s="87">
        <f t="shared" si="280"/>
        <v>0</v>
      </c>
      <c r="AB67" s="87">
        <f t="shared" si="280"/>
        <v>0</v>
      </c>
      <c r="AC67" s="87">
        <f t="shared" si="280"/>
        <v>7931.1</v>
      </c>
      <c r="AD67" s="87">
        <f t="shared" si="280"/>
        <v>0</v>
      </c>
      <c r="AE67" s="87">
        <f t="shared" si="280"/>
        <v>0</v>
      </c>
      <c r="AF67" s="87">
        <f t="shared" si="280"/>
        <v>5181.2700000000004</v>
      </c>
      <c r="AG67" s="87">
        <f t="shared" si="280"/>
        <v>0</v>
      </c>
      <c r="AH67" s="87">
        <f t="shared" si="280"/>
        <v>0</v>
      </c>
      <c r="AI67" s="87">
        <f t="shared" si="280"/>
        <v>0</v>
      </c>
      <c r="AJ67" s="87">
        <f t="shared" si="280"/>
        <v>0</v>
      </c>
      <c r="AK67" s="87">
        <f t="shared" si="280"/>
        <v>0</v>
      </c>
      <c r="AL67" s="87">
        <f t="shared" si="280"/>
        <v>0</v>
      </c>
      <c r="AM67" s="87">
        <f t="shared" si="280"/>
        <v>0</v>
      </c>
      <c r="AN67" s="87">
        <f t="shared" si="280"/>
        <v>0</v>
      </c>
      <c r="AO67" s="87">
        <f t="shared" si="280"/>
        <v>0</v>
      </c>
      <c r="AP67" s="87">
        <f t="shared" si="280"/>
        <v>0</v>
      </c>
      <c r="AQ67" s="87">
        <f t="shared" si="280"/>
        <v>0</v>
      </c>
      <c r="AR67" s="87">
        <f t="shared" si="280"/>
        <v>0</v>
      </c>
      <c r="AS67" s="87">
        <f t="shared" si="280"/>
        <v>0</v>
      </c>
      <c r="AT67" s="87">
        <f t="shared" si="280"/>
        <v>0</v>
      </c>
      <c r="AU67" s="87">
        <f t="shared" si="280"/>
        <v>0</v>
      </c>
      <c r="AV67" s="87">
        <f t="shared" si="280"/>
        <v>0</v>
      </c>
      <c r="AW67" s="87">
        <f t="shared" si="280"/>
        <v>0</v>
      </c>
      <c r="AX67" s="87">
        <f t="shared" si="280"/>
        <v>0</v>
      </c>
      <c r="AY67" s="87">
        <f t="shared" si="280"/>
        <v>0</v>
      </c>
      <c r="AZ67" s="87">
        <f t="shared" si="280"/>
        <v>0</v>
      </c>
      <c r="BA67" s="87">
        <f t="shared" si="280"/>
        <v>0</v>
      </c>
      <c r="BB67" s="87">
        <f t="shared" si="280"/>
        <v>0</v>
      </c>
      <c r="BC67" s="87">
        <f t="shared" si="280"/>
        <v>0</v>
      </c>
      <c r="BD67" s="87">
        <f t="shared" si="280"/>
        <v>0</v>
      </c>
      <c r="BE67" s="87">
        <f t="shared" si="280"/>
        <v>0</v>
      </c>
      <c r="BF67" s="87">
        <f t="shared" si="280"/>
        <v>0</v>
      </c>
      <c r="BG67" s="87">
        <f t="shared" si="280"/>
        <v>0</v>
      </c>
      <c r="BH67" s="87">
        <f t="shared" si="280"/>
        <v>0</v>
      </c>
      <c r="BI67" s="87">
        <f t="shared" si="280"/>
        <v>0</v>
      </c>
      <c r="BJ67" s="87">
        <f t="shared" si="280"/>
        <v>0</v>
      </c>
      <c r="BK67" s="87">
        <f t="shared" si="280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60"/>
        <v>3.0239537509230509E-2</v>
      </c>
      <c r="H68" s="155">
        <f t="shared" si="261"/>
        <v>0</v>
      </c>
      <c r="I68" s="154">
        <f>SUM(I69:I74)</f>
        <v>4584</v>
      </c>
      <c r="J68" s="154">
        <f t="shared" ref="J68:K68" si="281">SUM(J70:J74)</f>
        <v>10402.67</v>
      </c>
      <c r="K68" s="154">
        <f t="shared" si="281"/>
        <v>0</v>
      </c>
      <c r="L68" s="154">
        <f>SUM(L70:L71)</f>
        <v>0</v>
      </c>
      <c r="M68" s="154">
        <f>SUM(M69:M74)</f>
        <v>0</v>
      </c>
      <c r="N68" s="154">
        <f>SUM(N70:N74)</f>
        <v>3714.8599999999997</v>
      </c>
      <c r="O68" s="154">
        <f>SUM(O69:O74)</f>
        <v>0</v>
      </c>
      <c r="P68" s="81">
        <f t="shared" ref="P68:R68" si="282">IF(BI68=0,SUM(Y68+AB68+AE68+AH68+AK68+AN68+AQ68+AT68+AW68+AZ68+BC68+BF68),BI68)</f>
        <v>0</v>
      </c>
      <c r="Q68" s="81">
        <f t="shared" si="282"/>
        <v>3714.8599999999997</v>
      </c>
      <c r="R68" s="81">
        <f t="shared" si="282"/>
        <v>0</v>
      </c>
      <c r="S68" s="154">
        <f t="shared" ref="S68:U68" si="283">SUM(S70:S74)</f>
        <v>3084</v>
      </c>
      <c r="T68" s="154">
        <f t="shared" si="283"/>
        <v>6687.8099999999995</v>
      </c>
      <c r="U68" s="154">
        <f t="shared" si="283"/>
        <v>0</v>
      </c>
      <c r="V68" s="156">
        <f t="shared" ref="V68:W68" si="284">M68/I68</f>
        <v>0</v>
      </c>
      <c r="W68" s="156">
        <f t="shared" si="284"/>
        <v>0.35710639672314892</v>
      </c>
      <c r="X68" s="156" t="e">
        <f t="shared" si="23"/>
        <v>#DIV/0!</v>
      </c>
      <c r="Y68" s="154">
        <f>SUM(Y70:Y71)</f>
        <v>0</v>
      </c>
      <c r="Z68" s="154">
        <f>SUM(Z70:Z74)</f>
        <v>324.49</v>
      </c>
      <c r="AA68" s="154">
        <f t="shared" ref="AA68:AB68" si="285">SUM(AA70:AA71)</f>
        <v>0</v>
      </c>
      <c r="AB68" s="154">
        <f t="shared" si="285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86">SUM(AE70:AE74)</f>
        <v>0</v>
      </c>
      <c r="AF68" s="154">
        <f t="shared" si="286"/>
        <v>2089.27</v>
      </c>
      <c r="AG68" s="154">
        <f>SUM(AG70:AG71)</f>
        <v>0</v>
      </c>
      <c r="AH68" s="154">
        <f t="shared" ref="AH68:AI68" si="287">SUM(AH70:AH74)</f>
        <v>0</v>
      </c>
      <c r="AI68" s="154">
        <f t="shared" si="287"/>
        <v>0</v>
      </c>
      <c r="AJ68" s="154">
        <f>SUM(AJ70:AJ71)</f>
        <v>0</v>
      </c>
      <c r="AK68" s="154">
        <f t="shared" ref="AK68:AL68" si="288">SUM(AK70:AK74)</f>
        <v>0</v>
      </c>
      <c r="AL68" s="154">
        <f t="shared" si="288"/>
        <v>0</v>
      </c>
      <c r="AM68" s="154">
        <f>SUM(AM70:AM71)</f>
        <v>0</v>
      </c>
      <c r="AN68" s="154">
        <f t="shared" ref="AN68:AO68" si="289">SUM(AN70:AN74)</f>
        <v>0</v>
      </c>
      <c r="AO68" s="154">
        <f t="shared" si="289"/>
        <v>0</v>
      </c>
      <c r="AP68" s="154">
        <f>SUM(AP70:AP71)</f>
        <v>0</v>
      </c>
      <c r="AQ68" s="154">
        <f>SUM(AQ70:AQ74)</f>
        <v>0</v>
      </c>
      <c r="AR68" s="154">
        <f t="shared" ref="AR68:AS68" si="290">SUM(AR70:AR71)</f>
        <v>0</v>
      </c>
      <c r="AS68" s="154">
        <f t="shared" si="290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91">SUM(AW70:AW74)</f>
        <v>0</v>
      </c>
      <c r="AX68" s="154">
        <f t="shared" si="291"/>
        <v>0</v>
      </c>
      <c r="AY68" s="154">
        <f t="shared" ref="AY68:AZ68" si="292">SUM(AY70:AY71)</f>
        <v>0</v>
      </c>
      <c r="AZ68" s="154">
        <f t="shared" si="292"/>
        <v>0</v>
      </c>
      <c r="BA68" s="154">
        <f>SUM(BA70:BA76)</f>
        <v>0</v>
      </c>
      <c r="BB68" s="154">
        <f t="shared" ref="BB68:BH68" si="293">SUM(BB70:BB71)</f>
        <v>0</v>
      </c>
      <c r="BC68" s="154">
        <f t="shared" si="293"/>
        <v>0</v>
      </c>
      <c r="BD68" s="154">
        <f t="shared" si="293"/>
        <v>0</v>
      </c>
      <c r="BE68" s="154">
        <f t="shared" si="293"/>
        <v>0</v>
      </c>
      <c r="BF68" s="154">
        <f t="shared" si="293"/>
        <v>0</v>
      </c>
      <c r="BG68" s="154">
        <f t="shared" si="293"/>
        <v>0</v>
      </c>
      <c r="BH68" s="154">
        <f t="shared" si="293"/>
        <v>0</v>
      </c>
      <c r="BI68" s="154">
        <f t="shared" ref="BI68:BK68" si="294">SUM(BI69:BI74)</f>
        <v>0</v>
      </c>
      <c r="BJ68" s="154">
        <f t="shared" si="294"/>
        <v>0</v>
      </c>
      <c r="BK68" s="154">
        <f t="shared" si="294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60"/>
        <v>1</v>
      </c>
      <c r="H69" s="94">
        <f t="shared" si="261"/>
        <v>0</v>
      </c>
      <c r="I69" s="142">
        <v>1500</v>
      </c>
      <c r="J69" s="117"/>
      <c r="K69" s="117"/>
      <c r="L69" s="118"/>
      <c r="M69" s="97">
        <f t="shared" ref="M69:O69" si="295">Y69+AB69+AE69+AH69+AK69+AN69+AQ69+AT69+AW69+AZ69+BC69+BF69</f>
        <v>0</v>
      </c>
      <c r="N69" s="97">
        <f t="shared" si="295"/>
        <v>0</v>
      </c>
      <c r="O69" s="97">
        <f t="shared" si="295"/>
        <v>0</v>
      </c>
      <c r="P69" s="82">
        <f t="shared" ref="P69:R69" si="296">IF(BI69=0,SUM(Y69+AB69+AE69+AH69+AK69+AN69+AQ69+AT69+AW69+AZ69+BC69+BF69),BI69)</f>
        <v>0</v>
      </c>
      <c r="Q69" s="82">
        <f t="shared" si="296"/>
        <v>0</v>
      </c>
      <c r="R69" s="82">
        <f t="shared" si="296"/>
        <v>0</v>
      </c>
      <c r="S69" s="97">
        <f t="shared" ref="S69:T69" si="297">I69-M69</f>
        <v>1500</v>
      </c>
      <c r="T69" s="97">
        <f t="shared" si="297"/>
        <v>0</v>
      </c>
      <c r="U69" s="97">
        <f t="shared" ref="U69:U76" si="298">L69-O69</f>
        <v>0</v>
      </c>
      <c r="V69" s="98">
        <f t="shared" ref="V69:W69" si="299">M69/I69</f>
        <v>0</v>
      </c>
      <c r="W69" s="98" t="e">
        <f t="shared" si="299"/>
        <v>#DIV/0!</v>
      </c>
      <c r="X69" s="98" t="e">
        <f t="shared" si="23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560</v>
      </c>
      <c r="E70" s="162">
        <v>10000</v>
      </c>
      <c r="F70" s="142"/>
      <c r="G70" s="94">
        <f t="shared" si="260"/>
        <v>0</v>
      </c>
      <c r="H70" s="94">
        <f t="shared" si="261"/>
        <v>0</v>
      </c>
      <c r="I70" s="142"/>
      <c r="J70" s="117">
        <v>5435.51</v>
      </c>
      <c r="K70" s="117"/>
      <c r="L70" s="118"/>
      <c r="M70" s="97">
        <f t="shared" ref="M70:O70" si="300">Y70+AB70+AE70+AH70+AK70+AN70+AQ70+AT70+AW70+AZ70+BC70+BF70</f>
        <v>0</v>
      </c>
      <c r="N70" s="97">
        <f t="shared" si="300"/>
        <v>682.85</v>
      </c>
      <c r="O70" s="97">
        <f t="shared" si="300"/>
        <v>0</v>
      </c>
      <c r="P70" s="82">
        <f t="shared" ref="P70:R70" si="301">IF(BI70=0,SUM(Y70+AB70+AE70+AH70+AK70+AN70+AQ70+AT70+AW70+AZ70+BC70+BF70),BI70)</f>
        <v>0</v>
      </c>
      <c r="Q70" s="82">
        <f t="shared" si="301"/>
        <v>682.85</v>
      </c>
      <c r="R70" s="82">
        <f t="shared" si="301"/>
        <v>0</v>
      </c>
      <c r="S70" s="97">
        <f t="shared" ref="S70:T70" si="302">I70-M70</f>
        <v>0</v>
      </c>
      <c r="T70" s="97">
        <f t="shared" si="302"/>
        <v>4752.66</v>
      </c>
      <c r="U70" s="97">
        <f t="shared" si="298"/>
        <v>0</v>
      </c>
      <c r="V70" s="98" t="e">
        <f t="shared" ref="V70:W70" si="303">M70/I70</f>
        <v>#DIV/0!</v>
      </c>
      <c r="W70" s="98">
        <f t="shared" si="303"/>
        <v>0.12562758600388924</v>
      </c>
      <c r="X70" s="98" t="e">
        <f t="shared" si="23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v>0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89"/>
      <c r="B71" s="136"/>
      <c r="C71" s="101" t="s">
        <v>306</v>
      </c>
      <c r="D71" s="91" t="s">
        <v>561</v>
      </c>
      <c r="E71" s="92">
        <v>30000</v>
      </c>
      <c r="F71" s="166"/>
      <c r="G71" s="94">
        <f t="shared" si="260"/>
        <v>0</v>
      </c>
      <c r="H71" s="94">
        <f t="shared" si="261"/>
        <v>0</v>
      </c>
      <c r="I71" s="96"/>
      <c r="J71" s="117"/>
      <c r="K71" s="117"/>
      <c r="L71" s="118"/>
      <c r="M71" s="97">
        <f t="shared" ref="M71:O71" si="304">Y71+AB71+AE71+AH71+AK71+AN71+AQ71+AT71+AW71+AZ71+BC71+BF71</f>
        <v>0</v>
      </c>
      <c r="N71" s="97">
        <f t="shared" si="304"/>
        <v>0</v>
      </c>
      <c r="O71" s="97">
        <f t="shared" si="304"/>
        <v>0</v>
      </c>
      <c r="P71" s="82">
        <f t="shared" ref="P71:R71" si="305">IF(BI71=0,SUM(Y71+AB71+AE71+AH71+AK71+AN71+AQ71+AT71+AW71+AZ71+BC71+BF71),BI71)</f>
        <v>0</v>
      </c>
      <c r="Q71" s="82">
        <f t="shared" si="305"/>
        <v>0</v>
      </c>
      <c r="R71" s="82">
        <f t="shared" si="305"/>
        <v>0</v>
      </c>
      <c r="S71" s="97">
        <f t="shared" ref="S71:T71" si="306">I71-M71</f>
        <v>0</v>
      </c>
      <c r="T71" s="97">
        <f t="shared" si="306"/>
        <v>0</v>
      </c>
      <c r="U71" s="97">
        <f t="shared" si="298"/>
        <v>0</v>
      </c>
      <c r="V71" s="98" t="e">
        <f t="shared" ref="V71:W71" si="307">M71/I71</f>
        <v>#DIV/0!</v>
      </c>
      <c r="W71" s="98" t="e">
        <f t="shared" si="307"/>
        <v>#DIV/0!</v>
      </c>
      <c r="X71" s="98" t="e">
        <f t="shared" si="23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562</v>
      </c>
      <c r="E72" s="92">
        <v>5200</v>
      </c>
      <c r="F72" s="166"/>
      <c r="G72" s="94">
        <f t="shared" si="260"/>
        <v>0</v>
      </c>
      <c r="H72" s="94">
        <f t="shared" si="261"/>
        <v>0</v>
      </c>
      <c r="I72" s="96"/>
      <c r="J72" s="117">
        <v>2723.27</v>
      </c>
      <c r="K72" s="117"/>
      <c r="L72" s="118"/>
      <c r="M72" s="97">
        <f t="shared" ref="M72:O72" si="308">Y72+AB72+AE72+AH72+AK72+AN72+AQ72+AT72+AW72+AZ72+BC72+BF72</f>
        <v>0</v>
      </c>
      <c r="N72" s="97">
        <f t="shared" si="308"/>
        <v>1433.79</v>
      </c>
      <c r="O72" s="97">
        <f t="shared" si="308"/>
        <v>0</v>
      </c>
      <c r="P72" s="82">
        <f t="shared" ref="P72:P87" si="309">IF(BI72=0,SUM(Y72+AB72+AE72+AH72+AK72+AN72+AQ72+AT72+AW72+AZ72+BC72+BF72),BI72)</f>
        <v>0</v>
      </c>
      <c r="Q72" s="82">
        <f>IF(BJ72=0,SUM(Z72+AC72+AF72+AI72+AL72+AO72+AR72+AT72+AX72+BA72+BD72+BG72),BJ72)</f>
        <v>1433.79</v>
      </c>
      <c r="R72" s="82">
        <f>IF(BK72=0,SUM(AA72+AD72+AG72+AJ72+AM72+AP72+AS72+AV72+AY72+BB72+BE72+BH72),BK72)</f>
        <v>0</v>
      </c>
      <c r="S72" s="97">
        <f t="shared" ref="S72:T72" si="310">I72-M72</f>
        <v>0</v>
      </c>
      <c r="T72" s="97">
        <f t="shared" si="310"/>
        <v>1289.48</v>
      </c>
      <c r="U72" s="97">
        <f t="shared" si="298"/>
        <v>0</v>
      </c>
      <c r="V72" s="98" t="e">
        <f t="shared" ref="V72:W72" si="311">M72/I72</f>
        <v>#DIV/0!</v>
      </c>
      <c r="W72" s="98">
        <f t="shared" si="311"/>
        <v>0.52649572021870761</v>
      </c>
      <c r="X72" s="98" t="e">
        <f t="shared" si="23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>
        <v>0</v>
      </c>
      <c r="AI72" s="96"/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60"/>
        <v>0</v>
      </c>
      <c r="H73" s="94">
        <f t="shared" si="261"/>
        <v>0</v>
      </c>
      <c r="I73" s="96"/>
      <c r="J73" s="117"/>
      <c r="K73" s="117"/>
      <c r="L73" s="118"/>
      <c r="M73" s="97">
        <f t="shared" ref="M73:O73" si="312">Y73+AB73+AE73+AH73+AK73+AN73+AQ73+AT73+AW73+AZ73+BC73+BF73</f>
        <v>0</v>
      </c>
      <c r="N73" s="97">
        <f t="shared" si="312"/>
        <v>0</v>
      </c>
      <c r="O73" s="97">
        <f t="shared" si="312"/>
        <v>0</v>
      </c>
      <c r="P73" s="82">
        <f t="shared" si="309"/>
        <v>0</v>
      </c>
      <c r="Q73" s="82">
        <f t="shared" ref="Q73:R73" si="313">IF(BJ73=0,SUM(Z73+AC73+AF73+AI73+AL73+AO73+AR73+AU73+AX73+BA73+BD73+BG73),BJ73)</f>
        <v>0</v>
      </c>
      <c r="R73" s="82">
        <f t="shared" si="313"/>
        <v>0</v>
      </c>
      <c r="S73" s="97">
        <f t="shared" ref="S73:T73" si="314">I73-M73</f>
        <v>0</v>
      </c>
      <c r="T73" s="97">
        <f t="shared" si="314"/>
        <v>0</v>
      </c>
      <c r="U73" s="97">
        <f t="shared" si="298"/>
        <v>0</v>
      </c>
      <c r="V73" s="98" t="e">
        <f t="shared" ref="V73:W73" si="315">M73/I73</f>
        <v>#DIV/0!</v>
      </c>
      <c r="W73" s="98" t="e">
        <f t="shared" si="315"/>
        <v>#DIV/0!</v>
      </c>
      <c r="X73" s="98" t="e">
        <f t="shared" si="23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60"/>
        <v>0.1028</v>
      </c>
      <c r="H74" s="94">
        <f t="shared" si="261"/>
        <v>0</v>
      </c>
      <c r="I74" s="96">
        <v>3084</v>
      </c>
      <c r="J74" s="167">
        <v>2243.89</v>
      </c>
      <c r="K74" s="117"/>
      <c r="L74" s="118"/>
      <c r="M74" s="97">
        <f t="shared" ref="M74:O74" si="316">Y74+AB74+AE74+AH74+AK74+AN74+AQ74+AT74+AW74+AZ74+BC74+BF74</f>
        <v>0</v>
      </c>
      <c r="N74" s="97">
        <f t="shared" si="316"/>
        <v>1598.22</v>
      </c>
      <c r="O74" s="97">
        <f t="shared" si="316"/>
        <v>0</v>
      </c>
      <c r="P74" s="82">
        <f t="shared" si="309"/>
        <v>0</v>
      </c>
      <c r="Q74" s="82">
        <f t="shared" ref="Q74:R74" si="317">IF(BJ74=0,SUM(Z74+AC74+AF74+AI74+AL74+AO74+AR74+AU74+AX74+BA74+BD74+BG74),BJ74)</f>
        <v>1598.22</v>
      </c>
      <c r="R74" s="82">
        <f t="shared" si="317"/>
        <v>0</v>
      </c>
      <c r="S74" s="97">
        <f t="shared" ref="S74:T74" si="318">I74-M74</f>
        <v>3084</v>
      </c>
      <c r="T74" s="97">
        <f t="shared" si="318"/>
        <v>645.66999999999985</v>
      </c>
      <c r="U74" s="97">
        <f t="shared" si="298"/>
        <v>0</v>
      </c>
      <c r="V74" s="98">
        <f t="shared" ref="V74:W74" si="319">M74/I74</f>
        <v>0</v>
      </c>
      <c r="W74" s="98">
        <f t="shared" si="319"/>
        <v>0.71225416575678846</v>
      </c>
      <c r="X74" s="98" t="e">
        <f t="shared" si="23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60"/>
        <v>0</v>
      </c>
      <c r="H75" s="94">
        <f t="shared" si="261"/>
        <v>0</v>
      </c>
      <c r="I75" s="173"/>
      <c r="J75" s="174"/>
      <c r="K75" s="174"/>
      <c r="L75" s="174"/>
      <c r="M75" s="97">
        <f t="shared" ref="M75:O75" si="320">Y75+AB75+AE75+AH75+AK75+AN75+AQ75+AT75+AW75+AZ75+BC75+BF75</f>
        <v>0</v>
      </c>
      <c r="N75" s="97">
        <f t="shared" si="320"/>
        <v>0</v>
      </c>
      <c r="O75" s="175">
        <f t="shared" si="320"/>
        <v>0</v>
      </c>
      <c r="P75" s="82">
        <f t="shared" si="309"/>
        <v>0</v>
      </c>
      <c r="Q75" s="82">
        <f t="shared" ref="Q75:R75" si="321">IF(BJ75=0,SUM(Z75+AC75+AF75+AI75+AL75+AO75+AR75+AU75+AX75+BA75+BD75+BG75),BJ75)</f>
        <v>0</v>
      </c>
      <c r="R75" s="82">
        <f t="shared" si="321"/>
        <v>0</v>
      </c>
      <c r="S75" s="175">
        <f t="shared" ref="S75:T75" si="322">I75-M75</f>
        <v>0</v>
      </c>
      <c r="T75" s="97">
        <f t="shared" si="322"/>
        <v>0</v>
      </c>
      <c r="U75" s="175">
        <f t="shared" si="298"/>
        <v>0</v>
      </c>
      <c r="V75" s="176" t="e">
        <f t="shared" ref="V75:W75" si="323">M75/I75</f>
        <v>#DIV/0!</v>
      </c>
      <c r="W75" s="176" t="e">
        <f t="shared" si="323"/>
        <v>#DIV/0!</v>
      </c>
      <c r="X75" s="176" t="e">
        <f t="shared" si="23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60"/>
        <v>0</v>
      </c>
      <c r="H76" s="94">
        <f t="shared" si="261"/>
        <v>0</v>
      </c>
      <c r="I76" s="174"/>
      <c r="J76" s="174"/>
      <c r="K76" s="174"/>
      <c r="L76" s="174"/>
      <c r="M76" s="175">
        <f t="shared" ref="M76:O76" si="324">Y76+AB76+AE76+AH76+AK76+AN76+AQ76+AT76+AW76+AZ76+BC76+BF76</f>
        <v>0</v>
      </c>
      <c r="N76" s="175">
        <f t="shared" si="324"/>
        <v>0</v>
      </c>
      <c r="O76" s="175">
        <f t="shared" si="324"/>
        <v>0</v>
      </c>
      <c r="P76" s="82">
        <f t="shared" si="309"/>
        <v>0</v>
      </c>
      <c r="Q76" s="82">
        <f t="shared" ref="Q76:R76" si="325">IF(BJ76=0,SUM(Z76+AC76+AF76+AI76+AL76+AO76+AR76+AU76+AX76+BA76+BD76+BG76),BJ76)</f>
        <v>0</v>
      </c>
      <c r="R76" s="82">
        <f t="shared" si="325"/>
        <v>0</v>
      </c>
      <c r="S76" s="175">
        <f t="shared" ref="S76:T76" si="326">I76-M76</f>
        <v>0</v>
      </c>
      <c r="T76" s="175">
        <f t="shared" si="326"/>
        <v>0</v>
      </c>
      <c r="U76" s="175">
        <f t="shared" si="298"/>
        <v>0</v>
      </c>
      <c r="V76" s="176" t="e">
        <f t="shared" ref="V76:W76" si="327">M76/I76</f>
        <v>#DIV/0!</v>
      </c>
      <c r="W76" s="176" t="e">
        <f t="shared" si="327"/>
        <v>#DIV/0!</v>
      </c>
      <c r="X76" s="176" t="e">
        <f t="shared" si="23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60"/>
        <v>0</v>
      </c>
      <c r="H77" s="188">
        <f t="shared" si="261"/>
        <v>0</v>
      </c>
      <c r="I77" s="186">
        <f t="shared" ref="I77:O77" si="328">SUM(I78:I79)</f>
        <v>0</v>
      </c>
      <c r="J77" s="186">
        <f t="shared" si="328"/>
        <v>0</v>
      </c>
      <c r="K77" s="186">
        <f t="shared" si="328"/>
        <v>0</v>
      </c>
      <c r="L77" s="186">
        <f t="shared" si="328"/>
        <v>0</v>
      </c>
      <c r="M77" s="186">
        <f t="shared" si="328"/>
        <v>0</v>
      </c>
      <c r="N77" s="186">
        <f t="shared" si="328"/>
        <v>0</v>
      </c>
      <c r="O77" s="186">
        <f t="shared" si="328"/>
        <v>0</v>
      </c>
      <c r="P77" s="81">
        <f t="shared" si="309"/>
        <v>0</v>
      </c>
      <c r="Q77" s="81">
        <f t="shared" ref="Q77:R77" si="329">IF(BJ77=0,SUM(Z77+AC77+AF77+AI77+AL77+AO77+AR77+AU77+AX77+BA77+BD77+BG77),BJ77)</f>
        <v>0</v>
      </c>
      <c r="R77" s="81">
        <f t="shared" si="329"/>
        <v>0</v>
      </c>
      <c r="S77" s="186">
        <f t="shared" ref="S77:U77" si="330">SUM(S78:S79)</f>
        <v>0</v>
      </c>
      <c r="T77" s="186">
        <f t="shared" si="330"/>
        <v>0</v>
      </c>
      <c r="U77" s="186">
        <f t="shared" si="330"/>
        <v>0</v>
      </c>
      <c r="V77" s="189" t="e">
        <f t="shared" ref="V77:W77" si="331">M77/I77</f>
        <v>#DIV/0!</v>
      </c>
      <c r="W77" s="189" t="e">
        <f t="shared" si="331"/>
        <v>#DIV/0!</v>
      </c>
      <c r="X77" s="189" t="e">
        <f t="shared" si="23"/>
        <v>#DIV/0!</v>
      </c>
      <c r="Y77" s="186">
        <f t="shared" ref="Y77:BK77" si="332">SUM(Y78:Y79)</f>
        <v>0</v>
      </c>
      <c r="Z77" s="186">
        <f t="shared" si="332"/>
        <v>0</v>
      </c>
      <c r="AA77" s="186">
        <f t="shared" si="332"/>
        <v>0</v>
      </c>
      <c r="AB77" s="186">
        <f t="shared" si="332"/>
        <v>0</v>
      </c>
      <c r="AC77" s="186">
        <f t="shared" si="332"/>
        <v>0</v>
      </c>
      <c r="AD77" s="186">
        <f t="shared" si="332"/>
        <v>0</v>
      </c>
      <c r="AE77" s="186">
        <f t="shared" si="332"/>
        <v>0</v>
      </c>
      <c r="AF77" s="186">
        <f t="shared" si="332"/>
        <v>0</v>
      </c>
      <c r="AG77" s="186">
        <f t="shared" si="332"/>
        <v>0</v>
      </c>
      <c r="AH77" s="186">
        <f t="shared" si="332"/>
        <v>0</v>
      </c>
      <c r="AI77" s="186">
        <f t="shared" si="332"/>
        <v>0</v>
      </c>
      <c r="AJ77" s="186">
        <f t="shared" si="332"/>
        <v>0</v>
      </c>
      <c r="AK77" s="186">
        <f t="shared" si="332"/>
        <v>0</v>
      </c>
      <c r="AL77" s="186">
        <f t="shared" si="332"/>
        <v>0</v>
      </c>
      <c r="AM77" s="186">
        <f t="shared" si="332"/>
        <v>0</v>
      </c>
      <c r="AN77" s="186">
        <f t="shared" si="332"/>
        <v>0</v>
      </c>
      <c r="AO77" s="186">
        <f t="shared" si="332"/>
        <v>0</v>
      </c>
      <c r="AP77" s="186">
        <f t="shared" si="332"/>
        <v>0</v>
      </c>
      <c r="AQ77" s="186">
        <f t="shared" si="332"/>
        <v>0</v>
      </c>
      <c r="AR77" s="186">
        <f t="shared" si="332"/>
        <v>0</v>
      </c>
      <c r="AS77" s="186">
        <f t="shared" si="332"/>
        <v>0</v>
      </c>
      <c r="AT77" s="186">
        <f t="shared" si="332"/>
        <v>0</v>
      </c>
      <c r="AU77" s="186">
        <f t="shared" si="332"/>
        <v>0</v>
      </c>
      <c r="AV77" s="186">
        <f t="shared" si="332"/>
        <v>0</v>
      </c>
      <c r="AW77" s="186">
        <f t="shared" si="332"/>
        <v>0</v>
      </c>
      <c r="AX77" s="186">
        <f t="shared" si="332"/>
        <v>0</v>
      </c>
      <c r="AY77" s="186">
        <f t="shared" si="332"/>
        <v>0</v>
      </c>
      <c r="AZ77" s="186">
        <f t="shared" si="332"/>
        <v>0</v>
      </c>
      <c r="BA77" s="186">
        <f t="shared" si="332"/>
        <v>0</v>
      </c>
      <c r="BB77" s="186">
        <f t="shared" si="332"/>
        <v>0</v>
      </c>
      <c r="BC77" s="186">
        <f t="shared" si="332"/>
        <v>0</v>
      </c>
      <c r="BD77" s="186">
        <f t="shared" si="332"/>
        <v>0</v>
      </c>
      <c r="BE77" s="186">
        <f t="shared" si="332"/>
        <v>0</v>
      </c>
      <c r="BF77" s="186">
        <f t="shared" si="332"/>
        <v>0</v>
      </c>
      <c r="BG77" s="186">
        <f t="shared" si="332"/>
        <v>0</v>
      </c>
      <c r="BH77" s="186">
        <f t="shared" si="332"/>
        <v>0</v>
      </c>
      <c r="BI77" s="186">
        <f t="shared" si="332"/>
        <v>0</v>
      </c>
      <c r="BJ77" s="186">
        <f t="shared" si="332"/>
        <v>0</v>
      </c>
      <c r="BK77" s="186">
        <f t="shared" si="332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60"/>
        <v>#DIV/0!</v>
      </c>
      <c r="H78" s="94" t="e">
        <f t="shared" si="261"/>
        <v>#DIV/0!</v>
      </c>
      <c r="I78" s="96"/>
      <c r="J78" s="190"/>
      <c r="K78" s="190"/>
      <c r="L78" s="190"/>
      <c r="M78" s="97">
        <f t="shared" ref="M78:O78" si="333">Y78+AB78+AE78+AH78+AK78+AN78+AQ78+AT78+AW78+AZ78+BC78+BF78</f>
        <v>0</v>
      </c>
      <c r="N78" s="97">
        <f t="shared" si="333"/>
        <v>0</v>
      </c>
      <c r="O78" s="97">
        <f t="shared" si="333"/>
        <v>0</v>
      </c>
      <c r="P78" s="82">
        <f t="shared" si="309"/>
        <v>0</v>
      </c>
      <c r="Q78" s="82">
        <f t="shared" ref="Q78:R78" si="334">IF(BJ78=0,SUM(Z78+AC78+AF78+AI78+AL78+AO78+AR78+AU78+AX78+BA78+BD78+BG78),BJ78)</f>
        <v>0</v>
      </c>
      <c r="R78" s="82">
        <f t="shared" si="334"/>
        <v>0</v>
      </c>
      <c r="S78" s="97">
        <f t="shared" ref="S78:T78" si="335">I78-M78</f>
        <v>0</v>
      </c>
      <c r="T78" s="97">
        <f t="shared" si="335"/>
        <v>0</v>
      </c>
      <c r="U78" s="97">
        <f t="shared" ref="U78:U79" si="336">L78-O78</f>
        <v>0</v>
      </c>
      <c r="V78" s="98" t="e">
        <f t="shared" ref="V78:W78" si="337">M78/I78</f>
        <v>#DIV/0!</v>
      </c>
      <c r="W78" s="98" t="e">
        <f t="shared" si="337"/>
        <v>#DIV/0!</v>
      </c>
      <c r="X78" s="98" t="e">
        <f t="shared" si="23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60"/>
        <v>#DIV/0!</v>
      </c>
      <c r="H79" s="94" t="e">
        <f t="shared" si="261"/>
        <v>#DIV/0!</v>
      </c>
      <c r="I79" s="96"/>
      <c r="J79" s="190"/>
      <c r="K79" s="190"/>
      <c r="L79" s="190"/>
      <c r="M79" s="97">
        <f t="shared" ref="M79:O79" si="338">Y79+AB79+AE79+AH79+AK79+AN79+AQ79+AT79+AW79+AZ79+BC79+BF79</f>
        <v>0</v>
      </c>
      <c r="N79" s="97">
        <f t="shared" si="338"/>
        <v>0</v>
      </c>
      <c r="O79" s="97">
        <f t="shared" si="338"/>
        <v>0</v>
      </c>
      <c r="P79" s="82">
        <f t="shared" si="309"/>
        <v>0</v>
      </c>
      <c r="Q79" s="82">
        <f t="shared" ref="Q79:R79" si="339">IF(BJ79=0,SUM(Z79+AC79+AF79+AI79+AL79+AO79+AR79+AU79+AX79+BA79+BD79+BG79),BJ79)</f>
        <v>0</v>
      </c>
      <c r="R79" s="82">
        <f t="shared" si="339"/>
        <v>0</v>
      </c>
      <c r="S79" s="97">
        <f t="shared" ref="S79:T79" si="340">I79-M79</f>
        <v>0</v>
      </c>
      <c r="T79" s="97">
        <f t="shared" si="340"/>
        <v>0</v>
      </c>
      <c r="U79" s="97">
        <f t="shared" si="336"/>
        <v>0</v>
      </c>
      <c r="V79" s="98" t="e">
        <f t="shared" ref="V79:W79" si="341">M79/I79</f>
        <v>#DIV/0!</v>
      </c>
      <c r="W79" s="98" t="e">
        <f t="shared" si="341"/>
        <v>#DIV/0!</v>
      </c>
      <c r="X79" s="98" t="e">
        <f t="shared" si="23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42">SUM(E81:E83)</f>
        <v>13808</v>
      </c>
      <c r="F80" s="154">
        <f t="shared" si="342"/>
        <v>0</v>
      </c>
      <c r="G80" s="192">
        <f t="shared" si="260"/>
        <v>0.27578215527230593</v>
      </c>
      <c r="H80" s="192">
        <f t="shared" si="261"/>
        <v>0</v>
      </c>
      <c r="I80" s="154">
        <f t="shared" ref="I80:O80" si="343">SUM(I81:I83)</f>
        <v>3808</v>
      </c>
      <c r="J80" s="154">
        <f t="shared" si="343"/>
        <v>0</v>
      </c>
      <c r="K80" s="154">
        <f t="shared" si="343"/>
        <v>0</v>
      </c>
      <c r="L80" s="154">
        <f t="shared" si="343"/>
        <v>0</v>
      </c>
      <c r="M80" s="154">
        <f t="shared" si="343"/>
        <v>0</v>
      </c>
      <c r="N80" s="154">
        <f t="shared" si="343"/>
        <v>0</v>
      </c>
      <c r="O80" s="154">
        <f t="shared" si="343"/>
        <v>0</v>
      </c>
      <c r="P80" s="81">
        <f t="shared" si="309"/>
        <v>0</v>
      </c>
      <c r="Q80" s="81">
        <f t="shared" ref="Q80:R80" si="344">IF(BJ80=0,SUM(Z80+AC80+AF80+AI80+AL80+AO80+AR80+AU80+AX80+BA80+BD80+BG80),BJ80)</f>
        <v>0</v>
      </c>
      <c r="R80" s="81">
        <f t="shared" si="344"/>
        <v>0</v>
      </c>
      <c r="S80" s="154">
        <f t="shared" ref="S80:U80" si="345">SUM(S81:S83)</f>
        <v>3808</v>
      </c>
      <c r="T80" s="154">
        <f t="shared" si="345"/>
        <v>0</v>
      </c>
      <c r="U80" s="154">
        <f t="shared" si="345"/>
        <v>0</v>
      </c>
      <c r="V80" s="193">
        <f t="shared" ref="V80:W80" si="346">M80/I80</f>
        <v>0</v>
      </c>
      <c r="W80" s="193" t="e">
        <f t="shared" si="346"/>
        <v>#DIV/0!</v>
      </c>
      <c r="X80" s="193" t="e">
        <f t="shared" si="23"/>
        <v>#DIV/0!</v>
      </c>
      <c r="Y80" s="154">
        <f t="shared" ref="Y80:BK80" si="347">SUM(Y81:Y83)</f>
        <v>0</v>
      </c>
      <c r="Z80" s="154">
        <f t="shared" si="347"/>
        <v>0</v>
      </c>
      <c r="AA80" s="154">
        <f t="shared" si="347"/>
        <v>0</v>
      </c>
      <c r="AB80" s="154">
        <f t="shared" si="347"/>
        <v>0</v>
      </c>
      <c r="AC80" s="154">
        <f t="shared" si="347"/>
        <v>0</v>
      </c>
      <c r="AD80" s="154">
        <f t="shared" si="347"/>
        <v>0</v>
      </c>
      <c r="AE80" s="154">
        <f t="shared" si="347"/>
        <v>0</v>
      </c>
      <c r="AF80" s="154">
        <f t="shared" si="347"/>
        <v>0</v>
      </c>
      <c r="AG80" s="154">
        <f t="shared" si="347"/>
        <v>0</v>
      </c>
      <c r="AH80" s="154">
        <f t="shared" si="347"/>
        <v>0</v>
      </c>
      <c r="AI80" s="154">
        <f t="shared" si="347"/>
        <v>0</v>
      </c>
      <c r="AJ80" s="154">
        <f t="shared" si="347"/>
        <v>0</v>
      </c>
      <c r="AK80" s="154">
        <f t="shared" si="347"/>
        <v>0</v>
      </c>
      <c r="AL80" s="154">
        <f t="shared" si="347"/>
        <v>0</v>
      </c>
      <c r="AM80" s="154">
        <f t="shared" si="347"/>
        <v>0</v>
      </c>
      <c r="AN80" s="154">
        <f t="shared" si="347"/>
        <v>0</v>
      </c>
      <c r="AO80" s="154">
        <f t="shared" si="347"/>
        <v>0</v>
      </c>
      <c r="AP80" s="154">
        <f t="shared" si="347"/>
        <v>0</v>
      </c>
      <c r="AQ80" s="154">
        <f t="shared" si="347"/>
        <v>0</v>
      </c>
      <c r="AR80" s="154">
        <f t="shared" si="347"/>
        <v>0</v>
      </c>
      <c r="AS80" s="154">
        <f t="shared" si="347"/>
        <v>0</v>
      </c>
      <c r="AT80" s="154">
        <f t="shared" si="347"/>
        <v>0</v>
      </c>
      <c r="AU80" s="154">
        <f t="shared" si="347"/>
        <v>0</v>
      </c>
      <c r="AV80" s="154">
        <f t="shared" si="347"/>
        <v>0</v>
      </c>
      <c r="AW80" s="154">
        <f t="shared" si="347"/>
        <v>0</v>
      </c>
      <c r="AX80" s="154">
        <f t="shared" si="347"/>
        <v>0</v>
      </c>
      <c r="AY80" s="154">
        <f t="shared" si="347"/>
        <v>0</v>
      </c>
      <c r="AZ80" s="154">
        <f t="shared" si="347"/>
        <v>0</v>
      </c>
      <c r="BA80" s="154">
        <f t="shared" si="347"/>
        <v>0</v>
      </c>
      <c r="BB80" s="154">
        <f t="shared" si="347"/>
        <v>0</v>
      </c>
      <c r="BC80" s="154">
        <f t="shared" si="347"/>
        <v>0</v>
      </c>
      <c r="BD80" s="154">
        <f t="shared" si="347"/>
        <v>0</v>
      </c>
      <c r="BE80" s="154">
        <f t="shared" si="347"/>
        <v>0</v>
      </c>
      <c r="BF80" s="154">
        <f t="shared" si="347"/>
        <v>0</v>
      </c>
      <c r="BG80" s="154">
        <f t="shared" si="347"/>
        <v>0</v>
      </c>
      <c r="BH80" s="154">
        <f t="shared" si="347"/>
        <v>0</v>
      </c>
      <c r="BI80" s="154">
        <f t="shared" si="347"/>
        <v>0</v>
      </c>
      <c r="BJ80" s="154">
        <f t="shared" si="347"/>
        <v>0</v>
      </c>
      <c r="BK80" s="154">
        <f t="shared" si="347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48">Y81+AB81+AE81+AH81+AK81+AN81+AQ81+AT81+AW81+AZ81+BC81+BF81</f>
        <v>0</v>
      </c>
      <c r="N81" s="97">
        <f t="shared" si="348"/>
        <v>0</v>
      </c>
      <c r="O81" s="97">
        <f t="shared" si="348"/>
        <v>0</v>
      </c>
      <c r="P81" s="82">
        <f t="shared" si="309"/>
        <v>0</v>
      </c>
      <c r="Q81" s="82">
        <f t="shared" ref="Q81:R81" si="349">IF(BJ81=0,SUM(Z81+AC81+AF81+AI81+AL81+AO81+AR81+AU81+AX81+BA81+BD81+BG81),BJ81)</f>
        <v>0</v>
      </c>
      <c r="R81" s="82">
        <f t="shared" si="349"/>
        <v>0</v>
      </c>
      <c r="S81" s="97">
        <f t="shared" ref="S81:T81" si="350">I81-M81</f>
        <v>3808</v>
      </c>
      <c r="T81" s="97">
        <f t="shared" si="350"/>
        <v>0</v>
      </c>
      <c r="U81" s="97">
        <f t="shared" ref="U81:U83" si="351">L81-O81</f>
        <v>0</v>
      </c>
      <c r="V81" s="98">
        <f t="shared" ref="V81:W81" si="352">M81/I81</f>
        <v>0</v>
      </c>
      <c r="W81" s="98" t="e">
        <f t="shared" si="352"/>
        <v>#DIV/0!</v>
      </c>
      <c r="X81" s="98" t="e">
        <f t="shared" si="23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53">I82/E82</f>
        <v>#DIV/0!</v>
      </c>
      <c r="H82" s="94" t="e">
        <f t="shared" ref="H82:H89" si="354">M82/E82</f>
        <v>#DIV/0!</v>
      </c>
      <c r="I82" s="96"/>
      <c r="J82" s="96"/>
      <c r="K82" s="96"/>
      <c r="L82" s="95"/>
      <c r="M82" s="97">
        <f t="shared" ref="M82:O82" si="355">Y82+AB82+AE82+AH82+AK82+AN82+AQ82+AT82+AW82+AZ82+BC82+BF82</f>
        <v>0</v>
      </c>
      <c r="N82" s="97">
        <f t="shared" si="355"/>
        <v>0</v>
      </c>
      <c r="O82" s="97">
        <f t="shared" si="355"/>
        <v>0</v>
      </c>
      <c r="P82" s="82">
        <f t="shared" si="309"/>
        <v>0</v>
      </c>
      <c r="Q82" s="82">
        <f t="shared" ref="Q82:R82" si="356">IF(BJ82=0,SUM(Z82+AC82+AF82+AI82+AL82+AO82+AR82+AU82+AX82+BA82+BD82+BG82),BJ82)</f>
        <v>0</v>
      </c>
      <c r="R82" s="82">
        <f t="shared" si="356"/>
        <v>0</v>
      </c>
      <c r="S82" s="97">
        <f t="shared" ref="S82:T82" si="357">I82-M82</f>
        <v>0</v>
      </c>
      <c r="T82" s="97">
        <f t="shared" si="357"/>
        <v>0</v>
      </c>
      <c r="U82" s="97">
        <f t="shared" si="351"/>
        <v>0</v>
      </c>
      <c r="V82" s="98" t="e">
        <f t="shared" ref="V82:W82" si="358">M82/I82</f>
        <v>#DIV/0!</v>
      </c>
      <c r="W82" s="98" t="e">
        <f t="shared" si="358"/>
        <v>#DIV/0!</v>
      </c>
      <c r="X82" s="98" t="e">
        <f t="shared" si="23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53"/>
        <v>0</v>
      </c>
      <c r="H83" s="94">
        <f t="shared" si="354"/>
        <v>0</v>
      </c>
      <c r="I83" s="142"/>
      <c r="J83" s="96"/>
      <c r="K83" s="96"/>
      <c r="L83" s="95"/>
      <c r="M83" s="97">
        <f t="shared" ref="M83:O83" si="359">Y83+AB83+AE83+AH83+AK83+AN83+AQ83+AT83+AW83+AZ83+BC83+BF83</f>
        <v>0</v>
      </c>
      <c r="N83" s="97">
        <f t="shared" si="359"/>
        <v>0</v>
      </c>
      <c r="O83" s="97">
        <f t="shared" si="359"/>
        <v>0</v>
      </c>
      <c r="P83" s="82">
        <f t="shared" si="309"/>
        <v>0</v>
      </c>
      <c r="Q83" s="82">
        <f t="shared" ref="Q83:R83" si="360">IF(BJ83=0,SUM(Z83+AC83+AF83+AI83+AL83+AO83+AR83+AU83+AX83+BA83+BD83+BG83),BJ83)</f>
        <v>0</v>
      </c>
      <c r="R83" s="82">
        <f t="shared" si="360"/>
        <v>0</v>
      </c>
      <c r="S83" s="97">
        <f t="shared" ref="S83:T83" si="361">I83-M83</f>
        <v>0</v>
      </c>
      <c r="T83" s="97">
        <f t="shared" si="361"/>
        <v>0</v>
      </c>
      <c r="U83" s="97">
        <f t="shared" si="351"/>
        <v>0</v>
      </c>
      <c r="V83" s="98" t="e">
        <f t="shared" ref="V83:W83" si="362">M83/I83</f>
        <v>#DIV/0!</v>
      </c>
      <c r="W83" s="98" t="e">
        <f t="shared" si="362"/>
        <v>#DIV/0!</v>
      </c>
      <c r="X83" s="98" t="e">
        <f t="shared" si="23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53"/>
        <v>0</v>
      </c>
      <c r="H84" s="192">
        <f t="shared" si="354"/>
        <v>0</v>
      </c>
      <c r="I84" s="154">
        <f t="shared" ref="I84:K84" si="363">SUM(I85:I88)</f>
        <v>0</v>
      </c>
      <c r="J84" s="154">
        <f t="shared" si="363"/>
        <v>73937.67</v>
      </c>
      <c r="K84" s="154">
        <f t="shared" si="363"/>
        <v>0</v>
      </c>
      <c r="L84" s="154">
        <f t="shared" ref="L84:O84" si="364">SUM(L85:L87)</f>
        <v>0</v>
      </c>
      <c r="M84" s="154">
        <f t="shared" si="364"/>
        <v>0</v>
      </c>
      <c r="N84" s="154">
        <f t="shared" si="364"/>
        <v>13993.4</v>
      </c>
      <c r="O84" s="154">
        <f t="shared" si="364"/>
        <v>0</v>
      </c>
      <c r="P84" s="81">
        <f t="shared" si="309"/>
        <v>0</v>
      </c>
      <c r="Q84" s="81">
        <f t="shared" ref="Q84:R84" si="365">IF(BJ84=0,SUM(Z84+AC84+AF84+AI84+AL84+AO84+AR84+AU84+AX84+BA84+BD84+BG84),BJ84)</f>
        <v>13993.4</v>
      </c>
      <c r="R84" s="81">
        <f t="shared" si="365"/>
        <v>0</v>
      </c>
      <c r="S84" s="154">
        <f t="shared" ref="S84:T84" si="366">SUM(S85:S88)</f>
        <v>0</v>
      </c>
      <c r="T84" s="154">
        <f t="shared" si="366"/>
        <v>59944.27</v>
      </c>
      <c r="U84" s="154">
        <f>SUM(U85:U87)</f>
        <v>0</v>
      </c>
      <c r="V84" s="193" t="e">
        <f t="shared" ref="V84:W84" si="367">M84/I84</f>
        <v>#DIV/0!</v>
      </c>
      <c r="W84" s="193">
        <f t="shared" si="367"/>
        <v>0.18925941269179838</v>
      </c>
      <c r="X84" s="193" t="e">
        <f t="shared" si="23"/>
        <v>#DIV/0!</v>
      </c>
      <c r="Y84" s="154">
        <f t="shared" ref="Y84:BK84" si="368">SUM(Y85:Y87)</f>
        <v>0</v>
      </c>
      <c r="Z84" s="154">
        <f t="shared" si="368"/>
        <v>4271.3999999999996</v>
      </c>
      <c r="AA84" s="154">
        <f t="shared" si="368"/>
        <v>0</v>
      </c>
      <c r="AB84" s="154">
        <f t="shared" si="368"/>
        <v>0</v>
      </c>
      <c r="AC84" s="154">
        <f t="shared" si="368"/>
        <v>6630</v>
      </c>
      <c r="AD84" s="154">
        <f t="shared" si="368"/>
        <v>0</v>
      </c>
      <c r="AE84" s="154">
        <f t="shared" si="368"/>
        <v>0</v>
      </c>
      <c r="AF84" s="154">
        <f t="shared" si="368"/>
        <v>3092</v>
      </c>
      <c r="AG84" s="154">
        <f t="shared" si="368"/>
        <v>0</v>
      </c>
      <c r="AH84" s="154">
        <f t="shared" si="368"/>
        <v>0</v>
      </c>
      <c r="AI84" s="154">
        <f t="shared" si="368"/>
        <v>0</v>
      </c>
      <c r="AJ84" s="154">
        <f t="shared" si="368"/>
        <v>0</v>
      </c>
      <c r="AK84" s="154">
        <f t="shared" si="368"/>
        <v>0</v>
      </c>
      <c r="AL84" s="154">
        <f t="shared" si="368"/>
        <v>0</v>
      </c>
      <c r="AM84" s="154">
        <f t="shared" si="368"/>
        <v>0</v>
      </c>
      <c r="AN84" s="154">
        <f t="shared" si="368"/>
        <v>0</v>
      </c>
      <c r="AO84" s="154">
        <f t="shared" si="368"/>
        <v>0</v>
      </c>
      <c r="AP84" s="154">
        <f t="shared" si="368"/>
        <v>0</v>
      </c>
      <c r="AQ84" s="154">
        <f t="shared" si="368"/>
        <v>0</v>
      </c>
      <c r="AR84" s="154">
        <f t="shared" si="368"/>
        <v>0</v>
      </c>
      <c r="AS84" s="154">
        <f t="shared" si="368"/>
        <v>0</v>
      </c>
      <c r="AT84" s="154">
        <f t="shared" si="368"/>
        <v>0</v>
      </c>
      <c r="AU84" s="154">
        <f t="shared" si="368"/>
        <v>0</v>
      </c>
      <c r="AV84" s="154">
        <f t="shared" si="368"/>
        <v>0</v>
      </c>
      <c r="AW84" s="154">
        <f t="shared" si="368"/>
        <v>0</v>
      </c>
      <c r="AX84" s="154">
        <f t="shared" si="368"/>
        <v>0</v>
      </c>
      <c r="AY84" s="154">
        <f t="shared" si="368"/>
        <v>0</v>
      </c>
      <c r="AZ84" s="154">
        <f t="shared" si="368"/>
        <v>0</v>
      </c>
      <c r="BA84" s="154">
        <f t="shared" si="368"/>
        <v>0</v>
      </c>
      <c r="BB84" s="154">
        <f t="shared" si="368"/>
        <v>0</v>
      </c>
      <c r="BC84" s="154">
        <f t="shared" si="368"/>
        <v>0</v>
      </c>
      <c r="BD84" s="154">
        <f t="shared" si="368"/>
        <v>0</v>
      </c>
      <c r="BE84" s="154">
        <f t="shared" si="368"/>
        <v>0</v>
      </c>
      <c r="BF84" s="154">
        <f t="shared" si="368"/>
        <v>0</v>
      </c>
      <c r="BG84" s="154">
        <f t="shared" si="368"/>
        <v>0</v>
      </c>
      <c r="BH84" s="154">
        <f t="shared" si="368"/>
        <v>0</v>
      </c>
      <c r="BI84" s="154">
        <f t="shared" si="368"/>
        <v>0</v>
      </c>
      <c r="BJ84" s="154">
        <f t="shared" si="368"/>
        <v>0</v>
      </c>
      <c r="BK84" s="154">
        <f t="shared" si="368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53"/>
        <v>0</v>
      </c>
      <c r="H85" s="94">
        <f t="shared" si="354"/>
        <v>0</v>
      </c>
      <c r="I85" s="142"/>
      <c r="J85" s="96"/>
      <c r="K85" s="96"/>
      <c r="L85" s="95"/>
      <c r="M85" s="97">
        <f t="shared" ref="M85:O85" si="369">Y85+AB85+AE85+AH85+AK85+AN85+AQ85+AT85+AW85+AZ85+BC85+BF85</f>
        <v>0</v>
      </c>
      <c r="N85" s="97">
        <f t="shared" si="369"/>
        <v>0</v>
      </c>
      <c r="O85" s="97">
        <f t="shared" si="369"/>
        <v>0</v>
      </c>
      <c r="P85" s="82">
        <f t="shared" si="309"/>
        <v>0</v>
      </c>
      <c r="Q85" s="82">
        <f t="shared" ref="Q85:R85" si="370">IF(BJ85=0,SUM(Z85+AC85+AF85+AI85+AL85+AO85+AR85+AU85+AX85+BA85+BD85+BG85),BJ85)</f>
        <v>0</v>
      </c>
      <c r="R85" s="82">
        <f t="shared" si="370"/>
        <v>0</v>
      </c>
      <c r="S85" s="97">
        <f t="shared" ref="S85:T85" si="371">I85-M85</f>
        <v>0</v>
      </c>
      <c r="T85" s="97">
        <f t="shared" si="371"/>
        <v>0</v>
      </c>
      <c r="U85" s="97">
        <f t="shared" ref="U85:U88" si="372">L85-O85</f>
        <v>0</v>
      </c>
      <c r="V85" s="98" t="e">
        <f t="shared" ref="V85:W85" si="373">M85/I85</f>
        <v>#DIV/0!</v>
      </c>
      <c r="W85" s="98" t="e">
        <f t="shared" si="373"/>
        <v>#DIV/0!</v>
      </c>
      <c r="X85" s="98" t="e">
        <f t="shared" si="23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53"/>
        <v>0</v>
      </c>
      <c r="H86" s="94">
        <f t="shared" si="354"/>
        <v>0</v>
      </c>
      <c r="I86" s="95"/>
      <c r="J86" s="119"/>
      <c r="K86" s="119"/>
      <c r="L86" s="95"/>
      <c r="M86" s="97">
        <f t="shared" ref="M86:O86" si="374">Y86+AB86+AE86+AH86+AK86+AN86+AQ86+AT86+AW86+AZ86+BC86+BF86</f>
        <v>0</v>
      </c>
      <c r="N86" s="97">
        <f t="shared" si="374"/>
        <v>0</v>
      </c>
      <c r="O86" s="97">
        <f t="shared" si="374"/>
        <v>0</v>
      </c>
      <c r="P86" s="82">
        <f t="shared" si="309"/>
        <v>0</v>
      </c>
      <c r="Q86" s="82">
        <f t="shared" ref="Q86:R86" si="375">IF(BJ86=0,SUM(Z86+AC86+AF86+AI86+AL86+AO86+AR86+AU86+AX86+BA86+BD86+BG86),BJ86)</f>
        <v>0</v>
      </c>
      <c r="R86" s="82">
        <f t="shared" si="375"/>
        <v>0</v>
      </c>
      <c r="S86" s="97">
        <f t="shared" ref="S86:T86" si="376">I86-M86</f>
        <v>0</v>
      </c>
      <c r="T86" s="97">
        <f t="shared" si="376"/>
        <v>0</v>
      </c>
      <c r="U86" s="97">
        <f t="shared" si="372"/>
        <v>0</v>
      </c>
      <c r="V86" s="98" t="e">
        <f t="shared" ref="V86:W86" si="377">M86/I86</f>
        <v>#DIV/0!</v>
      </c>
      <c r="W86" s="98" t="e">
        <f t="shared" si="377"/>
        <v>#DIV/0!</v>
      </c>
      <c r="X86" s="98" t="e">
        <f t="shared" si="23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53"/>
        <v>0</v>
      </c>
      <c r="H87" s="94">
        <f t="shared" si="354"/>
        <v>0</v>
      </c>
      <c r="I87" s="96"/>
      <c r="J87" s="117">
        <v>73937.67</v>
      </c>
      <c r="K87" s="117"/>
      <c r="L87" s="95"/>
      <c r="M87" s="97">
        <f t="shared" ref="M87:O87" si="378">Y87+AB87+AE87+AH87+AK87+AN87+AQ87+AT87+AW87+AZ87+BC87+BF87</f>
        <v>0</v>
      </c>
      <c r="N87" s="97">
        <f t="shared" si="378"/>
        <v>13993.4</v>
      </c>
      <c r="O87" s="97">
        <f t="shared" si="378"/>
        <v>0</v>
      </c>
      <c r="P87" s="82">
        <f t="shared" si="309"/>
        <v>0</v>
      </c>
      <c r="Q87" s="82">
        <f t="shared" ref="Q87:R87" si="379">IF(BJ87=0,SUM(Z87+AC87+AF87+AI87+AL87+AO87+AR87+AU87+AX87+BA87+BD87+BG87),BJ87)</f>
        <v>13993.4</v>
      </c>
      <c r="R87" s="82">
        <f t="shared" si="379"/>
        <v>0</v>
      </c>
      <c r="S87" s="97">
        <f t="shared" ref="S87:T87" si="380">I87-M87</f>
        <v>0</v>
      </c>
      <c r="T87" s="97">
        <f t="shared" si="380"/>
        <v>59944.27</v>
      </c>
      <c r="U87" s="97">
        <f t="shared" si="372"/>
        <v>0</v>
      </c>
      <c r="V87" s="98" t="e">
        <f t="shared" ref="V87:W87" si="381">M87/I87</f>
        <v>#DIV/0!</v>
      </c>
      <c r="W87" s="98">
        <f t="shared" si="381"/>
        <v>0.18925941269179838</v>
      </c>
      <c r="X87" s="98" t="e">
        <f t="shared" si="23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53"/>
        <v>0</v>
      </c>
      <c r="H88" s="94">
        <f t="shared" si="354"/>
        <v>0</v>
      </c>
      <c r="I88" s="126"/>
      <c r="J88" s="126"/>
      <c r="K88" s="117"/>
      <c r="L88" s="95"/>
      <c r="M88" s="196">
        <f t="shared" ref="M88:N88" si="382">Y88+AE88+AH88+AK88+AN88+AQ88+AT88+AW88+AZ88+BC88+BF88</f>
        <v>0</v>
      </c>
      <c r="N88" s="97">
        <f t="shared" si="382"/>
        <v>0</v>
      </c>
      <c r="O88" s="97">
        <f>AA88+AD88+AG88+AJ88+AM88+AP88+AS88+AV88+AY88+BB88+BE88+BH88</f>
        <v>0</v>
      </c>
      <c r="P88" s="82">
        <f t="shared" ref="P88:Q88" si="383">IF(BI88=0,SUM(Y88+AE88+AH88+AK88+AN88+AQ88+AT88+AW88+AZ88+BC88+BF88),BI88)</f>
        <v>0</v>
      </c>
      <c r="Q88" s="82">
        <f t="shared" si="383"/>
        <v>0</v>
      </c>
      <c r="R88" s="82">
        <f>IF(BK88=0,SUM(AA88+AD88+AG88+AJ88+AM88+AP88+AS88+AV88+AY88+BB88+BE88+BH88),BK88)</f>
        <v>0</v>
      </c>
      <c r="S88" s="97">
        <f t="shared" ref="S88:T88" si="384">I88-M88</f>
        <v>0</v>
      </c>
      <c r="T88" s="97">
        <f t="shared" si="384"/>
        <v>0</v>
      </c>
      <c r="U88" s="97">
        <f t="shared" si="372"/>
        <v>0</v>
      </c>
      <c r="V88" s="98" t="e">
        <f t="shared" ref="V88:W88" si="385">M88/I39</f>
        <v>#DIV/0!</v>
      </c>
      <c r="W88" s="98">
        <f t="shared" si="385"/>
        <v>0</v>
      </c>
      <c r="X88" s="98" t="e">
        <f t="shared" si="23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86">SUM(E90:E95)</f>
        <v>69491.34</v>
      </c>
      <c r="F89" s="154">
        <f t="shared" si="386"/>
        <v>21041.95</v>
      </c>
      <c r="G89" s="192">
        <f t="shared" si="353"/>
        <v>8.1017289348572063E-3</v>
      </c>
      <c r="H89" s="192">
        <f t="shared" si="354"/>
        <v>0</v>
      </c>
      <c r="I89" s="154">
        <f t="shared" ref="I89:O89" si="387">SUM(I91:I95)</f>
        <v>563</v>
      </c>
      <c r="J89" s="154">
        <f t="shared" si="387"/>
        <v>0</v>
      </c>
      <c r="K89" s="154">
        <f t="shared" si="387"/>
        <v>0</v>
      </c>
      <c r="L89" s="154">
        <f t="shared" si="387"/>
        <v>0</v>
      </c>
      <c r="M89" s="154">
        <f t="shared" si="387"/>
        <v>0</v>
      </c>
      <c r="N89" s="154">
        <f t="shared" si="387"/>
        <v>0</v>
      </c>
      <c r="O89" s="154">
        <f t="shared" si="387"/>
        <v>0</v>
      </c>
      <c r="P89" s="81">
        <f t="shared" ref="P89:R89" si="388">IF(BI89=0,SUM(Y89+AB89+AE89+AH89+AK89+AN89+AQ89+AT89+AW89+AZ89+BC89+BF89),BI89)</f>
        <v>0</v>
      </c>
      <c r="Q89" s="81">
        <f t="shared" si="388"/>
        <v>0</v>
      </c>
      <c r="R89" s="81">
        <f t="shared" si="388"/>
        <v>0</v>
      </c>
      <c r="S89" s="154">
        <f t="shared" ref="S89:U89" si="389">SUM(S91:S95)</f>
        <v>0</v>
      </c>
      <c r="T89" s="154">
        <f t="shared" si="389"/>
        <v>0</v>
      </c>
      <c r="U89" s="154">
        <f t="shared" si="389"/>
        <v>0</v>
      </c>
      <c r="V89" s="193">
        <f t="shared" ref="V89:W89" si="390">M89/I89</f>
        <v>0</v>
      </c>
      <c r="W89" s="193" t="e">
        <f t="shared" si="390"/>
        <v>#DIV/0!</v>
      </c>
      <c r="X89" s="193" t="e">
        <f t="shared" si="23"/>
        <v>#DIV/0!</v>
      </c>
      <c r="Y89" s="154">
        <f t="shared" ref="Y89:BK89" si="391">SUM(Y91:Y95)</f>
        <v>0</v>
      </c>
      <c r="Z89" s="154">
        <f t="shared" si="391"/>
        <v>0</v>
      </c>
      <c r="AA89" s="154">
        <f t="shared" si="391"/>
        <v>0</v>
      </c>
      <c r="AB89" s="154">
        <f t="shared" si="391"/>
        <v>0</v>
      </c>
      <c r="AC89" s="154">
        <f t="shared" si="391"/>
        <v>0</v>
      </c>
      <c r="AD89" s="154">
        <f t="shared" si="391"/>
        <v>0</v>
      </c>
      <c r="AE89" s="154">
        <f t="shared" si="391"/>
        <v>0</v>
      </c>
      <c r="AF89" s="154">
        <f t="shared" si="391"/>
        <v>0</v>
      </c>
      <c r="AG89" s="154">
        <f t="shared" si="391"/>
        <v>0</v>
      </c>
      <c r="AH89" s="154">
        <f t="shared" si="391"/>
        <v>0</v>
      </c>
      <c r="AI89" s="154">
        <f t="shared" si="391"/>
        <v>0</v>
      </c>
      <c r="AJ89" s="154">
        <f t="shared" si="391"/>
        <v>0</v>
      </c>
      <c r="AK89" s="154">
        <f t="shared" si="391"/>
        <v>0</v>
      </c>
      <c r="AL89" s="154">
        <f t="shared" si="391"/>
        <v>0</v>
      </c>
      <c r="AM89" s="154">
        <f t="shared" si="391"/>
        <v>0</v>
      </c>
      <c r="AN89" s="154">
        <f t="shared" si="391"/>
        <v>0</v>
      </c>
      <c r="AO89" s="154">
        <f t="shared" si="391"/>
        <v>0</v>
      </c>
      <c r="AP89" s="154">
        <f t="shared" si="391"/>
        <v>0</v>
      </c>
      <c r="AQ89" s="154">
        <f t="shared" si="391"/>
        <v>0</v>
      </c>
      <c r="AR89" s="154">
        <f t="shared" si="391"/>
        <v>0</v>
      </c>
      <c r="AS89" s="154">
        <f t="shared" si="391"/>
        <v>0</v>
      </c>
      <c r="AT89" s="154">
        <f t="shared" si="391"/>
        <v>0</v>
      </c>
      <c r="AU89" s="154">
        <f t="shared" si="391"/>
        <v>0</v>
      </c>
      <c r="AV89" s="154">
        <f t="shared" si="391"/>
        <v>0</v>
      </c>
      <c r="AW89" s="154">
        <f t="shared" si="391"/>
        <v>0</v>
      </c>
      <c r="AX89" s="154">
        <f t="shared" si="391"/>
        <v>0</v>
      </c>
      <c r="AY89" s="154">
        <f t="shared" si="391"/>
        <v>0</v>
      </c>
      <c r="AZ89" s="154">
        <f t="shared" si="391"/>
        <v>0</v>
      </c>
      <c r="BA89" s="154">
        <f t="shared" si="391"/>
        <v>0</v>
      </c>
      <c r="BB89" s="154">
        <f t="shared" si="391"/>
        <v>0</v>
      </c>
      <c r="BC89" s="154">
        <f t="shared" si="391"/>
        <v>0</v>
      </c>
      <c r="BD89" s="154">
        <f t="shared" si="391"/>
        <v>0</v>
      </c>
      <c r="BE89" s="154">
        <f t="shared" si="391"/>
        <v>0</v>
      </c>
      <c r="BF89" s="154">
        <f t="shared" si="391"/>
        <v>0</v>
      </c>
      <c r="BG89" s="154">
        <f t="shared" si="391"/>
        <v>0</v>
      </c>
      <c r="BH89" s="154">
        <f t="shared" si="391"/>
        <v>0</v>
      </c>
      <c r="BI89" s="154">
        <f t="shared" si="391"/>
        <v>0</v>
      </c>
      <c r="BJ89" s="154">
        <f t="shared" si="391"/>
        <v>0</v>
      </c>
      <c r="BK89" s="154">
        <f t="shared" si="391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197"/>
      <c r="B91" s="197"/>
      <c r="C91" s="198" t="s">
        <v>165</v>
      </c>
      <c r="D91" s="199" t="s">
        <v>563</v>
      </c>
      <c r="E91" s="200">
        <v>10000</v>
      </c>
      <c r="F91" s="172"/>
      <c r="G91" s="94">
        <f>I91/E91</f>
        <v>0</v>
      </c>
      <c r="H91" s="94">
        <f>M91/E91</f>
        <v>0</v>
      </c>
      <c r="I91" s="174"/>
      <c r="J91" s="174"/>
      <c r="K91" s="174"/>
      <c r="L91" s="174"/>
      <c r="M91" s="175">
        <f t="shared" ref="M91:O91" si="392">Y91+AB91+AE91+AH91+AK91+AN91+AQ91+AT91+AW91+AZ91+BC91+BF91</f>
        <v>0</v>
      </c>
      <c r="N91" s="175">
        <f t="shared" si="392"/>
        <v>0</v>
      </c>
      <c r="O91" s="175">
        <f t="shared" si="392"/>
        <v>0</v>
      </c>
      <c r="P91" s="82">
        <f t="shared" ref="P91:R91" si="393">IF(BI91=0,SUM(Y91+AB91+AE91+AH91+AK91+AN91+AQ91+AT91+AW91+AZ91+BC91+BF91),BI91)</f>
        <v>0</v>
      </c>
      <c r="Q91" s="82">
        <f t="shared" si="393"/>
        <v>0</v>
      </c>
      <c r="R91" s="82">
        <f t="shared" si="393"/>
        <v>0</v>
      </c>
      <c r="S91" s="175">
        <f t="shared" ref="S91:T91" si="394">I91-M91</f>
        <v>0</v>
      </c>
      <c r="T91" s="175">
        <f t="shared" si="394"/>
        <v>0</v>
      </c>
      <c r="U91" s="175">
        <f>L91-O91</f>
        <v>0</v>
      </c>
      <c r="V91" s="176" t="e">
        <f t="shared" ref="V91:W91" si="395">M91/I91</f>
        <v>#DIV/0!</v>
      </c>
      <c r="W91" s="176" t="e">
        <f t="shared" si="395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96">IF(BI92=0,SUM(Y92+AB92+AE92+AH92+AK92+AN92+AQ92+AT92+AW92+AZ92+BC92+BF92),BI92)</f>
        <v>0</v>
      </c>
      <c r="Q92" s="82">
        <f t="shared" si="396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140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97">IF(BI93=0,SUM(Y93+AB93+AE93+AH93+AK93+AN93+AQ93+AT93+AW93+AZ93+BC93+BF93),BI93)</f>
        <v>0</v>
      </c>
      <c r="Q93" s="82">
        <f t="shared" si="397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98">I94/E94</f>
        <v>#DIV/0!</v>
      </c>
      <c r="H94" s="94" t="e">
        <f t="shared" ref="H94:H116" si="399">M94/E94</f>
        <v>#DIV/0!</v>
      </c>
      <c r="I94" s="96"/>
      <c r="J94" s="96"/>
      <c r="K94" s="96"/>
      <c r="L94" s="96"/>
      <c r="M94" s="97">
        <f t="shared" ref="M94:O94" si="400">Y94+AB94+AE94+AH94+AK94+AN94+AQ94+AT94+AW94+AZ94+BC94+BF94</f>
        <v>0</v>
      </c>
      <c r="N94" s="97">
        <f t="shared" si="400"/>
        <v>0</v>
      </c>
      <c r="O94" s="97">
        <f t="shared" si="400"/>
        <v>0</v>
      </c>
      <c r="P94" s="82">
        <f t="shared" ref="P94:R94" si="401">IF(BI94=0,SUM(Y94+AB94+AE94+AH94+AK94+AN94+AQ94+AT94+AW94+AZ94+BC94+BF94),BI94)</f>
        <v>0</v>
      </c>
      <c r="Q94" s="82">
        <f t="shared" si="401"/>
        <v>0</v>
      </c>
      <c r="R94" s="82">
        <f t="shared" si="401"/>
        <v>0</v>
      </c>
      <c r="S94" s="97">
        <f t="shared" ref="S94:T94" si="402">I94-M94</f>
        <v>0</v>
      </c>
      <c r="T94" s="97">
        <f t="shared" si="402"/>
        <v>0</v>
      </c>
      <c r="U94" s="97">
        <f t="shared" ref="U94:U95" si="403">L94-O94</f>
        <v>0</v>
      </c>
      <c r="V94" s="98" t="e">
        <f t="shared" ref="V94:W94" si="404">M94/I94</f>
        <v>#DIV/0!</v>
      </c>
      <c r="W94" s="98" t="e">
        <f t="shared" si="404"/>
        <v>#DIV/0!</v>
      </c>
      <c r="X94" s="98" t="e">
        <f t="shared" ref="X94:X102" si="40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98"/>
        <v>#DIV/0!</v>
      </c>
      <c r="H95" s="94" t="e">
        <f t="shared" si="399"/>
        <v>#DIV/0!</v>
      </c>
      <c r="I95" s="96"/>
      <c r="J95" s="96"/>
      <c r="K95" s="96"/>
      <c r="L95" s="96"/>
      <c r="M95" s="97">
        <f t="shared" ref="M95:O95" si="406">Y95+AB95+AE95+AH95+AK95+AN95+AQ95+AT95+AW95+AZ95+BC95+BF95</f>
        <v>0</v>
      </c>
      <c r="N95" s="97">
        <f t="shared" si="406"/>
        <v>0</v>
      </c>
      <c r="O95" s="97">
        <f t="shared" si="406"/>
        <v>0</v>
      </c>
      <c r="P95" s="82">
        <f t="shared" ref="P95:R95" si="407">IF(BI95=0,SUM(Y95+AB95+AE95+AH95+AK95+AN95+AQ95+AT95+AW95+AZ95+BC95+BF95),BI95)</f>
        <v>0</v>
      </c>
      <c r="Q95" s="82">
        <f t="shared" si="407"/>
        <v>0</v>
      </c>
      <c r="R95" s="82">
        <f t="shared" si="407"/>
        <v>0</v>
      </c>
      <c r="S95" s="97">
        <f t="shared" ref="S95:T95" si="408">I95-M95</f>
        <v>0</v>
      </c>
      <c r="T95" s="97">
        <f t="shared" si="408"/>
        <v>0</v>
      </c>
      <c r="U95" s="97">
        <f t="shared" si="403"/>
        <v>0</v>
      </c>
      <c r="V95" s="98" t="e">
        <f t="shared" ref="V95:W95" si="409">M95/I95</f>
        <v>#DIV/0!</v>
      </c>
      <c r="W95" s="98" t="e">
        <f t="shared" si="409"/>
        <v>#DIV/0!</v>
      </c>
      <c r="X95" s="98" t="e">
        <f t="shared" si="40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410">E97+E114+E119+E145+E150+E154</f>
        <v>273274.02</v>
      </c>
      <c r="F96" s="87">
        <f t="shared" si="410"/>
        <v>1183964.47</v>
      </c>
      <c r="G96" s="107">
        <f t="shared" si="398"/>
        <v>2.5615314620833694E-2</v>
      </c>
      <c r="H96" s="107">
        <f t="shared" si="399"/>
        <v>0</v>
      </c>
      <c r="I96" s="87">
        <f t="shared" ref="I96:O96" si="411">I97+I114+I119+I145+I150+I154</f>
        <v>7000</v>
      </c>
      <c r="J96" s="87">
        <f t="shared" si="411"/>
        <v>751131.49</v>
      </c>
      <c r="K96" s="87">
        <f t="shared" si="411"/>
        <v>0</v>
      </c>
      <c r="L96" s="87">
        <f t="shared" si="411"/>
        <v>0</v>
      </c>
      <c r="M96" s="87">
        <f t="shared" si="411"/>
        <v>0</v>
      </c>
      <c r="N96" s="87">
        <f t="shared" si="411"/>
        <v>173191.05</v>
      </c>
      <c r="O96" s="87">
        <f t="shared" si="411"/>
        <v>0</v>
      </c>
      <c r="P96" s="87">
        <f t="shared" ref="P96:R96" si="412">IF(BI96=0,SUM(Y96+AB96+AE96+AH96+AK96+AN96+AQ96+AT96+AW96+AZ96+BC96+BF96),BI96)</f>
        <v>0</v>
      </c>
      <c r="Q96" s="87">
        <f t="shared" si="412"/>
        <v>177928.25</v>
      </c>
      <c r="R96" s="87">
        <f t="shared" si="412"/>
        <v>0</v>
      </c>
      <c r="S96" s="87">
        <f t="shared" ref="S96:U96" si="413">S97+S114+S119+S145+S150+S154</f>
        <v>7000</v>
      </c>
      <c r="T96" s="87">
        <f t="shared" si="413"/>
        <v>573203.24</v>
      </c>
      <c r="U96" s="87">
        <f t="shared" si="413"/>
        <v>0</v>
      </c>
      <c r="V96" s="88">
        <f t="shared" ref="V96:W96" si="414">M96/I96</f>
        <v>0</v>
      </c>
      <c r="W96" s="88">
        <f t="shared" si="414"/>
        <v>0.23057354445358161</v>
      </c>
      <c r="X96" s="88" t="e">
        <f t="shared" si="405"/>
        <v>#DIV/0!</v>
      </c>
      <c r="Y96" s="87">
        <f t="shared" ref="Y96:BK96" si="415">Y97+Y114+Y119+Y145+Y150+Y154</f>
        <v>0</v>
      </c>
      <c r="Z96" s="87">
        <f t="shared" si="415"/>
        <v>53060</v>
      </c>
      <c r="AA96" s="87">
        <f t="shared" si="415"/>
        <v>0</v>
      </c>
      <c r="AB96" s="87">
        <f t="shared" si="415"/>
        <v>0</v>
      </c>
      <c r="AC96" s="87">
        <f t="shared" si="415"/>
        <v>61206.74</v>
      </c>
      <c r="AD96" s="87">
        <f t="shared" si="415"/>
        <v>0</v>
      </c>
      <c r="AE96" s="87">
        <f t="shared" si="415"/>
        <v>0</v>
      </c>
      <c r="AF96" s="87">
        <f t="shared" si="415"/>
        <v>63661.509999999995</v>
      </c>
      <c r="AG96" s="87">
        <f t="shared" si="415"/>
        <v>0</v>
      </c>
      <c r="AH96" s="87">
        <f t="shared" si="415"/>
        <v>0</v>
      </c>
      <c r="AI96" s="87">
        <f t="shared" si="415"/>
        <v>0</v>
      </c>
      <c r="AJ96" s="87">
        <f t="shared" si="415"/>
        <v>0</v>
      </c>
      <c r="AK96" s="87">
        <f t="shared" si="415"/>
        <v>0</v>
      </c>
      <c r="AL96" s="87">
        <f t="shared" si="415"/>
        <v>0</v>
      </c>
      <c r="AM96" s="87">
        <f t="shared" si="415"/>
        <v>0</v>
      </c>
      <c r="AN96" s="87">
        <f t="shared" si="415"/>
        <v>0</v>
      </c>
      <c r="AO96" s="87">
        <f t="shared" si="415"/>
        <v>0</v>
      </c>
      <c r="AP96" s="87">
        <f t="shared" si="415"/>
        <v>0</v>
      </c>
      <c r="AQ96" s="87">
        <f t="shared" si="415"/>
        <v>0</v>
      </c>
      <c r="AR96" s="87">
        <f t="shared" si="415"/>
        <v>0</v>
      </c>
      <c r="AS96" s="87">
        <f t="shared" si="415"/>
        <v>0</v>
      </c>
      <c r="AT96" s="87">
        <f t="shared" si="415"/>
        <v>0</v>
      </c>
      <c r="AU96" s="87">
        <f t="shared" si="415"/>
        <v>0</v>
      </c>
      <c r="AV96" s="87">
        <f t="shared" si="415"/>
        <v>0</v>
      </c>
      <c r="AW96" s="87">
        <f t="shared" si="415"/>
        <v>0</v>
      </c>
      <c r="AX96" s="87">
        <f t="shared" si="415"/>
        <v>0</v>
      </c>
      <c r="AY96" s="87">
        <f t="shared" si="415"/>
        <v>0</v>
      </c>
      <c r="AZ96" s="87">
        <f t="shared" si="415"/>
        <v>0</v>
      </c>
      <c r="BA96" s="87">
        <f t="shared" si="415"/>
        <v>0</v>
      </c>
      <c r="BB96" s="87">
        <f t="shared" si="415"/>
        <v>0</v>
      </c>
      <c r="BC96" s="87">
        <f t="shared" si="415"/>
        <v>0</v>
      </c>
      <c r="BD96" s="87">
        <f t="shared" si="415"/>
        <v>0</v>
      </c>
      <c r="BE96" s="87">
        <f t="shared" si="415"/>
        <v>0</v>
      </c>
      <c r="BF96" s="87">
        <f t="shared" si="415"/>
        <v>0</v>
      </c>
      <c r="BG96" s="87">
        <f t="shared" si="415"/>
        <v>0</v>
      </c>
      <c r="BH96" s="87">
        <f t="shared" si="415"/>
        <v>0</v>
      </c>
      <c r="BI96" s="87">
        <f t="shared" si="415"/>
        <v>0</v>
      </c>
      <c r="BJ96" s="87">
        <f t="shared" si="415"/>
        <v>0</v>
      </c>
      <c r="BK96" s="87">
        <f t="shared" si="41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416">SUM(E98:E113)</f>
        <v>97800</v>
      </c>
      <c r="F97" s="154">
        <f t="shared" si="416"/>
        <v>10000</v>
      </c>
      <c r="G97" s="192">
        <f t="shared" si="398"/>
        <v>7.1574642126789365E-2</v>
      </c>
      <c r="H97" s="192">
        <f t="shared" si="399"/>
        <v>0</v>
      </c>
      <c r="I97" s="154">
        <f t="shared" ref="I97:O97" si="417">SUM(I98:I113)</f>
        <v>7000</v>
      </c>
      <c r="J97" s="154">
        <f t="shared" si="417"/>
        <v>75763.899999999994</v>
      </c>
      <c r="K97" s="154">
        <f t="shared" si="417"/>
        <v>0</v>
      </c>
      <c r="L97" s="154">
        <f t="shared" si="417"/>
        <v>0</v>
      </c>
      <c r="M97" s="154">
        <f t="shared" si="417"/>
        <v>0</v>
      </c>
      <c r="N97" s="154">
        <f t="shared" si="417"/>
        <v>52560</v>
      </c>
      <c r="O97" s="154">
        <f t="shared" si="417"/>
        <v>0</v>
      </c>
      <c r="P97" s="81">
        <f t="shared" ref="P97:R97" si="418">IF(BI97=0,SUM(Y97+AB97+AE97+AH97+AK97+AN97+AQ97+AT97+AW97+AZ97+BC97+BF97),BI97)</f>
        <v>0</v>
      </c>
      <c r="Q97" s="81">
        <f t="shared" si="418"/>
        <v>52560</v>
      </c>
      <c r="R97" s="81">
        <f t="shared" si="418"/>
        <v>0</v>
      </c>
      <c r="S97" s="154">
        <f t="shared" ref="S97:U97" si="419">SUM(S98:S113)</f>
        <v>7000</v>
      </c>
      <c r="T97" s="154">
        <f t="shared" si="419"/>
        <v>23203.9</v>
      </c>
      <c r="U97" s="154">
        <f t="shared" si="419"/>
        <v>0</v>
      </c>
      <c r="V97" s="193">
        <f t="shared" ref="V97:W97" si="420">M97/I97</f>
        <v>0</v>
      </c>
      <c r="W97" s="193">
        <f t="shared" si="420"/>
        <v>0.69373408707841078</v>
      </c>
      <c r="X97" s="193" t="e">
        <f t="shared" si="405"/>
        <v>#DIV/0!</v>
      </c>
      <c r="Y97" s="154">
        <f t="shared" ref="Y97:BK97" si="421">SUM(Y98:Y113)</f>
        <v>0</v>
      </c>
      <c r="Z97" s="154">
        <f t="shared" si="421"/>
        <v>52560</v>
      </c>
      <c r="AA97" s="154">
        <f t="shared" si="421"/>
        <v>0</v>
      </c>
      <c r="AB97" s="154">
        <f t="shared" si="421"/>
        <v>0</v>
      </c>
      <c r="AC97" s="154">
        <f t="shared" si="421"/>
        <v>0</v>
      </c>
      <c r="AD97" s="154">
        <f t="shared" si="421"/>
        <v>0</v>
      </c>
      <c r="AE97" s="154">
        <f t="shared" si="421"/>
        <v>0</v>
      </c>
      <c r="AF97" s="154">
        <f t="shared" si="421"/>
        <v>0</v>
      </c>
      <c r="AG97" s="154">
        <f t="shared" si="421"/>
        <v>0</v>
      </c>
      <c r="AH97" s="154">
        <f t="shared" si="421"/>
        <v>0</v>
      </c>
      <c r="AI97" s="154">
        <f t="shared" si="421"/>
        <v>0</v>
      </c>
      <c r="AJ97" s="154">
        <f t="shared" si="421"/>
        <v>0</v>
      </c>
      <c r="AK97" s="154">
        <f t="shared" si="421"/>
        <v>0</v>
      </c>
      <c r="AL97" s="154">
        <f t="shared" si="421"/>
        <v>0</v>
      </c>
      <c r="AM97" s="154">
        <f t="shared" si="421"/>
        <v>0</v>
      </c>
      <c r="AN97" s="154">
        <f t="shared" si="421"/>
        <v>0</v>
      </c>
      <c r="AO97" s="154">
        <f t="shared" si="421"/>
        <v>0</v>
      </c>
      <c r="AP97" s="154">
        <f t="shared" si="421"/>
        <v>0</v>
      </c>
      <c r="AQ97" s="154">
        <f t="shared" si="421"/>
        <v>0</v>
      </c>
      <c r="AR97" s="154">
        <f t="shared" si="421"/>
        <v>0</v>
      </c>
      <c r="AS97" s="154">
        <f t="shared" si="421"/>
        <v>0</v>
      </c>
      <c r="AT97" s="154">
        <f t="shared" si="421"/>
        <v>0</v>
      </c>
      <c r="AU97" s="154">
        <f t="shared" si="421"/>
        <v>0</v>
      </c>
      <c r="AV97" s="154">
        <f t="shared" si="421"/>
        <v>0</v>
      </c>
      <c r="AW97" s="154">
        <f t="shared" si="421"/>
        <v>0</v>
      </c>
      <c r="AX97" s="154">
        <f t="shared" si="421"/>
        <v>0</v>
      </c>
      <c r="AY97" s="154">
        <f t="shared" si="421"/>
        <v>0</v>
      </c>
      <c r="AZ97" s="154">
        <f t="shared" si="421"/>
        <v>0</v>
      </c>
      <c r="BA97" s="154">
        <f t="shared" si="421"/>
        <v>0</v>
      </c>
      <c r="BB97" s="154">
        <f t="shared" si="421"/>
        <v>0</v>
      </c>
      <c r="BC97" s="154">
        <f t="shared" si="421"/>
        <v>0</v>
      </c>
      <c r="BD97" s="154">
        <f t="shared" si="421"/>
        <v>0</v>
      </c>
      <c r="BE97" s="154">
        <f t="shared" si="421"/>
        <v>0</v>
      </c>
      <c r="BF97" s="154">
        <f t="shared" si="421"/>
        <v>0</v>
      </c>
      <c r="BG97" s="154">
        <f t="shared" si="421"/>
        <v>0</v>
      </c>
      <c r="BH97" s="154">
        <f t="shared" si="421"/>
        <v>0</v>
      </c>
      <c r="BI97" s="154">
        <f t="shared" si="421"/>
        <v>0</v>
      </c>
      <c r="BJ97" s="154">
        <f t="shared" si="421"/>
        <v>0</v>
      </c>
      <c r="BK97" s="154">
        <f t="shared" si="421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98"/>
        <v>1</v>
      </c>
      <c r="H98" s="94">
        <f t="shared" si="399"/>
        <v>0</v>
      </c>
      <c r="I98" s="96">
        <v>4500</v>
      </c>
      <c r="J98" s="96"/>
      <c r="K98" s="96"/>
      <c r="L98" s="96"/>
      <c r="M98" s="97">
        <f t="shared" ref="M98:O98" si="422">Y98+AB98+AE98+AH98+AK98+AN98+AQ98+AT98+AW98+AZ98+BC98+BF98</f>
        <v>0</v>
      </c>
      <c r="N98" s="97">
        <f t="shared" si="422"/>
        <v>0</v>
      </c>
      <c r="O98" s="97">
        <f t="shared" si="422"/>
        <v>0</v>
      </c>
      <c r="P98" s="97">
        <f t="shared" ref="P98:R98" si="423">IF(BI98=0,SUM(Y98+AB98+AE98+AH98+AK98+AN98+AQ98+AT98+AW98+AZ98+BC98+BF98),BI98)</f>
        <v>0</v>
      </c>
      <c r="Q98" s="97">
        <f t="shared" si="423"/>
        <v>0</v>
      </c>
      <c r="R98" s="97">
        <f t="shared" si="423"/>
        <v>0</v>
      </c>
      <c r="S98" s="97">
        <f t="shared" ref="S98:T98" si="424">I98-M98</f>
        <v>4500</v>
      </c>
      <c r="T98" s="97">
        <f t="shared" si="424"/>
        <v>0</v>
      </c>
      <c r="U98" s="97">
        <f t="shared" ref="U98:U113" si="425">L98-O98</f>
        <v>0</v>
      </c>
      <c r="V98" s="98">
        <f t="shared" ref="V98:W98" si="426">M98/I98</f>
        <v>0</v>
      </c>
      <c r="W98" s="98" t="e">
        <f t="shared" si="426"/>
        <v>#DIV/0!</v>
      </c>
      <c r="X98" s="98" t="e">
        <f t="shared" si="40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98"/>
        <v>1</v>
      </c>
      <c r="H99" s="94">
        <f t="shared" si="399"/>
        <v>0</v>
      </c>
      <c r="I99" s="96">
        <v>2500</v>
      </c>
      <c r="J99" s="96"/>
      <c r="K99" s="96"/>
      <c r="L99" s="96"/>
      <c r="M99" s="97">
        <f t="shared" ref="M99:O99" si="427">Y99+AB99+AE99+AH99+AK99+AN99+AQ99+AT99+AW99+AZ99+BC99+BF99</f>
        <v>0</v>
      </c>
      <c r="N99" s="97">
        <f t="shared" si="427"/>
        <v>0</v>
      </c>
      <c r="O99" s="97">
        <f t="shared" si="427"/>
        <v>0</v>
      </c>
      <c r="P99" s="97">
        <f t="shared" ref="P99:R99" si="428">IF(BI99=0,SUM(Y99+AB99+AE99+AH99+AK99+AN99+AQ99+AT99+AW99+AZ99+BC99+BF99),BI99)</f>
        <v>0</v>
      </c>
      <c r="Q99" s="97">
        <f t="shared" si="428"/>
        <v>0</v>
      </c>
      <c r="R99" s="97">
        <f t="shared" si="428"/>
        <v>0</v>
      </c>
      <c r="S99" s="97">
        <f t="shared" ref="S99:T99" si="429">I99-M99</f>
        <v>2500</v>
      </c>
      <c r="T99" s="97">
        <f t="shared" si="429"/>
        <v>0</v>
      </c>
      <c r="U99" s="97">
        <f t="shared" si="425"/>
        <v>0</v>
      </c>
      <c r="V99" s="98">
        <f t="shared" ref="V99:W99" si="430">M99/I99</f>
        <v>0</v>
      </c>
      <c r="W99" s="98" t="e">
        <f t="shared" si="430"/>
        <v>#DIV/0!</v>
      </c>
      <c r="X99" s="98" t="e">
        <f t="shared" si="40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98"/>
        <v>#DIV/0!</v>
      </c>
      <c r="H100" s="94" t="e">
        <f t="shared" si="399"/>
        <v>#DIV/0!</v>
      </c>
      <c r="I100" s="96"/>
      <c r="J100" s="96"/>
      <c r="K100" s="96"/>
      <c r="L100" s="96"/>
      <c r="M100" s="97">
        <f t="shared" ref="M100:O100" si="431">Y100+AB100+AE100+AH100+AK100+AN100+AQ100+AT100+AW100+AZ100+BC100+BF100</f>
        <v>0</v>
      </c>
      <c r="N100" s="97">
        <f t="shared" si="431"/>
        <v>0</v>
      </c>
      <c r="O100" s="97">
        <f t="shared" si="431"/>
        <v>0</v>
      </c>
      <c r="P100" s="97">
        <f t="shared" ref="P100:R100" si="432">IF(BI100=0,SUM(Y100+AB100+AE100+AH100+AK100+AN100+AQ100+AT100+AW100+AZ100+BC100+BF100),BI100)</f>
        <v>0</v>
      </c>
      <c r="Q100" s="97">
        <f t="shared" si="432"/>
        <v>0</v>
      </c>
      <c r="R100" s="97">
        <f t="shared" si="432"/>
        <v>0</v>
      </c>
      <c r="S100" s="97">
        <f t="shared" ref="S100:T100" si="433">I100-M100</f>
        <v>0</v>
      </c>
      <c r="T100" s="97">
        <f t="shared" si="433"/>
        <v>0</v>
      </c>
      <c r="U100" s="97">
        <f t="shared" si="425"/>
        <v>0</v>
      </c>
      <c r="V100" s="98" t="e">
        <f t="shared" ref="V100:W100" si="434">M100/I100</f>
        <v>#DIV/0!</v>
      </c>
      <c r="W100" s="98" t="e">
        <f t="shared" si="434"/>
        <v>#DIV/0!</v>
      </c>
      <c r="X100" s="98" t="e">
        <f t="shared" si="40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565</v>
      </c>
      <c r="E101" s="208"/>
      <c r="F101" s="208"/>
      <c r="G101" s="94" t="e">
        <f t="shared" si="398"/>
        <v>#DIV/0!</v>
      </c>
      <c r="H101" s="94" t="e">
        <f t="shared" si="399"/>
        <v>#DIV/0!</v>
      </c>
      <c r="I101" s="202"/>
      <c r="J101" s="204"/>
      <c r="K101" s="204"/>
      <c r="L101" s="202"/>
      <c r="M101" s="97">
        <f t="shared" ref="M101:O101" si="435">Y101+AB101+AE101+AH101+AK101+AN101+AQ101+AT101+AW101+AZ101+BC101+BF101</f>
        <v>0</v>
      </c>
      <c r="N101" s="97">
        <f t="shared" si="435"/>
        <v>0</v>
      </c>
      <c r="O101" s="97">
        <f t="shared" si="435"/>
        <v>0</v>
      </c>
      <c r="P101" s="97">
        <f t="shared" ref="P101:R101" si="436">IF(BI101=0,SUM(Y101+AB101+AE101+AH101+AK101+AN101+AQ101+AT101+AW101+AZ101+BC101+BF101),BI101)</f>
        <v>0</v>
      </c>
      <c r="Q101" s="97">
        <f t="shared" si="436"/>
        <v>0</v>
      </c>
      <c r="R101" s="97">
        <f t="shared" si="436"/>
        <v>0</v>
      </c>
      <c r="S101" s="97">
        <f t="shared" ref="S101:T101" si="437">I101-M101</f>
        <v>0</v>
      </c>
      <c r="T101" s="97">
        <f t="shared" si="437"/>
        <v>0</v>
      </c>
      <c r="U101" s="97">
        <f t="shared" si="425"/>
        <v>0</v>
      </c>
      <c r="V101" s="98" t="e">
        <f t="shared" ref="V101:W101" si="438">M101/I101</f>
        <v>#DIV/0!</v>
      </c>
      <c r="W101" s="98" t="e">
        <f t="shared" si="438"/>
        <v>#DIV/0!</v>
      </c>
      <c r="X101" s="98" t="e">
        <f t="shared" si="40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566</v>
      </c>
      <c r="E102" s="166"/>
      <c r="F102" s="147"/>
      <c r="G102" s="94" t="e">
        <f t="shared" si="398"/>
        <v>#DIV/0!</v>
      </c>
      <c r="H102" s="94" t="e">
        <f t="shared" si="399"/>
        <v>#DIV/0!</v>
      </c>
      <c r="I102" s="96"/>
      <c r="J102" s="96"/>
      <c r="K102" s="96"/>
      <c r="L102" s="96"/>
      <c r="M102" s="97">
        <f t="shared" ref="M102:O102" si="439">Y102+AB102+AE102+AH102+AK102+AN102+AQ102+AT102+AW102+AZ102+BC102+BF102</f>
        <v>0</v>
      </c>
      <c r="N102" s="97">
        <f t="shared" si="439"/>
        <v>0</v>
      </c>
      <c r="O102" s="97">
        <f t="shared" si="439"/>
        <v>0</v>
      </c>
      <c r="P102" s="97">
        <f t="shared" ref="P102:R102" si="440">IF(BI102=0,SUM(Y102+AB102+AE102+AH102+AK102+AN102+AQ102+AT102+AW102+AZ102+BC102+BF102),BI102)</f>
        <v>0</v>
      </c>
      <c r="Q102" s="97">
        <f t="shared" si="440"/>
        <v>0</v>
      </c>
      <c r="R102" s="97">
        <f t="shared" si="440"/>
        <v>0</v>
      </c>
      <c r="S102" s="97">
        <f t="shared" ref="S102:T102" si="441">I102-M102</f>
        <v>0</v>
      </c>
      <c r="T102" s="97">
        <f t="shared" si="441"/>
        <v>0</v>
      </c>
      <c r="U102" s="97">
        <f t="shared" si="425"/>
        <v>0</v>
      </c>
      <c r="V102" s="98" t="e">
        <f t="shared" ref="V102:W102" si="442">M102/I102</f>
        <v>#DIV/0!</v>
      </c>
      <c r="W102" s="98" t="e">
        <f t="shared" si="442"/>
        <v>#DIV/0!</v>
      </c>
      <c r="X102" s="98" t="e">
        <f t="shared" si="40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98"/>
        <v>0</v>
      </c>
      <c r="H103" s="94">
        <f t="shared" si="399"/>
        <v>0</v>
      </c>
      <c r="I103" s="96"/>
      <c r="J103" s="96"/>
      <c r="K103" s="96"/>
      <c r="L103" s="96"/>
      <c r="M103" s="97">
        <f t="shared" ref="M103:O103" si="443">Y103+AB103+AE103+AH103+AK103+AN103+AQ103+AT103+AW103+AZ103+BC103+BF103</f>
        <v>0</v>
      </c>
      <c r="N103" s="97">
        <f t="shared" si="443"/>
        <v>0</v>
      </c>
      <c r="O103" s="97">
        <f t="shared" si="443"/>
        <v>0</v>
      </c>
      <c r="P103" s="97">
        <f t="shared" ref="P103:R103" si="444">IF(BI103=0,SUM(Y103+AB103+AE103+AH103+AK103+AN103+AQ103+AT103+AW103+AZ103+BC103+BF103),BI103)</f>
        <v>0</v>
      </c>
      <c r="Q103" s="97">
        <f t="shared" si="444"/>
        <v>0</v>
      </c>
      <c r="R103" s="97">
        <f t="shared" si="444"/>
        <v>0</v>
      </c>
      <c r="S103" s="97">
        <f t="shared" ref="S103:T103" si="445">I103-M103</f>
        <v>0</v>
      </c>
      <c r="T103" s="97">
        <f t="shared" si="445"/>
        <v>0</v>
      </c>
      <c r="U103" s="97">
        <f t="shared" si="425"/>
        <v>0</v>
      </c>
      <c r="V103" s="98" t="e">
        <f t="shared" ref="V103:W103" si="446">M103/I103</f>
        <v>#DIV/0!</v>
      </c>
      <c r="W103" s="98" t="e">
        <f t="shared" si="44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98"/>
        <v>#DIV/0!</v>
      </c>
      <c r="H104" s="94" t="e">
        <f t="shared" si="399"/>
        <v>#DIV/0!</v>
      </c>
      <c r="I104" s="96"/>
      <c r="J104" s="96"/>
      <c r="K104" s="96"/>
      <c r="L104" s="96"/>
      <c r="M104" s="97">
        <f t="shared" ref="M104:O104" si="447">Y104+AB104+AE104+AH104+AK104+AN104+AQ104+AT104+AW104+AZ104+BC104+BF104</f>
        <v>0</v>
      </c>
      <c r="N104" s="97">
        <f t="shared" si="447"/>
        <v>0</v>
      </c>
      <c r="O104" s="97">
        <f t="shared" si="447"/>
        <v>0</v>
      </c>
      <c r="P104" s="97">
        <f t="shared" ref="P104:R104" si="448">IF(BI104=0,SUM(Y104+AB104+AE104+AH104+AK104+AN104+AQ104+AT104+AW104+AZ104+BC104+BF104),BI104)</f>
        <v>0</v>
      </c>
      <c r="Q104" s="97">
        <f t="shared" si="448"/>
        <v>0</v>
      </c>
      <c r="R104" s="97">
        <f t="shared" si="448"/>
        <v>0</v>
      </c>
      <c r="S104" s="97">
        <f t="shared" ref="S104:T104" si="449">I104-M104</f>
        <v>0</v>
      </c>
      <c r="T104" s="97">
        <f t="shared" si="449"/>
        <v>0</v>
      </c>
      <c r="U104" s="97">
        <f t="shared" si="425"/>
        <v>0</v>
      </c>
      <c r="V104" s="98" t="e">
        <f t="shared" ref="V104:W104" si="450">M104/I104</f>
        <v>#DIV/0!</v>
      </c>
      <c r="W104" s="98" t="e">
        <f t="shared" si="450"/>
        <v>#DIV/0!</v>
      </c>
      <c r="X104" s="98" t="e">
        <f t="shared" ref="X104:X116" si="45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98"/>
        <v>0</v>
      </c>
      <c r="H105" s="94">
        <f t="shared" si="399"/>
        <v>0</v>
      </c>
      <c r="I105" s="96"/>
      <c r="J105" s="96"/>
      <c r="K105" s="96"/>
      <c r="L105" s="96"/>
      <c r="M105" s="97">
        <f t="shared" ref="M105:O105" si="452">Y105+AB105+AE105+AH105+AK105+AN105+AQ105+AT105+AW105+AZ105+BC105+BF105</f>
        <v>0</v>
      </c>
      <c r="N105" s="97">
        <f t="shared" si="452"/>
        <v>0</v>
      </c>
      <c r="O105" s="97">
        <f t="shared" si="452"/>
        <v>0</v>
      </c>
      <c r="P105" s="97">
        <f t="shared" ref="P105:R105" si="453">IF(BI105=0,SUM(Y105+AB105+AE105+AH105+AK105+AN105+AQ105+AT105+AW105+AZ105+BC105+BF105),BI105)</f>
        <v>0</v>
      </c>
      <c r="Q105" s="97">
        <f t="shared" si="453"/>
        <v>0</v>
      </c>
      <c r="R105" s="97">
        <f t="shared" si="453"/>
        <v>0</v>
      </c>
      <c r="S105" s="97">
        <f t="shared" ref="S105:T105" si="454">I105-M105</f>
        <v>0</v>
      </c>
      <c r="T105" s="97">
        <f t="shared" si="454"/>
        <v>0</v>
      </c>
      <c r="U105" s="97">
        <f t="shared" si="425"/>
        <v>0</v>
      </c>
      <c r="V105" s="98" t="e">
        <f t="shared" ref="V105:W105" si="455">M105/I105</f>
        <v>#DIV/0!</v>
      </c>
      <c r="W105" s="98" t="e">
        <f t="shared" si="455"/>
        <v>#DIV/0!</v>
      </c>
      <c r="X105" s="98" t="e">
        <f t="shared" si="45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98"/>
        <v>0</v>
      </c>
      <c r="H106" s="94">
        <f t="shared" si="399"/>
        <v>0</v>
      </c>
      <c r="I106" s="96"/>
      <c r="J106" s="96"/>
      <c r="K106" s="96"/>
      <c r="L106" s="96"/>
      <c r="M106" s="97">
        <f t="shared" ref="M106:O106" si="456">Y106+AB106+AE106+AH106+AK106+AN106+AQ106+AT106+AW106+AZ106+BC106+BF106</f>
        <v>0</v>
      </c>
      <c r="N106" s="97">
        <f t="shared" si="456"/>
        <v>0</v>
      </c>
      <c r="O106" s="97">
        <f t="shared" si="456"/>
        <v>0</v>
      </c>
      <c r="P106" s="97">
        <f t="shared" ref="P106:R106" si="457">IF(BI106=0,SUM(Y106+AB106+AE106+AH106+AK106+AN106+AQ106+AT106+AW106+AZ106+BC106+BF106),BI106)</f>
        <v>0</v>
      </c>
      <c r="Q106" s="97">
        <f t="shared" si="457"/>
        <v>0</v>
      </c>
      <c r="R106" s="97">
        <f t="shared" si="457"/>
        <v>0</v>
      </c>
      <c r="S106" s="97">
        <f t="shared" ref="S106:S113" si="458">I106-M106</f>
        <v>0</v>
      </c>
      <c r="T106" s="97">
        <f>J106-N106-K106</f>
        <v>0</v>
      </c>
      <c r="U106" s="97">
        <f t="shared" si="425"/>
        <v>0</v>
      </c>
      <c r="V106" s="98" t="e">
        <f t="shared" ref="V106:W106" si="459">M106/I106</f>
        <v>#DIV/0!</v>
      </c>
      <c r="W106" s="98" t="e">
        <f t="shared" si="459"/>
        <v>#DIV/0!</v>
      </c>
      <c r="X106" s="98" t="e">
        <f t="shared" si="45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98"/>
        <v>0</v>
      </c>
      <c r="H107" s="94">
        <f t="shared" si="399"/>
        <v>0</v>
      </c>
      <c r="I107" s="96"/>
      <c r="J107" s="96"/>
      <c r="K107" s="96"/>
      <c r="L107" s="96"/>
      <c r="M107" s="97">
        <f t="shared" ref="M107:O107" si="460">Y107+AB107+AE107+AH107+AK107+AN107+AQ107+AT107+AW107+AZ107+BC107+BF107</f>
        <v>0</v>
      </c>
      <c r="N107" s="97">
        <f t="shared" si="460"/>
        <v>0</v>
      </c>
      <c r="O107" s="97">
        <f t="shared" si="460"/>
        <v>0</v>
      </c>
      <c r="P107" s="97">
        <f t="shared" ref="P107:R107" si="461">IF(BI107=0,SUM(Y107+AB107+AE107+AH107+AK107+AN107+AQ107+AT107+AW107+AZ107+BC107+BF107),BI107)</f>
        <v>0</v>
      </c>
      <c r="Q107" s="97">
        <f t="shared" si="461"/>
        <v>0</v>
      </c>
      <c r="R107" s="97">
        <f t="shared" si="461"/>
        <v>0</v>
      </c>
      <c r="S107" s="97">
        <f t="shared" si="458"/>
        <v>0</v>
      </c>
      <c r="T107" s="97">
        <f t="shared" ref="T107:T113" si="462">J107-N107</f>
        <v>0</v>
      </c>
      <c r="U107" s="97">
        <f t="shared" si="425"/>
        <v>0</v>
      </c>
      <c r="V107" s="98" t="e">
        <f t="shared" ref="V107:W107" si="463">M107/I107</f>
        <v>#DIV/0!</v>
      </c>
      <c r="W107" s="98" t="e">
        <f t="shared" si="463"/>
        <v>#DIV/0!</v>
      </c>
      <c r="X107" s="98" t="e">
        <f t="shared" si="45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567</v>
      </c>
      <c r="E108" s="92">
        <v>3000</v>
      </c>
      <c r="F108" s="93">
        <v>10000</v>
      </c>
      <c r="G108" s="94">
        <f t="shared" si="398"/>
        <v>0</v>
      </c>
      <c r="H108" s="94">
        <f t="shared" si="399"/>
        <v>0</v>
      </c>
      <c r="I108" s="96"/>
      <c r="J108" s="96">
        <v>19996.900000000001</v>
      </c>
      <c r="K108" s="96"/>
      <c r="L108" s="96"/>
      <c r="M108" s="97">
        <f t="shared" ref="M108:O108" si="464">Y108+AB108+AE108+AH108+AK108+AN108+AQ108+AT108+AW108+AZ108+BC108+BF108</f>
        <v>0</v>
      </c>
      <c r="N108" s="97">
        <f t="shared" si="464"/>
        <v>0</v>
      </c>
      <c r="O108" s="97">
        <f t="shared" si="464"/>
        <v>0</v>
      </c>
      <c r="P108" s="97">
        <f t="shared" ref="P108:R108" si="465">IF(BI108=0,SUM(Y108+AB108+AE108+AH108+AK108+AN108+AQ108+AT108+AW108+AZ108+BC108+BF108),BI108)</f>
        <v>0</v>
      </c>
      <c r="Q108" s="97">
        <f t="shared" si="465"/>
        <v>0</v>
      </c>
      <c r="R108" s="97">
        <f t="shared" si="465"/>
        <v>0</v>
      </c>
      <c r="S108" s="97">
        <f t="shared" si="458"/>
        <v>0</v>
      </c>
      <c r="T108" s="97">
        <f t="shared" si="462"/>
        <v>19996.900000000001</v>
      </c>
      <c r="U108" s="97">
        <f t="shared" si="425"/>
        <v>0</v>
      </c>
      <c r="V108" s="98" t="e">
        <f t="shared" ref="V108:W108" si="466">M108/I108</f>
        <v>#DIV/0!</v>
      </c>
      <c r="W108" s="98">
        <f t="shared" si="466"/>
        <v>0</v>
      </c>
      <c r="X108" s="98" t="e">
        <f t="shared" si="45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568</v>
      </c>
      <c r="E109" s="92"/>
      <c r="F109" s="93"/>
      <c r="G109" s="94" t="e">
        <f t="shared" si="398"/>
        <v>#DIV/0!</v>
      </c>
      <c r="H109" s="94" t="e">
        <f t="shared" si="399"/>
        <v>#DIV/0!</v>
      </c>
      <c r="I109" s="96"/>
      <c r="J109" s="117">
        <v>52560</v>
      </c>
      <c r="K109" s="117"/>
      <c r="L109" s="96"/>
      <c r="M109" s="97">
        <f t="shared" ref="M109:O109" si="467">Y109+AB109+AE109+AH109+AK109+AN109+AQ109+AT109+AW109+AZ109+BC109+BF109</f>
        <v>0</v>
      </c>
      <c r="N109" s="97">
        <f t="shared" si="467"/>
        <v>52560</v>
      </c>
      <c r="O109" s="97">
        <f t="shared" si="467"/>
        <v>0</v>
      </c>
      <c r="P109" s="97">
        <f t="shared" ref="P109:R109" si="468">IF(BI109=0,SUM(Y109+AB109+AE109+AH109+AK109+AN109+AQ109+AT109+AW109+AZ109+BC109+BF109),BI109)</f>
        <v>0</v>
      </c>
      <c r="Q109" s="97">
        <f t="shared" si="468"/>
        <v>52560</v>
      </c>
      <c r="R109" s="97">
        <f t="shared" si="468"/>
        <v>0</v>
      </c>
      <c r="S109" s="97">
        <f t="shared" si="458"/>
        <v>0</v>
      </c>
      <c r="T109" s="97">
        <f t="shared" si="462"/>
        <v>0</v>
      </c>
      <c r="U109" s="97">
        <f t="shared" si="425"/>
        <v>0</v>
      </c>
      <c r="V109" s="98" t="e">
        <f t="shared" ref="V109:W109" si="469">M109/I109</f>
        <v>#DIV/0!</v>
      </c>
      <c r="W109" s="98">
        <f t="shared" si="469"/>
        <v>1</v>
      </c>
      <c r="X109" s="98" t="e">
        <f t="shared" si="45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569</v>
      </c>
      <c r="E110" s="166"/>
      <c r="F110" s="147"/>
      <c r="G110" s="94" t="e">
        <f t="shared" si="398"/>
        <v>#DIV/0!</v>
      </c>
      <c r="H110" s="94" t="e">
        <f t="shared" si="399"/>
        <v>#DIV/0!</v>
      </c>
      <c r="I110" s="96"/>
      <c r="J110" s="96"/>
      <c r="K110" s="96"/>
      <c r="L110" s="96"/>
      <c r="M110" s="97">
        <f t="shared" ref="M110:O110" si="470">Y110+AB110+AE110+AH110+AK110+AN110+AQ110+AT110+AW110+AZ110+BC110+BF110</f>
        <v>0</v>
      </c>
      <c r="N110" s="97">
        <f t="shared" si="470"/>
        <v>0</v>
      </c>
      <c r="O110" s="97">
        <f t="shared" si="470"/>
        <v>0</v>
      </c>
      <c r="P110" s="97">
        <f t="shared" ref="P110:R110" si="471">IF(BI110=0,SUM(Y110+AB110+AE110+AH110+AK110+AN110+AQ110+AT110+AW110+AZ110+BC110+BF110),BI110)</f>
        <v>0</v>
      </c>
      <c r="Q110" s="97">
        <f t="shared" si="471"/>
        <v>0</v>
      </c>
      <c r="R110" s="97">
        <f t="shared" si="471"/>
        <v>0</v>
      </c>
      <c r="S110" s="97">
        <f t="shared" si="458"/>
        <v>0</v>
      </c>
      <c r="T110" s="97">
        <f t="shared" si="462"/>
        <v>0</v>
      </c>
      <c r="U110" s="97">
        <f t="shared" si="425"/>
        <v>0</v>
      </c>
      <c r="V110" s="98" t="e">
        <f t="shared" ref="V110:W110" si="472">M110/I110</f>
        <v>#DIV/0!</v>
      </c>
      <c r="W110" s="98" t="e">
        <f t="shared" si="472"/>
        <v>#DIV/0!</v>
      </c>
      <c r="X110" s="98" t="e">
        <f t="shared" si="45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570</v>
      </c>
      <c r="E111" s="166"/>
      <c r="F111" s="213"/>
      <c r="G111" s="94" t="e">
        <f t="shared" si="398"/>
        <v>#DIV/0!</v>
      </c>
      <c r="H111" s="94" t="e">
        <f t="shared" si="399"/>
        <v>#DIV/0!</v>
      </c>
      <c r="I111" s="96"/>
      <c r="J111" s="96"/>
      <c r="K111" s="96"/>
      <c r="L111" s="96"/>
      <c r="M111" s="97">
        <f t="shared" ref="M111:O111" si="473">Y111+AB111+AE111+AH111+AK111+AN111+AQ111+AT111+AW111+AZ111+BC111+BF111</f>
        <v>0</v>
      </c>
      <c r="N111" s="97">
        <f t="shared" si="473"/>
        <v>0</v>
      </c>
      <c r="O111" s="97">
        <f t="shared" si="473"/>
        <v>0</v>
      </c>
      <c r="P111" s="97">
        <f t="shared" ref="P111:R111" si="474">IF(BI111=0,SUM(Y111+AB111+AE111+AH111+AK111+AN111+AQ111+AT111+AW111+AZ111+BC111+BF111),BI111)</f>
        <v>0</v>
      </c>
      <c r="Q111" s="97">
        <f t="shared" si="474"/>
        <v>0</v>
      </c>
      <c r="R111" s="97">
        <f t="shared" si="474"/>
        <v>0</v>
      </c>
      <c r="S111" s="97">
        <f t="shared" si="458"/>
        <v>0</v>
      </c>
      <c r="T111" s="97">
        <f t="shared" si="462"/>
        <v>0</v>
      </c>
      <c r="U111" s="97">
        <f t="shared" si="425"/>
        <v>0</v>
      </c>
      <c r="V111" s="98" t="e">
        <f t="shared" ref="V111:W111" si="475">M111/I111</f>
        <v>#DIV/0!</v>
      </c>
      <c r="W111" s="98" t="e">
        <f t="shared" si="475"/>
        <v>#DIV/0!</v>
      </c>
      <c r="X111" s="98" t="e">
        <f t="shared" si="45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98"/>
        <v>#DIV/0!</v>
      </c>
      <c r="H112" s="94" t="e">
        <f t="shared" si="399"/>
        <v>#DIV/0!</v>
      </c>
      <c r="I112" s="96"/>
      <c r="J112" s="96">
        <v>3207</v>
      </c>
      <c r="K112" s="96"/>
      <c r="L112" s="214"/>
      <c r="M112" s="97">
        <f t="shared" ref="M112:O112" si="476">Y112+AB112+AE112+AH112+AK112+AN112+AQ112+AT112+AW112+AZ112+BC112+BF112</f>
        <v>0</v>
      </c>
      <c r="N112" s="97">
        <f t="shared" si="476"/>
        <v>0</v>
      </c>
      <c r="O112" s="97">
        <f t="shared" si="476"/>
        <v>0</v>
      </c>
      <c r="P112" s="97">
        <f t="shared" ref="P112:R112" si="477">IF(BI112=0,SUM(Y112+AB112+AE112+AH112+AK112+AN112+AQ112+AT112+AW112+AZ112+BC112+BF112),BI112)</f>
        <v>0</v>
      </c>
      <c r="Q112" s="97">
        <f t="shared" si="477"/>
        <v>0</v>
      </c>
      <c r="R112" s="97">
        <f t="shared" si="477"/>
        <v>0</v>
      </c>
      <c r="S112" s="97">
        <f t="shared" si="458"/>
        <v>0</v>
      </c>
      <c r="T112" s="97">
        <f t="shared" si="462"/>
        <v>3207</v>
      </c>
      <c r="U112" s="97">
        <f t="shared" si="425"/>
        <v>0</v>
      </c>
      <c r="V112" s="98" t="e">
        <f t="shared" ref="V112:W112" si="478">M112/I112</f>
        <v>#DIV/0!</v>
      </c>
      <c r="W112" s="98">
        <f t="shared" si="478"/>
        <v>0</v>
      </c>
      <c r="X112" s="98" t="e">
        <f t="shared" si="45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98"/>
        <v>#DIV/0!</v>
      </c>
      <c r="H113" s="155" t="e">
        <f t="shared" si="399"/>
        <v>#DIV/0!</v>
      </c>
      <c r="I113" s="218"/>
      <c r="J113" s="219"/>
      <c r="K113" s="219"/>
      <c r="L113" s="219"/>
      <c r="M113" s="82">
        <f t="shared" ref="M113:O113" si="479">Y113+AB113+AE113+AH113+AK113+AN113+AQ113+AT113+AW113+AZ113+BC113+BF113</f>
        <v>0</v>
      </c>
      <c r="N113" s="82">
        <f t="shared" si="479"/>
        <v>0</v>
      </c>
      <c r="O113" s="82">
        <f t="shared" si="479"/>
        <v>0</v>
      </c>
      <c r="P113" s="97">
        <f t="shared" ref="P113:R113" si="480">IF(BI113=0,SUM(Y113+AB113+AE113+AH113+AK113+AN113+AQ113+AT113+AW113+AZ113+BC113+BF113),BI113)</f>
        <v>0</v>
      </c>
      <c r="Q113" s="97">
        <f t="shared" si="480"/>
        <v>0</v>
      </c>
      <c r="R113" s="97">
        <f t="shared" si="480"/>
        <v>0</v>
      </c>
      <c r="S113" s="97">
        <f t="shared" si="458"/>
        <v>0</v>
      </c>
      <c r="T113" s="97">
        <f t="shared" si="462"/>
        <v>0</v>
      </c>
      <c r="U113" s="97">
        <f t="shared" si="425"/>
        <v>0</v>
      </c>
      <c r="V113" s="79" t="e">
        <f t="shared" ref="V113:W113" si="481">M113/I113</f>
        <v>#DIV/0!</v>
      </c>
      <c r="W113" s="79" t="e">
        <f t="shared" si="481"/>
        <v>#DIV/0!</v>
      </c>
      <c r="X113" s="79" t="e">
        <f t="shared" si="45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82">SUM(E115:E118)</f>
        <v>23296.54</v>
      </c>
      <c r="F114" s="186">
        <f t="shared" si="482"/>
        <v>0</v>
      </c>
      <c r="G114" s="223">
        <f t="shared" si="398"/>
        <v>0</v>
      </c>
      <c r="H114" s="223">
        <f t="shared" si="399"/>
        <v>0</v>
      </c>
      <c r="I114" s="186">
        <f t="shared" ref="I114:J114" si="483">SUM(I115:I118)</f>
        <v>0</v>
      </c>
      <c r="J114" s="186">
        <f t="shared" si="483"/>
        <v>0</v>
      </c>
      <c r="K114" s="186"/>
      <c r="L114" s="186">
        <f t="shared" ref="L114:O114" si="484">SUM(L115:L118)</f>
        <v>0</v>
      </c>
      <c r="M114" s="186">
        <f t="shared" si="484"/>
        <v>0</v>
      </c>
      <c r="N114" s="186">
        <f t="shared" si="484"/>
        <v>0</v>
      </c>
      <c r="O114" s="186">
        <f t="shared" si="484"/>
        <v>0</v>
      </c>
      <c r="P114" s="186">
        <f t="shared" ref="P114:R114" si="485">IF(BI114=0,SUM(Y114+AB114+AE114+AH114+AK114+AN114+AQ114+AT114+AW114+AZ114+BC114+BF114),BI114)</f>
        <v>0</v>
      </c>
      <c r="Q114" s="186">
        <f t="shared" si="485"/>
        <v>0</v>
      </c>
      <c r="R114" s="186">
        <f t="shared" si="485"/>
        <v>0</v>
      </c>
      <c r="S114" s="186">
        <f t="shared" ref="S114:U114" si="486">SUM(S115:S118)</f>
        <v>0</v>
      </c>
      <c r="T114" s="186">
        <f t="shared" si="486"/>
        <v>0</v>
      </c>
      <c r="U114" s="186">
        <f t="shared" si="486"/>
        <v>0</v>
      </c>
      <c r="V114" s="189" t="e">
        <f t="shared" ref="V114:W114" si="487">M114/I114</f>
        <v>#DIV/0!</v>
      </c>
      <c r="W114" s="189" t="e">
        <f t="shared" si="487"/>
        <v>#DIV/0!</v>
      </c>
      <c r="X114" s="189" t="e">
        <f t="shared" si="451"/>
        <v>#DIV/0!</v>
      </c>
      <c r="Y114" s="186">
        <f t="shared" ref="Y114:BK114" si="488">SUM(Y115:Y118)</f>
        <v>0</v>
      </c>
      <c r="Z114" s="186">
        <f t="shared" si="488"/>
        <v>0</v>
      </c>
      <c r="AA114" s="186">
        <f t="shared" si="488"/>
        <v>0</v>
      </c>
      <c r="AB114" s="186">
        <f t="shared" si="488"/>
        <v>0</v>
      </c>
      <c r="AC114" s="186">
        <f t="shared" si="488"/>
        <v>0</v>
      </c>
      <c r="AD114" s="186">
        <f t="shared" si="488"/>
        <v>0</v>
      </c>
      <c r="AE114" s="186">
        <f t="shared" si="488"/>
        <v>0</v>
      </c>
      <c r="AF114" s="186">
        <f t="shared" si="488"/>
        <v>0</v>
      </c>
      <c r="AG114" s="186">
        <f t="shared" si="488"/>
        <v>0</v>
      </c>
      <c r="AH114" s="186">
        <f t="shared" si="488"/>
        <v>0</v>
      </c>
      <c r="AI114" s="186">
        <f t="shared" si="488"/>
        <v>0</v>
      </c>
      <c r="AJ114" s="186">
        <f t="shared" si="488"/>
        <v>0</v>
      </c>
      <c r="AK114" s="186">
        <f t="shared" si="488"/>
        <v>0</v>
      </c>
      <c r="AL114" s="186">
        <f t="shared" si="488"/>
        <v>0</v>
      </c>
      <c r="AM114" s="186">
        <f t="shared" si="488"/>
        <v>0</v>
      </c>
      <c r="AN114" s="186">
        <f t="shared" si="488"/>
        <v>0</v>
      </c>
      <c r="AO114" s="186">
        <f t="shared" si="488"/>
        <v>0</v>
      </c>
      <c r="AP114" s="186">
        <f t="shared" si="488"/>
        <v>0</v>
      </c>
      <c r="AQ114" s="186">
        <f t="shared" si="488"/>
        <v>0</v>
      </c>
      <c r="AR114" s="186">
        <f t="shared" si="488"/>
        <v>0</v>
      </c>
      <c r="AS114" s="186">
        <f t="shared" si="488"/>
        <v>0</v>
      </c>
      <c r="AT114" s="186">
        <f t="shared" si="488"/>
        <v>0</v>
      </c>
      <c r="AU114" s="186">
        <f t="shared" si="488"/>
        <v>0</v>
      </c>
      <c r="AV114" s="186">
        <f t="shared" si="488"/>
        <v>0</v>
      </c>
      <c r="AW114" s="186">
        <f t="shared" si="488"/>
        <v>0</v>
      </c>
      <c r="AX114" s="186">
        <f t="shared" si="488"/>
        <v>0</v>
      </c>
      <c r="AY114" s="186">
        <f t="shared" si="488"/>
        <v>0</v>
      </c>
      <c r="AZ114" s="186">
        <f t="shared" si="488"/>
        <v>0</v>
      </c>
      <c r="BA114" s="186">
        <f t="shared" si="488"/>
        <v>0</v>
      </c>
      <c r="BB114" s="186">
        <f t="shared" si="488"/>
        <v>0</v>
      </c>
      <c r="BC114" s="186">
        <f t="shared" si="488"/>
        <v>0</v>
      </c>
      <c r="BD114" s="186">
        <f t="shared" si="488"/>
        <v>0</v>
      </c>
      <c r="BE114" s="186">
        <f t="shared" si="488"/>
        <v>0</v>
      </c>
      <c r="BF114" s="186">
        <f t="shared" si="488"/>
        <v>0</v>
      </c>
      <c r="BG114" s="186">
        <f t="shared" si="488"/>
        <v>0</v>
      </c>
      <c r="BH114" s="186">
        <f t="shared" si="488"/>
        <v>0</v>
      </c>
      <c r="BI114" s="186">
        <f t="shared" si="488"/>
        <v>0</v>
      </c>
      <c r="BJ114" s="186">
        <f t="shared" si="488"/>
        <v>0</v>
      </c>
      <c r="BK114" s="186">
        <f t="shared" si="488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98"/>
        <v>0</v>
      </c>
      <c r="H115" s="94">
        <f t="shared" si="399"/>
        <v>0</v>
      </c>
      <c r="I115" s="142"/>
      <c r="J115" s="96"/>
      <c r="K115" s="96"/>
      <c r="L115" s="95"/>
      <c r="M115" s="97">
        <f t="shared" ref="M115:O115" si="489">Y115+AB115+AE115+AH115+AK115+AN115+AQ115+AT115+AW115+AZ115+BC115+BF115</f>
        <v>0</v>
      </c>
      <c r="N115" s="97">
        <f t="shared" si="489"/>
        <v>0</v>
      </c>
      <c r="O115" s="97">
        <f t="shared" si="489"/>
        <v>0</v>
      </c>
      <c r="P115" s="97">
        <f t="shared" ref="P115:R115" si="490">IF(BI115=0,SUM(Y115+AB115+AE115+AH115+AK115+AN115+AQ115+AT115+AW115+AZ115+BC115+BF115),BI115)</f>
        <v>0</v>
      </c>
      <c r="Q115" s="97">
        <f t="shared" si="490"/>
        <v>0</v>
      </c>
      <c r="R115" s="97">
        <f t="shared" si="490"/>
        <v>0</v>
      </c>
      <c r="S115" s="97">
        <f t="shared" ref="S115:T115" si="491">I115-M115</f>
        <v>0</v>
      </c>
      <c r="T115" s="97">
        <f t="shared" si="491"/>
        <v>0</v>
      </c>
      <c r="U115" s="97">
        <f t="shared" ref="U115:U118" si="492">L115-O115</f>
        <v>0</v>
      </c>
      <c r="V115" s="98" t="e">
        <f t="shared" ref="V115:W115" si="493">M115/I115</f>
        <v>#DIV/0!</v>
      </c>
      <c r="W115" s="98" t="e">
        <f t="shared" si="493"/>
        <v>#DIV/0!</v>
      </c>
      <c r="X115" s="98" t="e">
        <f t="shared" si="45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98"/>
        <v>0</v>
      </c>
      <c r="H116" s="94">
        <f t="shared" si="399"/>
        <v>0</v>
      </c>
      <c r="I116" s="96"/>
      <c r="J116" s="96"/>
      <c r="K116" s="96"/>
      <c r="L116" s="95"/>
      <c r="M116" s="97">
        <f t="shared" ref="M116:O116" si="494">Y116+AB116+AE116+AH116+AK116+AN116+AQ116+AT116+AW116+AZ116+BC116+BF116</f>
        <v>0</v>
      </c>
      <c r="N116" s="97">
        <f t="shared" si="494"/>
        <v>0</v>
      </c>
      <c r="O116" s="97">
        <f t="shared" si="494"/>
        <v>0</v>
      </c>
      <c r="P116" s="97">
        <f t="shared" ref="P116:R116" si="495">IF(BI116=0,SUM(Y116+AB116+AE116+AH116+AK116+AN116+AQ116+AT116+AW116+AZ116+BC116+BF116),BI116)</f>
        <v>0</v>
      </c>
      <c r="Q116" s="97">
        <f t="shared" si="495"/>
        <v>0</v>
      </c>
      <c r="R116" s="97">
        <f t="shared" si="495"/>
        <v>0</v>
      </c>
      <c r="S116" s="97">
        <f t="shared" ref="S116:T116" si="496">I116-M116</f>
        <v>0</v>
      </c>
      <c r="T116" s="97">
        <f t="shared" si="496"/>
        <v>0</v>
      </c>
      <c r="U116" s="97">
        <f t="shared" si="492"/>
        <v>0</v>
      </c>
      <c r="V116" s="98" t="e">
        <f t="shared" ref="V116:W116" si="497">M116/I116</f>
        <v>#DIV/0!</v>
      </c>
      <c r="W116" s="98" t="e">
        <f t="shared" si="497"/>
        <v>#DIV/0!</v>
      </c>
      <c r="X116" s="98" t="e">
        <f t="shared" si="45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98">Y117+AB117+AE117+AH117+AK117+AN117+AQ117+AT117+AW117+AZ117+BC117+BF117</f>
        <v>0</v>
      </c>
      <c r="N117" s="97">
        <f t="shared" si="498"/>
        <v>0</v>
      </c>
      <c r="O117" s="97">
        <f t="shared" si="498"/>
        <v>0</v>
      </c>
      <c r="P117" s="97">
        <f t="shared" ref="P117:R117" si="499">IF(BI117=0,SUM(Y117+AB117+AE117+AH117+AK117+AN117+AQ117+AT117+AW117+AZ117+BC117+BF117),BI117)</f>
        <v>0</v>
      </c>
      <c r="Q117" s="97">
        <f t="shared" si="499"/>
        <v>0</v>
      </c>
      <c r="R117" s="97">
        <f t="shared" si="499"/>
        <v>0</v>
      </c>
      <c r="S117" s="97">
        <f t="shared" ref="S117:T117" si="500">I117-M117</f>
        <v>0</v>
      </c>
      <c r="T117" s="97">
        <f t="shared" si="500"/>
        <v>0</v>
      </c>
      <c r="U117" s="97">
        <f t="shared" si="492"/>
        <v>0</v>
      </c>
      <c r="V117" s="98" t="e">
        <f t="shared" ref="V117:V127" si="501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502">M118/E118</f>
        <v>#DIV/0!</v>
      </c>
      <c r="I118" s="96"/>
      <c r="J118" s="96"/>
      <c r="K118" s="96"/>
      <c r="L118" s="95"/>
      <c r="M118" s="97">
        <f t="shared" ref="M118:O118" si="503">Y118+AB118+AE118+AH118+AK118+AN118+AQ118+AT118+AW118+AZ118+BC118+BF118</f>
        <v>0</v>
      </c>
      <c r="N118" s="97">
        <f t="shared" si="503"/>
        <v>0</v>
      </c>
      <c r="O118" s="97">
        <f t="shared" si="503"/>
        <v>0</v>
      </c>
      <c r="P118" s="97">
        <f t="shared" ref="P118:R118" si="504">IF(BI118=0,SUM(Y118+AB118+AE118+AH118+AK118+AN118+AQ118+AT118+AW118+AZ118+BC118+BF118),BI118)</f>
        <v>0</v>
      </c>
      <c r="Q118" s="97">
        <f t="shared" si="504"/>
        <v>0</v>
      </c>
      <c r="R118" s="97">
        <f t="shared" si="504"/>
        <v>0</v>
      </c>
      <c r="S118" s="97">
        <f t="shared" ref="S118:T118" si="505">I118-M118</f>
        <v>0</v>
      </c>
      <c r="T118" s="97">
        <f t="shared" si="505"/>
        <v>0</v>
      </c>
      <c r="U118" s="97">
        <f t="shared" si="492"/>
        <v>0</v>
      </c>
      <c r="V118" s="98" t="e">
        <f t="shared" si="501"/>
        <v>#DIV/0!</v>
      </c>
      <c r="W118" s="98" t="e">
        <f t="shared" ref="W118:W127" si="506">N118/J118</f>
        <v>#DIV/0!</v>
      </c>
      <c r="X118" s="98" t="e">
        <f t="shared" ref="X118:X127" si="507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508">E120+E130+E136+E140</f>
        <v>152177.47999999998</v>
      </c>
      <c r="F119" s="186">
        <f t="shared" si="508"/>
        <v>1173964.47</v>
      </c>
      <c r="G119" s="225" t="e">
        <f t="shared" si="508"/>
        <v>#DIV/0!</v>
      </c>
      <c r="H119" s="223">
        <f t="shared" si="502"/>
        <v>0</v>
      </c>
      <c r="I119" s="186">
        <f t="shared" ref="I119:U119" si="509">I120+I130+I136+I140</f>
        <v>0</v>
      </c>
      <c r="J119" s="186">
        <f t="shared" si="509"/>
        <v>665873.97</v>
      </c>
      <c r="K119" s="186">
        <f t="shared" si="509"/>
        <v>0</v>
      </c>
      <c r="L119" s="186">
        <f t="shared" si="509"/>
        <v>0</v>
      </c>
      <c r="M119" s="186">
        <f t="shared" si="509"/>
        <v>0</v>
      </c>
      <c r="N119" s="186">
        <f t="shared" si="509"/>
        <v>120631.04999999999</v>
      </c>
      <c r="O119" s="186">
        <f t="shared" si="509"/>
        <v>0</v>
      </c>
      <c r="P119" s="186">
        <f t="shared" si="509"/>
        <v>0</v>
      </c>
      <c r="Q119" s="186">
        <f t="shared" si="509"/>
        <v>124868.24999999999</v>
      </c>
      <c r="R119" s="186">
        <f t="shared" si="509"/>
        <v>0</v>
      </c>
      <c r="S119" s="186">
        <f t="shared" si="509"/>
        <v>0</v>
      </c>
      <c r="T119" s="186">
        <f t="shared" si="509"/>
        <v>541005.72</v>
      </c>
      <c r="U119" s="186">
        <f t="shared" si="509"/>
        <v>0</v>
      </c>
      <c r="V119" s="189" t="e">
        <f t="shared" si="501"/>
        <v>#DIV/0!</v>
      </c>
      <c r="W119" s="189">
        <f t="shared" si="506"/>
        <v>0.18116198475215961</v>
      </c>
      <c r="X119" s="189" t="e">
        <f t="shared" si="507"/>
        <v>#DIV/0!</v>
      </c>
      <c r="Y119" s="186">
        <f t="shared" ref="Y119:BK119" si="510">Y120+Y130+Y136+Y140</f>
        <v>0</v>
      </c>
      <c r="Z119" s="186">
        <f t="shared" si="510"/>
        <v>0</v>
      </c>
      <c r="AA119" s="186">
        <f t="shared" si="510"/>
        <v>0</v>
      </c>
      <c r="AB119" s="186">
        <f t="shared" si="510"/>
        <v>0</v>
      </c>
      <c r="AC119" s="186">
        <f t="shared" si="510"/>
        <v>61206.74</v>
      </c>
      <c r="AD119" s="186">
        <f t="shared" si="510"/>
        <v>0</v>
      </c>
      <c r="AE119" s="186">
        <f t="shared" si="510"/>
        <v>0</v>
      </c>
      <c r="AF119" s="186">
        <f t="shared" si="510"/>
        <v>63661.509999999995</v>
      </c>
      <c r="AG119" s="186">
        <f t="shared" si="510"/>
        <v>0</v>
      </c>
      <c r="AH119" s="186">
        <f t="shared" si="510"/>
        <v>0</v>
      </c>
      <c r="AI119" s="186">
        <f t="shared" si="510"/>
        <v>0</v>
      </c>
      <c r="AJ119" s="186">
        <f t="shared" si="510"/>
        <v>0</v>
      </c>
      <c r="AK119" s="186">
        <f t="shared" si="510"/>
        <v>0</v>
      </c>
      <c r="AL119" s="186">
        <f t="shared" si="510"/>
        <v>0</v>
      </c>
      <c r="AM119" s="186">
        <f t="shared" si="510"/>
        <v>0</v>
      </c>
      <c r="AN119" s="186">
        <f t="shared" si="510"/>
        <v>0</v>
      </c>
      <c r="AO119" s="186">
        <f t="shared" si="510"/>
        <v>0</v>
      </c>
      <c r="AP119" s="186">
        <f t="shared" si="510"/>
        <v>0</v>
      </c>
      <c r="AQ119" s="186">
        <f t="shared" si="510"/>
        <v>0</v>
      </c>
      <c r="AR119" s="186">
        <f t="shared" si="510"/>
        <v>0</v>
      </c>
      <c r="AS119" s="186">
        <f t="shared" si="510"/>
        <v>0</v>
      </c>
      <c r="AT119" s="186">
        <f t="shared" si="510"/>
        <v>0</v>
      </c>
      <c r="AU119" s="186">
        <f t="shared" si="510"/>
        <v>0</v>
      </c>
      <c r="AV119" s="186">
        <f t="shared" si="510"/>
        <v>0</v>
      </c>
      <c r="AW119" s="186">
        <f t="shared" si="510"/>
        <v>0</v>
      </c>
      <c r="AX119" s="186">
        <f t="shared" si="510"/>
        <v>0</v>
      </c>
      <c r="AY119" s="186">
        <f t="shared" si="510"/>
        <v>0</v>
      </c>
      <c r="AZ119" s="186">
        <f t="shared" si="510"/>
        <v>0</v>
      </c>
      <c r="BA119" s="186">
        <f t="shared" si="510"/>
        <v>0</v>
      </c>
      <c r="BB119" s="186">
        <f t="shared" si="510"/>
        <v>0</v>
      </c>
      <c r="BC119" s="186">
        <f t="shared" si="510"/>
        <v>0</v>
      </c>
      <c r="BD119" s="186">
        <f t="shared" si="510"/>
        <v>0</v>
      </c>
      <c r="BE119" s="186">
        <f t="shared" si="510"/>
        <v>0</v>
      </c>
      <c r="BF119" s="186">
        <f t="shared" si="510"/>
        <v>0</v>
      </c>
      <c r="BG119" s="186">
        <f t="shared" si="510"/>
        <v>0</v>
      </c>
      <c r="BH119" s="186">
        <f t="shared" si="510"/>
        <v>0</v>
      </c>
      <c r="BI119" s="186">
        <f t="shared" si="510"/>
        <v>0</v>
      </c>
      <c r="BJ119" s="186">
        <f t="shared" si="510"/>
        <v>0</v>
      </c>
      <c r="BK119" s="186">
        <f t="shared" si="510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511">SUM(E121:E129)</f>
        <v>152177.47999999998</v>
      </c>
      <c r="F120" s="231">
        <f t="shared" si="511"/>
        <v>0</v>
      </c>
      <c r="G120" s="187">
        <f t="shared" ref="G120:G127" si="512">I120/E120</f>
        <v>0</v>
      </c>
      <c r="H120" s="187">
        <f t="shared" si="502"/>
        <v>0</v>
      </c>
      <c r="I120" s="231">
        <f t="shared" ref="I120:O120" si="513">SUM(I121:I129)</f>
        <v>0</v>
      </c>
      <c r="J120" s="231">
        <f t="shared" si="513"/>
        <v>457969.89</v>
      </c>
      <c r="K120" s="231">
        <f t="shared" si="513"/>
        <v>0</v>
      </c>
      <c r="L120" s="231">
        <f t="shared" si="513"/>
        <v>0</v>
      </c>
      <c r="M120" s="231">
        <f t="shared" si="513"/>
        <v>0</v>
      </c>
      <c r="N120" s="231">
        <f t="shared" si="513"/>
        <v>61206.74</v>
      </c>
      <c r="O120" s="231">
        <f t="shared" si="513"/>
        <v>0</v>
      </c>
      <c r="P120" s="232">
        <f t="shared" ref="P120:R120" si="514">IF(BI120=0,SUM(Y120+AB120+AE120+AH120+AK120+AN120+AQ120+AT120+AW120+AZ120+BC120+BF120),BI120)</f>
        <v>0</v>
      </c>
      <c r="Q120" s="232">
        <f t="shared" si="514"/>
        <v>61206.74</v>
      </c>
      <c r="R120" s="232">
        <f t="shared" si="514"/>
        <v>0</v>
      </c>
      <c r="S120" s="231">
        <f t="shared" ref="S120:U120" si="515">SUM(S121:S129)</f>
        <v>0</v>
      </c>
      <c r="T120" s="231">
        <f t="shared" si="515"/>
        <v>396763.15</v>
      </c>
      <c r="U120" s="231">
        <f t="shared" si="515"/>
        <v>0</v>
      </c>
      <c r="V120" s="188" t="e">
        <f t="shared" si="501"/>
        <v>#DIV/0!</v>
      </c>
      <c r="W120" s="188">
        <f t="shared" si="506"/>
        <v>0.13364795663749859</v>
      </c>
      <c r="X120" s="188" t="e">
        <f t="shared" si="507"/>
        <v>#DIV/0!</v>
      </c>
      <c r="Y120" s="231">
        <f t="shared" ref="Y120:BK120" si="516">SUM(Y121:Y129)</f>
        <v>0</v>
      </c>
      <c r="Z120" s="231">
        <f t="shared" si="516"/>
        <v>0</v>
      </c>
      <c r="AA120" s="231">
        <f t="shared" si="516"/>
        <v>0</v>
      </c>
      <c r="AB120" s="231">
        <f t="shared" si="516"/>
        <v>0</v>
      </c>
      <c r="AC120" s="231">
        <f t="shared" si="516"/>
        <v>61206.74</v>
      </c>
      <c r="AD120" s="231">
        <f t="shared" si="516"/>
        <v>0</v>
      </c>
      <c r="AE120" s="231">
        <f t="shared" si="516"/>
        <v>0</v>
      </c>
      <c r="AF120" s="231">
        <f t="shared" si="516"/>
        <v>0</v>
      </c>
      <c r="AG120" s="231">
        <f t="shared" si="516"/>
        <v>0</v>
      </c>
      <c r="AH120" s="231">
        <f t="shared" si="516"/>
        <v>0</v>
      </c>
      <c r="AI120" s="231">
        <f t="shared" si="516"/>
        <v>0</v>
      </c>
      <c r="AJ120" s="231">
        <f t="shared" si="516"/>
        <v>0</v>
      </c>
      <c r="AK120" s="231">
        <f t="shared" si="516"/>
        <v>0</v>
      </c>
      <c r="AL120" s="231">
        <f t="shared" si="516"/>
        <v>0</v>
      </c>
      <c r="AM120" s="231">
        <f t="shared" si="516"/>
        <v>0</v>
      </c>
      <c r="AN120" s="231">
        <f t="shared" si="516"/>
        <v>0</v>
      </c>
      <c r="AO120" s="231">
        <f t="shared" si="516"/>
        <v>0</v>
      </c>
      <c r="AP120" s="231">
        <f t="shared" si="516"/>
        <v>0</v>
      </c>
      <c r="AQ120" s="231">
        <f t="shared" si="516"/>
        <v>0</v>
      </c>
      <c r="AR120" s="231">
        <f t="shared" si="516"/>
        <v>0</v>
      </c>
      <c r="AS120" s="231">
        <f t="shared" si="516"/>
        <v>0</v>
      </c>
      <c r="AT120" s="231">
        <f t="shared" si="516"/>
        <v>0</v>
      </c>
      <c r="AU120" s="231">
        <f t="shared" si="516"/>
        <v>0</v>
      </c>
      <c r="AV120" s="231">
        <f t="shared" si="516"/>
        <v>0</v>
      </c>
      <c r="AW120" s="231">
        <f t="shared" si="516"/>
        <v>0</v>
      </c>
      <c r="AX120" s="231">
        <f t="shared" si="516"/>
        <v>0</v>
      </c>
      <c r="AY120" s="231">
        <f t="shared" si="516"/>
        <v>0</v>
      </c>
      <c r="AZ120" s="231">
        <f t="shared" si="516"/>
        <v>0</v>
      </c>
      <c r="BA120" s="231">
        <f t="shared" si="516"/>
        <v>0</v>
      </c>
      <c r="BB120" s="231">
        <f t="shared" si="516"/>
        <v>0</v>
      </c>
      <c r="BC120" s="231">
        <f t="shared" si="516"/>
        <v>0</v>
      </c>
      <c r="BD120" s="231">
        <f t="shared" si="516"/>
        <v>0</v>
      </c>
      <c r="BE120" s="231">
        <f t="shared" si="516"/>
        <v>0</v>
      </c>
      <c r="BF120" s="231">
        <f t="shared" si="516"/>
        <v>0</v>
      </c>
      <c r="BG120" s="231">
        <f t="shared" si="516"/>
        <v>0</v>
      </c>
      <c r="BH120" s="231">
        <f t="shared" si="516"/>
        <v>0</v>
      </c>
      <c r="BI120" s="231">
        <f t="shared" si="516"/>
        <v>0</v>
      </c>
      <c r="BJ120" s="231">
        <f t="shared" si="516"/>
        <v>0</v>
      </c>
      <c r="BK120" s="231">
        <f t="shared" si="516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512"/>
        <v>0</v>
      </c>
      <c r="H121" s="94">
        <f t="shared" si="502"/>
        <v>0</v>
      </c>
      <c r="I121" s="96"/>
      <c r="J121" s="96"/>
      <c r="K121" s="96"/>
      <c r="L121" s="96"/>
      <c r="M121" s="97">
        <f t="shared" ref="M121:O121" si="517">Y121+AB121+AE121+AH121+AK121+AN121+AQ121+AT121+AW121+AZ121+BC121+BF121</f>
        <v>0</v>
      </c>
      <c r="N121" s="97">
        <f t="shared" si="517"/>
        <v>0</v>
      </c>
      <c r="O121" s="97">
        <f t="shared" si="517"/>
        <v>0</v>
      </c>
      <c r="P121" s="97">
        <f t="shared" ref="P121:R121" si="518">IF(BI121=0,SUM(Y121+AB121+AE121+AH121+AK121+AN121+AQ121+AT121+AW121+AZ121+BC121+BF121),BI121)</f>
        <v>0</v>
      </c>
      <c r="Q121" s="97">
        <f t="shared" si="518"/>
        <v>0</v>
      </c>
      <c r="R121" s="97">
        <f t="shared" si="518"/>
        <v>0</v>
      </c>
      <c r="S121" s="97">
        <f t="shared" ref="S121:T121" si="519">I121-M121</f>
        <v>0</v>
      </c>
      <c r="T121" s="97">
        <f t="shared" si="519"/>
        <v>0</v>
      </c>
      <c r="U121" s="97">
        <f t="shared" ref="U121:U129" si="520">L121-O121</f>
        <v>0</v>
      </c>
      <c r="V121" s="94" t="e">
        <f t="shared" si="501"/>
        <v>#DIV/0!</v>
      </c>
      <c r="W121" s="94" t="e">
        <f t="shared" si="506"/>
        <v>#DIV/0!</v>
      </c>
      <c r="X121" s="94" t="e">
        <f t="shared" si="507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512"/>
        <v>#DIV/0!</v>
      </c>
      <c r="H122" s="94" t="e">
        <f t="shared" si="502"/>
        <v>#DIV/0!</v>
      </c>
      <c r="I122" s="96"/>
      <c r="J122" s="96"/>
      <c r="K122" s="96"/>
      <c r="L122" s="96"/>
      <c r="M122" s="97">
        <f t="shared" ref="M122:O122" si="521">Y122+AB122+AE122+AH122+AK122+AN122+AQ122+AT122+AW122+AZ122+BC122+BF122</f>
        <v>0</v>
      </c>
      <c r="N122" s="97">
        <f t="shared" si="521"/>
        <v>0</v>
      </c>
      <c r="O122" s="97">
        <f t="shared" si="521"/>
        <v>0</v>
      </c>
      <c r="P122" s="97">
        <f t="shared" ref="P122:R122" si="522">IF(BI122=0,SUM(Y122+AB122+AE122+AH122+AK122+AN122+AQ122+AT122+AW122+AZ122+BC122+BF122),BI122)</f>
        <v>0</v>
      </c>
      <c r="Q122" s="97">
        <f t="shared" si="522"/>
        <v>0</v>
      </c>
      <c r="R122" s="97">
        <f t="shared" si="522"/>
        <v>0</v>
      </c>
      <c r="S122" s="97">
        <f t="shared" ref="S122:T122" si="523">I122-M122</f>
        <v>0</v>
      </c>
      <c r="T122" s="97">
        <f t="shared" si="523"/>
        <v>0</v>
      </c>
      <c r="U122" s="97">
        <f t="shared" si="520"/>
        <v>0</v>
      </c>
      <c r="V122" s="94" t="e">
        <f t="shared" si="501"/>
        <v>#DIV/0!</v>
      </c>
      <c r="W122" s="94" t="e">
        <f t="shared" si="506"/>
        <v>#DIV/0!</v>
      </c>
      <c r="X122" s="94" t="e">
        <f t="shared" si="507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512"/>
        <v>#DIV/0!</v>
      </c>
      <c r="H123" s="94" t="e">
        <f t="shared" si="502"/>
        <v>#DIV/0!</v>
      </c>
      <c r="I123" s="96"/>
      <c r="J123" s="96"/>
      <c r="K123" s="96"/>
      <c r="L123" s="96"/>
      <c r="M123" s="97">
        <f t="shared" ref="M123:O123" si="524">Y123+AB123+AE123+AH123+AK123+AN123+AQ123+AT123+AW123+AZ123+BC123+BF123</f>
        <v>0</v>
      </c>
      <c r="N123" s="97">
        <f t="shared" si="524"/>
        <v>0</v>
      </c>
      <c r="O123" s="97">
        <f t="shared" si="524"/>
        <v>0</v>
      </c>
      <c r="P123" s="97">
        <f t="shared" ref="P123:R123" si="525">IF(BI123=0,SUM(Y123+AB123+AE123+AH123+AK123+AN123+AQ123+AT123+AW123+AZ123+BC123+BF123),BI123)</f>
        <v>0</v>
      </c>
      <c r="Q123" s="97">
        <f t="shared" si="525"/>
        <v>0</v>
      </c>
      <c r="R123" s="97">
        <f t="shared" si="525"/>
        <v>0</v>
      </c>
      <c r="S123" s="97">
        <f t="shared" ref="S123:T123" si="526">I123-M123</f>
        <v>0</v>
      </c>
      <c r="T123" s="97">
        <f t="shared" si="526"/>
        <v>0</v>
      </c>
      <c r="U123" s="97">
        <f t="shared" si="520"/>
        <v>0</v>
      </c>
      <c r="V123" s="94" t="e">
        <f t="shared" si="501"/>
        <v>#DIV/0!</v>
      </c>
      <c r="W123" s="94" t="e">
        <f t="shared" si="506"/>
        <v>#DIV/0!</v>
      </c>
      <c r="X123" s="94" t="e">
        <f t="shared" si="507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512"/>
        <v>#DIV/0!</v>
      </c>
      <c r="H124" s="94" t="e">
        <f t="shared" si="502"/>
        <v>#DIV/0!</v>
      </c>
      <c r="I124" s="96"/>
      <c r="J124" s="96"/>
      <c r="K124" s="96"/>
      <c r="L124" s="96"/>
      <c r="M124" s="97">
        <f t="shared" ref="M124:O124" si="527">Y124+AB124+AE124+AH124+AK124+AN124+AQ124+AT124+AW124+AZ124+BC124+BF124</f>
        <v>0</v>
      </c>
      <c r="N124" s="97">
        <f t="shared" si="527"/>
        <v>0</v>
      </c>
      <c r="O124" s="97">
        <f t="shared" si="527"/>
        <v>0</v>
      </c>
      <c r="P124" s="97">
        <f t="shared" ref="P124:R124" si="528">IF(BI124=0,SUM(Y124+AB124+AE124+AH124+AK124+AN124+AQ124+AT124+AW124+AZ124+BC124+BF124),BI124)</f>
        <v>0</v>
      </c>
      <c r="Q124" s="97">
        <f t="shared" si="528"/>
        <v>0</v>
      </c>
      <c r="R124" s="97">
        <f t="shared" si="528"/>
        <v>0</v>
      </c>
      <c r="S124" s="97">
        <f t="shared" ref="S124:T124" si="529">I124-M124</f>
        <v>0</v>
      </c>
      <c r="T124" s="97">
        <f t="shared" si="529"/>
        <v>0</v>
      </c>
      <c r="U124" s="97">
        <f t="shared" si="520"/>
        <v>0</v>
      </c>
      <c r="V124" s="94" t="e">
        <f t="shared" si="501"/>
        <v>#DIV/0!</v>
      </c>
      <c r="W124" s="94" t="e">
        <f t="shared" si="506"/>
        <v>#DIV/0!</v>
      </c>
      <c r="X124" s="94" t="e">
        <f t="shared" si="507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571</v>
      </c>
      <c r="E125" s="166"/>
      <c r="F125" s="166"/>
      <c r="G125" s="94" t="e">
        <f t="shared" si="512"/>
        <v>#DIV/0!</v>
      </c>
      <c r="H125" s="94" t="e">
        <f t="shared" si="502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30">Y125+AB125+AE125+AH125+AK125+AN125+AQ125+AT125+AW125+AZ125+BC125+BF125</f>
        <v>0</v>
      </c>
      <c r="N125" s="97">
        <f t="shared" si="530"/>
        <v>0</v>
      </c>
      <c r="O125" s="97">
        <f t="shared" si="530"/>
        <v>0</v>
      </c>
      <c r="P125" s="97">
        <f t="shared" ref="P125:R125" si="531">IF(BI125=0,SUM(Y125+AB125+AE125+AH125+AK125+AN125+AQ125+AT125+AW125+AZ125+BC125+BF125),BI125)</f>
        <v>0</v>
      </c>
      <c r="Q125" s="97">
        <f t="shared" si="531"/>
        <v>0</v>
      </c>
      <c r="R125" s="97">
        <f t="shared" si="531"/>
        <v>0</v>
      </c>
      <c r="S125" s="97">
        <f t="shared" ref="S125:T125" si="532">I125-M125</f>
        <v>0</v>
      </c>
      <c r="T125" s="97">
        <f t="shared" si="532"/>
        <v>5199.4000000000005</v>
      </c>
      <c r="U125" s="97">
        <f t="shared" si="520"/>
        <v>0</v>
      </c>
      <c r="V125" s="94" t="e">
        <f t="shared" si="501"/>
        <v>#DIV/0!</v>
      </c>
      <c r="W125" s="94">
        <f t="shared" si="506"/>
        <v>0</v>
      </c>
      <c r="X125" s="94" t="e">
        <f t="shared" si="507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512"/>
        <v>0</v>
      </c>
      <c r="H126" s="94">
        <f t="shared" si="502"/>
        <v>0</v>
      </c>
      <c r="I126" s="96"/>
      <c r="J126" s="96"/>
      <c r="K126" s="96"/>
      <c r="L126" s="96"/>
      <c r="M126" s="97">
        <f t="shared" ref="M126:O126" si="533">Y126+AB126+AE126+AH126+AK126+AN126+AQ126+AT126+AW126+AZ126+BC126+BF126</f>
        <v>0</v>
      </c>
      <c r="N126" s="97">
        <f t="shared" si="533"/>
        <v>0</v>
      </c>
      <c r="O126" s="97">
        <f t="shared" si="533"/>
        <v>0</v>
      </c>
      <c r="P126" s="97">
        <f t="shared" ref="P126:R126" si="534">IF(BI126=0,SUM(Y126+AB126+AE126+AH126+AK126+AN126+AQ126+AT126+AW126+AZ126+BC126+BF126),BI126)</f>
        <v>0</v>
      </c>
      <c r="Q126" s="97">
        <f t="shared" si="534"/>
        <v>0</v>
      </c>
      <c r="R126" s="97">
        <f t="shared" si="534"/>
        <v>0</v>
      </c>
      <c r="S126" s="97">
        <f t="shared" ref="S126:T126" si="535">I126-M126</f>
        <v>0</v>
      </c>
      <c r="T126" s="97">
        <f t="shared" si="535"/>
        <v>0</v>
      </c>
      <c r="U126" s="97">
        <f t="shared" si="520"/>
        <v>0</v>
      </c>
      <c r="V126" s="94" t="e">
        <f t="shared" si="501"/>
        <v>#DIV/0!</v>
      </c>
      <c r="W126" s="94" t="e">
        <f t="shared" si="506"/>
        <v>#DIV/0!</v>
      </c>
      <c r="X126" s="94" t="e">
        <f t="shared" si="507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512"/>
        <v>#DIV/0!</v>
      </c>
      <c r="H127" s="94" t="e">
        <f t="shared" si="502"/>
        <v>#DIV/0!</v>
      </c>
      <c r="I127" s="96"/>
      <c r="J127" s="96"/>
      <c r="K127" s="96"/>
      <c r="L127" s="96"/>
      <c r="M127" s="97">
        <f t="shared" ref="M127:O127" si="536">Y127+AB127+AE127+AH127+AK127+AN127+AQ127+AT127+AW127+AZ127+BC127+BF127</f>
        <v>0</v>
      </c>
      <c r="N127" s="97">
        <f t="shared" si="536"/>
        <v>0</v>
      </c>
      <c r="O127" s="97">
        <f t="shared" si="536"/>
        <v>0</v>
      </c>
      <c r="P127" s="97">
        <f t="shared" ref="P127:R127" si="537">IF(BI127=0,SUM(Y127+AB127+AE127+AH127+AK127+AN127+AQ127+AT127+AW127+AZ127+BC127+BF127),BI127)</f>
        <v>0</v>
      </c>
      <c r="Q127" s="97">
        <f t="shared" si="537"/>
        <v>0</v>
      </c>
      <c r="R127" s="97">
        <f t="shared" si="537"/>
        <v>0</v>
      </c>
      <c r="S127" s="97">
        <f t="shared" ref="S127:T127" si="538">I127-M127</f>
        <v>0</v>
      </c>
      <c r="T127" s="97">
        <f t="shared" si="538"/>
        <v>0</v>
      </c>
      <c r="U127" s="97">
        <f t="shared" si="520"/>
        <v>0</v>
      </c>
      <c r="V127" s="94" t="e">
        <f t="shared" si="501"/>
        <v>#DIV/0!</v>
      </c>
      <c r="W127" s="94" t="e">
        <f t="shared" si="506"/>
        <v>#DIV/0!</v>
      </c>
      <c r="X127" s="94" t="e">
        <f t="shared" si="507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572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39">Y128+AB128+AE128+AH128+AK128+AN128+AQ128+AT128+AW128+AZ128+BC128+BF128</f>
        <v>0</v>
      </c>
      <c r="N128" s="97">
        <f t="shared" si="539"/>
        <v>61206.74</v>
      </c>
      <c r="O128" s="97">
        <f t="shared" si="539"/>
        <v>0</v>
      </c>
      <c r="P128" s="97">
        <f t="shared" ref="P128:R128" si="540">IF(BI128=0,SUM(Y128+AB128+AE128+AH128+AK128+AN128+AQ128+AT128+AW128+AZ128+BC128+BF128),BI128)</f>
        <v>0</v>
      </c>
      <c r="Q128" s="97">
        <f t="shared" si="540"/>
        <v>61206.74</v>
      </c>
      <c r="R128" s="97">
        <f t="shared" si="540"/>
        <v>0</v>
      </c>
      <c r="S128" s="97">
        <f t="shared" ref="S128:T128" si="541">I128-M128</f>
        <v>0</v>
      </c>
      <c r="T128" s="97">
        <f t="shared" si="541"/>
        <v>391563.75</v>
      </c>
      <c r="U128" s="97">
        <f t="shared" si="520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42">I129/E129</f>
        <v>#DIV/0!</v>
      </c>
      <c r="H129" s="94" t="e">
        <f t="shared" ref="H129:H136" si="543">M129/E129</f>
        <v>#DIV/0!</v>
      </c>
      <c r="I129" s="96"/>
      <c r="J129" s="96"/>
      <c r="K129" s="96"/>
      <c r="L129" s="237"/>
      <c r="M129" s="97">
        <f t="shared" ref="M129:O129" si="544">Y129+AB129+AE129+AH129+AK129+AN129+AQ129+AT129+AW129+AZ129+BC129+BF129</f>
        <v>0</v>
      </c>
      <c r="N129" s="97">
        <f t="shared" si="544"/>
        <v>0</v>
      </c>
      <c r="O129" s="97">
        <f t="shared" si="544"/>
        <v>0</v>
      </c>
      <c r="P129" s="97">
        <f t="shared" ref="P129:R129" si="545">IF(BI129=0,SUM(Y129+AB129+AE129+AH129+AK129+AN129+AQ129+AT129+AW129+AZ129+BC129+BF129),BI129)</f>
        <v>0</v>
      </c>
      <c r="Q129" s="97">
        <f t="shared" si="545"/>
        <v>0</v>
      </c>
      <c r="R129" s="97">
        <f t="shared" si="545"/>
        <v>0</v>
      </c>
      <c r="S129" s="97">
        <f t="shared" ref="S129:T129" si="546">I129-M129</f>
        <v>0</v>
      </c>
      <c r="T129" s="97">
        <f t="shared" si="546"/>
        <v>0</v>
      </c>
      <c r="U129" s="97">
        <f t="shared" si="520"/>
        <v>0</v>
      </c>
      <c r="V129" s="94" t="e">
        <f t="shared" ref="V129:W129" si="547">M129/I129</f>
        <v>#DIV/0!</v>
      </c>
      <c r="W129" s="94" t="e">
        <f t="shared" si="547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48">SUM(E131:E135)</f>
        <v>0</v>
      </c>
      <c r="F130" s="231">
        <f t="shared" si="548"/>
        <v>216000</v>
      </c>
      <c r="G130" s="187" t="e">
        <f t="shared" si="542"/>
        <v>#DIV/0!</v>
      </c>
      <c r="H130" s="187" t="e">
        <f t="shared" si="543"/>
        <v>#DIV/0!</v>
      </c>
      <c r="I130" s="231">
        <f t="shared" ref="I130:O130" si="549">SUM(I131:I135)</f>
        <v>0</v>
      </c>
      <c r="J130" s="231">
        <f t="shared" si="549"/>
        <v>0</v>
      </c>
      <c r="K130" s="231">
        <f t="shared" si="549"/>
        <v>0</v>
      </c>
      <c r="L130" s="231">
        <f t="shared" si="549"/>
        <v>0</v>
      </c>
      <c r="M130" s="231">
        <f t="shared" si="549"/>
        <v>0</v>
      </c>
      <c r="N130" s="238">
        <f t="shared" si="549"/>
        <v>0</v>
      </c>
      <c r="O130" s="238">
        <f t="shared" si="549"/>
        <v>0</v>
      </c>
      <c r="P130" s="238">
        <f t="shared" ref="P130:R130" si="550">IF(BI130=0,SUM(Y130+AB130+AE130+AH130+AK130+AN130+AQ130+AT130+AW130+AZ130+BC130+BF130),BI130)</f>
        <v>0</v>
      </c>
      <c r="Q130" s="238">
        <f t="shared" si="550"/>
        <v>0</v>
      </c>
      <c r="R130" s="238">
        <f t="shared" si="550"/>
        <v>0</v>
      </c>
      <c r="S130" s="238">
        <f t="shared" ref="S130:BK130" si="551">SUM(S131:S135)</f>
        <v>0</v>
      </c>
      <c r="T130" s="238">
        <f t="shared" si="551"/>
        <v>0</v>
      </c>
      <c r="U130" s="238">
        <f t="shared" si="551"/>
        <v>0</v>
      </c>
      <c r="V130" s="238" t="e">
        <f t="shared" si="551"/>
        <v>#DIV/0!</v>
      </c>
      <c r="W130" s="238" t="e">
        <f t="shared" si="551"/>
        <v>#DIV/0!</v>
      </c>
      <c r="X130" s="238" t="e">
        <f t="shared" si="551"/>
        <v>#DIV/0!</v>
      </c>
      <c r="Y130" s="231">
        <f t="shared" si="551"/>
        <v>0</v>
      </c>
      <c r="Z130" s="231">
        <f t="shared" si="551"/>
        <v>0</v>
      </c>
      <c r="AA130" s="231">
        <f t="shared" si="551"/>
        <v>0</v>
      </c>
      <c r="AB130" s="231">
        <f t="shared" si="551"/>
        <v>0</v>
      </c>
      <c r="AC130" s="231">
        <f t="shared" si="551"/>
        <v>0</v>
      </c>
      <c r="AD130" s="231">
        <f t="shared" si="551"/>
        <v>0</v>
      </c>
      <c r="AE130" s="231">
        <f t="shared" si="551"/>
        <v>0</v>
      </c>
      <c r="AF130" s="231">
        <f t="shared" si="551"/>
        <v>0</v>
      </c>
      <c r="AG130" s="231">
        <f t="shared" si="551"/>
        <v>0</v>
      </c>
      <c r="AH130" s="231">
        <f t="shared" si="551"/>
        <v>0</v>
      </c>
      <c r="AI130" s="231">
        <f t="shared" si="551"/>
        <v>0</v>
      </c>
      <c r="AJ130" s="231">
        <f t="shared" si="551"/>
        <v>0</v>
      </c>
      <c r="AK130" s="231">
        <f t="shared" si="551"/>
        <v>0</v>
      </c>
      <c r="AL130" s="231">
        <f t="shared" si="551"/>
        <v>0</v>
      </c>
      <c r="AM130" s="231">
        <f t="shared" si="551"/>
        <v>0</v>
      </c>
      <c r="AN130" s="231">
        <f t="shared" si="551"/>
        <v>0</v>
      </c>
      <c r="AO130" s="231">
        <f t="shared" si="551"/>
        <v>0</v>
      </c>
      <c r="AP130" s="231">
        <f t="shared" si="551"/>
        <v>0</v>
      </c>
      <c r="AQ130" s="231">
        <f t="shared" si="551"/>
        <v>0</v>
      </c>
      <c r="AR130" s="231">
        <f t="shared" si="551"/>
        <v>0</v>
      </c>
      <c r="AS130" s="231">
        <f t="shared" si="551"/>
        <v>0</v>
      </c>
      <c r="AT130" s="231">
        <f t="shared" si="551"/>
        <v>0</v>
      </c>
      <c r="AU130" s="231">
        <f t="shared" si="551"/>
        <v>0</v>
      </c>
      <c r="AV130" s="231">
        <f t="shared" si="551"/>
        <v>0</v>
      </c>
      <c r="AW130" s="231">
        <f t="shared" si="551"/>
        <v>0</v>
      </c>
      <c r="AX130" s="231">
        <f t="shared" si="551"/>
        <v>0</v>
      </c>
      <c r="AY130" s="231">
        <f t="shared" si="551"/>
        <v>0</v>
      </c>
      <c r="AZ130" s="231">
        <f t="shared" si="551"/>
        <v>0</v>
      </c>
      <c r="BA130" s="231">
        <f t="shared" si="551"/>
        <v>0</v>
      </c>
      <c r="BB130" s="231">
        <f t="shared" si="551"/>
        <v>0</v>
      </c>
      <c r="BC130" s="231">
        <f t="shared" si="551"/>
        <v>0</v>
      </c>
      <c r="BD130" s="231">
        <f t="shared" si="551"/>
        <v>0</v>
      </c>
      <c r="BE130" s="231">
        <f t="shared" si="551"/>
        <v>0</v>
      </c>
      <c r="BF130" s="231">
        <f t="shared" si="551"/>
        <v>0</v>
      </c>
      <c r="BG130" s="231">
        <f t="shared" si="551"/>
        <v>0</v>
      </c>
      <c r="BH130" s="231">
        <f t="shared" si="551"/>
        <v>0</v>
      </c>
      <c r="BI130" s="231">
        <f t="shared" si="551"/>
        <v>0</v>
      </c>
      <c r="BJ130" s="231">
        <f t="shared" si="551"/>
        <v>0</v>
      </c>
      <c r="BK130" s="231">
        <f t="shared" si="551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42"/>
        <v>#DIV/0!</v>
      </c>
      <c r="H131" s="94" t="e">
        <f t="shared" si="543"/>
        <v>#DIV/0!</v>
      </c>
      <c r="I131" s="96"/>
      <c r="J131" s="96"/>
      <c r="K131" s="96"/>
      <c r="L131" s="96"/>
      <c r="M131" s="97">
        <f t="shared" ref="M131:O131" si="552">Y131+AB131+AE131+AH131+AK131+AN131+AQ131+AT131+AW131+AZ131+BC131+BF131</f>
        <v>0</v>
      </c>
      <c r="N131" s="97">
        <f t="shared" si="552"/>
        <v>0</v>
      </c>
      <c r="O131" s="97">
        <f t="shared" si="552"/>
        <v>0</v>
      </c>
      <c r="P131" s="97">
        <f t="shared" ref="P131:R131" si="553">IF(BI131=0,SUM(Y131+AB131+AE131+AH131+AK131+AN131+AQ131+AT131+AW131+AZ131+BC131+BF131),BI131)</f>
        <v>0</v>
      </c>
      <c r="Q131" s="97">
        <f t="shared" si="553"/>
        <v>0</v>
      </c>
      <c r="R131" s="97">
        <f t="shared" si="553"/>
        <v>0</v>
      </c>
      <c r="S131" s="97">
        <f t="shared" ref="S131:T131" si="554">I131-M131</f>
        <v>0</v>
      </c>
      <c r="T131" s="97">
        <f t="shared" si="554"/>
        <v>0</v>
      </c>
      <c r="U131" s="97">
        <f t="shared" ref="U131:U135" si="555">L131-O131</f>
        <v>0</v>
      </c>
      <c r="V131" s="98" t="e">
        <f t="shared" ref="V131:W131" si="556">M131/I131</f>
        <v>#DIV/0!</v>
      </c>
      <c r="W131" s="98" t="e">
        <f t="shared" si="556"/>
        <v>#DIV/0!</v>
      </c>
      <c r="X131" s="98" t="e">
        <f t="shared" ref="X131:X135" si="557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42"/>
        <v>#DIV/0!</v>
      </c>
      <c r="H132" s="94" t="e">
        <f t="shared" si="543"/>
        <v>#DIV/0!</v>
      </c>
      <c r="I132" s="96"/>
      <c r="J132" s="96"/>
      <c r="K132" s="96"/>
      <c r="L132" s="83"/>
      <c r="M132" s="97">
        <f t="shared" ref="M132:O132" si="558">Y132+AB132+AE132+AH132+AK132+AN132+AQ132+AT132+AW132+AZ132+BC132+BF132</f>
        <v>0</v>
      </c>
      <c r="N132" s="97">
        <f t="shared" si="558"/>
        <v>0</v>
      </c>
      <c r="O132" s="97">
        <f t="shared" si="558"/>
        <v>0</v>
      </c>
      <c r="P132" s="97">
        <f t="shared" ref="P132:R132" si="559">IF(BI132=0,SUM(Y132+AB132+AE132+AH132+AK132+AN132+AQ132+AT132+AW132+AZ132+BC132+BF132),BI132)</f>
        <v>0</v>
      </c>
      <c r="Q132" s="97">
        <f t="shared" si="559"/>
        <v>0</v>
      </c>
      <c r="R132" s="97">
        <f t="shared" si="559"/>
        <v>0</v>
      </c>
      <c r="S132" s="97">
        <f t="shared" ref="S132:T132" si="560">I132-M132</f>
        <v>0</v>
      </c>
      <c r="T132" s="97">
        <f t="shared" si="560"/>
        <v>0</v>
      </c>
      <c r="U132" s="97">
        <f t="shared" si="555"/>
        <v>0</v>
      </c>
      <c r="V132" s="98" t="e">
        <f t="shared" ref="V132:W132" si="561">M132/I132</f>
        <v>#DIV/0!</v>
      </c>
      <c r="W132" s="98" t="e">
        <f t="shared" si="561"/>
        <v>#DIV/0!</v>
      </c>
      <c r="X132" s="98" t="e">
        <f t="shared" si="557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42"/>
        <v>#DIV/0!</v>
      </c>
      <c r="H133" s="94" t="e">
        <f t="shared" si="543"/>
        <v>#DIV/0!</v>
      </c>
      <c r="I133" s="96"/>
      <c r="J133" s="96"/>
      <c r="K133" s="96"/>
      <c r="L133" s="96"/>
      <c r="M133" s="97">
        <f t="shared" ref="M133:O133" si="562">Y133+AB133+AE133+AH133+AK133+AN133+AQ133+AT133+AW133+AZ133+BC133+BF133</f>
        <v>0</v>
      </c>
      <c r="N133" s="97">
        <f t="shared" si="562"/>
        <v>0</v>
      </c>
      <c r="O133" s="97">
        <f t="shared" si="562"/>
        <v>0</v>
      </c>
      <c r="P133" s="97">
        <f t="shared" ref="P133:R133" si="563">IF(BI133=0,SUM(Y133+AB133+AE133+AH133+AK133+AN133+AQ133+AT133+AW133+AZ133+BC133+BF133),BI133)</f>
        <v>0</v>
      </c>
      <c r="Q133" s="97">
        <f t="shared" si="563"/>
        <v>0</v>
      </c>
      <c r="R133" s="97">
        <f t="shared" si="563"/>
        <v>0</v>
      </c>
      <c r="S133" s="97">
        <f t="shared" ref="S133:T133" si="564">I133-M133</f>
        <v>0</v>
      </c>
      <c r="T133" s="97">
        <f t="shared" si="564"/>
        <v>0</v>
      </c>
      <c r="U133" s="97">
        <f t="shared" si="555"/>
        <v>0</v>
      </c>
      <c r="V133" s="98" t="e">
        <f t="shared" ref="V133:W133" si="565">M133/I133</f>
        <v>#DIV/0!</v>
      </c>
      <c r="W133" s="98" t="e">
        <f t="shared" si="565"/>
        <v>#DIV/0!</v>
      </c>
      <c r="X133" s="98" t="e">
        <f t="shared" si="557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42"/>
        <v>#DIV/0!</v>
      </c>
      <c r="H134" s="94" t="e">
        <f t="shared" si="543"/>
        <v>#DIV/0!</v>
      </c>
      <c r="I134" s="96"/>
      <c r="J134" s="96"/>
      <c r="K134" s="96"/>
      <c r="L134" s="96"/>
      <c r="M134" s="97">
        <f t="shared" ref="M134:O134" si="566">Y134+AB134+AE134+AH134+AK134+AN134+AQ134+AT134+AW134+AZ134+BC134+BF134</f>
        <v>0</v>
      </c>
      <c r="N134" s="97">
        <f t="shared" si="566"/>
        <v>0</v>
      </c>
      <c r="O134" s="97">
        <f t="shared" si="566"/>
        <v>0</v>
      </c>
      <c r="P134" s="97">
        <f t="shared" ref="P134:R134" si="567">IF(BI134=0,SUM(Y134+AB134+AE134+AH134+AK134+AN134+AQ134+AT134+AW134+AZ134+BC134+BF134),BI134)</f>
        <v>0</v>
      </c>
      <c r="Q134" s="97">
        <f t="shared" si="567"/>
        <v>0</v>
      </c>
      <c r="R134" s="97">
        <f t="shared" si="567"/>
        <v>0</v>
      </c>
      <c r="S134" s="97">
        <f t="shared" ref="S134:T134" si="568">I134-M134</f>
        <v>0</v>
      </c>
      <c r="T134" s="97">
        <f t="shared" si="568"/>
        <v>0</v>
      </c>
      <c r="U134" s="97">
        <f t="shared" si="555"/>
        <v>0</v>
      </c>
      <c r="V134" s="98" t="e">
        <f t="shared" ref="V134:W134" si="569">M134/I134</f>
        <v>#DIV/0!</v>
      </c>
      <c r="W134" s="98" t="e">
        <f t="shared" si="569"/>
        <v>#DIV/0!</v>
      </c>
      <c r="X134" s="98" t="e">
        <f t="shared" si="557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42"/>
        <v>#DIV/0!</v>
      </c>
      <c r="H135" s="94" t="e">
        <f t="shared" si="543"/>
        <v>#DIV/0!</v>
      </c>
      <c r="I135" s="96"/>
      <c r="J135" s="96"/>
      <c r="K135" s="96"/>
      <c r="L135" s="239"/>
      <c r="M135" s="97">
        <f t="shared" ref="M135:O135" si="570">Y135+AB135+AE135+AH135+AK135+AN135+AQ135+AT135+AW135+AZ135+BC135+BF135</f>
        <v>0</v>
      </c>
      <c r="N135" s="97">
        <f t="shared" si="570"/>
        <v>0</v>
      </c>
      <c r="O135" s="97">
        <f t="shared" si="570"/>
        <v>0</v>
      </c>
      <c r="P135" s="97">
        <f t="shared" ref="P135:R135" si="571">IF(BI135=0,SUM(Y135+AB135+AE135+AH135+AK135+AN135+AQ135+AT135+AW135+AZ135+BC135+BF135),BI135)</f>
        <v>0</v>
      </c>
      <c r="Q135" s="97">
        <f t="shared" si="571"/>
        <v>0</v>
      </c>
      <c r="R135" s="97">
        <f t="shared" si="571"/>
        <v>0</v>
      </c>
      <c r="S135" s="97">
        <f t="shared" ref="S135:T135" si="572">I135-M135</f>
        <v>0</v>
      </c>
      <c r="T135" s="97">
        <f t="shared" si="572"/>
        <v>0</v>
      </c>
      <c r="U135" s="97">
        <f t="shared" si="555"/>
        <v>0</v>
      </c>
      <c r="V135" s="98" t="e">
        <f t="shared" ref="V135:W135" si="573">M135/I135</f>
        <v>#DIV/0!</v>
      </c>
      <c r="W135" s="98" t="e">
        <f t="shared" si="573"/>
        <v>#DIV/0!</v>
      </c>
      <c r="X135" s="98" t="e">
        <f t="shared" si="557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74">SUM(E137:E139)</f>
        <v>0</v>
      </c>
      <c r="F136" s="242">
        <f t="shared" si="574"/>
        <v>867964.47</v>
      </c>
      <c r="G136" s="187" t="e">
        <f t="shared" si="542"/>
        <v>#DIV/0!</v>
      </c>
      <c r="H136" s="187" t="e">
        <f t="shared" si="543"/>
        <v>#DIV/0!</v>
      </c>
      <c r="I136" s="242">
        <f t="shared" ref="I136:O136" si="575">SUM(I137:I139)</f>
        <v>0</v>
      </c>
      <c r="J136" s="242">
        <f t="shared" si="575"/>
        <v>203666.88</v>
      </c>
      <c r="K136" s="242">
        <f t="shared" si="575"/>
        <v>0</v>
      </c>
      <c r="L136" s="242">
        <f t="shared" si="575"/>
        <v>0</v>
      </c>
      <c r="M136" s="242">
        <f t="shared" si="575"/>
        <v>0</v>
      </c>
      <c r="N136" s="243">
        <f t="shared" si="575"/>
        <v>59424.31</v>
      </c>
      <c r="O136" s="243">
        <f t="shared" si="575"/>
        <v>0</v>
      </c>
      <c r="P136" s="243">
        <f t="shared" ref="P136:R136" si="576">IF(BI136=0,SUM(Y136+AB136+AE136+AH136+AK136+AN136+AQ136+AT136+AW136+AZ136+BC136+BF136),BI136)</f>
        <v>0</v>
      </c>
      <c r="Q136" s="243">
        <f t="shared" si="576"/>
        <v>59424.31</v>
      </c>
      <c r="R136" s="243">
        <f t="shared" si="576"/>
        <v>0</v>
      </c>
      <c r="S136" s="242">
        <f t="shared" ref="S136:BK136" si="577">SUM(S137:S139)</f>
        <v>0</v>
      </c>
      <c r="T136" s="186">
        <f t="shared" si="577"/>
        <v>144242.57</v>
      </c>
      <c r="U136" s="186">
        <f t="shared" si="577"/>
        <v>0</v>
      </c>
      <c r="V136" s="186" t="e">
        <f t="shared" si="577"/>
        <v>#DIV/0!</v>
      </c>
      <c r="W136" s="186" t="e">
        <f t="shared" si="577"/>
        <v>#DIV/0!</v>
      </c>
      <c r="X136" s="186" t="e">
        <f t="shared" si="577"/>
        <v>#DIV/0!</v>
      </c>
      <c r="Y136" s="242">
        <f t="shared" si="577"/>
        <v>0</v>
      </c>
      <c r="Z136" s="242">
        <f t="shared" si="577"/>
        <v>0</v>
      </c>
      <c r="AA136" s="242">
        <f t="shared" si="577"/>
        <v>0</v>
      </c>
      <c r="AB136" s="242">
        <f t="shared" si="577"/>
        <v>0</v>
      </c>
      <c r="AC136" s="242">
        <f t="shared" si="577"/>
        <v>0</v>
      </c>
      <c r="AD136" s="242">
        <f t="shared" si="577"/>
        <v>0</v>
      </c>
      <c r="AE136" s="242">
        <f t="shared" si="577"/>
        <v>0</v>
      </c>
      <c r="AF136" s="242">
        <f t="shared" si="577"/>
        <v>59424.31</v>
      </c>
      <c r="AG136" s="242">
        <f t="shared" si="577"/>
        <v>0</v>
      </c>
      <c r="AH136" s="242">
        <f t="shared" si="577"/>
        <v>0</v>
      </c>
      <c r="AI136" s="242">
        <f t="shared" si="577"/>
        <v>0</v>
      </c>
      <c r="AJ136" s="242">
        <f t="shared" si="577"/>
        <v>0</v>
      </c>
      <c r="AK136" s="242">
        <f t="shared" si="577"/>
        <v>0</v>
      </c>
      <c r="AL136" s="242">
        <f t="shared" si="577"/>
        <v>0</v>
      </c>
      <c r="AM136" s="242">
        <f t="shared" si="577"/>
        <v>0</v>
      </c>
      <c r="AN136" s="242">
        <f t="shared" si="577"/>
        <v>0</v>
      </c>
      <c r="AO136" s="242">
        <f t="shared" si="577"/>
        <v>0</v>
      </c>
      <c r="AP136" s="242">
        <f t="shared" si="577"/>
        <v>0</v>
      </c>
      <c r="AQ136" s="242">
        <f t="shared" si="577"/>
        <v>0</v>
      </c>
      <c r="AR136" s="242">
        <f t="shared" si="577"/>
        <v>0</v>
      </c>
      <c r="AS136" s="242">
        <f t="shared" si="577"/>
        <v>0</v>
      </c>
      <c r="AT136" s="242">
        <f t="shared" si="577"/>
        <v>0</v>
      </c>
      <c r="AU136" s="242">
        <f t="shared" si="577"/>
        <v>0</v>
      </c>
      <c r="AV136" s="242">
        <f t="shared" si="577"/>
        <v>0</v>
      </c>
      <c r="AW136" s="242">
        <f t="shared" si="577"/>
        <v>0</v>
      </c>
      <c r="AX136" s="242">
        <f t="shared" si="577"/>
        <v>0</v>
      </c>
      <c r="AY136" s="242">
        <f t="shared" si="577"/>
        <v>0</v>
      </c>
      <c r="AZ136" s="242">
        <f t="shared" si="577"/>
        <v>0</v>
      </c>
      <c r="BA136" s="242">
        <f t="shared" si="577"/>
        <v>0</v>
      </c>
      <c r="BB136" s="242">
        <f t="shared" si="577"/>
        <v>0</v>
      </c>
      <c r="BC136" s="242">
        <f t="shared" si="577"/>
        <v>0</v>
      </c>
      <c r="BD136" s="242">
        <f t="shared" si="577"/>
        <v>0</v>
      </c>
      <c r="BE136" s="242">
        <f t="shared" si="577"/>
        <v>0</v>
      </c>
      <c r="BF136" s="242">
        <f t="shared" si="577"/>
        <v>0</v>
      </c>
      <c r="BG136" s="242">
        <f t="shared" si="577"/>
        <v>0</v>
      </c>
      <c r="BH136" s="242">
        <f t="shared" si="577"/>
        <v>0</v>
      </c>
      <c r="BI136" s="242">
        <f t="shared" si="577"/>
        <v>0</v>
      </c>
      <c r="BJ136" s="242">
        <f t="shared" si="577"/>
        <v>0</v>
      </c>
      <c r="BK136" s="242">
        <f t="shared" si="577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78">I137/#REF!</f>
        <v>#REF!</v>
      </c>
      <c r="H137" s="94" t="e">
        <f t="shared" ref="H137:H138" si="579">M137/#REF!</f>
        <v>#REF!</v>
      </c>
      <c r="I137" s="96"/>
      <c r="J137" s="96">
        <v>193192.78</v>
      </c>
      <c r="K137" s="96"/>
      <c r="L137" s="96"/>
      <c r="M137" s="97">
        <f t="shared" ref="M137:O137" si="580">Y137+AB137+AE137+AH137+AK137+AN137+AQ137+AT137+AW137+AZ137+BC137+BF137</f>
        <v>0</v>
      </c>
      <c r="N137" s="97">
        <f t="shared" si="580"/>
        <v>59424.31</v>
      </c>
      <c r="O137" s="97">
        <f t="shared" si="580"/>
        <v>0</v>
      </c>
      <c r="P137" s="97">
        <f t="shared" ref="P137:R137" si="581">IF(BI137=0,SUM(Y137+AB137+AE137+AH137+AK137+AN137+AQ137+AT137+AW137+AZ137+BC137+BF137),BI137)</f>
        <v>0</v>
      </c>
      <c r="Q137" s="97">
        <f t="shared" si="581"/>
        <v>59424.31</v>
      </c>
      <c r="R137" s="97">
        <f t="shared" si="581"/>
        <v>0</v>
      </c>
      <c r="S137" s="97">
        <f t="shared" ref="S137:T137" si="582">I137-M137</f>
        <v>0</v>
      </c>
      <c r="T137" s="97">
        <f t="shared" si="582"/>
        <v>133768.47</v>
      </c>
      <c r="U137" s="97">
        <f t="shared" ref="U137:U139" si="583">L137-O137</f>
        <v>0</v>
      </c>
      <c r="V137" s="98" t="e">
        <f t="shared" ref="V137:W137" si="584">M137/I137</f>
        <v>#DIV/0!</v>
      </c>
      <c r="W137" s="98">
        <f t="shared" si="584"/>
        <v>0.30759073915702234</v>
      </c>
      <c r="X137" s="98" t="e">
        <f t="shared" ref="X137:X139" si="585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78"/>
        <v>#REF!</v>
      </c>
      <c r="H138" s="94" t="e">
        <f t="shared" si="579"/>
        <v>#REF!</v>
      </c>
      <c r="I138" s="119"/>
      <c r="J138" s="96"/>
      <c r="K138" s="96"/>
      <c r="L138" s="202"/>
      <c r="M138" s="97">
        <f t="shared" ref="M138:O138" si="586">Y138+AB138+AE138+AH138+AK138+AN138+AQ138+AT138+AW138+AZ138+BC138+BF138</f>
        <v>0</v>
      </c>
      <c r="N138" s="97">
        <f t="shared" si="586"/>
        <v>0</v>
      </c>
      <c r="O138" s="97">
        <f t="shared" si="586"/>
        <v>0</v>
      </c>
      <c r="P138" s="97">
        <f t="shared" ref="P138:R138" si="587">IF(BI138=0,SUM(Y138+AB138+AE138+AH138+AK138+AN138+AQ138+AT138+AW138+AZ138+BC138+BF138),BI138)</f>
        <v>0</v>
      </c>
      <c r="Q138" s="97">
        <f t="shared" si="587"/>
        <v>0</v>
      </c>
      <c r="R138" s="97">
        <f t="shared" si="587"/>
        <v>0</v>
      </c>
      <c r="S138" s="97">
        <f t="shared" ref="S138:T138" si="588">I138-M138</f>
        <v>0</v>
      </c>
      <c r="T138" s="97">
        <f t="shared" si="588"/>
        <v>0</v>
      </c>
      <c r="U138" s="97">
        <f t="shared" si="583"/>
        <v>0</v>
      </c>
      <c r="V138" s="98" t="e">
        <f t="shared" ref="V138:W138" si="589">M138/I138</f>
        <v>#DIV/0!</v>
      </c>
      <c r="W138" s="98" t="e">
        <f t="shared" si="589"/>
        <v>#DIV/0!</v>
      </c>
      <c r="X138" s="98" t="e">
        <f t="shared" si="585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90">I139/E139</f>
        <v>#DIV/0!</v>
      </c>
      <c r="H139" s="94" t="e">
        <f t="shared" ref="H139:H143" si="591">M139/E139</f>
        <v>#DIV/0!</v>
      </c>
      <c r="I139" s="96"/>
      <c r="J139" s="96">
        <v>10474.1</v>
      </c>
      <c r="K139" s="96"/>
      <c r="L139" s="244"/>
      <c r="M139" s="97">
        <f t="shared" ref="M139:O139" si="592">Y139+AB139+AE139+AH139+AK139+AN139+AQ139+AT139+AW139+AZ139+BC139+BF139</f>
        <v>0</v>
      </c>
      <c r="N139" s="97">
        <f t="shared" si="592"/>
        <v>0</v>
      </c>
      <c r="O139" s="97">
        <f t="shared" si="592"/>
        <v>0</v>
      </c>
      <c r="P139" s="97">
        <f t="shared" ref="P139:R139" si="593">IF(BI139=0,SUM(Y139+AB139+AE139+AH139+AK139+AN139+AQ139+AT139+AW139+AZ139+BC139+BF139),BI139)</f>
        <v>0</v>
      </c>
      <c r="Q139" s="97">
        <f t="shared" si="593"/>
        <v>0</v>
      </c>
      <c r="R139" s="97">
        <f t="shared" si="593"/>
        <v>0</v>
      </c>
      <c r="S139" s="97">
        <f t="shared" ref="S139:T139" si="594">I139-M139</f>
        <v>0</v>
      </c>
      <c r="T139" s="97">
        <f t="shared" si="594"/>
        <v>10474.1</v>
      </c>
      <c r="U139" s="97">
        <f t="shared" si="583"/>
        <v>0</v>
      </c>
      <c r="V139" s="98" t="e">
        <f t="shared" ref="V139:W139" si="595">M139/I139</f>
        <v>#DIV/0!</v>
      </c>
      <c r="W139" s="98">
        <f t="shared" si="595"/>
        <v>0</v>
      </c>
      <c r="X139" s="98" t="e">
        <f t="shared" si="585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96">SUM(E141:E143)</f>
        <v>0</v>
      </c>
      <c r="F140" s="242">
        <f t="shared" si="596"/>
        <v>90000</v>
      </c>
      <c r="G140" s="187" t="e">
        <f t="shared" si="590"/>
        <v>#DIV/0!</v>
      </c>
      <c r="H140" s="187" t="e">
        <f t="shared" si="591"/>
        <v>#DIV/0!</v>
      </c>
      <c r="I140" s="242">
        <f>SUM(I141:I143)</f>
        <v>0</v>
      </c>
      <c r="J140" s="242">
        <f t="shared" ref="J140:K140" si="597">SUM(J141:J144)</f>
        <v>4237.2</v>
      </c>
      <c r="K140" s="242">
        <f t="shared" si="597"/>
        <v>0</v>
      </c>
      <c r="L140" s="242">
        <f t="shared" ref="L140:O140" si="598">SUM(L141:L143)</f>
        <v>0</v>
      </c>
      <c r="M140" s="242">
        <f t="shared" si="598"/>
        <v>0</v>
      </c>
      <c r="N140" s="243">
        <f t="shared" si="598"/>
        <v>0</v>
      </c>
      <c r="O140" s="243">
        <f t="shared" si="598"/>
        <v>0</v>
      </c>
      <c r="P140" s="243">
        <f t="shared" ref="P140:R140" si="599">IF(BI140=0,SUM(Y140+AB140+AE140+AH140+AK140+AN140+AQ140+AT140+AW140+AZ140+BC140+BF140),BI140)</f>
        <v>0</v>
      </c>
      <c r="Q140" s="243">
        <f t="shared" si="599"/>
        <v>4237.2</v>
      </c>
      <c r="R140" s="243">
        <f t="shared" si="599"/>
        <v>0</v>
      </c>
      <c r="S140" s="242">
        <f t="shared" ref="S140:AE140" si="600">SUM(S141:S143)</f>
        <v>0</v>
      </c>
      <c r="T140" s="186">
        <f t="shared" si="600"/>
        <v>0</v>
      </c>
      <c r="U140" s="186">
        <f t="shared" si="600"/>
        <v>0</v>
      </c>
      <c r="V140" s="186" t="e">
        <f t="shared" si="600"/>
        <v>#DIV/0!</v>
      </c>
      <c r="W140" s="186" t="e">
        <f t="shared" si="600"/>
        <v>#DIV/0!</v>
      </c>
      <c r="X140" s="186" t="e">
        <f t="shared" si="600"/>
        <v>#DIV/0!</v>
      </c>
      <c r="Y140" s="242">
        <f t="shared" si="600"/>
        <v>0</v>
      </c>
      <c r="Z140" s="242">
        <f t="shared" si="600"/>
        <v>0</v>
      </c>
      <c r="AA140" s="242">
        <f t="shared" si="600"/>
        <v>0</v>
      </c>
      <c r="AB140" s="242">
        <f t="shared" si="600"/>
        <v>0</v>
      </c>
      <c r="AC140" s="242">
        <f t="shared" si="600"/>
        <v>0</v>
      </c>
      <c r="AD140" s="242">
        <f t="shared" si="600"/>
        <v>0</v>
      </c>
      <c r="AE140" s="242">
        <f t="shared" si="600"/>
        <v>0</v>
      </c>
      <c r="AF140" s="242">
        <f>SUM(AF141:AF144)</f>
        <v>4237.2</v>
      </c>
      <c r="AG140" s="242">
        <f t="shared" ref="AG140:BK140" si="601">SUM(AG141:AG143)</f>
        <v>0</v>
      </c>
      <c r="AH140" s="242">
        <f t="shared" si="601"/>
        <v>0</v>
      </c>
      <c r="AI140" s="242">
        <f t="shared" si="601"/>
        <v>0</v>
      </c>
      <c r="AJ140" s="242">
        <f t="shared" si="601"/>
        <v>0</v>
      </c>
      <c r="AK140" s="242">
        <f t="shared" si="601"/>
        <v>0</v>
      </c>
      <c r="AL140" s="242">
        <f t="shared" si="601"/>
        <v>0</v>
      </c>
      <c r="AM140" s="242">
        <f t="shared" si="601"/>
        <v>0</v>
      </c>
      <c r="AN140" s="242">
        <f t="shared" si="601"/>
        <v>0</v>
      </c>
      <c r="AO140" s="242">
        <f t="shared" si="601"/>
        <v>0</v>
      </c>
      <c r="AP140" s="242">
        <f t="shared" si="601"/>
        <v>0</v>
      </c>
      <c r="AQ140" s="242">
        <f t="shared" si="601"/>
        <v>0</v>
      </c>
      <c r="AR140" s="242">
        <f t="shared" si="601"/>
        <v>0</v>
      </c>
      <c r="AS140" s="242">
        <f t="shared" si="601"/>
        <v>0</v>
      </c>
      <c r="AT140" s="242">
        <f t="shared" si="601"/>
        <v>0</v>
      </c>
      <c r="AU140" s="242">
        <f t="shared" si="601"/>
        <v>0</v>
      </c>
      <c r="AV140" s="242">
        <f t="shared" si="601"/>
        <v>0</v>
      </c>
      <c r="AW140" s="242">
        <f t="shared" si="601"/>
        <v>0</v>
      </c>
      <c r="AX140" s="242">
        <f t="shared" si="601"/>
        <v>0</v>
      </c>
      <c r="AY140" s="242">
        <f t="shared" si="601"/>
        <v>0</v>
      </c>
      <c r="AZ140" s="242">
        <f t="shared" si="601"/>
        <v>0</v>
      </c>
      <c r="BA140" s="242">
        <f t="shared" si="601"/>
        <v>0</v>
      </c>
      <c r="BB140" s="242">
        <f t="shared" si="601"/>
        <v>0</v>
      </c>
      <c r="BC140" s="242">
        <f t="shared" si="601"/>
        <v>0</v>
      </c>
      <c r="BD140" s="242">
        <f t="shared" si="601"/>
        <v>0</v>
      </c>
      <c r="BE140" s="242">
        <f t="shared" si="601"/>
        <v>0</v>
      </c>
      <c r="BF140" s="242">
        <f t="shared" si="601"/>
        <v>0</v>
      </c>
      <c r="BG140" s="242">
        <f t="shared" si="601"/>
        <v>0</v>
      </c>
      <c r="BH140" s="242">
        <f t="shared" si="601"/>
        <v>0</v>
      </c>
      <c r="BI140" s="242">
        <f t="shared" si="601"/>
        <v>0</v>
      </c>
      <c r="BJ140" s="242">
        <f t="shared" si="601"/>
        <v>0</v>
      </c>
      <c r="BK140" s="242">
        <f t="shared" si="60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573</v>
      </c>
      <c r="E141" s="166"/>
      <c r="F141" s="147">
        <v>90000</v>
      </c>
      <c r="G141" s="94" t="e">
        <f t="shared" si="590"/>
        <v>#DIV/0!</v>
      </c>
      <c r="H141" s="94" t="e">
        <f t="shared" si="591"/>
        <v>#DIV/0!</v>
      </c>
      <c r="I141" s="96"/>
      <c r="J141" s="96"/>
      <c r="K141" s="96"/>
      <c r="L141" s="202"/>
      <c r="M141" s="97">
        <f t="shared" ref="M141:O141" si="602">Y141+AB141+AE141+AH141+AK141+AN141+AQ141+AT141+AW141+AZ141+BC141+BF141</f>
        <v>0</v>
      </c>
      <c r="N141" s="97">
        <f t="shared" si="602"/>
        <v>0</v>
      </c>
      <c r="O141" s="97">
        <f t="shared" si="602"/>
        <v>0</v>
      </c>
      <c r="P141" s="97">
        <f t="shared" ref="P141:R141" si="603">IF(BI141=0,SUM(Y141+AB141+AE141+AH141+AK141+AN141+AQ141+AT141+AW141+AZ141+BC141+BF141),BI141)</f>
        <v>0</v>
      </c>
      <c r="Q141" s="97">
        <f t="shared" si="603"/>
        <v>0</v>
      </c>
      <c r="R141" s="97">
        <f t="shared" si="603"/>
        <v>0</v>
      </c>
      <c r="S141" s="97">
        <f t="shared" ref="S141:T141" si="604">I141-M141</f>
        <v>0</v>
      </c>
      <c r="T141" s="97">
        <f t="shared" si="604"/>
        <v>0</v>
      </c>
      <c r="U141" s="97">
        <f t="shared" ref="U141:U143" si="605">L141-O141</f>
        <v>0</v>
      </c>
      <c r="V141" s="98" t="e">
        <f t="shared" ref="V141:W141" si="606">M141/I141</f>
        <v>#DIV/0!</v>
      </c>
      <c r="W141" s="98" t="e">
        <f t="shared" si="606"/>
        <v>#DIV/0!</v>
      </c>
      <c r="X141" s="98" t="e">
        <f t="shared" ref="X141:X143" si="60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90"/>
        <v>#DIV/0!</v>
      </c>
      <c r="H142" s="94" t="e">
        <f t="shared" si="591"/>
        <v>#DIV/0!</v>
      </c>
      <c r="I142" s="202"/>
      <c r="J142" s="96"/>
      <c r="K142" s="96"/>
      <c r="L142" s="202"/>
      <c r="M142" s="97">
        <f t="shared" ref="M142:O142" si="608">Y142+AB142+AE142+AH142+AK142+AN142+AQ142+AT142+AW142+AZ142+BC142+BF142</f>
        <v>0</v>
      </c>
      <c r="N142" s="97">
        <f t="shared" si="608"/>
        <v>0</v>
      </c>
      <c r="O142" s="97">
        <f t="shared" si="608"/>
        <v>0</v>
      </c>
      <c r="P142" s="97">
        <f t="shared" ref="P142:R142" si="609">IF(BI142=0,SUM(Y142+AB142+AE142+AH142+AK142+AN142+AQ142+AT142+AW142+AZ142+BC142+BF142),BI142)</f>
        <v>0</v>
      </c>
      <c r="Q142" s="97">
        <f t="shared" si="609"/>
        <v>0</v>
      </c>
      <c r="R142" s="97">
        <f t="shared" si="609"/>
        <v>0</v>
      </c>
      <c r="S142" s="97">
        <f t="shared" ref="S142:T142" si="610">I142-M142</f>
        <v>0</v>
      </c>
      <c r="T142" s="97">
        <f t="shared" si="610"/>
        <v>0</v>
      </c>
      <c r="U142" s="97">
        <f t="shared" si="605"/>
        <v>0</v>
      </c>
      <c r="V142" s="98" t="e">
        <f t="shared" ref="V142:W142" si="611">M142/I142</f>
        <v>#DIV/0!</v>
      </c>
      <c r="W142" s="98" t="e">
        <f t="shared" si="611"/>
        <v>#DIV/0!</v>
      </c>
      <c r="X142" s="98" t="e">
        <f t="shared" si="60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90"/>
        <v>#DIV/0!</v>
      </c>
      <c r="H143" s="94" t="e">
        <f t="shared" si="591"/>
        <v>#DIV/0!</v>
      </c>
      <c r="I143" s="96"/>
      <c r="J143" s="96"/>
      <c r="K143" s="96"/>
      <c r="L143" s="244"/>
      <c r="M143" s="97">
        <f t="shared" ref="M143:O143" si="612">Y143+AB143+AE143+AH143+AK143+AN143+AQ143+AT143+AW143+AZ143+BC143+BF143</f>
        <v>0</v>
      </c>
      <c r="N143" s="97">
        <f t="shared" si="612"/>
        <v>0</v>
      </c>
      <c r="O143" s="97">
        <f t="shared" si="612"/>
        <v>0</v>
      </c>
      <c r="P143" s="97">
        <f t="shared" ref="P143:R143" si="613">IF(BI143=0,SUM(Y143+AB143+AE143+AH143+AK143+AN143+AQ143+AT143+AW143+AZ143+BC143+BF143),BI143)</f>
        <v>0</v>
      </c>
      <c r="Q143" s="97">
        <f t="shared" si="613"/>
        <v>0</v>
      </c>
      <c r="R143" s="97">
        <f t="shared" si="613"/>
        <v>0</v>
      </c>
      <c r="S143" s="97">
        <f t="shared" ref="S143:T143" si="614">I143-M143</f>
        <v>0</v>
      </c>
      <c r="T143" s="97">
        <f t="shared" si="614"/>
        <v>0</v>
      </c>
      <c r="U143" s="97">
        <f t="shared" si="605"/>
        <v>0</v>
      </c>
      <c r="V143" s="98" t="e">
        <f t="shared" ref="V143:W143" si="615">M143/I143</f>
        <v>#DIV/0!</v>
      </c>
      <c r="W143" s="98" t="e">
        <f t="shared" si="615"/>
        <v>#DIV/0!</v>
      </c>
      <c r="X143" s="98" t="e">
        <f t="shared" si="60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/>
      <c r="O144" s="97"/>
      <c r="P144" s="97">
        <f t="shared" ref="P144:P169" si="616">IF(BI144=0,SUM(Y144+AB144+AE144+AH144+AK144+AN144+AQ144+AT144+AW144+AZ144+BC144+BF144),BI144)</f>
        <v>0</v>
      </c>
      <c r="Q144" s="97"/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617">SUM(E146:E149)</f>
        <v>0</v>
      </c>
      <c r="F145" s="186">
        <f t="shared" si="617"/>
        <v>0</v>
      </c>
      <c r="G145" s="223" t="e">
        <f t="shared" ref="G145:G147" si="618">I145/E145</f>
        <v>#DIV/0!</v>
      </c>
      <c r="H145" s="187" t="e">
        <f t="shared" ref="H145:H147" si="619">M145/E145</f>
        <v>#DIV/0!</v>
      </c>
      <c r="I145" s="186">
        <f t="shared" ref="I145:O145" si="620">SUM(I146:I149)</f>
        <v>0</v>
      </c>
      <c r="J145" s="186">
        <f t="shared" si="620"/>
        <v>500</v>
      </c>
      <c r="K145" s="186">
        <f t="shared" si="620"/>
        <v>0</v>
      </c>
      <c r="L145" s="186">
        <f t="shared" si="620"/>
        <v>0</v>
      </c>
      <c r="M145" s="186">
        <f t="shared" si="620"/>
        <v>0</v>
      </c>
      <c r="N145" s="186">
        <f t="shared" si="620"/>
        <v>0</v>
      </c>
      <c r="O145" s="186">
        <f t="shared" si="620"/>
        <v>0</v>
      </c>
      <c r="P145" s="245">
        <f t="shared" si="616"/>
        <v>0</v>
      </c>
      <c r="Q145" s="245">
        <f t="shared" ref="Q145:R145" si="621">IF(BJ145=0,SUM(Z145+AC145+AF145+AI145+AL145+AO145+AR145+AU145+AX145+BA145+BD145+BG145),BJ145)</f>
        <v>500</v>
      </c>
      <c r="R145" s="245">
        <f t="shared" si="621"/>
        <v>0</v>
      </c>
      <c r="S145" s="186">
        <f t="shared" ref="S145:U145" si="622">SUM(S146:S149)</f>
        <v>0</v>
      </c>
      <c r="T145" s="186">
        <f t="shared" si="622"/>
        <v>0</v>
      </c>
      <c r="U145" s="186">
        <f t="shared" si="622"/>
        <v>0</v>
      </c>
      <c r="V145" s="189" t="e">
        <f t="shared" ref="V145:W145" si="623">M145/I145</f>
        <v>#DIV/0!</v>
      </c>
      <c r="W145" s="189">
        <f t="shared" si="623"/>
        <v>0</v>
      </c>
      <c r="X145" s="189" t="e">
        <f t="shared" ref="X145:X147" si="624">O145/L145</f>
        <v>#DIV/0!</v>
      </c>
      <c r="Y145" s="186">
        <f t="shared" ref="Y145:BK145" si="625">SUM(Y146:Y149)</f>
        <v>0</v>
      </c>
      <c r="Z145" s="186">
        <f t="shared" si="625"/>
        <v>500</v>
      </c>
      <c r="AA145" s="186">
        <f t="shared" si="625"/>
        <v>0</v>
      </c>
      <c r="AB145" s="186">
        <f t="shared" si="625"/>
        <v>0</v>
      </c>
      <c r="AC145" s="186">
        <f t="shared" si="625"/>
        <v>0</v>
      </c>
      <c r="AD145" s="186">
        <f t="shared" si="625"/>
        <v>0</v>
      </c>
      <c r="AE145" s="186">
        <f t="shared" si="625"/>
        <v>0</v>
      </c>
      <c r="AF145" s="186">
        <f t="shared" si="625"/>
        <v>0</v>
      </c>
      <c r="AG145" s="186">
        <f t="shared" si="625"/>
        <v>0</v>
      </c>
      <c r="AH145" s="186">
        <f t="shared" si="625"/>
        <v>0</v>
      </c>
      <c r="AI145" s="186">
        <f t="shared" si="625"/>
        <v>0</v>
      </c>
      <c r="AJ145" s="186">
        <f t="shared" si="625"/>
        <v>0</v>
      </c>
      <c r="AK145" s="186">
        <f t="shared" si="625"/>
        <v>0</v>
      </c>
      <c r="AL145" s="186">
        <f t="shared" si="625"/>
        <v>0</v>
      </c>
      <c r="AM145" s="186">
        <f t="shared" si="625"/>
        <v>0</v>
      </c>
      <c r="AN145" s="186">
        <f t="shared" si="625"/>
        <v>0</v>
      </c>
      <c r="AO145" s="186">
        <f t="shared" si="625"/>
        <v>0</v>
      </c>
      <c r="AP145" s="186">
        <f t="shared" si="625"/>
        <v>0</v>
      </c>
      <c r="AQ145" s="186">
        <f t="shared" si="625"/>
        <v>0</v>
      </c>
      <c r="AR145" s="186">
        <f t="shared" si="625"/>
        <v>0</v>
      </c>
      <c r="AS145" s="186">
        <f t="shared" si="625"/>
        <v>0</v>
      </c>
      <c r="AT145" s="186">
        <f t="shared" si="625"/>
        <v>0</v>
      </c>
      <c r="AU145" s="186">
        <f t="shared" si="625"/>
        <v>0</v>
      </c>
      <c r="AV145" s="186">
        <f t="shared" si="625"/>
        <v>0</v>
      </c>
      <c r="AW145" s="186">
        <f t="shared" si="625"/>
        <v>0</v>
      </c>
      <c r="AX145" s="186">
        <f t="shared" si="625"/>
        <v>0</v>
      </c>
      <c r="AY145" s="186">
        <f t="shared" si="625"/>
        <v>0</v>
      </c>
      <c r="AZ145" s="186">
        <f t="shared" si="625"/>
        <v>0</v>
      </c>
      <c r="BA145" s="186">
        <f t="shared" si="625"/>
        <v>0</v>
      </c>
      <c r="BB145" s="186">
        <f t="shared" si="625"/>
        <v>0</v>
      </c>
      <c r="BC145" s="186">
        <f t="shared" si="625"/>
        <v>0</v>
      </c>
      <c r="BD145" s="186">
        <f t="shared" si="625"/>
        <v>0</v>
      </c>
      <c r="BE145" s="186">
        <f t="shared" si="625"/>
        <v>0</v>
      </c>
      <c r="BF145" s="186">
        <f t="shared" si="625"/>
        <v>0</v>
      </c>
      <c r="BG145" s="186">
        <f t="shared" si="625"/>
        <v>0</v>
      </c>
      <c r="BH145" s="186">
        <f t="shared" si="625"/>
        <v>0</v>
      </c>
      <c r="BI145" s="186">
        <f t="shared" si="625"/>
        <v>0</v>
      </c>
      <c r="BJ145" s="186">
        <f t="shared" si="625"/>
        <v>0</v>
      </c>
      <c r="BK145" s="186">
        <f t="shared" si="625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618"/>
        <v>#DIV/0!</v>
      </c>
      <c r="H146" s="94" t="e">
        <f t="shared" si="619"/>
        <v>#DIV/0!</v>
      </c>
      <c r="I146" s="142"/>
      <c r="J146" s="96"/>
      <c r="K146" s="96"/>
      <c r="L146" s="202"/>
      <c r="M146" s="97">
        <f t="shared" ref="M146:O146" si="626">Y146+AB146+AE146+AH146+AK146+AN146+AQ146+AT146+AW146+AZ146+BC146+BF146</f>
        <v>0</v>
      </c>
      <c r="N146" s="97">
        <f t="shared" si="626"/>
        <v>0</v>
      </c>
      <c r="O146" s="97">
        <f t="shared" si="626"/>
        <v>0</v>
      </c>
      <c r="P146" s="97">
        <f t="shared" si="616"/>
        <v>0</v>
      </c>
      <c r="Q146" s="97">
        <f t="shared" ref="Q146:R146" si="627">IF(BJ146=0,SUM(Z146+AC146+AF146+AI146+AL146+AO146+AR146+AU146+AX146+BA146+BD146+BG146),BJ146)</f>
        <v>0</v>
      </c>
      <c r="R146" s="97">
        <f t="shared" si="627"/>
        <v>0</v>
      </c>
      <c r="S146" s="97">
        <f t="shared" ref="S146:T146" si="628">I146-M146</f>
        <v>0</v>
      </c>
      <c r="T146" s="97">
        <f t="shared" si="628"/>
        <v>0</v>
      </c>
      <c r="U146" s="97">
        <f t="shared" ref="U146:U147" si="629">L146-O146</f>
        <v>0</v>
      </c>
      <c r="V146" s="98" t="e">
        <f t="shared" ref="V146:W146" si="630">M146/I146</f>
        <v>#DIV/0!</v>
      </c>
      <c r="W146" s="98" t="e">
        <f t="shared" si="630"/>
        <v>#DIV/0!</v>
      </c>
      <c r="X146" s="98" t="e">
        <f t="shared" si="624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618"/>
        <v>#DIV/0!</v>
      </c>
      <c r="H147" s="94" t="e">
        <f t="shared" si="619"/>
        <v>#DIV/0!</v>
      </c>
      <c r="I147" s="119"/>
      <c r="J147" s="96"/>
      <c r="K147" s="96"/>
      <c r="L147" s="202"/>
      <c r="M147" s="97">
        <f t="shared" ref="M147:O147" si="631">Y147+AB147+AE147+AH147+AK147+AN147+AQ147+AT147+AW147+AZ147+BC147+BF147</f>
        <v>0</v>
      </c>
      <c r="N147" s="97">
        <f t="shared" si="631"/>
        <v>0</v>
      </c>
      <c r="O147" s="97">
        <f t="shared" si="631"/>
        <v>0</v>
      </c>
      <c r="P147" s="97">
        <f t="shared" si="616"/>
        <v>0</v>
      </c>
      <c r="Q147" s="97">
        <f t="shared" ref="Q147:R147" si="632">IF(BJ147=0,SUM(Z147+AC147+AF147+AI147+AL147+AO147+AR147+AU147+AX147+BA147+BD147+BG147),BJ147)</f>
        <v>0</v>
      </c>
      <c r="R147" s="97">
        <f t="shared" si="632"/>
        <v>0</v>
      </c>
      <c r="S147" s="97">
        <f t="shared" ref="S147:T147" si="633">I147-M147</f>
        <v>0</v>
      </c>
      <c r="T147" s="97">
        <f t="shared" si="633"/>
        <v>0</v>
      </c>
      <c r="U147" s="97">
        <f t="shared" si="629"/>
        <v>0</v>
      </c>
      <c r="V147" s="98" t="e">
        <f t="shared" ref="V147:W147" si="634">M147/I147</f>
        <v>#DIV/0!</v>
      </c>
      <c r="W147" s="98" t="e">
        <f t="shared" si="634"/>
        <v>#DIV/0!</v>
      </c>
      <c r="X147" s="98" t="e">
        <f t="shared" si="624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/>
      <c r="O148" s="97"/>
      <c r="P148" s="97">
        <f t="shared" si="616"/>
        <v>0</v>
      </c>
      <c r="Q148" s="97"/>
      <c r="R148" s="97"/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35">I149/E149</f>
        <v>#DIV/0!</v>
      </c>
      <c r="H149" s="94" t="e">
        <f t="shared" ref="H149:H151" si="636">M149/E149</f>
        <v>#DIV/0!</v>
      </c>
      <c r="I149" s="96"/>
      <c r="J149" s="96"/>
      <c r="K149" s="96"/>
      <c r="L149" s="96"/>
      <c r="M149" s="97">
        <f t="shared" ref="M149:O149" si="637">Y149+AB149+AE149+AH149+AK149+AN149+AQ149+AT149+AW149+AZ149+BC149+BF149</f>
        <v>0</v>
      </c>
      <c r="N149" s="97">
        <f t="shared" si="637"/>
        <v>0</v>
      </c>
      <c r="O149" s="97">
        <f t="shared" si="637"/>
        <v>0</v>
      </c>
      <c r="P149" s="97">
        <f t="shared" si="616"/>
        <v>0</v>
      </c>
      <c r="Q149" s="97">
        <f t="shared" ref="Q149:R149" si="638">IF(BJ149=0,SUM(Z149+AC149+AF149+AI149+AL149+AO149+AR149+AU149+AX149+BA149+BD149+BG149),BJ149)</f>
        <v>0</v>
      </c>
      <c r="R149" s="97">
        <f t="shared" si="638"/>
        <v>0</v>
      </c>
      <c r="S149" s="97">
        <f t="shared" ref="S149:T149" si="639">I149-M149</f>
        <v>0</v>
      </c>
      <c r="T149" s="97">
        <f t="shared" si="639"/>
        <v>0</v>
      </c>
      <c r="U149" s="97">
        <f>L149-O149</f>
        <v>0</v>
      </c>
      <c r="V149" s="98" t="e">
        <f t="shared" ref="V149:W149" si="640">M149/I149</f>
        <v>#DIV/0!</v>
      </c>
      <c r="W149" s="98" t="e">
        <f t="shared" si="640"/>
        <v>#DIV/0!</v>
      </c>
      <c r="X149" s="98" t="e">
        <f t="shared" ref="X149:X156" si="641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42">SUM(E151:E153)</f>
        <v>0</v>
      </c>
      <c r="F150" s="249">
        <f t="shared" si="642"/>
        <v>0</v>
      </c>
      <c r="G150" s="223" t="e">
        <f t="shared" si="635"/>
        <v>#DIV/0!</v>
      </c>
      <c r="H150" s="187" t="e">
        <f t="shared" si="636"/>
        <v>#DIV/0!</v>
      </c>
      <c r="I150" s="249">
        <f t="shared" ref="I150:O150" si="643">SUM(I151:I153)</f>
        <v>0</v>
      </c>
      <c r="J150" s="249">
        <f t="shared" si="643"/>
        <v>293.62</v>
      </c>
      <c r="K150" s="249">
        <f t="shared" si="643"/>
        <v>0</v>
      </c>
      <c r="L150" s="249">
        <f t="shared" si="643"/>
        <v>0</v>
      </c>
      <c r="M150" s="249">
        <f t="shared" si="643"/>
        <v>0</v>
      </c>
      <c r="N150" s="249">
        <f t="shared" si="643"/>
        <v>0</v>
      </c>
      <c r="O150" s="249">
        <f t="shared" si="643"/>
        <v>0</v>
      </c>
      <c r="P150" s="238">
        <f t="shared" si="616"/>
        <v>0</v>
      </c>
      <c r="Q150" s="238">
        <f t="shared" ref="Q150:R150" si="644">IF(BJ150=0,SUM(Z150+AC150+AF150+AI150+AL150+AO150+AR150+AU150+AX150+BA150+BD150+BG150),BJ150)</f>
        <v>0</v>
      </c>
      <c r="R150" s="238">
        <f t="shared" si="644"/>
        <v>0</v>
      </c>
      <c r="S150" s="249">
        <f t="shared" ref="S150:U150" si="645">SUM(S151:S153)</f>
        <v>0</v>
      </c>
      <c r="T150" s="249">
        <f t="shared" si="645"/>
        <v>293.62</v>
      </c>
      <c r="U150" s="249">
        <f t="shared" si="645"/>
        <v>0</v>
      </c>
      <c r="V150" s="250" t="e">
        <f t="shared" ref="V150:W150" si="646">M150/I150</f>
        <v>#DIV/0!</v>
      </c>
      <c r="W150" s="250">
        <f t="shared" si="646"/>
        <v>0</v>
      </c>
      <c r="X150" s="250" t="e">
        <f t="shared" si="641"/>
        <v>#DIV/0!</v>
      </c>
      <c r="Y150" s="249">
        <f t="shared" ref="Y150:BK150" si="647">SUM(Y151:Y153)</f>
        <v>0</v>
      </c>
      <c r="Z150" s="249">
        <f t="shared" si="647"/>
        <v>0</v>
      </c>
      <c r="AA150" s="249">
        <f t="shared" si="647"/>
        <v>0</v>
      </c>
      <c r="AB150" s="249">
        <f t="shared" si="647"/>
        <v>0</v>
      </c>
      <c r="AC150" s="249">
        <f t="shared" si="647"/>
        <v>0</v>
      </c>
      <c r="AD150" s="249">
        <f t="shared" si="647"/>
        <v>0</v>
      </c>
      <c r="AE150" s="249">
        <f t="shared" si="647"/>
        <v>0</v>
      </c>
      <c r="AF150" s="249">
        <f t="shared" si="647"/>
        <v>0</v>
      </c>
      <c r="AG150" s="249">
        <f t="shared" si="647"/>
        <v>0</v>
      </c>
      <c r="AH150" s="249">
        <f t="shared" si="647"/>
        <v>0</v>
      </c>
      <c r="AI150" s="249">
        <f t="shared" si="647"/>
        <v>0</v>
      </c>
      <c r="AJ150" s="249">
        <f t="shared" si="647"/>
        <v>0</v>
      </c>
      <c r="AK150" s="249">
        <f t="shared" si="647"/>
        <v>0</v>
      </c>
      <c r="AL150" s="249">
        <f t="shared" si="647"/>
        <v>0</v>
      </c>
      <c r="AM150" s="249">
        <f t="shared" si="647"/>
        <v>0</v>
      </c>
      <c r="AN150" s="249">
        <f t="shared" si="647"/>
        <v>0</v>
      </c>
      <c r="AO150" s="249">
        <f t="shared" si="647"/>
        <v>0</v>
      </c>
      <c r="AP150" s="249">
        <f t="shared" si="647"/>
        <v>0</v>
      </c>
      <c r="AQ150" s="249">
        <f t="shared" si="647"/>
        <v>0</v>
      </c>
      <c r="AR150" s="249">
        <f t="shared" si="647"/>
        <v>0</v>
      </c>
      <c r="AS150" s="249">
        <f t="shared" si="647"/>
        <v>0</v>
      </c>
      <c r="AT150" s="249">
        <f t="shared" si="647"/>
        <v>0</v>
      </c>
      <c r="AU150" s="249">
        <f t="shared" si="647"/>
        <v>0</v>
      </c>
      <c r="AV150" s="249">
        <f t="shared" si="647"/>
        <v>0</v>
      </c>
      <c r="AW150" s="249">
        <f t="shared" si="647"/>
        <v>0</v>
      </c>
      <c r="AX150" s="249">
        <f t="shared" si="647"/>
        <v>0</v>
      </c>
      <c r="AY150" s="249">
        <f t="shared" si="647"/>
        <v>0</v>
      </c>
      <c r="AZ150" s="249">
        <f t="shared" si="647"/>
        <v>0</v>
      </c>
      <c r="BA150" s="249">
        <f t="shared" si="647"/>
        <v>0</v>
      </c>
      <c r="BB150" s="249">
        <f t="shared" si="647"/>
        <v>0</v>
      </c>
      <c r="BC150" s="249">
        <f t="shared" si="647"/>
        <v>0</v>
      </c>
      <c r="BD150" s="249">
        <f t="shared" si="647"/>
        <v>0</v>
      </c>
      <c r="BE150" s="249">
        <f t="shared" si="647"/>
        <v>0</v>
      </c>
      <c r="BF150" s="249">
        <f t="shared" si="647"/>
        <v>0</v>
      </c>
      <c r="BG150" s="249">
        <f t="shared" si="647"/>
        <v>0</v>
      </c>
      <c r="BH150" s="249">
        <f t="shared" si="647"/>
        <v>0</v>
      </c>
      <c r="BI150" s="249">
        <f t="shared" si="647"/>
        <v>0</v>
      </c>
      <c r="BJ150" s="249">
        <f t="shared" si="647"/>
        <v>0</v>
      </c>
      <c r="BK150" s="249">
        <f t="shared" si="647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35"/>
        <v>#DIV/0!</v>
      </c>
      <c r="H151" s="94" t="e">
        <f t="shared" si="636"/>
        <v>#DIV/0!</v>
      </c>
      <c r="I151" s="142"/>
      <c r="J151" s="131">
        <v>293.62</v>
      </c>
      <c r="K151" s="204"/>
      <c r="L151" s="202"/>
      <c r="M151" s="97">
        <f t="shared" ref="M151:O151" si="648">Y151+AB151+AE151+AH151+AK151+AN151+AQ151+AT151+AW151+AZ151+BC151+BF151</f>
        <v>0</v>
      </c>
      <c r="N151" s="97">
        <f t="shared" si="648"/>
        <v>0</v>
      </c>
      <c r="O151" s="97">
        <f t="shared" si="648"/>
        <v>0</v>
      </c>
      <c r="P151" s="97">
        <f t="shared" si="616"/>
        <v>0</v>
      </c>
      <c r="Q151" s="97">
        <f t="shared" ref="Q151:R151" si="649">IF(BJ151=0,SUM(Z151+AC151+AF151+AI151+AL151+AO151+AR151+AU151+AX151+BA151+BD151+BG151),BJ151)</f>
        <v>0</v>
      </c>
      <c r="R151" s="97">
        <f t="shared" si="649"/>
        <v>0</v>
      </c>
      <c r="S151" s="97">
        <f t="shared" ref="S151:T151" si="650">I151-M151</f>
        <v>0</v>
      </c>
      <c r="T151" s="97">
        <f t="shared" si="650"/>
        <v>293.62</v>
      </c>
      <c r="U151" s="97">
        <f t="shared" ref="U151:U153" si="651">L151-O151</f>
        <v>0</v>
      </c>
      <c r="V151" s="98" t="e">
        <f t="shared" ref="V151:W151" si="652">M151/I151</f>
        <v>#DIV/0!</v>
      </c>
      <c r="W151" s="98">
        <f t="shared" si="652"/>
        <v>0</v>
      </c>
      <c r="X151" s="98" t="e">
        <f t="shared" si="641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53">Y152+AB152+AE152+AH152+AK152+AN152+AQ152+AT152+AW152+AZ152+BC152+BF152</f>
        <v>0</v>
      </c>
      <c r="N152" s="97">
        <f t="shared" si="653"/>
        <v>0</v>
      </c>
      <c r="O152" s="97">
        <f t="shared" si="653"/>
        <v>0</v>
      </c>
      <c r="P152" s="97">
        <f t="shared" si="616"/>
        <v>0</v>
      </c>
      <c r="Q152" s="97">
        <f t="shared" ref="Q152:R152" si="654">IF(BJ152=0,SUM(Z152+AC152+AF152+AI152+AL152+AO152+AR152+AU152+AX152+BA152+BD152+BG152),BJ152)</f>
        <v>0</v>
      </c>
      <c r="R152" s="97">
        <f t="shared" si="654"/>
        <v>0</v>
      </c>
      <c r="S152" s="97">
        <f t="shared" ref="S152:T152" si="655">I152-M152</f>
        <v>0</v>
      </c>
      <c r="T152" s="97">
        <f t="shared" si="655"/>
        <v>0</v>
      </c>
      <c r="U152" s="97">
        <f t="shared" si="651"/>
        <v>0</v>
      </c>
      <c r="V152" s="98" t="e">
        <f t="shared" ref="V152:W152" si="656">M152/I152</f>
        <v>#DIV/0!</v>
      </c>
      <c r="W152" s="98" t="e">
        <f t="shared" si="656"/>
        <v>#DIV/0!</v>
      </c>
      <c r="X152" s="98" t="e">
        <f t="shared" si="641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57">I153/E153</f>
        <v>#DIV/0!</v>
      </c>
      <c r="H153" s="94" t="e">
        <f t="shared" ref="H153:H156" si="658">M153/E153</f>
        <v>#DIV/0!</v>
      </c>
      <c r="I153" s="96"/>
      <c r="J153" s="96"/>
      <c r="K153" s="96"/>
      <c r="L153" s="96"/>
      <c r="M153" s="97">
        <f t="shared" ref="M153:O153" si="659">Y153+AB153+AE153+AH153+AK153+AN153+AQ153+AT153+AW153+AZ153+BC153+BF153</f>
        <v>0</v>
      </c>
      <c r="N153" s="97">
        <f t="shared" si="659"/>
        <v>0</v>
      </c>
      <c r="O153" s="97">
        <f t="shared" si="659"/>
        <v>0</v>
      </c>
      <c r="P153" s="97">
        <f t="shared" si="616"/>
        <v>0</v>
      </c>
      <c r="Q153" s="97">
        <f t="shared" ref="Q153:R153" si="660">IF(BJ153=0,SUM(Z153+AC153+AF153+AI153+AL153+AO153+AR153+AU153+AX153+BA153+BD153+BG153),BJ153)</f>
        <v>0</v>
      </c>
      <c r="R153" s="97">
        <f t="shared" si="660"/>
        <v>0</v>
      </c>
      <c r="S153" s="97">
        <f t="shared" ref="S153:T153" si="661">I153-M153</f>
        <v>0</v>
      </c>
      <c r="T153" s="97">
        <f t="shared" si="661"/>
        <v>0</v>
      </c>
      <c r="U153" s="97">
        <f t="shared" si="651"/>
        <v>0</v>
      </c>
      <c r="V153" s="98" t="e">
        <f t="shared" ref="V153:W153" si="662">M153/I153</f>
        <v>#DIV/0!</v>
      </c>
      <c r="W153" s="98" t="e">
        <f t="shared" si="662"/>
        <v>#DIV/0!</v>
      </c>
      <c r="X153" s="98" t="e">
        <f t="shared" si="641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63">SUM(E155:E158)</f>
        <v>0</v>
      </c>
      <c r="F154" s="249">
        <f t="shared" si="663"/>
        <v>0</v>
      </c>
      <c r="G154" s="223" t="e">
        <f t="shared" si="657"/>
        <v>#DIV/0!</v>
      </c>
      <c r="H154" s="187" t="e">
        <f t="shared" si="658"/>
        <v>#DIV/0!</v>
      </c>
      <c r="I154" s="249">
        <f t="shared" ref="I154:O154" si="664">SUM(I155:I158)</f>
        <v>0</v>
      </c>
      <c r="J154" s="249">
        <f t="shared" si="664"/>
        <v>8700</v>
      </c>
      <c r="K154" s="249">
        <f t="shared" si="664"/>
        <v>0</v>
      </c>
      <c r="L154" s="249">
        <f t="shared" si="664"/>
        <v>0</v>
      </c>
      <c r="M154" s="249">
        <f t="shared" si="664"/>
        <v>0</v>
      </c>
      <c r="N154" s="249">
        <f t="shared" si="664"/>
        <v>0</v>
      </c>
      <c r="O154" s="249">
        <f t="shared" si="664"/>
        <v>0</v>
      </c>
      <c r="P154" s="238">
        <f t="shared" si="616"/>
        <v>0</v>
      </c>
      <c r="Q154" s="238">
        <f t="shared" ref="Q154:R154" si="665">IF(BJ154=0,SUM(Z154+AC154+AF154+AI154+AL154+AO154+AR154+AU154+AX154+BA154+BD154+BG154),BJ154)</f>
        <v>0</v>
      </c>
      <c r="R154" s="238">
        <f t="shared" si="665"/>
        <v>0</v>
      </c>
      <c r="S154" s="249">
        <f t="shared" ref="S154:U154" si="666">SUM(S155:S158)</f>
        <v>0</v>
      </c>
      <c r="T154" s="249">
        <f t="shared" si="666"/>
        <v>8700</v>
      </c>
      <c r="U154" s="249">
        <f t="shared" si="666"/>
        <v>0</v>
      </c>
      <c r="V154" s="250" t="e">
        <f t="shared" ref="V154:W154" si="667">M154/I154</f>
        <v>#DIV/0!</v>
      </c>
      <c r="W154" s="250">
        <f t="shared" si="667"/>
        <v>0</v>
      </c>
      <c r="X154" s="250" t="e">
        <f t="shared" si="641"/>
        <v>#DIV/0!</v>
      </c>
      <c r="Y154" s="249">
        <f t="shared" ref="Y154:BK154" si="668">SUM(Y155:Y158)</f>
        <v>0</v>
      </c>
      <c r="Z154" s="249">
        <f t="shared" si="668"/>
        <v>0</v>
      </c>
      <c r="AA154" s="249">
        <f t="shared" si="668"/>
        <v>0</v>
      </c>
      <c r="AB154" s="249">
        <f t="shared" si="668"/>
        <v>0</v>
      </c>
      <c r="AC154" s="249">
        <f t="shared" si="668"/>
        <v>0</v>
      </c>
      <c r="AD154" s="249">
        <f t="shared" si="668"/>
        <v>0</v>
      </c>
      <c r="AE154" s="249">
        <f t="shared" si="668"/>
        <v>0</v>
      </c>
      <c r="AF154" s="249">
        <f t="shared" si="668"/>
        <v>0</v>
      </c>
      <c r="AG154" s="249">
        <f t="shared" si="668"/>
        <v>0</v>
      </c>
      <c r="AH154" s="249">
        <f t="shared" si="668"/>
        <v>0</v>
      </c>
      <c r="AI154" s="249">
        <f t="shared" si="668"/>
        <v>0</v>
      </c>
      <c r="AJ154" s="249">
        <f t="shared" si="668"/>
        <v>0</v>
      </c>
      <c r="AK154" s="249">
        <f t="shared" si="668"/>
        <v>0</v>
      </c>
      <c r="AL154" s="249">
        <f t="shared" si="668"/>
        <v>0</v>
      </c>
      <c r="AM154" s="249">
        <f t="shared" si="668"/>
        <v>0</v>
      </c>
      <c r="AN154" s="249">
        <f t="shared" si="668"/>
        <v>0</v>
      </c>
      <c r="AO154" s="249">
        <f t="shared" si="668"/>
        <v>0</v>
      </c>
      <c r="AP154" s="249">
        <f t="shared" si="668"/>
        <v>0</v>
      </c>
      <c r="AQ154" s="249">
        <f t="shared" si="668"/>
        <v>0</v>
      </c>
      <c r="AR154" s="249">
        <f t="shared" si="668"/>
        <v>0</v>
      </c>
      <c r="AS154" s="249">
        <f t="shared" si="668"/>
        <v>0</v>
      </c>
      <c r="AT154" s="249">
        <f t="shared" si="668"/>
        <v>0</v>
      </c>
      <c r="AU154" s="249">
        <f t="shared" si="668"/>
        <v>0</v>
      </c>
      <c r="AV154" s="249">
        <f t="shared" si="668"/>
        <v>0</v>
      </c>
      <c r="AW154" s="249">
        <f t="shared" si="668"/>
        <v>0</v>
      </c>
      <c r="AX154" s="249">
        <f t="shared" si="668"/>
        <v>0</v>
      </c>
      <c r="AY154" s="249">
        <f t="shared" si="668"/>
        <v>0</v>
      </c>
      <c r="AZ154" s="249">
        <f t="shared" si="668"/>
        <v>0</v>
      </c>
      <c r="BA154" s="249">
        <f t="shared" si="668"/>
        <v>0</v>
      </c>
      <c r="BB154" s="249">
        <f t="shared" si="668"/>
        <v>0</v>
      </c>
      <c r="BC154" s="249">
        <f t="shared" si="668"/>
        <v>0</v>
      </c>
      <c r="BD154" s="249">
        <f t="shared" si="668"/>
        <v>0</v>
      </c>
      <c r="BE154" s="249">
        <f t="shared" si="668"/>
        <v>0</v>
      </c>
      <c r="BF154" s="249">
        <f t="shared" si="668"/>
        <v>0</v>
      </c>
      <c r="BG154" s="249">
        <f t="shared" si="668"/>
        <v>0</v>
      </c>
      <c r="BH154" s="249">
        <f t="shared" si="668"/>
        <v>0</v>
      </c>
      <c r="BI154" s="249">
        <f t="shared" si="668"/>
        <v>0</v>
      </c>
      <c r="BJ154" s="249">
        <f t="shared" si="668"/>
        <v>0</v>
      </c>
      <c r="BK154" s="249">
        <f t="shared" si="668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57"/>
        <v>#DIV/0!</v>
      </c>
      <c r="H155" s="94" t="e">
        <f t="shared" si="658"/>
        <v>#DIV/0!</v>
      </c>
      <c r="I155" s="96"/>
      <c r="J155" s="96"/>
      <c r="K155" s="96"/>
      <c r="L155" s="95"/>
      <c r="M155" s="97">
        <f t="shared" ref="M155:O155" si="669">Y155+AB155+AE155+AH155+AK155+AN155+AQ155+AT155+AW155+AZ155+BC155+BF155</f>
        <v>0</v>
      </c>
      <c r="N155" s="97">
        <f t="shared" si="669"/>
        <v>0</v>
      </c>
      <c r="O155" s="97">
        <f t="shared" si="669"/>
        <v>0</v>
      </c>
      <c r="P155" s="97">
        <f t="shared" si="616"/>
        <v>0</v>
      </c>
      <c r="Q155" s="97">
        <f t="shared" ref="Q155:R155" si="670">IF(BJ155=0,SUM(Z155+AC155+AF155+AI155+AL155+AO155+AR155+AU155+AX155+BA155+BD155+BG155),BJ155)</f>
        <v>0</v>
      </c>
      <c r="R155" s="97">
        <f t="shared" si="670"/>
        <v>0</v>
      </c>
      <c r="S155" s="97">
        <f t="shared" ref="S155:T155" si="671">I155-M155</f>
        <v>0</v>
      </c>
      <c r="T155" s="97">
        <f t="shared" si="671"/>
        <v>0</v>
      </c>
      <c r="U155" s="97">
        <f t="shared" ref="U155:U158" si="672">L155-O155</f>
        <v>0</v>
      </c>
      <c r="V155" s="98" t="e">
        <f t="shared" ref="V155:W155" si="673">M155/I155</f>
        <v>#DIV/0!</v>
      </c>
      <c r="W155" s="98" t="e">
        <f t="shared" si="673"/>
        <v>#DIV/0!</v>
      </c>
      <c r="X155" s="98" t="e">
        <f t="shared" si="641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57"/>
        <v>#DIV/0!</v>
      </c>
      <c r="H156" s="94" t="e">
        <f t="shared" si="658"/>
        <v>#DIV/0!</v>
      </c>
      <c r="I156" s="96"/>
      <c r="J156" s="167">
        <v>8700</v>
      </c>
      <c r="K156" s="117"/>
      <c r="L156" s="95"/>
      <c r="M156" s="97">
        <f t="shared" ref="M156:O156" si="674">Y156+AB156+AE156+AH156+AK156+AN156+AQ156+AT156+AW156+AZ156+BC156+BF156</f>
        <v>0</v>
      </c>
      <c r="N156" s="97">
        <f t="shared" si="674"/>
        <v>0</v>
      </c>
      <c r="O156" s="97">
        <f t="shared" si="674"/>
        <v>0</v>
      </c>
      <c r="P156" s="97">
        <f t="shared" si="616"/>
        <v>0</v>
      </c>
      <c r="Q156" s="97">
        <f t="shared" ref="Q156:R156" si="675">IF(BJ156=0,SUM(Z156+AC156+AF156+AI156+AL156+AO156+AR156+AU156+AX156+BA156+BD156+BG156),BJ156)</f>
        <v>0</v>
      </c>
      <c r="R156" s="97">
        <f t="shared" si="675"/>
        <v>0</v>
      </c>
      <c r="S156" s="97">
        <f t="shared" ref="S156:T156" si="676">I156-M156</f>
        <v>0</v>
      </c>
      <c r="T156" s="97">
        <f t="shared" si="676"/>
        <v>8700</v>
      </c>
      <c r="U156" s="97">
        <f t="shared" si="672"/>
        <v>0</v>
      </c>
      <c r="V156" s="98" t="e">
        <f t="shared" ref="V156:W156" si="677">M156/I156</f>
        <v>#DIV/0!</v>
      </c>
      <c r="W156" s="98">
        <f t="shared" si="677"/>
        <v>0</v>
      </c>
      <c r="X156" s="98" t="e">
        <f t="shared" si="641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78">Y157+AB157+AE157+AH157+AK157+AN157+AQ157+AT157+AW157+AZ157+BC157+BF157</f>
        <v>0</v>
      </c>
      <c r="N157" s="97">
        <f t="shared" si="678"/>
        <v>0</v>
      </c>
      <c r="O157" s="97">
        <f t="shared" si="678"/>
        <v>0</v>
      </c>
      <c r="P157" s="97">
        <f t="shared" si="616"/>
        <v>0</v>
      </c>
      <c r="Q157" s="97">
        <f t="shared" ref="Q157:R157" si="679">IF(BJ157=0,SUM(Z157+AC157+AF157+AI157+AL157+AO157+AR157+AU157+AX157+BA157+BD157+BG157),BJ157)</f>
        <v>0</v>
      </c>
      <c r="R157" s="97">
        <f t="shared" si="679"/>
        <v>0</v>
      </c>
      <c r="S157" s="97">
        <f t="shared" ref="S157:T157" si="680">I157-M157</f>
        <v>0</v>
      </c>
      <c r="T157" s="97">
        <f t="shared" si="680"/>
        <v>0</v>
      </c>
      <c r="U157" s="97">
        <f t="shared" si="672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81">I158/E158</f>
        <v>#DIV/0!</v>
      </c>
      <c r="H158" s="94" t="e">
        <f t="shared" ref="H158:H178" si="682">M158/E158</f>
        <v>#DIV/0!</v>
      </c>
      <c r="I158" s="202"/>
      <c r="J158" s="204"/>
      <c r="K158" s="204"/>
      <c r="L158" s="202"/>
      <c r="M158" s="97">
        <f t="shared" ref="M158:N158" si="683">Y158+AB158+AE158+AH158+AK158+AN158+AQ158+AT158+AW158+AZ158+BC158+BF158</f>
        <v>0</v>
      </c>
      <c r="N158" s="97">
        <f t="shared" si="683"/>
        <v>0</v>
      </c>
      <c r="O158" s="97"/>
      <c r="P158" s="97">
        <f t="shared" si="616"/>
        <v>0</v>
      </c>
      <c r="Q158" s="97">
        <f t="shared" ref="Q158:Q169" si="684">IF(BJ158=0,SUM(Z158+AC158+AF158+AI158+AL158+AO158+AR158+AU158+AX158+BA158+BD158+BG158),BJ158)</f>
        <v>0</v>
      </c>
      <c r="R158" s="97"/>
      <c r="S158" s="97">
        <f t="shared" ref="S158:T158" si="685">I158-M158</f>
        <v>0</v>
      </c>
      <c r="T158" s="97">
        <f t="shared" si="685"/>
        <v>0</v>
      </c>
      <c r="U158" s="97">
        <f t="shared" si="672"/>
        <v>0</v>
      </c>
      <c r="V158" s="98" t="e">
        <f t="shared" ref="V158:W158" si="686">M158/I158</f>
        <v>#DIV/0!</v>
      </c>
      <c r="W158" s="98" t="e">
        <f t="shared" si="686"/>
        <v>#DIV/0!</v>
      </c>
      <c r="X158" s="98" t="e">
        <f t="shared" ref="X158:X169" si="687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88">E160+E168+E183</f>
        <v>121389.6</v>
      </c>
      <c r="F159" s="87">
        <f t="shared" si="688"/>
        <v>36000</v>
      </c>
      <c r="G159" s="107">
        <f t="shared" si="681"/>
        <v>1.2356907016746081E-2</v>
      </c>
      <c r="H159" s="107">
        <f t="shared" si="682"/>
        <v>0</v>
      </c>
      <c r="I159" s="87">
        <f t="shared" ref="I159:O159" si="689">I160+I168+I183</f>
        <v>1500</v>
      </c>
      <c r="J159" s="87">
        <f t="shared" si="689"/>
        <v>984.93000000000006</v>
      </c>
      <c r="K159" s="87">
        <f t="shared" si="689"/>
        <v>0</v>
      </c>
      <c r="L159" s="87">
        <f t="shared" si="689"/>
        <v>0</v>
      </c>
      <c r="M159" s="87">
        <f t="shared" si="689"/>
        <v>0</v>
      </c>
      <c r="N159" s="87">
        <f t="shared" si="689"/>
        <v>0</v>
      </c>
      <c r="O159" s="87">
        <f t="shared" si="689"/>
        <v>0</v>
      </c>
      <c r="P159" s="87">
        <f t="shared" si="616"/>
        <v>0</v>
      </c>
      <c r="Q159" s="87">
        <f t="shared" si="684"/>
        <v>250</v>
      </c>
      <c r="R159" s="87">
        <f t="shared" ref="R159:R169" si="690">IF(BK159=0,SUM(AA159+AD159+AG159+AJ159+AM159+AP159+AS159+AV159+AY159+BB159+BE159+BH159),BK159)</f>
        <v>0</v>
      </c>
      <c r="S159" s="87">
        <f t="shared" ref="S159:U159" si="691">S160+S168+S183</f>
        <v>1500</v>
      </c>
      <c r="T159" s="87">
        <f t="shared" si="691"/>
        <v>734.93000000000006</v>
      </c>
      <c r="U159" s="87">
        <f t="shared" si="691"/>
        <v>0</v>
      </c>
      <c r="V159" s="88">
        <f t="shared" ref="V159:W159" si="692">M159/I159</f>
        <v>0</v>
      </c>
      <c r="W159" s="88">
        <f t="shared" si="692"/>
        <v>0</v>
      </c>
      <c r="X159" s="88" t="e">
        <f t="shared" si="687"/>
        <v>#DIV/0!</v>
      </c>
      <c r="Y159" s="87">
        <f t="shared" ref="Y159:BK159" si="693">Y160+Y168+Y183</f>
        <v>0</v>
      </c>
      <c r="Z159" s="87">
        <f t="shared" si="693"/>
        <v>250</v>
      </c>
      <c r="AA159" s="87">
        <f t="shared" si="693"/>
        <v>0</v>
      </c>
      <c r="AB159" s="87">
        <f t="shared" si="693"/>
        <v>0</v>
      </c>
      <c r="AC159" s="87">
        <f t="shared" si="693"/>
        <v>0</v>
      </c>
      <c r="AD159" s="87">
        <f t="shared" si="693"/>
        <v>0</v>
      </c>
      <c r="AE159" s="87">
        <f t="shared" si="693"/>
        <v>0</v>
      </c>
      <c r="AF159" s="87">
        <f t="shared" si="693"/>
        <v>0</v>
      </c>
      <c r="AG159" s="87">
        <f t="shared" si="693"/>
        <v>0</v>
      </c>
      <c r="AH159" s="87">
        <f t="shared" si="693"/>
        <v>0</v>
      </c>
      <c r="AI159" s="87">
        <f t="shared" si="693"/>
        <v>0</v>
      </c>
      <c r="AJ159" s="87">
        <f t="shared" si="693"/>
        <v>0</v>
      </c>
      <c r="AK159" s="87">
        <f t="shared" si="693"/>
        <v>0</v>
      </c>
      <c r="AL159" s="87">
        <f t="shared" si="693"/>
        <v>0</v>
      </c>
      <c r="AM159" s="87">
        <f t="shared" si="693"/>
        <v>0</v>
      </c>
      <c r="AN159" s="87">
        <f t="shared" si="693"/>
        <v>0</v>
      </c>
      <c r="AO159" s="87">
        <f t="shared" si="693"/>
        <v>0</v>
      </c>
      <c r="AP159" s="87">
        <f t="shared" si="693"/>
        <v>0</v>
      </c>
      <c r="AQ159" s="87">
        <f t="shared" si="693"/>
        <v>0</v>
      </c>
      <c r="AR159" s="87">
        <f t="shared" si="693"/>
        <v>0</v>
      </c>
      <c r="AS159" s="87">
        <f t="shared" si="693"/>
        <v>0</v>
      </c>
      <c r="AT159" s="87">
        <f t="shared" si="693"/>
        <v>0</v>
      </c>
      <c r="AU159" s="87">
        <f t="shared" si="693"/>
        <v>0</v>
      </c>
      <c r="AV159" s="87">
        <f t="shared" si="693"/>
        <v>0</v>
      </c>
      <c r="AW159" s="87">
        <f t="shared" si="693"/>
        <v>0</v>
      </c>
      <c r="AX159" s="87">
        <f t="shared" si="693"/>
        <v>0</v>
      </c>
      <c r="AY159" s="87">
        <f t="shared" si="693"/>
        <v>0</v>
      </c>
      <c r="AZ159" s="87">
        <f t="shared" si="693"/>
        <v>0</v>
      </c>
      <c r="BA159" s="87">
        <f t="shared" si="693"/>
        <v>0</v>
      </c>
      <c r="BB159" s="87">
        <f t="shared" si="693"/>
        <v>0</v>
      </c>
      <c r="BC159" s="87">
        <f t="shared" si="693"/>
        <v>0</v>
      </c>
      <c r="BD159" s="87">
        <f t="shared" si="693"/>
        <v>0</v>
      </c>
      <c r="BE159" s="87">
        <f t="shared" si="693"/>
        <v>0</v>
      </c>
      <c r="BF159" s="87">
        <f t="shared" si="693"/>
        <v>0</v>
      </c>
      <c r="BG159" s="87">
        <f t="shared" si="693"/>
        <v>0</v>
      </c>
      <c r="BH159" s="87">
        <f t="shared" si="693"/>
        <v>0</v>
      </c>
      <c r="BI159" s="87">
        <f t="shared" si="693"/>
        <v>0</v>
      </c>
      <c r="BJ159" s="87">
        <f t="shared" si="693"/>
        <v>0</v>
      </c>
      <c r="BK159" s="87">
        <f t="shared" si="693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94">E161+E165</f>
        <v>36444.800000000003</v>
      </c>
      <c r="F160" s="255">
        <f t="shared" si="694"/>
        <v>0</v>
      </c>
      <c r="G160" s="223">
        <f t="shared" si="681"/>
        <v>4.1158135042584948E-2</v>
      </c>
      <c r="H160" s="223">
        <f t="shared" si="682"/>
        <v>0</v>
      </c>
      <c r="I160" s="255">
        <f t="shared" ref="I160:O160" si="695">I161+I165</f>
        <v>1500</v>
      </c>
      <c r="J160" s="255">
        <f t="shared" si="695"/>
        <v>0</v>
      </c>
      <c r="K160" s="255">
        <f t="shared" si="695"/>
        <v>0</v>
      </c>
      <c r="L160" s="255">
        <f t="shared" si="695"/>
        <v>0</v>
      </c>
      <c r="M160" s="255">
        <f t="shared" si="695"/>
        <v>0</v>
      </c>
      <c r="N160" s="255">
        <f t="shared" si="695"/>
        <v>0</v>
      </c>
      <c r="O160" s="255">
        <f t="shared" si="695"/>
        <v>0</v>
      </c>
      <c r="P160" s="245">
        <f t="shared" si="616"/>
        <v>0</v>
      </c>
      <c r="Q160" s="245">
        <f t="shared" si="684"/>
        <v>0</v>
      </c>
      <c r="R160" s="245">
        <f t="shared" si="690"/>
        <v>0</v>
      </c>
      <c r="S160" s="255">
        <f t="shared" ref="S160:U160" si="696">S161+S165</f>
        <v>1500</v>
      </c>
      <c r="T160" s="255">
        <f t="shared" si="696"/>
        <v>0</v>
      </c>
      <c r="U160" s="255">
        <f t="shared" si="696"/>
        <v>0</v>
      </c>
      <c r="V160" s="256">
        <f t="shared" ref="V160:W160" si="697">M160/I160</f>
        <v>0</v>
      </c>
      <c r="W160" s="256" t="e">
        <f t="shared" si="697"/>
        <v>#DIV/0!</v>
      </c>
      <c r="X160" s="256" t="e">
        <f t="shared" si="687"/>
        <v>#DIV/0!</v>
      </c>
      <c r="Y160" s="255">
        <f t="shared" ref="Y160:BK160" si="698">Y161+Y165</f>
        <v>0</v>
      </c>
      <c r="Z160" s="255">
        <f t="shared" si="698"/>
        <v>0</v>
      </c>
      <c r="AA160" s="255">
        <f t="shared" si="698"/>
        <v>0</v>
      </c>
      <c r="AB160" s="255">
        <f t="shared" si="698"/>
        <v>0</v>
      </c>
      <c r="AC160" s="255">
        <f t="shared" si="698"/>
        <v>0</v>
      </c>
      <c r="AD160" s="255">
        <f t="shared" si="698"/>
        <v>0</v>
      </c>
      <c r="AE160" s="255">
        <f t="shared" si="698"/>
        <v>0</v>
      </c>
      <c r="AF160" s="255">
        <f t="shared" si="698"/>
        <v>0</v>
      </c>
      <c r="AG160" s="255">
        <f t="shared" si="698"/>
        <v>0</v>
      </c>
      <c r="AH160" s="255">
        <f t="shared" si="698"/>
        <v>0</v>
      </c>
      <c r="AI160" s="255">
        <f t="shared" si="698"/>
        <v>0</v>
      </c>
      <c r="AJ160" s="255">
        <f t="shared" si="698"/>
        <v>0</v>
      </c>
      <c r="AK160" s="255">
        <f t="shared" si="698"/>
        <v>0</v>
      </c>
      <c r="AL160" s="255">
        <f t="shared" si="698"/>
        <v>0</v>
      </c>
      <c r="AM160" s="255">
        <f t="shared" si="698"/>
        <v>0</v>
      </c>
      <c r="AN160" s="255">
        <f t="shared" si="698"/>
        <v>0</v>
      </c>
      <c r="AO160" s="255">
        <f t="shared" si="698"/>
        <v>0</v>
      </c>
      <c r="AP160" s="255">
        <f t="shared" si="698"/>
        <v>0</v>
      </c>
      <c r="AQ160" s="255">
        <f t="shared" si="698"/>
        <v>0</v>
      </c>
      <c r="AR160" s="255">
        <f t="shared" si="698"/>
        <v>0</v>
      </c>
      <c r="AS160" s="255">
        <f t="shared" si="698"/>
        <v>0</v>
      </c>
      <c r="AT160" s="255">
        <f t="shared" si="698"/>
        <v>0</v>
      </c>
      <c r="AU160" s="255">
        <f t="shared" si="698"/>
        <v>0</v>
      </c>
      <c r="AV160" s="255">
        <f t="shared" si="698"/>
        <v>0</v>
      </c>
      <c r="AW160" s="255">
        <f t="shared" si="698"/>
        <v>0</v>
      </c>
      <c r="AX160" s="255">
        <f t="shared" si="698"/>
        <v>0</v>
      </c>
      <c r="AY160" s="255">
        <f t="shared" si="698"/>
        <v>0</v>
      </c>
      <c r="AZ160" s="255">
        <f t="shared" si="698"/>
        <v>0</v>
      </c>
      <c r="BA160" s="255">
        <f t="shared" si="698"/>
        <v>0</v>
      </c>
      <c r="BB160" s="255">
        <f t="shared" si="698"/>
        <v>0</v>
      </c>
      <c r="BC160" s="255">
        <f t="shared" si="698"/>
        <v>0</v>
      </c>
      <c r="BD160" s="255">
        <f t="shared" si="698"/>
        <v>0</v>
      </c>
      <c r="BE160" s="255">
        <f t="shared" si="698"/>
        <v>0</v>
      </c>
      <c r="BF160" s="255">
        <f t="shared" si="698"/>
        <v>0</v>
      </c>
      <c r="BG160" s="255">
        <f t="shared" si="698"/>
        <v>0</v>
      </c>
      <c r="BH160" s="255">
        <f t="shared" si="698"/>
        <v>0</v>
      </c>
      <c r="BI160" s="255">
        <f t="shared" si="698"/>
        <v>0</v>
      </c>
      <c r="BJ160" s="255">
        <f t="shared" si="698"/>
        <v>0</v>
      </c>
      <c r="BK160" s="255">
        <f t="shared" si="698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99">SUM(E162:E164)</f>
        <v>36444.800000000003</v>
      </c>
      <c r="F161" s="231">
        <f t="shared" si="699"/>
        <v>0</v>
      </c>
      <c r="G161" s="187">
        <f t="shared" si="681"/>
        <v>4.1158135042584948E-2</v>
      </c>
      <c r="H161" s="187">
        <f t="shared" si="682"/>
        <v>0</v>
      </c>
      <c r="I161" s="231">
        <f t="shared" ref="I161:O161" si="700">SUM(I162:I164)</f>
        <v>1500</v>
      </c>
      <c r="J161" s="231">
        <f t="shared" si="700"/>
        <v>0</v>
      </c>
      <c r="K161" s="231">
        <f t="shared" si="700"/>
        <v>0</v>
      </c>
      <c r="L161" s="231">
        <f t="shared" si="700"/>
        <v>0</v>
      </c>
      <c r="M161" s="231">
        <f t="shared" si="700"/>
        <v>0</v>
      </c>
      <c r="N161" s="231">
        <f t="shared" si="700"/>
        <v>0</v>
      </c>
      <c r="O161" s="231">
        <f t="shared" si="700"/>
        <v>0</v>
      </c>
      <c r="P161" s="258">
        <f t="shared" si="616"/>
        <v>0</v>
      </c>
      <c r="Q161" s="258">
        <f t="shared" si="684"/>
        <v>0</v>
      </c>
      <c r="R161" s="258">
        <f t="shared" si="690"/>
        <v>0</v>
      </c>
      <c r="S161" s="231">
        <f t="shared" ref="S161:U161" si="701">SUM(S162:S164)</f>
        <v>1500</v>
      </c>
      <c r="T161" s="231">
        <f t="shared" si="701"/>
        <v>0</v>
      </c>
      <c r="U161" s="231">
        <f t="shared" si="701"/>
        <v>0</v>
      </c>
      <c r="V161" s="259">
        <f t="shared" ref="V161:W161" si="702">M161/I161</f>
        <v>0</v>
      </c>
      <c r="W161" s="259" t="e">
        <f t="shared" si="702"/>
        <v>#DIV/0!</v>
      </c>
      <c r="X161" s="259" t="e">
        <f t="shared" si="687"/>
        <v>#DIV/0!</v>
      </c>
      <c r="Y161" s="231">
        <f t="shared" ref="Y161:BK161" si="703">SUM(Y162:Y164)</f>
        <v>0</v>
      </c>
      <c r="Z161" s="231">
        <f t="shared" si="703"/>
        <v>0</v>
      </c>
      <c r="AA161" s="231">
        <f t="shared" si="703"/>
        <v>0</v>
      </c>
      <c r="AB161" s="231">
        <f t="shared" si="703"/>
        <v>0</v>
      </c>
      <c r="AC161" s="231">
        <f t="shared" si="703"/>
        <v>0</v>
      </c>
      <c r="AD161" s="231">
        <f t="shared" si="703"/>
        <v>0</v>
      </c>
      <c r="AE161" s="231">
        <f t="shared" si="703"/>
        <v>0</v>
      </c>
      <c r="AF161" s="231">
        <f t="shared" si="703"/>
        <v>0</v>
      </c>
      <c r="AG161" s="231">
        <f t="shared" si="703"/>
        <v>0</v>
      </c>
      <c r="AH161" s="231">
        <f t="shared" si="703"/>
        <v>0</v>
      </c>
      <c r="AI161" s="231">
        <f t="shared" si="703"/>
        <v>0</v>
      </c>
      <c r="AJ161" s="231">
        <f t="shared" si="703"/>
        <v>0</v>
      </c>
      <c r="AK161" s="231">
        <f t="shared" si="703"/>
        <v>0</v>
      </c>
      <c r="AL161" s="231">
        <f t="shared" si="703"/>
        <v>0</v>
      </c>
      <c r="AM161" s="231">
        <f t="shared" si="703"/>
        <v>0</v>
      </c>
      <c r="AN161" s="231">
        <f t="shared" si="703"/>
        <v>0</v>
      </c>
      <c r="AO161" s="231">
        <f t="shared" si="703"/>
        <v>0</v>
      </c>
      <c r="AP161" s="231">
        <f t="shared" si="703"/>
        <v>0</v>
      </c>
      <c r="AQ161" s="231">
        <f t="shared" si="703"/>
        <v>0</v>
      </c>
      <c r="AR161" s="231">
        <f t="shared" si="703"/>
        <v>0</v>
      </c>
      <c r="AS161" s="231">
        <f t="shared" si="703"/>
        <v>0</v>
      </c>
      <c r="AT161" s="231">
        <f t="shared" si="703"/>
        <v>0</v>
      </c>
      <c r="AU161" s="231">
        <f t="shared" si="703"/>
        <v>0</v>
      </c>
      <c r="AV161" s="231">
        <f t="shared" si="703"/>
        <v>0</v>
      </c>
      <c r="AW161" s="231">
        <f t="shared" si="703"/>
        <v>0</v>
      </c>
      <c r="AX161" s="231">
        <f t="shared" si="703"/>
        <v>0</v>
      </c>
      <c r="AY161" s="231">
        <f t="shared" si="703"/>
        <v>0</v>
      </c>
      <c r="AZ161" s="231">
        <f t="shared" si="703"/>
        <v>0</v>
      </c>
      <c r="BA161" s="231">
        <f t="shared" si="703"/>
        <v>0</v>
      </c>
      <c r="BB161" s="231">
        <f t="shared" si="703"/>
        <v>0</v>
      </c>
      <c r="BC161" s="231">
        <f t="shared" si="703"/>
        <v>0</v>
      </c>
      <c r="BD161" s="231">
        <f t="shared" si="703"/>
        <v>0</v>
      </c>
      <c r="BE161" s="231">
        <f t="shared" si="703"/>
        <v>0</v>
      </c>
      <c r="BF161" s="231">
        <f t="shared" si="703"/>
        <v>0</v>
      </c>
      <c r="BG161" s="231">
        <f t="shared" si="703"/>
        <v>0</v>
      </c>
      <c r="BH161" s="231">
        <f t="shared" si="703"/>
        <v>0</v>
      </c>
      <c r="BI161" s="231">
        <f t="shared" si="703"/>
        <v>0</v>
      </c>
      <c r="BJ161" s="231">
        <f t="shared" si="703"/>
        <v>0</v>
      </c>
      <c r="BK161" s="231">
        <f t="shared" si="703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81"/>
        <v>0</v>
      </c>
      <c r="H162" s="94">
        <f t="shared" si="682"/>
        <v>0</v>
      </c>
      <c r="I162" s="142">
        <v>0</v>
      </c>
      <c r="J162" s="96"/>
      <c r="K162" s="96"/>
      <c r="L162" s="96"/>
      <c r="M162" s="97">
        <f t="shared" ref="M162:O162" si="704">Y162+AB162+AE162+AH162+AK162+AN162+AQ162+AT162+AW162+AZ162+BC162+BF162</f>
        <v>0</v>
      </c>
      <c r="N162" s="97">
        <f t="shared" si="704"/>
        <v>0</v>
      </c>
      <c r="O162" s="97">
        <f t="shared" si="704"/>
        <v>0</v>
      </c>
      <c r="P162" s="97">
        <f t="shared" si="616"/>
        <v>0</v>
      </c>
      <c r="Q162" s="97">
        <f t="shared" si="684"/>
        <v>0</v>
      </c>
      <c r="R162" s="97">
        <f t="shared" si="690"/>
        <v>0</v>
      </c>
      <c r="S162" s="138">
        <f t="shared" ref="S162:T162" si="705">I162-M162</f>
        <v>0</v>
      </c>
      <c r="T162" s="97">
        <f t="shared" si="705"/>
        <v>0</v>
      </c>
      <c r="U162" s="97">
        <f t="shared" ref="U162:U164" si="706">L162-O162</f>
        <v>0</v>
      </c>
      <c r="V162" s="98" t="e">
        <f t="shared" ref="V162:W162" si="707">M162/I162</f>
        <v>#DIV/0!</v>
      </c>
      <c r="W162" s="98" t="e">
        <f t="shared" si="707"/>
        <v>#DIV/0!</v>
      </c>
      <c r="X162" s="98" t="e">
        <f t="shared" si="687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81"/>
        <v>1</v>
      </c>
      <c r="H163" s="94">
        <f t="shared" si="682"/>
        <v>0</v>
      </c>
      <c r="I163" s="95">
        <v>1500</v>
      </c>
      <c r="J163" s="96"/>
      <c r="K163" s="96"/>
      <c r="L163" s="261"/>
      <c r="M163" s="97">
        <f t="shared" ref="M163:O163" si="708">Y163+AB163+AE163+AH163+AK163+AN163+AQ163+AT163+AW163+AZ163+BC163+BF163</f>
        <v>0</v>
      </c>
      <c r="N163" s="97">
        <f t="shared" si="708"/>
        <v>0</v>
      </c>
      <c r="O163" s="97">
        <f t="shared" si="708"/>
        <v>0</v>
      </c>
      <c r="P163" s="97">
        <f t="shared" si="616"/>
        <v>0</v>
      </c>
      <c r="Q163" s="97">
        <f t="shared" si="684"/>
        <v>0</v>
      </c>
      <c r="R163" s="97">
        <f t="shared" si="690"/>
        <v>0</v>
      </c>
      <c r="S163" s="97">
        <f t="shared" ref="S163:T163" si="709">I163-M163</f>
        <v>1500</v>
      </c>
      <c r="T163" s="97">
        <f t="shared" si="709"/>
        <v>0</v>
      </c>
      <c r="U163" s="97">
        <f t="shared" si="706"/>
        <v>0</v>
      </c>
      <c r="V163" s="98">
        <f t="shared" ref="V163:W163" si="710">M163/I163</f>
        <v>0</v>
      </c>
      <c r="W163" s="98" t="e">
        <f t="shared" si="710"/>
        <v>#DIV/0!</v>
      </c>
      <c r="X163" s="98" t="e">
        <f t="shared" si="687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81"/>
        <v>#DIV/0!</v>
      </c>
      <c r="H164" s="94" t="e">
        <f t="shared" si="682"/>
        <v>#DIV/0!</v>
      </c>
      <c r="I164" s="95"/>
      <c r="J164" s="96"/>
      <c r="K164" s="96"/>
      <c r="L164" s="95"/>
      <c r="M164" s="97">
        <f t="shared" ref="M164:O164" si="711">Y164+AB164+AE164+AH164+AK164+AN164+AQ164+AT164+AW164+AZ164+BC164+BF164</f>
        <v>0</v>
      </c>
      <c r="N164" s="97">
        <f t="shared" si="711"/>
        <v>0</v>
      </c>
      <c r="O164" s="97">
        <f t="shared" si="711"/>
        <v>0</v>
      </c>
      <c r="P164" s="97">
        <f t="shared" si="616"/>
        <v>0</v>
      </c>
      <c r="Q164" s="97">
        <f t="shared" si="684"/>
        <v>0</v>
      </c>
      <c r="R164" s="97">
        <f t="shared" si="690"/>
        <v>0</v>
      </c>
      <c r="S164" s="97">
        <f t="shared" ref="S164:T164" si="712">I164-M164</f>
        <v>0</v>
      </c>
      <c r="T164" s="97">
        <f t="shared" si="712"/>
        <v>0</v>
      </c>
      <c r="U164" s="97">
        <f t="shared" si="706"/>
        <v>0</v>
      </c>
      <c r="V164" s="98" t="e">
        <f t="shared" ref="V164:W164" si="713">M164/I164</f>
        <v>#DIV/0!</v>
      </c>
      <c r="W164" s="98" t="e">
        <f t="shared" si="713"/>
        <v>#DIV/0!</v>
      </c>
      <c r="X164" s="98" t="e">
        <f t="shared" si="687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714">SUM(E166:E167)</f>
        <v>0</v>
      </c>
      <c r="F165" s="231">
        <f t="shared" si="714"/>
        <v>0</v>
      </c>
      <c r="G165" s="188" t="e">
        <f t="shared" si="681"/>
        <v>#DIV/0!</v>
      </c>
      <c r="H165" s="188" t="e">
        <f t="shared" si="682"/>
        <v>#DIV/0!</v>
      </c>
      <c r="I165" s="231">
        <f t="shared" ref="I165:O165" si="715">SUM(I166:I167)</f>
        <v>0</v>
      </c>
      <c r="J165" s="231">
        <f t="shared" si="715"/>
        <v>0</v>
      </c>
      <c r="K165" s="231">
        <f t="shared" si="715"/>
        <v>0</v>
      </c>
      <c r="L165" s="231">
        <f t="shared" si="715"/>
        <v>0</v>
      </c>
      <c r="M165" s="231">
        <f t="shared" si="715"/>
        <v>0</v>
      </c>
      <c r="N165" s="231">
        <f t="shared" si="715"/>
        <v>0</v>
      </c>
      <c r="O165" s="231">
        <f t="shared" si="715"/>
        <v>0</v>
      </c>
      <c r="P165" s="258">
        <f t="shared" si="616"/>
        <v>0</v>
      </c>
      <c r="Q165" s="258">
        <f t="shared" si="684"/>
        <v>0</v>
      </c>
      <c r="R165" s="258">
        <f t="shared" si="690"/>
        <v>0</v>
      </c>
      <c r="S165" s="231">
        <f t="shared" ref="S165:U165" si="716">SUM(S166:S167)</f>
        <v>0</v>
      </c>
      <c r="T165" s="231">
        <f t="shared" si="716"/>
        <v>0</v>
      </c>
      <c r="U165" s="231">
        <f t="shared" si="716"/>
        <v>0</v>
      </c>
      <c r="V165" s="259" t="e">
        <f t="shared" ref="V165:W165" si="717">M165/I165</f>
        <v>#DIV/0!</v>
      </c>
      <c r="W165" s="259" t="e">
        <f t="shared" si="717"/>
        <v>#DIV/0!</v>
      </c>
      <c r="X165" s="259" t="e">
        <f t="shared" si="687"/>
        <v>#DIV/0!</v>
      </c>
      <c r="Y165" s="231">
        <f t="shared" ref="Y165:BK165" si="718">SUM(Y166:Y167)</f>
        <v>0</v>
      </c>
      <c r="Z165" s="231">
        <f t="shared" si="718"/>
        <v>0</v>
      </c>
      <c r="AA165" s="231">
        <f t="shared" si="718"/>
        <v>0</v>
      </c>
      <c r="AB165" s="231">
        <f t="shared" si="718"/>
        <v>0</v>
      </c>
      <c r="AC165" s="231">
        <f t="shared" si="718"/>
        <v>0</v>
      </c>
      <c r="AD165" s="231">
        <f t="shared" si="718"/>
        <v>0</v>
      </c>
      <c r="AE165" s="231">
        <f t="shared" si="718"/>
        <v>0</v>
      </c>
      <c r="AF165" s="231">
        <f t="shared" si="718"/>
        <v>0</v>
      </c>
      <c r="AG165" s="231">
        <f t="shared" si="718"/>
        <v>0</v>
      </c>
      <c r="AH165" s="231">
        <f t="shared" si="718"/>
        <v>0</v>
      </c>
      <c r="AI165" s="231">
        <f t="shared" si="718"/>
        <v>0</v>
      </c>
      <c r="AJ165" s="231">
        <f t="shared" si="718"/>
        <v>0</v>
      </c>
      <c r="AK165" s="231">
        <f t="shared" si="718"/>
        <v>0</v>
      </c>
      <c r="AL165" s="231">
        <f t="shared" si="718"/>
        <v>0</v>
      </c>
      <c r="AM165" s="231">
        <f t="shared" si="718"/>
        <v>0</v>
      </c>
      <c r="AN165" s="231">
        <f t="shared" si="718"/>
        <v>0</v>
      </c>
      <c r="AO165" s="231">
        <f t="shared" si="718"/>
        <v>0</v>
      </c>
      <c r="AP165" s="231">
        <f t="shared" si="718"/>
        <v>0</v>
      </c>
      <c r="AQ165" s="231">
        <f t="shared" si="718"/>
        <v>0</v>
      </c>
      <c r="AR165" s="231">
        <f t="shared" si="718"/>
        <v>0</v>
      </c>
      <c r="AS165" s="231">
        <f t="shared" si="718"/>
        <v>0</v>
      </c>
      <c r="AT165" s="231">
        <f t="shared" si="718"/>
        <v>0</v>
      </c>
      <c r="AU165" s="231">
        <f t="shared" si="718"/>
        <v>0</v>
      </c>
      <c r="AV165" s="231">
        <f t="shared" si="718"/>
        <v>0</v>
      </c>
      <c r="AW165" s="231">
        <f t="shared" si="718"/>
        <v>0</v>
      </c>
      <c r="AX165" s="231">
        <f t="shared" si="718"/>
        <v>0</v>
      </c>
      <c r="AY165" s="231">
        <f t="shared" si="718"/>
        <v>0</v>
      </c>
      <c r="AZ165" s="231">
        <f t="shared" si="718"/>
        <v>0</v>
      </c>
      <c r="BA165" s="231">
        <f t="shared" si="718"/>
        <v>0</v>
      </c>
      <c r="BB165" s="231">
        <f t="shared" si="718"/>
        <v>0</v>
      </c>
      <c r="BC165" s="231">
        <f t="shared" si="718"/>
        <v>0</v>
      </c>
      <c r="BD165" s="231">
        <f t="shared" si="718"/>
        <v>0</v>
      </c>
      <c r="BE165" s="231">
        <f t="shared" si="718"/>
        <v>0</v>
      </c>
      <c r="BF165" s="231">
        <f t="shared" si="718"/>
        <v>0</v>
      </c>
      <c r="BG165" s="231">
        <f t="shared" si="718"/>
        <v>0</v>
      </c>
      <c r="BH165" s="231">
        <f t="shared" si="718"/>
        <v>0</v>
      </c>
      <c r="BI165" s="231">
        <f t="shared" si="718"/>
        <v>0</v>
      </c>
      <c r="BJ165" s="231">
        <f t="shared" si="718"/>
        <v>0</v>
      </c>
      <c r="BK165" s="231">
        <f t="shared" si="718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81"/>
        <v>#DIV/0!</v>
      </c>
      <c r="H166" s="94" t="e">
        <f t="shared" si="682"/>
        <v>#DIV/0!</v>
      </c>
      <c r="I166" s="95"/>
      <c r="J166" s="96"/>
      <c r="K166" s="96"/>
      <c r="L166" s="95"/>
      <c r="M166" s="97">
        <f t="shared" ref="M166:O166" si="719">Y166+AB166+AE166+AH166+AK166+AN166+AQ166+AT166+AW166+AZ166+BC166+BF166</f>
        <v>0</v>
      </c>
      <c r="N166" s="97">
        <f t="shared" si="719"/>
        <v>0</v>
      </c>
      <c r="O166" s="97">
        <f t="shared" si="719"/>
        <v>0</v>
      </c>
      <c r="P166" s="97">
        <f t="shared" si="616"/>
        <v>0</v>
      </c>
      <c r="Q166" s="97">
        <f t="shared" si="684"/>
        <v>0</v>
      </c>
      <c r="R166" s="97">
        <f t="shared" si="690"/>
        <v>0</v>
      </c>
      <c r="S166" s="97">
        <f t="shared" ref="S166:T166" si="720">I166-M166</f>
        <v>0</v>
      </c>
      <c r="T166" s="97">
        <f t="shared" si="720"/>
        <v>0</v>
      </c>
      <c r="U166" s="97">
        <f t="shared" ref="U166:U167" si="721">L166-O166</f>
        <v>0</v>
      </c>
      <c r="V166" s="98" t="e">
        <f t="shared" ref="V166:W166" si="722">M166/I166</f>
        <v>#DIV/0!</v>
      </c>
      <c r="W166" s="98" t="e">
        <f t="shared" si="722"/>
        <v>#DIV/0!</v>
      </c>
      <c r="X166" s="98" t="e">
        <f t="shared" si="687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81"/>
        <v>#DIV/0!</v>
      </c>
      <c r="H167" s="94" t="e">
        <f t="shared" si="682"/>
        <v>#DIV/0!</v>
      </c>
      <c r="I167" s="95"/>
      <c r="J167" s="96"/>
      <c r="K167" s="96"/>
      <c r="L167" s="95"/>
      <c r="M167" s="97"/>
      <c r="N167" s="97">
        <f t="shared" ref="N167:O167" si="723">Z167+AC167+AF167+AI167+AL167+AO167+AR167+AU167+AX167+BA167+BD167+BG167</f>
        <v>0</v>
      </c>
      <c r="O167" s="97">
        <f t="shared" si="723"/>
        <v>0</v>
      </c>
      <c r="P167" s="97">
        <f t="shared" si="616"/>
        <v>0</v>
      </c>
      <c r="Q167" s="97">
        <f t="shared" si="684"/>
        <v>0</v>
      </c>
      <c r="R167" s="97">
        <f t="shared" si="690"/>
        <v>0</v>
      </c>
      <c r="S167" s="97">
        <f t="shared" ref="S167:T167" si="724">I167-M167</f>
        <v>0</v>
      </c>
      <c r="T167" s="97">
        <f t="shared" si="724"/>
        <v>0</v>
      </c>
      <c r="U167" s="97">
        <f t="shared" si="721"/>
        <v>0</v>
      </c>
      <c r="V167" s="98" t="e">
        <f t="shared" ref="V167:W167" si="725">M167/I167</f>
        <v>#DIV/0!</v>
      </c>
      <c r="W167" s="98" t="e">
        <f t="shared" si="725"/>
        <v>#DIV/0!</v>
      </c>
      <c r="X167" s="98" t="e">
        <f t="shared" si="687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26">E169+E176</f>
        <v>84944.8</v>
      </c>
      <c r="F168" s="255">
        <f t="shared" si="726"/>
        <v>36000</v>
      </c>
      <c r="G168" s="223">
        <f t="shared" si="681"/>
        <v>0</v>
      </c>
      <c r="H168" s="223">
        <f t="shared" si="682"/>
        <v>0</v>
      </c>
      <c r="I168" s="255">
        <f t="shared" ref="I168:O168" si="727">I169+I176</f>
        <v>0</v>
      </c>
      <c r="J168" s="255">
        <f t="shared" si="727"/>
        <v>250</v>
      </c>
      <c r="K168" s="255">
        <f t="shared" si="727"/>
        <v>0</v>
      </c>
      <c r="L168" s="255">
        <f t="shared" si="727"/>
        <v>0</v>
      </c>
      <c r="M168" s="255">
        <f t="shared" si="727"/>
        <v>0</v>
      </c>
      <c r="N168" s="255">
        <f t="shared" si="727"/>
        <v>0</v>
      </c>
      <c r="O168" s="255">
        <f t="shared" si="727"/>
        <v>0</v>
      </c>
      <c r="P168" s="255">
        <f t="shared" si="616"/>
        <v>0</v>
      </c>
      <c r="Q168" s="255">
        <f t="shared" si="684"/>
        <v>250</v>
      </c>
      <c r="R168" s="255">
        <f t="shared" si="690"/>
        <v>0</v>
      </c>
      <c r="S168" s="255">
        <f t="shared" ref="S168:U168" si="728">S169+S176</f>
        <v>0</v>
      </c>
      <c r="T168" s="255">
        <f t="shared" si="728"/>
        <v>0</v>
      </c>
      <c r="U168" s="255">
        <f t="shared" si="728"/>
        <v>0</v>
      </c>
      <c r="V168" s="256" t="e">
        <f t="shared" ref="V168:W168" si="729">M168/I168</f>
        <v>#DIV/0!</v>
      </c>
      <c r="W168" s="256">
        <f t="shared" si="729"/>
        <v>0</v>
      </c>
      <c r="X168" s="256" t="e">
        <f t="shared" si="687"/>
        <v>#DIV/0!</v>
      </c>
      <c r="Y168" s="255">
        <f t="shared" ref="Y168:BK168" si="730">Y169+Y176</f>
        <v>0</v>
      </c>
      <c r="Z168" s="255">
        <f t="shared" si="730"/>
        <v>250</v>
      </c>
      <c r="AA168" s="255">
        <f t="shared" si="730"/>
        <v>0</v>
      </c>
      <c r="AB168" s="255">
        <f t="shared" si="730"/>
        <v>0</v>
      </c>
      <c r="AC168" s="255">
        <f t="shared" si="730"/>
        <v>0</v>
      </c>
      <c r="AD168" s="255">
        <f t="shared" si="730"/>
        <v>0</v>
      </c>
      <c r="AE168" s="255">
        <f t="shared" si="730"/>
        <v>0</v>
      </c>
      <c r="AF168" s="255">
        <f t="shared" si="730"/>
        <v>0</v>
      </c>
      <c r="AG168" s="255">
        <f t="shared" si="730"/>
        <v>0</v>
      </c>
      <c r="AH168" s="255">
        <f t="shared" si="730"/>
        <v>0</v>
      </c>
      <c r="AI168" s="255">
        <f t="shared" si="730"/>
        <v>0</v>
      </c>
      <c r="AJ168" s="255">
        <f t="shared" si="730"/>
        <v>0</v>
      </c>
      <c r="AK168" s="255">
        <f t="shared" si="730"/>
        <v>0</v>
      </c>
      <c r="AL168" s="255">
        <f t="shared" si="730"/>
        <v>0</v>
      </c>
      <c r="AM168" s="255">
        <f t="shared" si="730"/>
        <v>0</v>
      </c>
      <c r="AN168" s="255">
        <f t="shared" si="730"/>
        <v>0</v>
      </c>
      <c r="AO168" s="255">
        <f t="shared" si="730"/>
        <v>0</v>
      </c>
      <c r="AP168" s="255">
        <f t="shared" si="730"/>
        <v>0</v>
      </c>
      <c r="AQ168" s="255">
        <f t="shared" si="730"/>
        <v>0</v>
      </c>
      <c r="AR168" s="255">
        <f t="shared" si="730"/>
        <v>0</v>
      </c>
      <c r="AS168" s="255">
        <f t="shared" si="730"/>
        <v>0</v>
      </c>
      <c r="AT168" s="255">
        <f t="shared" si="730"/>
        <v>0</v>
      </c>
      <c r="AU168" s="255">
        <f t="shared" si="730"/>
        <v>0</v>
      </c>
      <c r="AV168" s="255">
        <f t="shared" si="730"/>
        <v>0</v>
      </c>
      <c r="AW168" s="255">
        <f t="shared" si="730"/>
        <v>0</v>
      </c>
      <c r="AX168" s="255">
        <f t="shared" si="730"/>
        <v>0</v>
      </c>
      <c r="AY168" s="255">
        <f t="shared" si="730"/>
        <v>0</v>
      </c>
      <c r="AZ168" s="255">
        <f t="shared" si="730"/>
        <v>0</v>
      </c>
      <c r="BA168" s="255">
        <f t="shared" si="730"/>
        <v>0</v>
      </c>
      <c r="BB168" s="255">
        <f t="shared" si="730"/>
        <v>0</v>
      </c>
      <c r="BC168" s="255">
        <f t="shared" si="730"/>
        <v>0</v>
      </c>
      <c r="BD168" s="255">
        <f t="shared" si="730"/>
        <v>0</v>
      </c>
      <c r="BE168" s="255">
        <f t="shared" si="730"/>
        <v>0</v>
      </c>
      <c r="BF168" s="255">
        <f t="shared" si="730"/>
        <v>0</v>
      </c>
      <c r="BG168" s="255">
        <f t="shared" si="730"/>
        <v>0</v>
      </c>
      <c r="BH168" s="255">
        <f t="shared" si="730"/>
        <v>0</v>
      </c>
      <c r="BI168" s="255">
        <f t="shared" si="730"/>
        <v>0</v>
      </c>
      <c r="BJ168" s="255">
        <f t="shared" si="730"/>
        <v>0</v>
      </c>
      <c r="BK168" s="255">
        <f t="shared" si="730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81"/>
        <v>0</v>
      </c>
      <c r="H169" s="188">
        <f t="shared" si="682"/>
        <v>0</v>
      </c>
      <c r="I169" s="231">
        <f t="shared" ref="I169:K169" si="731">SUM(I170:I175)</f>
        <v>0</v>
      </c>
      <c r="J169" s="231">
        <f t="shared" si="731"/>
        <v>250</v>
      </c>
      <c r="K169" s="231">
        <f t="shared" si="731"/>
        <v>0</v>
      </c>
      <c r="L169" s="231">
        <f t="shared" ref="L169:O169" si="732">SUM(L170:L174)</f>
        <v>0</v>
      </c>
      <c r="M169" s="231">
        <f t="shared" si="732"/>
        <v>0</v>
      </c>
      <c r="N169" s="231">
        <f t="shared" si="732"/>
        <v>0</v>
      </c>
      <c r="O169" s="231">
        <f t="shared" si="732"/>
        <v>0</v>
      </c>
      <c r="P169" s="232">
        <f t="shared" si="616"/>
        <v>0</v>
      </c>
      <c r="Q169" s="232">
        <f t="shared" si="684"/>
        <v>250</v>
      </c>
      <c r="R169" s="232">
        <f t="shared" si="690"/>
        <v>0</v>
      </c>
      <c r="S169" s="231">
        <f t="shared" ref="S169:T169" si="733">SUM(S170:S175)</f>
        <v>0</v>
      </c>
      <c r="T169" s="231">
        <f t="shared" si="733"/>
        <v>0</v>
      </c>
      <c r="U169" s="231">
        <f>SUM(U170:U174)</f>
        <v>0</v>
      </c>
      <c r="V169" s="259" t="e">
        <f t="shared" ref="V169:W169" si="734">M169/I169</f>
        <v>#DIV/0!</v>
      </c>
      <c r="W169" s="259">
        <f t="shared" si="734"/>
        <v>0</v>
      </c>
      <c r="X169" s="259" t="e">
        <f t="shared" si="687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35">SUM(AA170:AA174)</f>
        <v>0</v>
      </c>
      <c r="AB169" s="231">
        <f t="shared" si="735"/>
        <v>0</v>
      </c>
      <c r="AC169" s="231">
        <f t="shared" si="735"/>
        <v>0</v>
      </c>
      <c r="AD169" s="231">
        <f t="shared" si="735"/>
        <v>0</v>
      </c>
      <c r="AE169" s="231">
        <f t="shared" si="735"/>
        <v>0</v>
      </c>
      <c r="AF169" s="231">
        <f>SUM(AF170:AF175)</f>
        <v>0</v>
      </c>
      <c r="AG169" s="231">
        <f t="shared" ref="AG169:BK169" si="736">SUM(AG170:AG174)</f>
        <v>0</v>
      </c>
      <c r="AH169" s="231">
        <f t="shared" si="736"/>
        <v>0</v>
      </c>
      <c r="AI169" s="231">
        <f t="shared" si="736"/>
        <v>0</v>
      </c>
      <c r="AJ169" s="231">
        <f t="shared" si="736"/>
        <v>0</v>
      </c>
      <c r="AK169" s="231">
        <f t="shared" si="736"/>
        <v>0</v>
      </c>
      <c r="AL169" s="231">
        <f t="shared" si="736"/>
        <v>0</v>
      </c>
      <c r="AM169" s="231">
        <f t="shared" si="736"/>
        <v>0</v>
      </c>
      <c r="AN169" s="231">
        <f t="shared" si="736"/>
        <v>0</v>
      </c>
      <c r="AO169" s="231">
        <f t="shared" si="736"/>
        <v>0</v>
      </c>
      <c r="AP169" s="231">
        <f t="shared" si="736"/>
        <v>0</v>
      </c>
      <c r="AQ169" s="231">
        <f t="shared" si="736"/>
        <v>0</v>
      </c>
      <c r="AR169" s="231">
        <f t="shared" si="736"/>
        <v>0</v>
      </c>
      <c r="AS169" s="231">
        <f t="shared" si="736"/>
        <v>0</v>
      </c>
      <c r="AT169" s="231">
        <f t="shared" si="736"/>
        <v>0</v>
      </c>
      <c r="AU169" s="231">
        <f t="shared" si="736"/>
        <v>0</v>
      </c>
      <c r="AV169" s="231">
        <f t="shared" si="736"/>
        <v>0</v>
      </c>
      <c r="AW169" s="231">
        <f t="shared" si="736"/>
        <v>0</v>
      </c>
      <c r="AX169" s="231">
        <f t="shared" si="736"/>
        <v>0</v>
      </c>
      <c r="AY169" s="231">
        <f t="shared" si="736"/>
        <v>0</v>
      </c>
      <c r="AZ169" s="231">
        <f t="shared" si="736"/>
        <v>0</v>
      </c>
      <c r="BA169" s="231">
        <f t="shared" si="736"/>
        <v>0</v>
      </c>
      <c r="BB169" s="231">
        <f t="shared" si="736"/>
        <v>0</v>
      </c>
      <c r="BC169" s="231">
        <f t="shared" si="736"/>
        <v>0</v>
      </c>
      <c r="BD169" s="231">
        <f t="shared" si="736"/>
        <v>0</v>
      </c>
      <c r="BE169" s="231">
        <f t="shared" si="736"/>
        <v>0</v>
      </c>
      <c r="BF169" s="231">
        <f t="shared" si="736"/>
        <v>0</v>
      </c>
      <c r="BG169" s="231">
        <f t="shared" si="736"/>
        <v>0</v>
      </c>
      <c r="BH169" s="231">
        <f t="shared" si="736"/>
        <v>0</v>
      </c>
      <c r="BI169" s="231">
        <f t="shared" si="736"/>
        <v>0</v>
      </c>
      <c r="BJ169" s="231">
        <f t="shared" si="736"/>
        <v>0</v>
      </c>
      <c r="BK169" s="231">
        <f t="shared" si="736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81"/>
        <v>0</v>
      </c>
      <c r="H170" s="94">
        <f t="shared" si="682"/>
        <v>0</v>
      </c>
      <c r="I170" s="95"/>
      <c r="J170" s="95"/>
      <c r="K170" s="95"/>
      <c r="L170" s="263"/>
      <c r="M170" s="97"/>
      <c r="N170" s="97"/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81"/>
        <v>0</v>
      </c>
      <c r="H171" s="94">
        <f t="shared" si="682"/>
        <v>0</v>
      </c>
      <c r="I171" s="95">
        <v>0</v>
      </c>
      <c r="J171" s="95"/>
      <c r="K171" s="95"/>
      <c r="L171" s="263"/>
      <c r="M171" s="97"/>
      <c r="N171" s="97"/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81"/>
        <v>#DIV/0!</v>
      </c>
      <c r="H172" s="94" t="e">
        <f t="shared" si="682"/>
        <v>#DIV/0!</v>
      </c>
      <c r="I172" s="95"/>
      <c r="J172" s="95"/>
      <c r="K172" s="95"/>
      <c r="L172" s="202"/>
      <c r="M172" s="97">
        <f t="shared" ref="M172:O172" si="737">Y172+AB172+AE172+AH172+AK172+AN172+AQ172+AT172+AW172+AZ172+BC172+BF172</f>
        <v>0</v>
      </c>
      <c r="N172" s="97">
        <f t="shared" si="737"/>
        <v>0</v>
      </c>
      <c r="O172" s="97">
        <f t="shared" si="737"/>
        <v>0</v>
      </c>
      <c r="P172" s="97">
        <f t="shared" ref="P172:R172" si="738">IF(BI172=0,SUM(Y172+AB172+AE172+AH172+AK172+AN172+AQ172+AT172+AW172+AZ172+BC172+BF172),BI172)</f>
        <v>0</v>
      </c>
      <c r="Q172" s="97">
        <f t="shared" si="738"/>
        <v>0</v>
      </c>
      <c r="R172" s="97">
        <f t="shared" si="738"/>
        <v>0</v>
      </c>
      <c r="S172" s="97">
        <f t="shared" ref="S172:T172" si="739">I172-M172</f>
        <v>0</v>
      </c>
      <c r="T172" s="97">
        <f t="shared" si="739"/>
        <v>0</v>
      </c>
      <c r="U172" s="97">
        <f t="shared" ref="U172:U175" si="740">L172-O172</f>
        <v>0</v>
      </c>
      <c r="V172" s="98" t="e">
        <f t="shared" ref="V172:W172" si="741">M172/I172</f>
        <v>#DIV/0!</v>
      </c>
      <c r="W172" s="98" t="e">
        <f t="shared" si="741"/>
        <v>#DIV/0!</v>
      </c>
      <c r="X172" s="98" t="e">
        <f t="shared" ref="X172:X187" si="742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81"/>
        <v>0</v>
      </c>
      <c r="H173" s="94">
        <f t="shared" si="682"/>
        <v>0</v>
      </c>
      <c r="I173" s="139">
        <v>0</v>
      </c>
      <c r="J173" s="95"/>
      <c r="K173" s="95"/>
      <c r="L173" s="202"/>
      <c r="M173" s="97">
        <f t="shared" ref="M173:O173" si="743">Y173+AB173+AE173+AH173+AK173+AN173+AQ173+AT173+AW173+AZ173+BC173+BF173</f>
        <v>0</v>
      </c>
      <c r="N173" s="97">
        <f t="shared" si="743"/>
        <v>0</v>
      </c>
      <c r="O173" s="97">
        <f t="shared" si="743"/>
        <v>0</v>
      </c>
      <c r="P173" s="97">
        <f t="shared" ref="P173:R173" si="744">IF(BI173=0,SUM(Y173+AB173+AE173+AH173+AK173+AN173+AQ173+AT173+AW173+AZ173+BC173+BF173),BI173)</f>
        <v>0</v>
      </c>
      <c r="Q173" s="97">
        <f t="shared" si="744"/>
        <v>0</v>
      </c>
      <c r="R173" s="97">
        <f t="shared" si="744"/>
        <v>0</v>
      </c>
      <c r="S173" s="138">
        <f t="shared" ref="S173:T173" si="745">I173-M173</f>
        <v>0</v>
      </c>
      <c r="T173" s="97">
        <f t="shared" si="745"/>
        <v>0</v>
      </c>
      <c r="U173" s="97">
        <f t="shared" si="740"/>
        <v>0</v>
      </c>
      <c r="V173" s="98" t="e">
        <f t="shared" ref="V173:W173" si="746">M173/I173</f>
        <v>#DIV/0!</v>
      </c>
      <c r="W173" s="98" t="e">
        <f t="shared" si="746"/>
        <v>#DIV/0!</v>
      </c>
      <c r="X173" s="98" t="e">
        <f t="shared" si="742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81"/>
        <v>0</v>
      </c>
      <c r="H174" s="94">
        <f t="shared" si="682"/>
        <v>0</v>
      </c>
      <c r="I174" s="95">
        <v>0</v>
      </c>
      <c r="J174" s="95"/>
      <c r="K174" s="95"/>
      <c r="L174" s="202"/>
      <c r="M174" s="97">
        <f t="shared" ref="M174:O174" si="747">Y174+AB174+AE174+AH174+AK174+AN174+AQ174+AT174+AW174+AZ174+BC174+BF174</f>
        <v>0</v>
      </c>
      <c r="N174" s="97">
        <f t="shared" si="747"/>
        <v>0</v>
      </c>
      <c r="O174" s="97">
        <f t="shared" si="747"/>
        <v>0</v>
      </c>
      <c r="P174" s="97">
        <f t="shared" ref="P174:R174" si="748">IF(BI174=0,SUM(Y174+AB174+AE174+AH174+AK174+AN174+AQ174+AT174+AW174+AZ174+BC174+BF174),BI174)</f>
        <v>0</v>
      </c>
      <c r="Q174" s="97">
        <f t="shared" si="748"/>
        <v>0</v>
      </c>
      <c r="R174" s="97">
        <f t="shared" si="748"/>
        <v>0</v>
      </c>
      <c r="S174" s="97">
        <f t="shared" ref="S174:T174" si="749">I174-M174</f>
        <v>0</v>
      </c>
      <c r="T174" s="97">
        <f t="shared" si="749"/>
        <v>0</v>
      </c>
      <c r="U174" s="97">
        <f t="shared" si="740"/>
        <v>0</v>
      </c>
      <c r="V174" s="98" t="e">
        <f t="shared" ref="V174:W174" si="750">M174/I174</f>
        <v>#DIV/0!</v>
      </c>
      <c r="W174" s="98" t="e">
        <f t="shared" si="750"/>
        <v>#DIV/0!</v>
      </c>
      <c r="X174" s="98" t="e">
        <f t="shared" si="742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81"/>
        <v>#DIV/0!</v>
      </c>
      <c r="H175" s="94" t="e">
        <f t="shared" si="682"/>
        <v>#DIV/0!</v>
      </c>
      <c r="I175" s="95"/>
      <c r="J175" s="146">
        <v>250</v>
      </c>
      <c r="K175" s="146"/>
      <c r="L175" s="202"/>
      <c r="M175" s="97">
        <f t="shared" ref="M175:O175" si="751">Y175+AB175+AE175+AH175+AK175+AN175+AQ175+AT175+AW175+AZ175+BC175+BF175</f>
        <v>0</v>
      </c>
      <c r="N175" s="97">
        <f t="shared" si="751"/>
        <v>250</v>
      </c>
      <c r="O175" s="97">
        <f t="shared" si="751"/>
        <v>0</v>
      </c>
      <c r="P175" s="97">
        <f t="shared" ref="P175:R175" si="752">IF(BI175=0,SUM(Y175+AB175+AE175+AH175+AK175+AN175+AQ175+AT175+AW175+AZ175+BC175+BF175),BI175)</f>
        <v>0</v>
      </c>
      <c r="Q175" s="97">
        <f t="shared" si="752"/>
        <v>250</v>
      </c>
      <c r="R175" s="97">
        <f t="shared" si="752"/>
        <v>0</v>
      </c>
      <c r="S175" s="97">
        <f>I175-M175</f>
        <v>0</v>
      </c>
      <c r="T175" s="97">
        <f>J175-N175-K175</f>
        <v>0</v>
      </c>
      <c r="U175" s="97">
        <f t="shared" si="740"/>
        <v>0</v>
      </c>
      <c r="V175" s="98" t="e">
        <f t="shared" ref="V175:W175" si="753">M175/I175</f>
        <v>#DIV/0!</v>
      </c>
      <c r="W175" s="98">
        <f t="shared" si="753"/>
        <v>1</v>
      </c>
      <c r="X175" s="98" t="e">
        <f t="shared" si="742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54">SUM(E177:E182)</f>
        <v>0</v>
      </c>
      <c r="F176" s="231">
        <f t="shared" si="754"/>
        <v>36000</v>
      </c>
      <c r="G176" s="188" t="e">
        <f t="shared" si="681"/>
        <v>#DIV/0!</v>
      </c>
      <c r="H176" s="188" t="e">
        <f t="shared" si="682"/>
        <v>#DIV/0!</v>
      </c>
      <c r="I176" s="231">
        <f t="shared" ref="I176:O176" si="755">SUM(I177:I182)</f>
        <v>0</v>
      </c>
      <c r="J176" s="231">
        <f t="shared" si="755"/>
        <v>0</v>
      </c>
      <c r="K176" s="231">
        <f t="shared" si="755"/>
        <v>0</v>
      </c>
      <c r="L176" s="231">
        <f t="shared" si="755"/>
        <v>0</v>
      </c>
      <c r="M176" s="231">
        <f t="shared" si="755"/>
        <v>0</v>
      </c>
      <c r="N176" s="231">
        <f t="shared" si="755"/>
        <v>0</v>
      </c>
      <c r="O176" s="231">
        <f t="shared" si="755"/>
        <v>0</v>
      </c>
      <c r="P176" s="258">
        <f t="shared" ref="P176:R176" si="756">IF(BI176=0,SUM(Y176+AB176+AE176+AH176+AK176+AN176+AQ176+AT176+AW176+AZ176+BC176+BF176),BI176)</f>
        <v>0</v>
      </c>
      <c r="Q176" s="258">
        <f t="shared" si="756"/>
        <v>0</v>
      </c>
      <c r="R176" s="258">
        <f t="shared" si="756"/>
        <v>0</v>
      </c>
      <c r="S176" s="231">
        <f t="shared" ref="S176:U176" si="757">SUM(S177:S182)</f>
        <v>0</v>
      </c>
      <c r="T176" s="231">
        <f t="shared" si="757"/>
        <v>0</v>
      </c>
      <c r="U176" s="231">
        <f t="shared" si="757"/>
        <v>0</v>
      </c>
      <c r="V176" s="259" t="e">
        <f t="shared" ref="V176:W176" si="758">M176/I176</f>
        <v>#DIV/0!</v>
      </c>
      <c r="W176" s="259" t="e">
        <f t="shared" si="758"/>
        <v>#DIV/0!</v>
      </c>
      <c r="X176" s="259" t="e">
        <f t="shared" si="742"/>
        <v>#DIV/0!</v>
      </c>
      <c r="Y176" s="231">
        <f t="shared" ref="Y176:BK176" si="759">SUM(Y177:Y182)</f>
        <v>0</v>
      </c>
      <c r="Z176" s="231">
        <f t="shared" si="759"/>
        <v>0</v>
      </c>
      <c r="AA176" s="231">
        <f t="shared" si="759"/>
        <v>0</v>
      </c>
      <c r="AB176" s="231">
        <f t="shared" si="759"/>
        <v>0</v>
      </c>
      <c r="AC176" s="231">
        <f t="shared" si="759"/>
        <v>0</v>
      </c>
      <c r="AD176" s="231">
        <f t="shared" si="759"/>
        <v>0</v>
      </c>
      <c r="AE176" s="231">
        <f t="shared" si="759"/>
        <v>0</v>
      </c>
      <c r="AF176" s="231">
        <f t="shared" si="759"/>
        <v>0</v>
      </c>
      <c r="AG176" s="231">
        <f t="shared" si="759"/>
        <v>0</v>
      </c>
      <c r="AH176" s="231">
        <f t="shared" si="759"/>
        <v>0</v>
      </c>
      <c r="AI176" s="231">
        <f t="shared" si="759"/>
        <v>0</v>
      </c>
      <c r="AJ176" s="231">
        <f t="shared" si="759"/>
        <v>0</v>
      </c>
      <c r="AK176" s="231">
        <f t="shared" si="759"/>
        <v>0</v>
      </c>
      <c r="AL176" s="231">
        <f t="shared" si="759"/>
        <v>0</v>
      </c>
      <c r="AM176" s="231">
        <f t="shared" si="759"/>
        <v>0</v>
      </c>
      <c r="AN176" s="231">
        <f t="shared" si="759"/>
        <v>0</v>
      </c>
      <c r="AO176" s="231">
        <f t="shared" si="759"/>
        <v>0</v>
      </c>
      <c r="AP176" s="231">
        <f t="shared" si="759"/>
        <v>0</v>
      </c>
      <c r="AQ176" s="231">
        <f t="shared" si="759"/>
        <v>0</v>
      </c>
      <c r="AR176" s="231">
        <f t="shared" si="759"/>
        <v>0</v>
      </c>
      <c r="AS176" s="231">
        <f t="shared" si="759"/>
        <v>0</v>
      </c>
      <c r="AT176" s="231">
        <f t="shared" si="759"/>
        <v>0</v>
      </c>
      <c r="AU176" s="231">
        <f t="shared" si="759"/>
        <v>0</v>
      </c>
      <c r="AV176" s="231">
        <f t="shared" si="759"/>
        <v>0</v>
      </c>
      <c r="AW176" s="231">
        <f t="shared" si="759"/>
        <v>0</v>
      </c>
      <c r="AX176" s="231">
        <f t="shared" si="759"/>
        <v>0</v>
      </c>
      <c r="AY176" s="231">
        <f t="shared" si="759"/>
        <v>0</v>
      </c>
      <c r="AZ176" s="231">
        <f t="shared" si="759"/>
        <v>0</v>
      </c>
      <c r="BA176" s="231">
        <f t="shared" si="759"/>
        <v>0</v>
      </c>
      <c r="BB176" s="231">
        <f t="shared" si="759"/>
        <v>0</v>
      </c>
      <c r="BC176" s="231">
        <f t="shared" si="759"/>
        <v>0</v>
      </c>
      <c r="BD176" s="231">
        <f t="shared" si="759"/>
        <v>0</v>
      </c>
      <c r="BE176" s="231">
        <f t="shared" si="759"/>
        <v>0</v>
      </c>
      <c r="BF176" s="231">
        <f t="shared" si="759"/>
        <v>0</v>
      </c>
      <c r="BG176" s="231">
        <f t="shared" si="759"/>
        <v>0</v>
      </c>
      <c r="BH176" s="231">
        <f t="shared" si="759"/>
        <v>0</v>
      </c>
      <c r="BI176" s="231">
        <f t="shared" si="759"/>
        <v>0</v>
      </c>
      <c r="BJ176" s="231">
        <f t="shared" si="759"/>
        <v>0</v>
      </c>
      <c r="BK176" s="231">
        <f t="shared" si="759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81"/>
        <v>#DIV/0!</v>
      </c>
      <c r="H177" s="94" t="e">
        <f t="shared" si="682"/>
        <v>#DIV/0!</v>
      </c>
      <c r="I177" s="95"/>
      <c r="J177" s="146">
        <v>0</v>
      </c>
      <c r="K177" s="146"/>
      <c r="L177" s="202"/>
      <c r="M177" s="97">
        <f t="shared" ref="M177:O177" si="760">Y177+AB177+AE177+AH177+AK177+AN177+AQ177+AT177+AW177+AZ177+BC177+BF177</f>
        <v>0</v>
      </c>
      <c r="N177" s="97">
        <f t="shared" si="760"/>
        <v>0</v>
      </c>
      <c r="O177" s="97">
        <f t="shared" si="760"/>
        <v>0</v>
      </c>
      <c r="P177" s="97">
        <f t="shared" ref="P177:R177" si="761">IF(BI177=0,SUM(Y177+AB177+AE177+AH177+AK177+AN177+AQ177+AT177+AW177+AZ177+BC177+BF177),BI177)</f>
        <v>0</v>
      </c>
      <c r="Q177" s="97">
        <f t="shared" si="761"/>
        <v>0</v>
      </c>
      <c r="R177" s="97">
        <f t="shared" si="761"/>
        <v>0</v>
      </c>
      <c r="S177" s="97">
        <f t="shared" ref="S177:T177" si="762">I177-M177</f>
        <v>0</v>
      </c>
      <c r="T177" s="97">
        <f t="shared" si="762"/>
        <v>0</v>
      </c>
      <c r="U177" s="97">
        <f t="shared" ref="U177:U182" si="763">L177-O177</f>
        <v>0</v>
      </c>
      <c r="V177" s="98" t="e">
        <f t="shared" ref="V177:W177" si="764">M177/I177</f>
        <v>#DIV/0!</v>
      </c>
      <c r="W177" s="98" t="e">
        <f t="shared" si="764"/>
        <v>#DIV/0!</v>
      </c>
      <c r="X177" s="98" t="e">
        <f t="shared" si="742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81"/>
        <v>#DIV/0!</v>
      </c>
      <c r="H178" s="94" t="e">
        <f t="shared" si="682"/>
        <v>#DIV/0!</v>
      </c>
      <c r="I178" s="95"/>
      <c r="J178" s="95"/>
      <c r="K178" s="95"/>
      <c r="L178" s="202"/>
      <c r="M178" s="97">
        <f t="shared" ref="M178:O178" si="765">Y178+AB178+AE178+AH178+AK178+AN178+AQ178+AT178+AW178+AZ178+BC178+BF178</f>
        <v>0</v>
      </c>
      <c r="N178" s="97">
        <f t="shared" si="765"/>
        <v>0</v>
      </c>
      <c r="O178" s="97">
        <f t="shared" si="765"/>
        <v>0</v>
      </c>
      <c r="P178" s="97">
        <f t="shared" ref="P178:R178" si="766">IF(BI178=0,SUM(Y178+AB178+AE178+AH178+AK178+AN178+AQ178+AT178+AW178+AZ178+BC178+BF178),BI178)</f>
        <v>0</v>
      </c>
      <c r="Q178" s="97">
        <f t="shared" si="766"/>
        <v>0</v>
      </c>
      <c r="R178" s="97">
        <f t="shared" si="766"/>
        <v>0</v>
      </c>
      <c r="S178" s="97">
        <f t="shared" ref="S178:T178" si="767">I178-M178</f>
        <v>0</v>
      </c>
      <c r="T178" s="97">
        <f t="shared" si="767"/>
        <v>0</v>
      </c>
      <c r="U178" s="97">
        <f t="shared" si="763"/>
        <v>0</v>
      </c>
      <c r="V178" s="98" t="e">
        <f t="shared" ref="V178:W178" si="768">M178/I178</f>
        <v>#DIV/0!</v>
      </c>
      <c r="W178" s="98" t="e">
        <f t="shared" si="768"/>
        <v>#DIV/0!</v>
      </c>
      <c r="X178" s="98" t="e">
        <f t="shared" si="742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69">Y179+AB179+AE179+AH179+AK179+AN179+AQ179+AT179+AW179+AZ179+BC179+BF179</f>
        <v>0</v>
      </c>
      <c r="N179" s="97">
        <f t="shared" si="769"/>
        <v>0</v>
      </c>
      <c r="O179" s="97">
        <f t="shared" si="769"/>
        <v>0</v>
      </c>
      <c r="P179" s="97">
        <f t="shared" ref="P179:R179" si="770">IF(BI179=0,SUM(Y179+AB179+AE179+AH179+AK179+AN179+AQ179+AT179+AW179+AZ179+BC179+BF179),BI179)</f>
        <v>0</v>
      </c>
      <c r="Q179" s="97">
        <f t="shared" si="770"/>
        <v>0</v>
      </c>
      <c r="R179" s="97">
        <f t="shared" si="770"/>
        <v>0</v>
      </c>
      <c r="S179" s="97">
        <f t="shared" ref="S179:T179" si="771">I179-M179</f>
        <v>0</v>
      </c>
      <c r="T179" s="97">
        <f t="shared" si="771"/>
        <v>0</v>
      </c>
      <c r="U179" s="97">
        <f t="shared" si="763"/>
        <v>0</v>
      </c>
      <c r="V179" s="98" t="e">
        <f t="shared" ref="V179:W179" si="772">M179/I179</f>
        <v>#DIV/0!</v>
      </c>
      <c r="W179" s="98" t="e">
        <f t="shared" si="772"/>
        <v>#DIV/0!</v>
      </c>
      <c r="X179" s="98" t="e">
        <f t="shared" si="742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73">Y180+AB180+AE180+AH180+AK180+AN180+AQ180+AT180+AW180+AZ180+BC180+BF180</f>
        <v>0</v>
      </c>
      <c r="N180" s="97">
        <f t="shared" si="773"/>
        <v>0</v>
      </c>
      <c r="O180" s="97">
        <f t="shared" si="773"/>
        <v>0</v>
      </c>
      <c r="P180" s="97">
        <f t="shared" ref="P180:R180" si="774">IF(BI180=0,SUM(Y180+AB180+AE180+AH180+AK180+AN180+AQ180+AT180+AW180+AZ180+BC180+BF180),BI180)</f>
        <v>0</v>
      </c>
      <c r="Q180" s="97">
        <f t="shared" si="774"/>
        <v>0</v>
      </c>
      <c r="R180" s="97">
        <f t="shared" si="774"/>
        <v>0</v>
      </c>
      <c r="S180" s="97">
        <f t="shared" ref="S180:T180" si="775">I180-M180</f>
        <v>0</v>
      </c>
      <c r="T180" s="97">
        <f t="shared" si="775"/>
        <v>0</v>
      </c>
      <c r="U180" s="97">
        <f t="shared" si="763"/>
        <v>0</v>
      </c>
      <c r="V180" s="98" t="e">
        <f t="shared" ref="V180:W180" si="776">M180/I180</f>
        <v>#DIV/0!</v>
      </c>
      <c r="W180" s="98" t="e">
        <f t="shared" si="776"/>
        <v>#DIV/0!</v>
      </c>
      <c r="X180" s="98" t="e">
        <f t="shared" si="742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77">Y181+AB181+AE181+AH181+AK181+AN181+AQ181+AT181+AW181+AZ181+BC181+BF181</f>
        <v>0</v>
      </c>
      <c r="N181" s="97">
        <f t="shared" si="777"/>
        <v>0</v>
      </c>
      <c r="O181" s="97">
        <f t="shared" si="777"/>
        <v>0</v>
      </c>
      <c r="P181" s="97">
        <f t="shared" ref="P181:R181" si="778">IF(BI181=0,SUM(Y181+AB181+AE181+AH181+AK181+AN181+AQ181+AT181+AW181+AZ181+BC181+BF181),BI181)</f>
        <v>0</v>
      </c>
      <c r="Q181" s="97">
        <f t="shared" si="778"/>
        <v>0</v>
      </c>
      <c r="R181" s="97">
        <f t="shared" si="778"/>
        <v>0</v>
      </c>
      <c r="S181" s="97">
        <f t="shared" ref="S181:T181" si="779">I181-M181</f>
        <v>0</v>
      </c>
      <c r="T181" s="97">
        <f t="shared" si="779"/>
        <v>0</v>
      </c>
      <c r="U181" s="97">
        <f t="shared" si="763"/>
        <v>0</v>
      </c>
      <c r="V181" s="98" t="e">
        <f t="shared" ref="V181:W181" si="780">M181/I181</f>
        <v>#DIV/0!</v>
      </c>
      <c r="W181" s="98" t="e">
        <f t="shared" si="780"/>
        <v>#DIV/0!</v>
      </c>
      <c r="X181" s="98" t="e">
        <f t="shared" si="742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81">I182/E182</f>
        <v>#DIV/0!</v>
      </c>
      <c r="H182" s="94" t="e">
        <f t="shared" ref="H182:H184" si="782">M182/E182</f>
        <v>#DIV/0!</v>
      </c>
      <c r="I182" s="95"/>
      <c r="J182" s="95"/>
      <c r="K182" s="95"/>
      <c r="L182" s="266"/>
      <c r="M182" s="97">
        <f t="shared" ref="M182:O182" si="783">Y182+AB182+AE182+AH182+AK182+AN182+AQ182+AT182+AW182+AZ182+BC182+BF182</f>
        <v>0</v>
      </c>
      <c r="N182" s="97">
        <f t="shared" si="783"/>
        <v>0</v>
      </c>
      <c r="O182" s="97">
        <f t="shared" si="783"/>
        <v>0</v>
      </c>
      <c r="P182" s="97">
        <f t="shared" ref="P182:R182" si="784">IF(BI182=0,SUM(Y182+AB182+AE182+AH182+AK182+AN182+AQ182+AT182+AW182+AZ182+BC182+BF182),BI182)</f>
        <v>0</v>
      </c>
      <c r="Q182" s="97">
        <f t="shared" si="784"/>
        <v>0</v>
      </c>
      <c r="R182" s="97">
        <f t="shared" si="784"/>
        <v>0</v>
      </c>
      <c r="S182" s="97">
        <f t="shared" ref="S182:T182" si="785">I182-M182</f>
        <v>0</v>
      </c>
      <c r="T182" s="97">
        <f t="shared" si="785"/>
        <v>0</v>
      </c>
      <c r="U182" s="97">
        <f t="shared" si="763"/>
        <v>0</v>
      </c>
      <c r="V182" s="98" t="e">
        <f t="shared" ref="V182:W182" si="786">M182/I182</f>
        <v>#DIV/0!</v>
      </c>
      <c r="W182" s="98" t="e">
        <f t="shared" si="786"/>
        <v>#DIV/0!</v>
      </c>
      <c r="X182" s="98" t="e">
        <f t="shared" si="742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87">SUM(E184:E187)</f>
        <v>0</v>
      </c>
      <c r="F183" s="270">
        <f t="shared" si="787"/>
        <v>0</v>
      </c>
      <c r="G183" s="223" t="e">
        <f t="shared" si="781"/>
        <v>#DIV/0!</v>
      </c>
      <c r="H183" s="223" t="e">
        <f t="shared" si="782"/>
        <v>#DIV/0!</v>
      </c>
      <c r="I183" s="270">
        <f t="shared" ref="I183:O183" si="788">SUM(I184:I187)</f>
        <v>0</v>
      </c>
      <c r="J183" s="270">
        <f t="shared" si="788"/>
        <v>734.93000000000006</v>
      </c>
      <c r="K183" s="270">
        <f t="shared" si="788"/>
        <v>0</v>
      </c>
      <c r="L183" s="270">
        <f t="shared" si="788"/>
        <v>0</v>
      </c>
      <c r="M183" s="270">
        <f t="shared" si="788"/>
        <v>0</v>
      </c>
      <c r="N183" s="270">
        <f t="shared" si="788"/>
        <v>0</v>
      </c>
      <c r="O183" s="270">
        <f t="shared" si="788"/>
        <v>0</v>
      </c>
      <c r="P183" s="238">
        <f t="shared" ref="P183:R183" si="789">IF(BI183=0,SUM(Y183+AB183+AE183+AH183+AK183+AN183+AQ183+AT183+AW183+AZ183+BC183+BF183),BI183)</f>
        <v>0</v>
      </c>
      <c r="Q183" s="238">
        <f t="shared" si="789"/>
        <v>0</v>
      </c>
      <c r="R183" s="238">
        <f t="shared" si="789"/>
        <v>0</v>
      </c>
      <c r="S183" s="270">
        <f t="shared" ref="S183:U183" si="790">SUM(S184:S187)</f>
        <v>0</v>
      </c>
      <c r="T183" s="270">
        <f t="shared" si="790"/>
        <v>734.93000000000006</v>
      </c>
      <c r="U183" s="270">
        <f t="shared" si="790"/>
        <v>0</v>
      </c>
      <c r="V183" s="271" t="e">
        <f t="shared" ref="V183:W183" si="791">M183/I183</f>
        <v>#DIV/0!</v>
      </c>
      <c r="W183" s="271">
        <f t="shared" si="791"/>
        <v>0</v>
      </c>
      <c r="X183" s="271" t="e">
        <f t="shared" si="742"/>
        <v>#DIV/0!</v>
      </c>
      <c r="Y183" s="270">
        <f t="shared" ref="Y183:BK183" si="792">SUM(Y184:Y187)</f>
        <v>0</v>
      </c>
      <c r="Z183" s="270">
        <f t="shared" si="792"/>
        <v>0</v>
      </c>
      <c r="AA183" s="270">
        <f t="shared" si="792"/>
        <v>0</v>
      </c>
      <c r="AB183" s="270">
        <f t="shared" si="792"/>
        <v>0</v>
      </c>
      <c r="AC183" s="270">
        <f t="shared" si="792"/>
        <v>0</v>
      </c>
      <c r="AD183" s="270">
        <f t="shared" si="792"/>
        <v>0</v>
      </c>
      <c r="AE183" s="270">
        <f t="shared" si="792"/>
        <v>0</v>
      </c>
      <c r="AF183" s="270">
        <f t="shared" si="792"/>
        <v>0</v>
      </c>
      <c r="AG183" s="270">
        <f t="shared" si="792"/>
        <v>0</v>
      </c>
      <c r="AH183" s="270">
        <f t="shared" si="792"/>
        <v>0</v>
      </c>
      <c r="AI183" s="270">
        <f t="shared" si="792"/>
        <v>0</v>
      </c>
      <c r="AJ183" s="270">
        <f t="shared" si="792"/>
        <v>0</v>
      </c>
      <c r="AK183" s="270">
        <f t="shared" si="792"/>
        <v>0</v>
      </c>
      <c r="AL183" s="270">
        <f t="shared" si="792"/>
        <v>0</v>
      </c>
      <c r="AM183" s="270">
        <f t="shared" si="792"/>
        <v>0</v>
      </c>
      <c r="AN183" s="270">
        <f t="shared" si="792"/>
        <v>0</v>
      </c>
      <c r="AO183" s="270">
        <f t="shared" si="792"/>
        <v>0</v>
      </c>
      <c r="AP183" s="270">
        <f t="shared" si="792"/>
        <v>0</v>
      </c>
      <c r="AQ183" s="270">
        <f t="shared" si="792"/>
        <v>0</v>
      </c>
      <c r="AR183" s="270">
        <f t="shared" si="792"/>
        <v>0</v>
      </c>
      <c r="AS183" s="270">
        <f t="shared" si="792"/>
        <v>0</v>
      </c>
      <c r="AT183" s="270">
        <f t="shared" si="792"/>
        <v>0</v>
      </c>
      <c r="AU183" s="270">
        <f t="shared" si="792"/>
        <v>0</v>
      </c>
      <c r="AV183" s="270">
        <f t="shared" si="792"/>
        <v>0</v>
      </c>
      <c r="AW183" s="270">
        <f t="shared" si="792"/>
        <v>0</v>
      </c>
      <c r="AX183" s="270">
        <f t="shared" si="792"/>
        <v>0</v>
      </c>
      <c r="AY183" s="270">
        <f t="shared" si="792"/>
        <v>0</v>
      </c>
      <c r="AZ183" s="270">
        <f t="shared" si="792"/>
        <v>0</v>
      </c>
      <c r="BA183" s="270">
        <f t="shared" si="792"/>
        <v>0</v>
      </c>
      <c r="BB183" s="270">
        <f t="shared" si="792"/>
        <v>0</v>
      </c>
      <c r="BC183" s="270">
        <f t="shared" si="792"/>
        <v>0</v>
      </c>
      <c r="BD183" s="270">
        <f t="shared" si="792"/>
        <v>0</v>
      </c>
      <c r="BE183" s="270">
        <f t="shared" si="792"/>
        <v>0</v>
      </c>
      <c r="BF183" s="270">
        <f t="shared" si="792"/>
        <v>0</v>
      </c>
      <c r="BG183" s="270">
        <f t="shared" si="792"/>
        <v>0</v>
      </c>
      <c r="BH183" s="270">
        <f t="shared" si="792"/>
        <v>0</v>
      </c>
      <c r="BI183" s="270">
        <f t="shared" si="792"/>
        <v>0</v>
      </c>
      <c r="BJ183" s="270">
        <f t="shared" si="792"/>
        <v>0</v>
      </c>
      <c r="BK183" s="270">
        <f t="shared" si="792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81"/>
        <v>#DIV/0!</v>
      </c>
      <c r="H184" s="94" t="e">
        <f t="shared" si="782"/>
        <v>#DIV/0!</v>
      </c>
      <c r="I184" s="95"/>
      <c r="J184" s="146">
        <v>376.89</v>
      </c>
      <c r="K184" s="146"/>
      <c r="L184" s="272"/>
      <c r="M184" s="97">
        <f t="shared" ref="M184:O184" si="793">Y184+AB184+AE184+AH184+AK184+AN184+AQ184+AT184+AW184+AZ184+BC184+BF184</f>
        <v>0</v>
      </c>
      <c r="N184" s="97">
        <f t="shared" si="793"/>
        <v>0</v>
      </c>
      <c r="O184" s="97">
        <f t="shared" si="793"/>
        <v>0</v>
      </c>
      <c r="P184" s="97">
        <f t="shared" ref="P184:R184" si="794">IF(BI184=0,SUM(Y184+AB184+AE184+AH184+AK184+AN184+AQ184+AT184+AW184+AZ184+BC184+BF184),BI184)</f>
        <v>0</v>
      </c>
      <c r="Q184" s="97">
        <f t="shared" si="794"/>
        <v>0</v>
      </c>
      <c r="R184" s="97">
        <f t="shared" si="794"/>
        <v>0</v>
      </c>
      <c r="S184" s="97">
        <f t="shared" ref="S184:T184" si="795">I184-M184</f>
        <v>0</v>
      </c>
      <c r="T184" s="97">
        <f t="shared" si="795"/>
        <v>376.89</v>
      </c>
      <c r="U184" s="97">
        <f t="shared" ref="U184:U187" si="796">L184-O184</f>
        <v>0</v>
      </c>
      <c r="V184" s="98" t="e">
        <f t="shared" ref="V184:W184" si="797">M184/I184</f>
        <v>#DIV/0!</v>
      </c>
      <c r="W184" s="98">
        <f t="shared" si="797"/>
        <v>0</v>
      </c>
      <c r="X184" s="98" t="e">
        <f t="shared" si="742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98">Y185+AB185+AE185+AH185+AK185+AN185+AQ185+AT185+AW185+AZ185+BC185+BF185</f>
        <v>0</v>
      </c>
      <c r="N185" s="97">
        <f t="shared" si="798"/>
        <v>0</v>
      </c>
      <c r="O185" s="97">
        <f t="shared" si="798"/>
        <v>0</v>
      </c>
      <c r="P185" s="97">
        <f t="shared" ref="P185:R185" si="799">IF(BI185=0,SUM(Y185+AB185+AE185+AH185+AK185+AN185+AQ185+AT185+AW185+AZ185+BC185+BF185),BI185)</f>
        <v>0</v>
      </c>
      <c r="Q185" s="97">
        <f t="shared" si="799"/>
        <v>0</v>
      </c>
      <c r="R185" s="97">
        <f t="shared" si="799"/>
        <v>0</v>
      </c>
      <c r="S185" s="97">
        <f t="shared" ref="S185:T185" si="800">I185-M185</f>
        <v>0</v>
      </c>
      <c r="T185" s="97">
        <f t="shared" si="800"/>
        <v>358.04</v>
      </c>
      <c r="U185" s="97">
        <f t="shared" si="796"/>
        <v>0</v>
      </c>
      <c r="V185" s="98" t="e">
        <f t="shared" ref="V185:W185" si="801">M185/I185</f>
        <v>#DIV/0!</v>
      </c>
      <c r="W185" s="98">
        <f t="shared" si="801"/>
        <v>0</v>
      </c>
      <c r="X185" s="98" t="e">
        <f t="shared" si="742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802">I186/E186</f>
        <v>#DIV/0!</v>
      </c>
      <c r="H186" s="94" t="e">
        <f t="shared" ref="H186:H187" si="803">M186/E186</f>
        <v>#DIV/0!</v>
      </c>
      <c r="I186" s="95"/>
      <c r="J186" s="95"/>
      <c r="K186" s="95"/>
      <c r="L186" s="272"/>
      <c r="M186" s="97">
        <f t="shared" ref="M186:O186" si="804">Y186+AB186+AE186+AH186+AK186+AN186+AQ186+AT186+AW186+AZ186+BC186+BF186</f>
        <v>0</v>
      </c>
      <c r="N186" s="97">
        <f t="shared" si="804"/>
        <v>0</v>
      </c>
      <c r="O186" s="97">
        <f t="shared" si="804"/>
        <v>0</v>
      </c>
      <c r="P186" s="97">
        <f t="shared" ref="P186:R186" si="805">IF(BI186=0,SUM(Y186+AB186+AE186+AH186+AK186+AN186+AQ186+AT186+AW186+AZ186+BC186+BF186),BI186)</f>
        <v>0</v>
      </c>
      <c r="Q186" s="97">
        <f t="shared" si="805"/>
        <v>0</v>
      </c>
      <c r="R186" s="97">
        <f t="shared" si="805"/>
        <v>0</v>
      </c>
      <c r="S186" s="97">
        <f t="shared" ref="S186:T186" si="806">I186-M186</f>
        <v>0</v>
      </c>
      <c r="T186" s="97">
        <f t="shared" si="806"/>
        <v>0</v>
      </c>
      <c r="U186" s="97">
        <f t="shared" si="796"/>
        <v>0</v>
      </c>
      <c r="V186" s="98" t="e">
        <f t="shared" ref="V186:W186" si="807">M186/I186</f>
        <v>#DIV/0!</v>
      </c>
      <c r="W186" s="98" t="e">
        <f t="shared" si="807"/>
        <v>#DIV/0!</v>
      </c>
      <c r="X186" s="98" t="e">
        <f t="shared" si="742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802"/>
        <v>#DIV/0!</v>
      </c>
      <c r="H187" s="94" t="e">
        <f t="shared" si="803"/>
        <v>#DIV/0!</v>
      </c>
      <c r="I187" s="95"/>
      <c r="J187" s="95"/>
      <c r="K187" s="95"/>
      <c r="L187" s="276"/>
      <c r="M187" s="97">
        <f t="shared" ref="M187:O187" si="808">Y187+AB187+AE187+AH187+AK187+AN187+AQ187+AT187+AW187+AZ187+BC187+BF187</f>
        <v>0</v>
      </c>
      <c r="N187" s="97">
        <f t="shared" si="808"/>
        <v>0</v>
      </c>
      <c r="O187" s="97">
        <f t="shared" si="808"/>
        <v>0</v>
      </c>
      <c r="P187" s="97">
        <f t="shared" ref="P187:R187" si="809">IF(BI187=0,SUM(Y187+AB187+AE187+AH187+AK187+AN187+AQ187+AT187+AW187+AZ187+BC187+BF187),BI187)</f>
        <v>0</v>
      </c>
      <c r="Q187" s="97">
        <f t="shared" si="809"/>
        <v>0</v>
      </c>
      <c r="R187" s="97">
        <f t="shared" si="809"/>
        <v>0</v>
      </c>
      <c r="S187" s="97">
        <f t="shared" ref="S187:T187" si="810">I187-M187</f>
        <v>0</v>
      </c>
      <c r="T187" s="97">
        <f t="shared" si="810"/>
        <v>0</v>
      </c>
      <c r="U187" s="97">
        <f t="shared" si="796"/>
        <v>0</v>
      </c>
      <c r="V187" s="98" t="e">
        <f t="shared" ref="V187:W187" si="811">M187/I187</f>
        <v>#DIV/0!</v>
      </c>
      <c r="W187" s="98" t="e">
        <f t="shared" si="811"/>
        <v>#DIV/0!</v>
      </c>
      <c r="X187" s="98" t="e">
        <f t="shared" si="742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812">E4+E12+E67+E96+E159</f>
        <v>2379653.64</v>
      </c>
      <c r="F190" s="291">
        <f t="shared" si="812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396609</v>
      </c>
      <c r="F191" s="299">
        <f>SUM(AE191:BB191)+SUM(AE193:BB193)</f>
        <v>302013.17</v>
      </c>
      <c r="G191" s="300">
        <f t="shared" ref="G191:H191" si="813">E191/E190</f>
        <v>0.16666669188042002</v>
      </c>
      <c r="H191" s="300">
        <f t="shared" si="813"/>
        <v>6.545025676229653E-2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03"/>
      <c r="AC191" s="303"/>
      <c r="AD191" s="303"/>
      <c r="AE191" s="301"/>
      <c r="AF191" s="351">
        <f>72000+53000</f>
        <v>125000</v>
      </c>
      <c r="AG191" s="302"/>
      <c r="AH191" s="303"/>
      <c r="AI191" s="303"/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03"/>
      <c r="BA191" s="303"/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132452.21</v>
      </c>
      <c r="F192" s="291">
        <f>L192</f>
        <v>0</v>
      </c>
      <c r="G192" s="300">
        <f t="shared" ref="G192:H192" si="814">E192/E191</f>
        <v>0.3339616851861657</v>
      </c>
      <c r="H192" s="300">
        <f t="shared" si="814"/>
        <v>0</v>
      </c>
      <c r="I192" s="304">
        <f t="shared" ref="I192:J192" si="815">I4+I12+I67+I96+I159</f>
        <v>132452.21</v>
      </c>
      <c r="J192" s="304">
        <f t="shared" si="815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1725.32</v>
      </c>
      <c r="F193" s="291">
        <f>O193</f>
        <v>0</v>
      </c>
      <c r="G193" s="300">
        <f t="shared" ref="G193:H193" si="816">E193/E191</f>
        <v>4.350178639415646E-3</v>
      </c>
      <c r="H193" s="300">
        <f t="shared" si="816"/>
        <v>0</v>
      </c>
      <c r="I193" s="308"/>
      <c r="J193" s="308"/>
      <c r="K193" s="308"/>
      <c r="L193" s="308"/>
      <c r="M193" s="299">
        <f t="shared" ref="M193:O193" si="817">M4+M12+M67+M96+M159</f>
        <v>1725.32</v>
      </c>
      <c r="N193" s="299">
        <f t="shared" si="817"/>
        <v>668465.60000000009</v>
      </c>
      <c r="O193" s="299">
        <f t="shared" si="817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2029.32</v>
      </c>
      <c r="F194" s="291">
        <f>R194</f>
        <v>0</v>
      </c>
      <c r="G194" s="300">
        <f t="shared" ref="G194:H194" si="818">E194/E191</f>
        <v>5.1166766260977437E-3</v>
      </c>
      <c r="H194" s="300">
        <f t="shared" si="818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19">P4+P12+P67+P96+P159</f>
        <v>2029.32</v>
      </c>
      <c r="Q194" s="304">
        <f t="shared" si="819"/>
        <v>721258.90999999992</v>
      </c>
      <c r="R194" s="304">
        <f t="shared" si="819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20">E190-E191</f>
        <v>1983044.6400000001</v>
      </c>
      <c r="F195" s="313">
        <f t="shared" si="820"/>
        <v>4312379.2700000005</v>
      </c>
      <c r="G195" s="314">
        <f t="shared" ref="G195:H195" si="821">E195/E190</f>
        <v>0.83333330811957995</v>
      </c>
      <c r="H195" s="314">
        <f t="shared" si="821"/>
        <v>0.93454974323770346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264156.79000000004</v>
      </c>
      <c r="F196" s="315">
        <f>F191-L192</f>
        <v>302013.17</v>
      </c>
      <c r="G196" s="314">
        <f t="shared" ref="G196:H196" si="822">E196/E191</f>
        <v>0.66603831481383435</v>
      </c>
      <c r="H196" s="314">
        <f t="shared" si="822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130726.88999999998</v>
      </c>
      <c r="F197" s="315">
        <f>L192-O193</f>
        <v>0</v>
      </c>
      <c r="G197" s="314">
        <f>E197/I192</f>
        <v>0.98697401878005653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-304</v>
      </c>
      <c r="F198" s="315">
        <f>O193-R194</f>
        <v>0</v>
      </c>
      <c r="G198" s="314">
        <f>E198/M193</f>
        <v>-0.17619919782996779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1797544.87</v>
      </c>
      <c r="F199" s="321"/>
      <c r="G199" s="322">
        <f>E199/J192</f>
        <v>0.72892832040571176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1:68" ht="15.75" customHeight="1">
      <c r="C225" s="345"/>
      <c r="E225" s="21"/>
      <c r="F225" s="21"/>
      <c r="K225" s="21"/>
      <c r="W225" s="344"/>
    </row>
    <row r="226" spans="1:68" ht="15.75" customHeight="1">
      <c r="A226" s="346" t="s">
        <v>460</v>
      </c>
      <c r="B226" s="346"/>
      <c r="C226" s="347"/>
      <c r="D226" s="346"/>
      <c r="E226" s="21"/>
      <c r="F226" s="21"/>
      <c r="K226" s="21"/>
      <c r="W226" s="344"/>
    </row>
    <row r="227" spans="1:68" ht="15.75" customHeight="1">
      <c r="A227" s="346" t="s">
        <v>461</v>
      </c>
      <c r="B227" s="346"/>
      <c r="C227" s="347"/>
      <c r="D227" s="346"/>
      <c r="E227" s="21"/>
      <c r="F227" s="21"/>
      <c r="K227" s="21"/>
      <c r="W227" s="344"/>
    </row>
    <row r="228" spans="1:68" ht="15.75" customHeight="1">
      <c r="C228" s="345"/>
      <c r="E228" s="21"/>
      <c r="F228" s="21"/>
      <c r="K228" s="21"/>
      <c r="W228" s="344"/>
    </row>
    <row r="229" spans="1:68" ht="15.75" customHeight="1">
      <c r="C229" s="345"/>
      <c r="E229" s="21"/>
      <c r="F229" s="21"/>
      <c r="K229" s="21"/>
      <c r="W229" s="344"/>
    </row>
    <row r="230" spans="1:68" ht="15.75" customHeight="1">
      <c r="C230" s="345"/>
      <c r="E230" s="21"/>
      <c r="F230" s="21"/>
      <c r="K230" s="21"/>
      <c r="W230" s="344"/>
    </row>
    <row r="231" spans="1:68" ht="15.75" customHeight="1">
      <c r="A231" s="348" t="s">
        <v>462</v>
      </c>
      <c r="B231" s="348">
        <v>8188000000</v>
      </c>
      <c r="C231" s="349">
        <v>70000</v>
      </c>
      <c r="E231" s="21"/>
      <c r="F231" s="21"/>
      <c r="K231" s="21"/>
      <c r="W231" s="344"/>
    </row>
    <row r="232" spans="1:68" ht="15.75" customHeight="1">
      <c r="A232" s="348" t="s">
        <v>463</v>
      </c>
      <c r="B232" s="348">
        <v>8188000000</v>
      </c>
      <c r="C232" s="349">
        <v>109295.41</v>
      </c>
      <c r="E232" s="21"/>
      <c r="F232" s="21"/>
      <c r="K232" s="21"/>
      <c r="W232" s="344"/>
    </row>
    <row r="233" spans="1:68" ht="15.75" customHeight="1">
      <c r="A233" s="348" t="s">
        <v>464</v>
      </c>
      <c r="B233" s="348">
        <v>113150072</v>
      </c>
      <c r="C233" s="349">
        <v>92791.6</v>
      </c>
      <c r="E233" s="21"/>
      <c r="F233" s="21"/>
      <c r="K233" s="21"/>
      <c r="W233" s="344"/>
    </row>
    <row r="234" spans="1:68" ht="15.75" customHeight="1">
      <c r="A234" s="348" t="s">
        <v>465</v>
      </c>
      <c r="B234" s="348">
        <v>8186261010</v>
      </c>
      <c r="C234" s="349">
        <v>249261.22</v>
      </c>
      <c r="E234" s="21"/>
      <c r="F234" s="21"/>
      <c r="K234" s="21"/>
      <c r="W234" s="344"/>
    </row>
    <row r="235" spans="1:68" ht="15.75" customHeight="1">
      <c r="A235" s="348" t="s">
        <v>466</v>
      </c>
      <c r="B235" s="348">
        <v>8100000000</v>
      </c>
      <c r="C235" s="349">
        <v>37013.43</v>
      </c>
      <c r="E235" s="21"/>
      <c r="F235" s="21"/>
      <c r="K235" s="21"/>
      <c r="W235" s="344"/>
    </row>
    <row r="236" spans="1:68" ht="15.75" customHeight="1">
      <c r="A236" s="348" t="s">
        <v>467</v>
      </c>
      <c r="B236" s="348">
        <v>8100000000</v>
      </c>
      <c r="C236" s="349">
        <v>83705.490000000005</v>
      </c>
      <c r="E236" s="21"/>
      <c r="F236" s="21"/>
      <c r="K236" s="21"/>
      <c r="W236" s="344"/>
    </row>
    <row r="237" spans="1:68" ht="15.75" customHeight="1">
      <c r="A237" s="348" t="s">
        <v>468</v>
      </c>
      <c r="B237" s="348">
        <v>8186261010</v>
      </c>
      <c r="C237" s="349">
        <v>572638.71999999997</v>
      </c>
      <c r="E237" s="21"/>
      <c r="F237" s="21"/>
      <c r="K237" s="21"/>
      <c r="W237" s="344"/>
    </row>
    <row r="238" spans="1:68" ht="15.75" customHeight="1">
      <c r="A238" s="348" t="s">
        <v>363</v>
      </c>
      <c r="B238" s="348">
        <v>10000000</v>
      </c>
      <c r="C238" s="349">
        <v>598600.03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344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</row>
    <row r="239" spans="1:68" ht="15.75" customHeight="1">
      <c r="A239" s="21"/>
      <c r="B239" s="21" t="s">
        <v>413</v>
      </c>
      <c r="C239" s="21"/>
      <c r="E239" s="21"/>
      <c r="F239" s="21"/>
      <c r="K239" s="21"/>
      <c r="W239" s="344"/>
    </row>
    <row r="240" spans="1:68" ht="15.75" customHeight="1">
      <c r="A240" s="348" t="s">
        <v>469</v>
      </c>
      <c r="B240" s="348">
        <v>8100000000</v>
      </c>
      <c r="C240" s="349">
        <v>300000</v>
      </c>
      <c r="E240" s="21"/>
      <c r="F240" s="21"/>
      <c r="K240" s="21"/>
      <c r="W240" s="344"/>
    </row>
    <row r="241" spans="1:23" ht="15.75" customHeight="1">
      <c r="A241" s="348" t="s">
        <v>470</v>
      </c>
      <c r="B241" s="348">
        <v>8100000000</v>
      </c>
      <c r="C241" s="349">
        <v>105000</v>
      </c>
      <c r="E241" s="21"/>
      <c r="F241" s="21"/>
      <c r="K241" s="21"/>
      <c r="W241" s="344"/>
    </row>
    <row r="242" spans="1:23" ht="15.75" customHeight="1">
      <c r="A242" s="348" t="s">
        <v>471</v>
      </c>
      <c r="B242" s="348">
        <v>8100000000</v>
      </c>
      <c r="C242" s="349">
        <v>155726</v>
      </c>
      <c r="E242" s="21"/>
      <c r="F242" s="21"/>
      <c r="K242" s="21"/>
      <c r="W242" s="344"/>
    </row>
    <row r="243" spans="1:23" ht="15.75" customHeight="1">
      <c r="A243" s="348" t="s">
        <v>470</v>
      </c>
      <c r="B243" s="348">
        <v>8100000000</v>
      </c>
      <c r="C243" s="349">
        <v>50000</v>
      </c>
      <c r="E243" s="21"/>
      <c r="F243" s="21"/>
      <c r="K243" s="21"/>
      <c r="W243" s="344"/>
    </row>
    <row r="244" spans="1:23" ht="15.75" customHeight="1">
      <c r="C244" s="345"/>
      <c r="E244" s="21"/>
      <c r="F244" s="21"/>
      <c r="K244" s="21"/>
      <c r="W244" s="344"/>
    </row>
    <row r="245" spans="1:23" ht="15.75" customHeight="1">
      <c r="C245" s="345"/>
      <c r="E245" s="21"/>
      <c r="F245" s="21"/>
      <c r="K245" s="21"/>
      <c r="W245" s="344"/>
    </row>
    <row r="246" spans="1:23" ht="15.75" customHeight="1">
      <c r="C246" s="345"/>
      <c r="E246" s="21"/>
      <c r="F246" s="21"/>
      <c r="K246" s="21"/>
      <c r="W246" s="344"/>
    </row>
    <row r="247" spans="1:23" ht="15.75" customHeight="1">
      <c r="C247" s="345"/>
      <c r="E247" s="21"/>
      <c r="F247" s="21"/>
      <c r="K247" s="21"/>
      <c r="W247" s="344"/>
    </row>
    <row r="248" spans="1:23" ht="15.75" customHeight="1">
      <c r="C248" s="345"/>
      <c r="E248" s="21"/>
      <c r="F248" s="21"/>
      <c r="K248" s="21"/>
      <c r="W248" s="344"/>
    </row>
    <row r="249" spans="1:23" ht="15.75" customHeight="1">
      <c r="C249" s="345"/>
      <c r="E249" s="21"/>
      <c r="F249" s="21"/>
      <c r="K249" s="21"/>
      <c r="W249" s="344"/>
    </row>
    <row r="250" spans="1:23" ht="15.75" customHeight="1">
      <c r="C250" s="345"/>
      <c r="E250" s="21"/>
      <c r="F250" s="21"/>
      <c r="K250" s="21"/>
      <c r="W250" s="344"/>
    </row>
    <row r="251" spans="1:23" ht="15.75" customHeight="1">
      <c r="C251" s="345"/>
      <c r="E251" s="21"/>
      <c r="F251" s="21"/>
      <c r="K251" s="21"/>
      <c r="W251" s="344"/>
    </row>
    <row r="252" spans="1:23" ht="15.75" customHeight="1">
      <c r="C252" s="345"/>
      <c r="E252" s="21"/>
      <c r="F252" s="21"/>
      <c r="K252" s="21"/>
      <c r="W252" s="344"/>
    </row>
    <row r="253" spans="1:23" ht="15.75" customHeight="1">
      <c r="C253" s="345"/>
      <c r="E253" s="21"/>
      <c r="F253" s="21"/>
      <c r="K253" s="21"/>
      <c r="W253" s="344"/>
    </row>
    <row r="254" spans="1:23" ht="15.75" customHeight="1">
      <c r="C254" s="345"/>
      <c r="E254" s="21"/>
      <c r="F254" s="21"/>
      <c r="K254" s="21"/>
      <c r="W254" s="344"/>
    </row>
    <row r="255" spans="1:23" ht="15.75" customHeight="1">
      <c r="C255" s="345"/>
      <c r="E255" s="21"/>
      <c r="F255" s="21"/>
      <c r="K255" s="21"/>
      <c r="W255" s="344"/>
    </row>
    <row r="256" spans="1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  <row r="377" spans="3:23" ht="15.75" customHeight="1">
      <c r="C377" s="345"/>
      <c r="E377" s="21"/>
      <c r="F377" s="21"/>
      <c r="K377" s="21"/>
      <c r="W377" s="344"/>
    </row>
    <row r="378" spans="3:23" ht="15.75" customHeight="1">
      <c r="C378" s="345"/>
      <c r="E378" s="21"/>
      <c r="F378" s="21"/>
      <c r="K378" s="21"/>
      <c r="W378" s="344"/>
    </row>
    <row r="379" spans="3:23" ht="15.75" customHeight="1">
      <c r="C379" s="345"/>
      <c r="E379" s="21"/>
      <c r="F379" s="21"/>
      <c r="K379" s="21"/>
      <c r="W379" s="344"/>
    </row>
    <row r="380" spans="3:23" ht="15.75" customHeight="1">
      <c r="C380" s="345"/>
      <c r="E380" s="21"/>
      <c r="F380" s="21"/>
      <c r="K380" s="21"/>
      <c r="W380" s="344"/>
    </row>
    <row r="381" spans="3:23" ht="15.75" customHeight="1">
      <c r="C381" s="345"/>
      <c r="E381" s="21"/>
      <c r="F381" s="21"/>
      <c r="K381" s="21"/>
      <c r="W381" s="344"/>
    </row>
    <row r="382" spans="3:23" ht="15.75" customHeight="1">
      <c r="C382" s="345"/>
      <c r="E382" s="21"/>
      <c r="F382" s="21"/>
      <c r="K382" s="21"/>
      <c r="W382" s="344"/>
    </row>
    <row r="383" spans="3:23" ht="15.75" customHeight="1">
      <c r="C383" s="345"/>
      <c r="E383" s="21"/>
      <c r="F383" s="21"/>
      <c r="K383" s="21"/>
      <c r="W383" s="344"/>
    </row>
    <row r="384" spans="3:23" ht="15.75" customHeight="1">
      <c r="C384" s="345"/>
      <c r="E384" s="21"/>
      <c r="F384" s="21"/>
      <c r="K384" s="21"/>
      <c r="W384" s="344"/>
    </row>
    <row r="385" spans="3:23" ht="15.75" customHeight="1">
      <c r="C385" s="345"/>
      <c r="E385" s="21"/>
      <c r="F385" s="21"/>
      <c r="K385" s="21"/>
      <c r="W385" s="344"/>
    </row>
    <row r="386" spans="3:23" ht="15.75" customHeight="1">
      <c r="C386" s="345"/>
      <c r="E386" s="21"/>
      <c r="F386" s="21"/>
      <c r="K386" s="21"/>
      <c r="W386" s="344"/>
    </row>
    <row r="387" spans="3:23" ht="15.75" customHeight="1">
      <c r="C387" s="345"/>
      <c r="E387" s="21"/>
      <c r="F387" s="21"/>
      <c r="K387" s="21"/>
      <c r="W387" s="344"/>
    </row>
    <row r="388" spans="3:23" ht="15.75" customHeight="1">
      <c r="C388" s="345"/>
      <c r="E388" s="21"/>
      <c r="F388" s="21"/>
      <c r="K388" s="21"/>
      <c r="W388" s="344"/>
    </row>
    <row r="389" spans="3:23" ht="15.75" customHeight="1">
      <c r="C389" s="345"/>
      <c r="E389" s="21"/>
      <c r="F389" s="21"/>
      <c r="K389" s="21"/>
      <c r="W389" s="344"/>
    </row>
    <row r="390" spans="3:23" ht="15.75" customHeight="1">
      <c r="C390" s="345"/>
      <c r="E390" s="21"/>
      <c r="F390" s="21"/>
      <c r="K390" s="21"/>
      <c r="W390" s="344"/>
    </row>
    <row r="391" spans="3:23" ht="15.75" customHeight="1">
      <c r="C391" s="345"/>
      <c r="E391" s="21"/>
      <c r="F391" s="21"/>
      <c r="K391" s="21"/>
      <c r="W391" s="344"/>
    </row>
    <row r="392" spans="3:23" ht="15.75" customHeight="1">
      <c r="C392" s="345"/>
      <c r="E392" s="21"/>
      <c r="F392" s="21"/>
      <c r="K392" s="21"/>
      <c r="W392" s="344"/>
    </row>
    <row r="393" spans="3:23" ht="15.75" customHeight="1">
      <c r="C393" s="345"/>
      <c r="E393" s="21"/>
      <c r="F393" s="21"/>
      <c r="K393" s="21"/>
      <c r="W393" s="344"/>
    </row>
    <row r="394" spans="3:23" ht="15.75" customHeight="1">
      <c r="C394" s="345"/>
      <c r="E394" s="21"/>
      <c r="F394" s="21"/>
      <c r="K394" s="21"/>
      <c r="W394" s="344"/>
    </row>
    <row r="395" spans="3:23" ht="15.75" customHeight="1">
      <c r="C395" s="345"/>
      <c r="E395" s="21"/>
      <c r="F395" s="21"/>
      <c r="K395" s="21"/>
      <c r="W395" s="344"/>
    </row>
    <row r="396" spans="3:23" ht="15.75" customHeight="1">
      <c r="C396" s="345"/>
      <c r="E396" s="21"/>
      <c r="F396" s="21"/>
      <c r="K396" s="21"/>
      <c r="W396" s="344"/>
    </row>
    <row r="397" spans="3:23" ht="15.75" customHeight="1">
      <c r="C397" s="345"/>
      <c r="E397" s="21"/>
      <c r="F397" s="21"/>
      <c r="K397" s="21"/>
      <c r="W397" s="344"/>
    </row>
    <row r="398" spans="3:23" ht="15.75" customHeight="1">
      <c r="C398" s="345"/>
      <c r="E398" s="21"/>
      <c r="F398" s="21"/>
      <c r="K398" s="21"/>
      <c r="W398" s="344"/>
    </row>
    <row r="399" spans="3:23" ht="15.75" customHeight="1">
      <c r="C399" s="345"/>
      <c r="E399" s="21"/>
      <c r="F399" s="21"/>
      <c r="K399" s="21"/>
      <c r="W399" s="344"/>
    </row>
    <row r="400" spans="3:23" ht="15.75" customHeight="1">
      <c r="C400" s="345"/>
      <c r="E400" s="21"/>
      <c r="F400" s="21"/>
      <c r="K400" s="21"/>
      <c r="W400" s="344"/>
    </row>
    <row r="401" spans="3:23" ht="15.75" customHeight="1">
      <c r="C401" s="345"/>
      <c r="E401" s="21"/>
      <c r="F401" s="21"/>
      <c r="K401" s="21"/>
      <c r="W401" s="344"/>
    </row>
    <row r="402" spans="3:23" ht="15.75" customHeight="1">
      <c r="C402" s="345"/>
      <c r="E402" s="21"/>
      <c r="F402" s="21"/>
      <c r="K402" s="21"/>
      <c r="W402" s="344"/>
    </row>
    <row r="403" spans="3:23" ht="15.75" customHeight="1">
      <c r="C403" s="345"/>
      <c r="E403" s="21"/>
      <c r="F403" s="21"/>
      <c r="K403" s="21"/>
      <c r="W403" s="344"/>
    </row>
    <row r="404" spans="3:23" ht="15.75" customHeight="1">
      <c r="C404" s="345"/>
      <c r="E404" s="21"/>
      <c r="F404" s="21"/>
      <c r="K404" s="21"/>
      <c r="W404" s="344"/>
    </row>
    <row r="405" spans="3:23" ht="15.75" customHeight="1">
      <c r="C405" s="345"/>
      <c r="E405" s="21"/>
      <c r="F405" s="21"/>
      <c r="K405" s="21"/>
      <c r="W405" s="344"/>
    </row>
    <row r="406" spans="3:23" ht="15.75" customHeight="1">
      <c r="C406" s="345"/>
      <c r="E406" s="21"/>
      <c r="F406" s="21"/>
      <c r="K406" s="21"/>
      <c r="W406" s="344"/>
    </row>
    <row r="407" spans="3:23" ht="15.75" customHeight="1">
      <c r="C407" s="345"/>
      <c r="E407" s="21"/>
      <c r="F407" s="21"/>
      <c r="K407" s="21"/>
      <c r="W407" s="344"/>
    </row>
    <row r="408" spans="3:23" ht="15.75" customHeight="1">
      <c r="C408" s="345"/>
      <c r="E408" s="21"/>
      <c r="F408" s="21"/>
      <c r="K408" s="21"/>
      <c r="W408" s="344"/>
    </row>
    <row r="409" spans="3:23" ht="15.75" customHeight="1">
      <c r="C409" s="345"/>
      <c r="E409" s="21"/>
      <c r="F409" s="21"/>
      <c r="K409" s="21"/>
      <c r="W409" s="344"/>
    </row>
    <row r="410" spans="3:23" ht="15.75" customHeight="1">
      <c r="C410" s="345"/>
      <c r="E410" s="21"/>
      <c r="F410" s="21"/>
      <c r="K410" s="21"/>
      <c r="W410" s="344"/>
    </row>
    <row r="411" spans="3:23" ht="15.75" customHeight="1">
      <c r="C411" s="345"/>
      <c r="E411" s="21"/>
      <c r="F411" s="21"/>
      <c r="K411" s="21"/>
      <c r="W411" s="344"/>
    </row>
    <row r="412" spans="3:23" ht="15.75" customHeight="1">
      <c r="C412" s="345"/>
      <c r="E412" s="21"/>
      <c r="F412" s="21"/>
      <c r="K412" s="21"/>
      <c r="W412" s="344"/>
    </row>
    <row r="413" spans="3:23" ht="15.75" customHeight="1">
      <c r="C413" s="345"/>
      <c r="E413" s="21"/>
      <c r="F413" s="21"/>
      <c r="K413" s="21"/>
      <c r="W413" s="344"/>
    </row>
    <row r="414" spans="3:23" ht="15.75" customHeight="1">
      <c r="C414" s="345"/>
      <c r="E414" s="21"/>
      <c r="F414" s="21"/>
      <c r="K414" s="21"/>
      <c r="W414" s="344"/>
    </row>
    <row r="415" spans="3:23" ht="15.75" customHeight="1">
      <c r="C415" s="345"/>
      <c r="E415" s="21"/>
      <c r="F415" s="21"/>
      <c r="K415" s="21"/>
      <c r="W415" s="344"/>
    </row>
    <row r="416" spans="3:23" ht="15.75" customHeight="1">
      <c r="C416" s="345"/>
      <c r="E416" s="21"/>
      <c r="F416" s="21"/>
      <c r="K416" s="21"/>
      <c r="W416" s="344"/>
    </row>
    <row r="417" spans="3:23" ht="15.75" customHeight="1">
      <c r="C417" s="345"/>
      <c r="E417" s="21"/>
      <c r="F417" s="21"/>
      <c r="K417" s="21"/>
      <c r="W417" s="344"/>
    </row>
    <row r="418" spans="3:23" ht="15.75" customHeight="1">
      <c r="C418" s="345"/>
      <c r="E418" s="21"/>
      <c r="F418" s="21"/>
      <c r="K418" s="21"/>
      <c r="W418" s="344"/>
    </row>
    <row r="419" spans="3:23" ht="15.75" customHeight="1">
      <c r="C419" s="345"/>
      <c r="E419" s="21"/>
      <c r="F419" s="21"/>
      <c r="K419" s="21"/>
      <c r="W419" s="344"/>
    </row>
    <row r="420" spans="3:23" ht="15.75" customHeight="1">
      <c r="C420" s="345"/>
      <c r="E420" s="21"/>
      <c r="F420" s="21"/>
      <c r="K420" s="21"/>
      <c r="W420" s="344"/>
    </row>
    <row r="421" spans="3:23" ht="15.75" customHeight="1">
      <c r="C421" s="345"/>
      <c r="E421" s="21"/>
      <c r="F421" s="21"/>
      <c r="K421" s="21"/>
      <c r="W421" s="344"/>
    </row>
    <row r="422" spans="3:23" ht="15.75" customHeight="1">
      <c r="C422" s="345"/>
      <c r="E422" s="21"/>
      <c r="F422" s="21"/>
      <c r="K422" s="21"/>
      <c r="W422" s="344"/>
    </row>
    <row r="423" spans="3:23" ht="15.75" customHeight="1">
      <c r="C423" s="345"/>
      <c r="E423" s="21"/>
      <c r="F423" s="21"/>
      <c r="K423" s="21"/>
      <c r="W423" s="344"/>
    </row>
    <row r="424" spans="3:23" ht="15.75" customHeight="1">
      <c r="C424" s="345"/>
      <c r="E424" s="21"/>
      <c r="F424" s="21"/>
      <c r="K424" s="21"/>
      <c r="W424" s="344"/>
    </row>
    <row r="425" spans="3:23" ht="15.75" customHeight="1">
      <c r="C425" s="345"/>
      <c r="E425" s="21"/>
      <c r="F425" s="21"/>
      <c r="K425" s="21"/>
      <c r="W425" s="344"/>
    </row>
    <row r="426" spans="3:23" ht="15.75" customHeight="1">
      <c r="C426" s="345"/>
      <c r="E426" s="21"/>
      <c r="F426" s="21"/>
      <c r="K426" s="21"/>
      <c r="W426" s="344"/>
    </row>
    <row r="427" spans="3:23" ht="15.75" customHeight="1">
      <c r="C427" s="345"/>
      <c r="E427" s="21"/>
      <c r="F427" s="21"/>
      <c r="K427" s="21"/>
      <c r="W427" s="344"/>
    </row>
    <row r="428" spans="3:23" ht="15.75" customHeight="1">
      <c r="C428" s="345"/>
      <c r="E428" s="21"/>
      <c r="F428" s="21"/>
      <c r="K428" s="21"/>
      <c r="W428" s="344"/>
    </row>
    <row r="429" spans="3:23" ht="15.75" customHeight="1">
      <c r="C429" s="345"/>
      <c r="E429" s="21"/>
      <c r="F429" s="21"/>
      <c r="K429" s="21"/>
      <c r="W429" s="344"/>
    </row>
    <row r="430" spans="3:23" ht="15.75" customHeight="1">
      <c r="C430" s="345"/>
      <c r="E430" s="21"/>
      <c r="F430" s="21"/>
      <c r="K430" s="21"/>
      <c r="W430" s="344"/>
    </row>
    <row r="431" spans="3:23" ht="15.75" customHeight="1">
      <c r="C431" s="345"/>
      <c r="E431" s="21"/>
      <c r="F431" s="21"/>
      <c r="K431" s="21"/>
      <c r="W431" s="344"/>
    </row>
    <row r="432" spans="3:23" ht="15.75" customHeight="1">
      <c r="C432" s="345"/>
      <c r="E432" s="21"/>
      <c r="F432" s="21"/>
      <c r="K432" s="21"/>
      <c r="W432" s="344"/>
    </row>
    <row r="433" spans="3:23" ht="15.75" customHeight="1">
      <c r="C433" s="345"/>
      <c r="E433" s="21"/>
      <c r="F433" s="21"/>
      <c r="K433" s="21"/>
      <c r="W433" s="344"/>
    </row>
    <row r="434" spans="3:23" ht="15.75" customHeight="1">
      <c r="C434" s="345"/>
      <c r="E434" s="21"/>
      <c r="F434" s="21"/>
      <c r="K434" s="21"/>
      <c r="W434" s="344"/>
    </row>
    <row r="435" spans="3:23" ht="15.75" customHeight="1">
      <c r="C435" s="345"/>
      <c r="E435" s="21"/>
      <c r="F435" s="21"/>
      <c r="K435" s="21"/>
      <c r="W435" s="344"/>
    </row>
    <row r="436" spans="3:23" ht="15.75" customHeight="1">
      <c r="C436" s="345"/>
      <c r="E436" s="21"/>
      <c r="F436" s="21"/>
      <c r="K436" s="21"/>
      <c r="W436" s="344"/>
    </row>
    <row r="437" spans="3:23" ht="15.75" customHeight="1">
      <c r="C437" s="345"/>
      <c r="E437" s="21"/>
      <c r="F437" s="21"/>
      <c r="K437" s="21"/>
      <c r="W437" s="344"/>
    </row>
    <row r="438" spans="3:23" ht="15.75" customHeight="1">
      <c r="C438" s="345"/>
      <c r="E438" s="21"/>
      <c r="F438" s="21"/>
      <c r="K438" s="21"/>
      <c r="W438" s="344"/>
    </row>
    <row r="439" spans="3:23" ht="15.75" customHeight="1">
      <c r="C439" s="345"/>
      <c r="E439" s="21"/>
      <c r="F439" s="21"/>
      <c r="K439" s="21"/>
      <c r="W439" s="344"/>
    </row>
    <row r="440" spans="3:23" ht="15.75" customHeight="1">
      <c r="C440" s="345"/>
      <c r="E440" s="21"/>
      <c r="F440" s="21"/>
      <c r="K440" s="21"/>
      <c r="W440" s="344"/>
    </row>
    <row r="441" spans="3:23" ht="15.75" customHeight="1">
      <c r="C441" s="345"/>
      <c r="E441" s="21"/>
      <c r="F441" s="21"/>
      <c r="K441" s="21"/>
      <c r="W441" s="344"/>
    </row>
    <row r="442" spans="3:23" ht="15.75" customHeight="1">
      <c r="C442" s="345"/>
      <c r="E442" s="21"/>
      <c r="F442" s="21"/>
      <c r="K442" s="21"/>
      <c r="W442" s="344"/>
    </row>
    <row r="443" spans="3:23" ht="15.75" customHeight="1">
      <c r="C443" s="345"/>
      <c r="E443" s="21"/>
      <c r="F443" s="21"/>
      <c r="K443" s="21"/>
      <c r="W443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7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7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7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7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70" priority="5" operator="greaterThanOrEqual">
      <formula>"100%"</formula>
    </cfRule>
  </conditionalFormatting>
  <conditionalFormatting sqref="V137:X139">
    <cfRule type="cellIs" dxfId="169" priority="6" operator="between">
      <formula>"0%"</formula>
      <formula>"25%"</formula>
    </cfRule>
  </conditionalFormatting>
  <conditionalFormatting sqref="V137:X139">
    <cfRule type="cellIs" dxfId="168" priority="7" operator="between">
      <formula>"25.01%"</formula>
      <formula>"50%"</formula>
    </cfRule>
  </conditionalFormatting>
  <conditionalFormatting sqref="V137:X139">
    <cfRule type="cellIs" dxfId="167" priority="8" operator="between">
      <formula>"50.01%"</formula>
      <formula>"75%"</formula>
    </cfRule>
  </conditionalFormatting>
  <conditionalFormatting sqref="V137:X139">
    <cfRule type="cellIs" dxfId="166" priority="9" operator="between">
      <formula>"75.01%"</formula>
      <formula>"99.99%"</formula>
    </cfRule>
  </conditionalFormatting>
  <conditionalFormatting sqref="V137:X139">
    <cfRule type="cellIs" dxfId="165" priority="10" operator="greaterThanOrEqual">
      <formula>"100%"</formula>
    </cfRule>
  </conditionalFormatting>
  <conditionalFormatting sqref="G90:H91 V90:X91">
    <cfRule type="cellIs" dxfId="164" priority="11" operator="between">
      <formula>"0%"</formula>
      <formula>"25%"</formula>
    </cfRule>
  </conditionalFormatting>
  <conditionalFormatting sqref="G90:H91 V90:X91">
    <cfRule type="cellIs" dxfId="163" priority="12" operator="between">
      <formula>"25.01%"</formula>
      <formula>"50%"</formula>
    </cfRule>
  </conditionalFormatting>
  <conditionalFormatting sqref="G90:H91 V90:X91">
    <cfRule type="cellIs" dxfId="162" priority="13" operator="between">
      <formula>"50.01%"</formula>
      <formula>"75%"</formula>
    </cfRule>
  </conditionalFormatting>
  <conditionalFormatting sqref="G90:H91 V90:X91">
    <cfRule type="cellIs" dxfId="161" priority="14" operator="between">
      <formula>"75.01%"</formula>
      <formula>"99.99%"</formula>
    </cfRule>
  </conditionalFormatting>
  <conditionalFormatting sqref="G90:H91 V90:X91">
    <cfRule type="cellIs" dxfId="160" priority="15" operator="greaterThanOrEqual">
      <formula>"100%"</formula>
    </cfRule>
  </conditionalFormatting>
  <conditionalFormatting sqref="G5:H5 V5:X5">
    <cfRule type="cellIs" dxfId="159" priority="16" operator="between">
      <formula>"0%"</formula>
      <formula>"25%"</formula>
    </cfRule>
  </conditionalFormatting>
  <conditionalFormatting sqref="G5:H5 V5:X5">
    <cfRule type="cellIs" dxfId="158" priority="17" operator="between">
      <formula>"25.01%"</formula>
      <formula>"50%"</formula>
    </cfRule>
  </conditionalFormatting>
  <conditionalFormatting sqref="G5:H5 V5:X5">
    <cfRule type="cellIs" dxfId="157" priority="18" operator="between">
      <formula>"50.01%"</formula>
      <formula>"75%"</formula>
    </cfRule>
  </conditionalFormatting>
  <conditionalFormatting sqref="G5:H5 V5:X5">
    <cfRule type="cellIs" dxfId="156" priority="19" operator="between">
      <formula>"75.01%"</formula>
      <formula>"99.99%"</formula>
    </cfRule>
  </conditionalFormatting>
  <conditionalFormatting sqref="G5:H5 V5:X5">
    <cfRule type="cellIs" dxfId="155" priority="20" operator="greaterThanOrEqual">
      <formula>"100%"</formula>
    </cfRule>
  </conditionalFormatting>
  <conditionalFormatting sqref="G69:H69 V69:X69">
    <cfRule type="cellIs" dxfId="154" priority="21" operator="between">
      <formula>"0%"</formula>
      <formula>"25%"</formula>
    </cfRule>
  </conditionalFormatting>
  <conditionalFormatting sqref="G69:H69 V69:X69">
    <cfRule type="cellIs" dxfId="153" priority="22" operator="between">
      <formula>"25.01%"</formula>
      <formula>"50%"</formula>
    </cfRule>
  </conditionalFormatting>
  <conditionalFormatting sqref="G69:H69 V69:X69">
    <cfRule type="cellIs" dxfId="152" priority="23" operator="between">
      <formula>"50.01%"</formula>
      <formula>"75%"</formula>
    </cfRule>
  </conditionalFormatting>
  <conditionalFormatting sqref="G69:H69 V69:X69">
    <cfRule type="cellIs" dxfId="151" priority="24" operator="between">
      <formula>"75.01%"</formula>
      <formula>"99.99%"</formula>
    </cfRule>
  </conditionalFormatting>
  <conditionalFormatting sqref="G69:H69 V69:X69">
    <cfRule type="cellIs" dxfId="150" priority="25" operator="greaterThanOrEqual">
      <formula>"100%"</formula>
    </cfRule>
  </conditionalFormatting>
  <pageMargins left="0.78749999999999998" right="0.78749999999999998" top="0.51180555555555496" bottom="0.51180555555555496" header="0" footer="0"/>
  <pageSetup paperSize="9" scale="70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/>
  </sheetViews>
  <sheetFormatPr defaultColWidth="14.42578125" defaultRowHeight="15" customHeight="1"/>
  <cols>
    <col min="1" max="1" width="16.85546875" customWidth="1"/>
    <col min="2" max="2" width="28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9.6786089424341595E-2</v>
      </c>
      <c r="H3" s="79">
        <f t="shared" ref="H3:H4" si="2">M3/E3</f>
        <v>8.7881150636695167E-3</v>
      </c>
      <c r="I3" s="80">
        <f t="shared" ref="I3:O3" si="3">I4+I12+I67+I96+I159</f>
        <v>230317.37</v>
      </c>
      <c r="J3" s="80">
        <f t="shared" si="3"/>
        <v>2466010.4700000002</v>
      </c>
      <c r="K3" s="80">
        <f t="shared" si="3"/>
        <v>16426.96</v>
      </c>
      <c r="L3" s="80">
        <f t="shared" si="3"/>
        <v>0</v>
      </c>
      <c r="M3" s="81">
        <f t="shared" si="3"/>
        <v>20912.669999999998</v>
      </c>
      <c r="N3" s="81">
        <f t="shared" si="3"/>
        <v>986273.48999999987</v>
      </c>
      <c r="O3" s="81">
        <f t="shared" si="3"/>
        <v>0</v>
      </c>
      <c r="P3" s="82">
        <f t="shared" ref="P3:R3" si="4">IF(BI3=0,SUM(Y3+AB3+AE3+AH3+AK3+AN3+AQ3+AT3+AW3+AZ3+BC3+BF3),BI3)</f>
        <v>20912.669999999998</v>
      </c>
      <c r="Q3" s="82">
        <f t="shared" si="4"/>
        <v>986273.49</v>
      </c>
      <c r="R3" s="69">
        <f t="shared" si="4"/>
        <v>0</v>
      </c>
      <c r="S3" s="71">
        <f t="shared" ref="S3:U3" si="5">S4+S12+S67+S96+S159</f>
        <v>208841.69999999998</v>
      </c>
      <c r="T3" s="71">
        <f t="shared" si="5"/>
        <v>1463310.0200000003</v>
      </c>
      <c r="U3" s="71">
        <f t="shared" si="5"/>
        <v>0</v>
      </c>
      <c r="V3" s="73">
        <f t="shared" ref="V3:W3" si="6">M3/I3</f>
        <v>9.0799360899266948E-2</v>
      </c>
      <c r="W3" s="73">
        <f t="shared" si="6"/>
        <v>0.39994700022502327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0</v>
      </c>
      <c r="AL3" s="83">
        <f t="shared" si="8"/>
        <v>0</v>
      </c>
      <c r="AM3" s="83">
        <f t="shared" si="8"/>
        <v>0</v>
      </c>
      <c r="AN3" s="83">
        <f t="shared" si="8"/>
        <v>0</v>
      </c>
      <c r="AO3" s="83">
        <f t="shared" si="8"/>
        <v>0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4.8305133737124202E-2</v>
      </c>
      <c r="H4" s="88">
        <f t="shared" si="2"/>
        <v>6.2541570085544113E-3</v>
      </c>
      <c r="I4" s="87">
        <f>SUM(I5:I11)</f>
        <v>2348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1950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1950</v>
      </c>
      <c r="R4" s="87">
        <f t="shared" si="10"/>
        <v>0</v>
      </c>
      <c r="S4" s="87">
        <f t="shared" ref="S4:U4" si="11">SUM(S5:S11)</f>
        <v>2044</v>
      </c>
      <c r="T4" s="87">
        <f t="shared" si="11"/>
        <v>15833.25</v>
      </c>
      <c r="U4" s="87">
        <f t="shared" si="11"/>
        <v>0</v>
      </c>
      <c r="V4" s="87">
        <f t="shared" ref="V4:W4" si="12">M4/I4</f>
        <v>0.12947189097103917</v>
      </c>
      <c r="W4" s="88">
        <f t="shared" si="12"/>
        <v>0.10965374720593818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>SUM(AI5:AI11)</f>
        <v>1950</v>
      </c>
      <c r="AJ4" s="87">
        <f t="shared" ref="AJ4:BK4" si="15">SUM(AJ14)</f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0</v>
      </c>
      <c r="AS4" s="87">
        <f t="shared" si="15"/>
        <v>0</v>
      </c>
      <c r="AT4" s="87">
        <f t="shared" si="15"/>
        <v>0</v>
      </c>
      <c r="AU4" s="87">
        <f t="shared" si="15"/>
        <v>0</v>
      </c>
      <c r="AV4" s="87">
        <f t="shared" si="15"/>
        <v>0</v>
      </c>
      <c r="AW4" s="87">
        <f t="shared" si="15"/>
        <v>0</v>
      </c>
      <c r="AX4" s="87">
        <f t="shared" si="15"/>
        <v>0</v>
      </c>
      <c r="AY4" s="87">
        <f t="shared" si="15"/>
        <v>0</v>
      </c>
      <c r="AZ4" s="87">
        <f t="shared" si="15"/>
        <v>0</v>
      </c>
      <c r="BA4" s="87">
        <f t="shared" si="15"/>
        <v>0</v>
      </c>
      <c r="BB4" s="87">
        <f t="shared" si="15"/>
        <v>0</v>
      </c>
      <c r="BC4" s="87">
        <f t="shared" si="15"/>
        <v>0</v>
      </c>
      <c r="BD4" s="87">
        <f t="shared" si="15"/>
        <v>0</v>
      </c>
      <c r="BE4" s="87">
        <f t="shared" si="15"/>
        <v>0</v>
      </c>
      <c r="BF4" s="87">
        <f t="shared" si="15"/>
        <v>0</v>
      </c>
      <c r="BG4" s="87">
        <f t="shared" si="15"/>
        <v>0</v>
      </c>
      <c r="BH4" s="87">
        <f t="shared" si="15"/>
        <v>0</v>
      </c>
      <c r="BI4" s="87">
        <f t="shared" si="15"/>
        <v>0</v>
      </c>
      <c r="BJ4" s="87">
        <f t="shared" si="15"/>
        <v>0</v>
      </c>
      <c r="BK4" s="87">
        <f t="shared" si="15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6">Y5+AB5+AE5+AH5+AK5+AN5+AQ5+AT5+AW5+AZ5+BC5+BF5</f>
        <v>0</v>
      </c>
      <c r="N5" s="97">
        <f t="shared" si="16"/>
        <v>0</v>
      </c>
      <c r="O5" s="97">
        <f t="shared" si="16"/>
        <v>0</v>
      </c>
      <c r="P5" s="82">
        <f t="shared" ref="P5:R5" si="17">IF(BI5=0,SUM(Y5+AB5+AE5+AH5+AK5+AN5+AQ5+AT5+AW5+AZ5+BC5+BF5),BI5)</f>
        <v>0</v>
      </c>
      <c r="Q5" s="82">
        <f t="shared" si="17"/>
        <v>0</v>
      </c>
      <c r="R5" s="82">
        <f t="shared" si="17"/>
        <v>0</v>
      </c>
      <c r="S5" s="97">
        <f t="shared" ref="S5:S11" si="18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9">I6/E6</f>
        <v>0</v>
      </c>
      <c r="H6" s="94">
        <f t="shared" ref="H6:H23" si="20">M6/E6</f>
        <v>0</v>
      </c>
      <c r="I6" s="95"/>
      <c r="J6" s="96"/>
      <c r="K6" s="96"/>
      <c r="L6" s="95"/>
      <c r="M6" s="97">
        <f t="shared" ref="M6:O6" si="21">Y6+AB6+AE6+AH6+AK6+AN6+AQ6+AT6+AW6+AZ6+BC6+BF6</f>
        <v>0</v>
      </c>
      <c r="N6" s="97">
        <f t="shared" si="21"/>
        <v>0</v>
      </c>
      <c r="O6" s="97">
        <f t="shared" si="21"/>
        <v>0</v>
      </c>
      <c r="P6" s="82">
        <f t="shared" ref="P6:R6" si="22">IF(BI6=0,SUM(Y6+AB6+AE6+AH6+AK6+AN6+AQ6+AT6+AW6+AZ6+BC6+BF6),BI6)</f>
        <v>0</v>
      </c>
      <c r="Q6" s="82">
        <f t="shared" si="22"/>
        <v>0</v>
      </c>
      <c r="R6" s="82">
        <f t="shared" si="22"/>
        <v>0</v>
      </c>
      <c r="S6" s="97">
        <f t="shared" si="18"/>
        <v>0</v>
      </c>
      <c r="T6" s="97">
        <f t="shared" ref="T6:T11" si="23">J6-N6</f>
        <v>0</v>
      </c>
      <c r="U6" s="97">
        <f t="shared" ref="U6:U11" si="24">L6-O6</f>
        <v>0</v>
      </c>
      <c r="V6" s="97" t="e">
        <f t="shared" ref="V6:W6" si="25">M6/I6</f>
        <v>#DIV/0!</v>
      </c>
      <c r="W6" s="98" t="e">
        <f t="shared" si="25"/>
        <v>#DIV/0!</v>
      </c>
      <c r="X6" s="98" t="e">
        <f t="shared" ref="X6:X89" si="26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9"/>
        <v>0</v>
      </c>
      <c r="H7" s="94">
        <f t="shared" si="20"/>
        <v>0</v>
      </c>
      <c r="I7" s="95"/>
      <c r="J7" s="96"/>
      <c r="K7" s="96"/>
      <c r="L7" s="95"/>
      <c r="M7" s="97">
        <f t="shared" ref="M7:O7" si="27">Y7+AB7+AE7+AH7+AK7+AN7+AQ7+AT7+AW7+AZ7+BC7+BF7</f>
        <v>0</v>
      </c>
      <c r="N7" s="97">
        <f t="shared" si="27"/>
        <v>0</v>
      </c>
      <c r="O7" s="97">
        <f t="shared" si="27"/>
        <v>0</v>
      </c>
      <c r="P7" s="82">
        <f t="shared" ref="P7:R7" si="28">IF(BI7=0,SUM(Y7+AB7+AE7+AH7+AK7+AN7+AQ7+AT7+AW7+AZ7+BC7+BF7),BI7)</f>
        <v>0</v>
      </c>
      <c r="Q7" s="82">
        <f t="shared" si="28"/>
        <v>0</v>
      </c>
      <c r="R7" s="82">
        <f t="shared" si="28"/>
        <v>0</v>
      </c>
      <c r="S7" s="97">
        <f t="shared" si="18"/>
        <v>0</v>
      </c>
      <c r="T7" s="97">
        <f t="shared" si="23"/>
        <v>0</v>
      </c>
      <c r="U7" s="97">
        <f t="shared" si="24"/>
        <v>0</v>
      </c>
      <c r="V7" s="97" t="e">
        <f t="shared" ref="V7:W7" si="29">M7/I7</f>
        <v>#DIV/0!</v>
      </c>
      <c r="W7" s="98" t="e">
        <f t="shared" si="29"/>
        <v>#DIV/0!</v>
      </c>
      <c r="X7" s="98" t="e">
        <f t="shared" si="26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574</v>
      </c>
      <c r="E8" s="92">
        <v>15127.2</v>
      </c>
      <c r="F8" s="93">
        <v>58483.53</v>
      </c>
      <c r="G8" s="94">
        <f t="shared" si="19"/>
        <v>0</v>
      </c>
      <c r="H8" s="94">
        <f t="shared" si="20"/>
        <v>0</v>
      </c>
      <c r="I8" s="95"/>
      <c r="J8" s="96">
        <v>15833.25</v>
      </c>
      <c r="K8" s="96"/>
      <c r="L8" s="95"/>
      <c r="M8" s="97">
        <f t="shared" ref="M8:O8" si="30">Y8+AB8+AE8+AH8+AK8+AN8+AQ8+AT8+AW8+AZ8+BC8+BF8</f>
        <v>0</v>
      </c>
      <c r="N8" s="97">
        <f t="shared" si="30"/>
        <v>0</v>
      </c>
      <c r="O8" s="97">
        <f t="shared" si="30"/>
        <v>0</v>
      </c>
      <c r="P8" s="82">
        <f t="shared" ref="P8:R8" si="31">IF(BI8=0,SUM(Y8+AB8+AE8+AH8+AK8+AN8+AQ8+AT8+AW8+AZ8+BC8+BF8),BI8)</f>
        <v>0</v>
      </c>
      <c r="Q8" s="82">
        <f t="shared" si="31"/>
        <v>0</v>
      </c>
      <c r="R8" s="82">
        <f t="shared" si="31"/>
        <v>0</v>
      </c>
      <c r="S8" s="97">
        <f t="shared" si="18"/>
        <v>0</v>
      </c>
      <c r="T8" s="97">
        <f t="shared" si="23"/>
        <v>15833.25</v>
      </c>
      <c r="U8" s="97">
        <f t="shared" si="24"/>
        <v>0</v>
      </c>
      <c r="V8" s="97" t="e">
        <f t="shared" ref="V8:W8" si="32">M8/I8</f>
        <v>#DIV/0!</v>
      </c>
      <c r="W8" s="98">
        <f t="shared" si="32"/>
        <v>0</v>
      </c>
      <c r="X8" s="98" t="e">
        <f t="shared" si="26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9"/>
        <v>0</v>
      </c>
      <c r="H9" s="94">
        <f t="shared" si="20"/>
        <v>0</v>
      </c>
      <c r="I9" s="95"/>
      <c r="J9" s="353">
        <v>1950</v>
      </c>
      <c r="K9" s="96"/>
      <c r="L9" s="95"/>
      <c r="M9" s="97">
        <f t="shared" ref="M9:O9" si="33">Y9+AB9+AE9+AH9+AK9+AN9+AQ9+AT9+AW9+AZ9+BC9+BF9</f>
        <v>0</v>
      </c>
      <c r="N9" s="97">
        <f t="shared" si="33"/>
        <v>1950</v>
      </c>
      <c r="O9" s="97">
        <f t="shared" si="33"/>
        <v>0</v>
      </c>
      <c r="P9" s="82">
        <f t="shared" ref="P9:R9" si="34">IF(BI9=0,SUM(Y9+AB9+AE9+AH9+AK9+AN9+AQ9+AT9+AW9+AZ9+BC9+BF9),BI9)</f>
        <v>0</v>
      </c>
      <c r="Q9" s="82">
        <f t="shared" si="34"/>
        <v>1950</v>
      </c>
      <c r="R9" s="82">
        <f t="shared" si="34"/>
        <v>0</v>
      </c>
      <c r="S9" s="97">
        <f t="shared" si="18"/>
        <v>0</v>
      </c>
      <c r="T9" s="97">
        <f t="shared" si="23"/>
        <v>0</v>
      </c>
      <c r="U9" s="97">
        <f t="shared" si="24"/>
        <v>0</v>
      </c>
      <c r="V9" s="97" t="e">
        <f t="shared" ref="V9:W9" si="35">M9/I9</f>
        <v>#DIV/0!</v>
      </c>
      <c r="W9" s="98">
        <f t="shared" si="35"/>
        <v>1</v>
      </c>
      <c r="X9" s="98" t="e">
        <f t="shared" si="26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9" t="s">
        <v>575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9"/>
        <v>6.1154140164135402E-2</v>
      </c>
      <c r="H10" s="94">
        <f t="shared" si="20"/>
        <v>2.1923182322991938E-2</v>
      </c>
      <c r="I10" s="95">
        <f>304+183+361</f>
        <v>848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si="18"/>
        <v>544</v>
      </c>
      <c r="T10" s="97">
        <f t="shared" si="23"/>
        <v>0</v>
      </c>
      <c r="U10" s="97">
        <f t="shared" si="24"/>
        <v>0</v>
      </c>
      <c r="V10" s="97">
        <f t="shared" ref="V10:W10" si="38">M10/I10</f>
        <v>0.35849056603773582</v>
      </c>
      <c r="W10" s="98" t="e">
        <f t="shared" si="38"/>
        <v>#DIV/0!</v>
      </c>
      <c r="X10" s="98" t="e">
        <f t="shared" si="26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9"/>
        <v>0</v>
      </c>
      <c r="H11" s="94">
        <f t="shared" si="20"/>
        <v>0</v>
      </c>
      <c r="I11" s="95"/>
      <c r="J11" s="96"/>
      <c r="K11" s="96"/>
      <c r="L11" s="95"/>
      <c r="M11" s="97">
        <f t="shared" ref="M11:O11" si="39">Y11+AB11+AE11+AH11+AK11+AN11+AQ11+AT11+AW11+AZ11+BC11+BF11</f>
        <v>0</v>
      </c>
      <c r="N11" s="97">
        <f t="shared" si="39"/>
        <v>0</v>
      </c>
      <c r="O11" s="97">
        <f t="shared" si="39"/>
        <v>0</v>
      </c>
      <c r="P11" s="82">
        <f t="shared" ref="P11:R11" si="40">IF(BI11=0,SUM(Y11+AB11+AE11+AH11+AK11+AN11+AQ11+AT11+AW11+AZ11+BC11+BF11),BI11)</f>
        <v>0</v>
      </c>
      <c r="Q11" s="82">
        <f t="shared" si="40"/>
        <v>0</v>
      </c>
      <c r="R11" s="82">
        <f t="shared" si="40"/>
        <v>0</v>
      </c>
      <c r="S11" s="97">
        <f t="shared" si="18"/>
        <v>0</v>
      </c>
      <c r="T11" s="97">
        <f t="shared" si="23"/>
        <v>0</v>
      </c>
      <c r="U11" s="97">
        <f t="shared" si="24"/>
        <v>0</v>
      </c>
      <c r="V11" s="97" t="e">
        <f t="shared" ref="V11:W11" si="41">M11/I11</f>
        <v>#DIV/0!</v>
      </c>
      <c r="W11" s="98" t="e">
        <f t="shared" si="41"/>
        <v>#DIV/0!</v>
      </c>
      <c r="X11" s="98" t="e">
        <f t="shared" si="26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2">SUM(E13:E66)</f>
        <v>1669164.1900000002</v>
      </c>
      <c r="F12" s="87">
        <f t="shared" si="42"/>
        <v>3250000</v>
      </c>
      <c r="G12" s="107">
        <f t="shared" si="19"/>
        <v>0.12061588141308015</v>
      </c>
      <c r="H12" s="107">
        <f t="shared" si="20"/>
        <v>1.2346700296751511E-2</v>
      </c>
      <c r="I12" s="87">
        <f>SUM(I13:I66)</f>
        <v>201327.71</v>
      </c>
      <c r="J12" s="87">
        <f t="shared" ref="J12:L12" si="43">SUM(J15:J66)</f>
        <v>1611770.46</v>
      </c>
      <c r="K12" s="87">
        <f t="shared" si="43"/>
        <v>16426.96</v>
      </c>
      <c r="L12" s="87">
        <f t="shared" si="43"/>
        <v>0</v>
      </c>
      <c r="M12" s="87">
        <f t="shared" ref="M12:N12" si="44">SUM(M13:M66)</f>
        <v>20608.669999999998</v>
      </c>
      <c r="N12" s="87">
        <f t="shared" si="44"/>
        <v>618385.79999999993</v>
      </c>
      <c r="O12" s="108">
        <f>SUM(O13:O63)</f>
        <v>0</v>
      </c>
      <c r="P12" s="87">
        <f t="shared" ref="P12:R12" si="45">IF(BI12=0,SUM(Y12+AB12+AE12+AH12+AK12+AN12+AQ12+AT12+AW12+AZ12+BC12+BF12),BI12)</f>
        <v>20608.669999999998</v>
      </c>
      <c r="Q12" s="87">
        <f t="shared" si="45"/>
        <v>618385.79999999993</v>
      </c>
      <c r="R12" s="108">
        <f t="shared" si="45"/>
        <v>0</v>
      </c>
      <c r="S12" s="87">
        <f>SUM(S13:S66)</f>
        <v>180719.03999999998</v>
      </c>
      <c r="T12" s="87">
        <f t="shared" ref="T12:U12" si="46">SUM(T15:T66)</f>
        <v>976957.70000000007</v>
      </c>
      <c r="U12" s="108">
        <f t="shared" si="46"/>
        <v>0</v>
      </c>
      <c r="V12" s="88">
        <f t="shared" ref="V12:W12" si="47">M12/I12</f>
        <v>0.10236380277707426</v>
      </c>
      <c r="W12" s="88">
        <f t="shared" si="47"/>
        <v>0.3836686521727169</v>
      </c>
      <c r="X12" s="88" t="e">
        <f t="shared" si="26"/>
        <v>#DIV/0!</v>
      </c>
      <c r="Y12" s="87">
        <f t="shared" ref="Y12:AC12" si="48">SUM(Y15:Y66)</f>
        <v>0</v>
      </c>
      <c r="Z12" s="87">
        <f t="shared" si="48"/>
        <v>162060.35</v>
      </c>
      <c r="AA12" s="87">
        <f t="shared" si="48"/>
        <v>0</v>
      </c>
      <c r="AB12" s="87">
        <f t="shared" si="48"/>
        <v>0</v>
      </c>
      <c r="AC12" s="87">
        <f t="shared" si="48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49">SUM(AH13:AH66)</f>
        <v>18883.349999999999</v>
      </c>
      <c r="AI12" s="87">
        <f t="shared" si="49"/>
        <v>93013.4</v>
      </c>
      <c r="AJ12" s="87">
        <f>SUM(AJ15:AJ63)</f>
        <v>0</v>
      </c>
      <c r="AK12" s="87">
        <f t="shared" ref="AK12:AL12" si="50">SUM(AK15:AK66)</f>
        <v>0</v>
      </c>
      <c r="AL12" s="87">
        <f t="shared" si="50"/>
        <v>0</v>
      </c>
      <c r="AM12" s="87">
        <f>SUM(AM15:AM63)</f>
        <v>0</v>
      </c>
      <c r="AN12" s="87">
        <f t="shared" ref="AN12:AO12" si="51">SUM(AN15:AN66)</f>
        <v>0</v>
      </c>
      <c r="AO12" s="87">
        <f t="shared" si="51"/>
        <v>0</v>
      </c>
      <c r="AP12" s="87">
        <f>SUM(AP15:AP63)</f>
        <v>0</v>
      </c>
      <c r="AQ12" s="87">
        <f t="shared" ref="AQ12:AR12" si="52">SUM(AQ15:AQ66)</f>
        <v>0</v>
      </c>
      <c r="AR12" s="87">
        <f t="shared" si="52"/>
        <v>0</v>
      </c>
      <c r="AS12" s="87">
        <f>SUM(AS15:AS63)</f>
        <v>0</v>
      </c>
      <c r="AT12" s="87">
        <f>SUM(AT15:AT66)</f>
        <v>0</v>
      </c>
      <c r="AU12" s="87">
        <f t="shared" ref="AU12:AV12" si="53">SUM(AU15:AU63)</f>
        <v>0</v>
      </c>
      <c r="AV12" s="87">
        <f t="shared" si="53"/>
        <v>0</v>
      </c>
      <c r="AW12" s="87">
        <f t="shared" ref="AW12:AX12" si="54">SUM(AW15:AW66)</f>
        <v>0</v>
      </c>
      <c r="AX12" s="87">
        <f t="shared" si="54"/>
        <v>0</v>
      </c>
      <c r="AY12" s="87">
        <f t="shared" ref="AY12:BK12" si="55">SUM(AY15:AY63)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9"/>
        <v>1</v>
      </c>
      <c r="H13" s="94">
        <f t="shared" si="20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T13" si="58">I13-M13</f>
        <v>1500</v>
      </c>
      <c r="T13" s="97">
        <f t="shared" si="58"/>
        <v>0</v>
      </c>
      <c r="U13" s="97">
        <f t="shared" ref="U13:U66" si="59">L13-O13</f>
        <v>0</v>
      </c>
      <c r="V13" s="112">
        <f t="shared" ref="V13:W13" si="60">M13/I13</f>
        <v>0</v>
      </c>
      <c r="W13" s="98" t="e">
        <f t="shared" si="60"/>
        <v>#DIV/0!</v>
      </c>
      <c r="X13" s="98" t="e">
        <f t="shared" si="26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9"/>
        <v>0.10367</v>
      </c>
      <c r="H14" s="94">
        <f t="shared" si="20"/>
        <v>0</v>
      </c>
      <c r="I14" s="355">
        <v>207.34</v>
      </c>
      <c r="J14" s="96"/>
      <c r="K14" s="96"/>
      <c r="L14" s="95"/>
      <c r="M14" s="97">
        <f t="shared" ref="M14:O14" si="61">Y14+AB14+AE14+AH14+AK14+AN14+AQ14+AT14+AW14+AZ14+BC14+BF14</f>
        <v>0</v>
      </c>
      <c r="N14" s="97">
        <f t="shared" si="61"/>
        <v>0</v>
      </c>
      <c r="O14" s="97">
        <f t="shared" si="61"/>
        <v>0</v>
      </c>
      <c r="P14" s="82">
        <f t="shared" ref="P14:R14" si="62">IF(BI14=0,SUM(Y14+AB14+AE14+AH14+AK14+AN14+AQ14+AT14+AW14+AZ14+BC14+BF14),BI14)</f>
        <v>0</v>
      </c>
      <c r="Q14" s="82">
        <f t="shared" si="62"/>
        <v>0</v>
      </c>
      <c r="R14" s="82">
        <f t="shared" si="62"/>
        <v>0</v>
      </c>
      <c r="S14" s="97">
        <f t="shared" ref="S14:T14" si="63">I14-M14</f>
        <v>207.34</v>
      </c>
      <c r="T14" s="97">
        <f t="shared" si="63"/>
        <v>0</v>
      </c>
      <c r="U14" s="97">
        <f t="shared" si="59"/>
        <v>0</v>
      </c>
      <c r="V14" s="97">
        <f t="shared" ref="V14:W14" si="64">M14/I14</f>
        <v>0</v>
      </c>
      <c r="W14" s="98" t="e">
        <f t="shared" si="64"/>
        <v>#DIV/0!</v>
      </c>
      <c r="X14" s="98" t="e">
        <f t="shared" si="26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576</v>
      </c>
      <c r="E15" s="116">
        <v>280175</v>
      </c>
      <c r="F15" s="116"/>
      <c r="G15" s="94">
        <f t="shared" si="19"/>
        <v>1.784598911394664E-2</v>
      </c>
      <c r="H15" s="94">
        <f t="shared" si="20"/>
        <v>0</v>
      </c>
      <c r="I15" s="96">
        <f>5000</f>
        <v>5000</v>
      </c>
      <c r="J15" s="117">
        <v>194909.32</v>
      </c>
      <c r="K15" s="117"/>
      <c r="L15" s="118"/>
      <c r="M15" s="97">
        <f t="shared" ref="M15:O15" si="65">Y15+AB15+AE15+AH15+AK15+AN15+AQ15+AT15+AW15+AZ15+BC15+BF15</f>
        <v>0</v>
      </c>
      <c r="N15" s="97">
        <f t="shared" si="65"/>
        <v>66522.75</v>
      </c>
      <c r="O15" s="97">
        <f t="shared" si="65"/>
        <v>0</v>
      </c>
      <c r="P15" s="82">
        <f t="shared" ref="P15:R15" si="66">IF(BI15=0,SUM(Y15+AB15+AE15+AH15+AK15+AN15+AQ15+AT15+AW15+AZ15+BC15+BF15),BI15)</f>
        <v>0</v>
      </c>
      <c r="Q15" s="82">
        <f t="shared" si="66"/>
        <v>66522.75</v>
      </c>
      <c r="R15" s="82">
        <f t="shared" si="66"/>
        <v>0</v>
      </c>
      <c r="S15" s="97">
        <f t="shared" ref="S15:T15" si="67">I15-M15</f>
        <v>5000</v>
      </c>
      <c r="T15" s="97">
        <f t="shared" si="67"/>
        <v>128386.57</v>
      </c>
      <c r="U15" s="97">
        <f t="shared" si="59"/>
        <v>0</v>
      </c>
      <c r="V15" s="98">
        <f t="shared" ref="V15:W15" si="68">M15/I15</f>
        <v>0</v>
      </c>
      <c r="W15" s="98">
        <f t="shared" si="68"/>
        <v>0.34130102141857555</v>
      </c>
      <c r="X15" s="98" t="e">
        <f t="shared" si="26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577</v>
      </c>
      <c r="E16" s="92">
        <v>2000</v>
      </c>
      <c r="F16" s="116"/>
      <c r="G16" s="94">
        <f t="shared" si="19"/>
        <v>0</v>
      </c>
      <c r="H16" s="94">
        <f t="shared" si="20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49.62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49.62</v>
      </c>
      <c r="R16" s="82">
        <f t="shared" si="70"/>
        <v>0</v>
      </c>
      <c r="S16" s="97">
        <f t="shared" ref="S16:T16" si="71">I16-M16</f>
        <v>0</v>
      </c>
      <c r="T16" s="97">
        <f t="shared" si="71"/>
        <v>5262.96</v>
      </c>
      <c r="U16" s="97">
        <f t="shared" si="59"/>
        <v>0</v>
      </c>
      <c r="V16" s="98" t="e">
        <f t="shared" ref="V16:W16" si="72">M16/I16</f>
        <v>#DIV/0!</v>
      </c>
      <c r="W16" s="98">
        <f t="shared" si="72"/>
        <v>9.340094643280665E-3</v>
      </c>
      <c r="X16" s="98" t="e">
        <f t="shared" si="26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578</v>
      </c>
      <c r="E17" s="123">
        <v>0</v>
      </c>
      <c r="F17" s="124">
        <v>0</v>
      </c>
      <c r="G17" s="94" t="e">
        <f t="shared" si="19"/>
        <v>#DIV/0!</v>
      </c>
      <c r="H17" s="94" t="e">
        <f t="shared" si="20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3">Y17+AB17+AE17+AH17+AK17+AN17+AQ17+AT17+AW17+AZ17+BC17+BF17</f>
        <v>0</v>
      </c>
      <c r="N17" s="97">
        <f t="shared" si="73"/>
        <v>12487.09</v>
      </c>
      <c r="O17" s="97">
        <f t="shared" si="73"/>
        <v>0</v>
      </c>
      <c r="P17" s="82">
        <f t="shared" ref="P17:R17" si="74">IF(BI17=0,SUM(Y17+AB17+AE17+AH17+AK17+AN17+AQ17+AT17+AW17+AZ17+BC17+BF17),BI17)</f>
        <v>0</v>
      </c>
      <c r="Q17" s="82">
        <f t="shared" si="74"/>
        <v>12487.09</v>
      </c>
      <c r="R17" s="82">
        <f t="shared" si="74"/>
        <v>0</v>
      </c>
      <c r="S17" s="97">
        <f t="shared" ref="S17:T17" si="75">I17-M17</f>
        <v>0</v>
      </c>
      <c r="T17" s="97">
        <f t="shared" si="75"/>
        <v>0</v>
      </c>
      <c r="U17" s="97">
        <f t="shared" si="59"/>
        <v>0</v>
      </c>
      <c r="V17" s="98" t="e">
        <f t="shared" ref="V17:W17" si="76">M17/I17</f>
        <v>#DIV/0!</v>
      </c>
      <c r="W17" s="98">
        <f t="shared" si="76"/>
        <v>1</v>
      </c>
      <c r="X17" s="98" t="e">
        <f t="shared" si="26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120"/>
      <c r="B18" s="114" t="s">
        <v>223</v>
      </c>
      <c r="C18" s="101" t="s">
        <v>221</v>
      </c>
      <c r="D18" s="122" t="s">
        <v>579</v>
      </c>
      <c r="E18" s="92">
        <v>309000</v>
      </c>
      <c r="F18" s="116"/>
      <c r="G18" s="94">
        <f t="shared" si="19"/>
        <v>0</v>
      </c>
      <c r="H18" s="94">
        <f t="shared" si="20"/>
        <v>0</v>
      </c>
      <c r="I18" s="96"/>
      <c r="J18" s="117">
        <v>93746.62</v>
      </c>
      <c r="K18" s="117"/>
      <c r="L18" s="118"/>
      <c r="M18" s="97">
        <f t="shared" ref="M18:O18" si="77">Y18+AB18+AE18+AH18+AK18+AN18+AQ18+AT18+AW18+AZ18+BC18+BF18</f>
        <v>0</v>
      </c>
      <c r="N18" s="97">
        <f t="shared" si="77"/>
        <v>71199.960000000006</v>
      </c>
      <c r="O18" s="97">
        <f t="shared" si="77"/>
        <v>0</v>
      </c>
      <c r="P18" s="82">
        <f t="shared" ref="P18:R18" si="78">IF(BI18=0,SUM(Y18+AB18+AE18+AH18+AK18+AN18+AQ18+AT18+AW18+AZ18+BC18+BF18),BI18)</f>
        <v>0</v>
      </c>
      <c r="Q18" s="82">
        <f t="shared" si="78"/>
        <v>71199.960000000006</v>
      </c>
      <c r="R18" s="82">
        <f t="shared" si="78"/>
        <v>0</v>
      </c>
      <c r="S18" s="97">
        <f t="shared" ref="S18:T18" si="79">I18-M18</f>
        <v>0</v>
      </c>
      <c r="T18" s="97">
        <f t="shared" si="79"/>
        <v>22546.659999999989</v>
      </c>
      <c r="U18" s="97">
        <f t="shared" si="59"/>
        <v>0</v>
      </c>
      <c r="V18" s="98" t="e">
        <f t="shared" ref="V18:W18" si="80">M18/I18</f>
        <v>#DIV/0!</v>
      </c>
      <c r="W18" s="98">
        <f t="shared" si="80"/>
        <v>0.75949362227672856</v>
      </c>
      <c r="X18" s="98" t="e">
        <f t="shared" si="26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120"/>
      <c r="B19" s="114" t="s">
        <v>225</v>
      </c>
      <c r="C19" s="101" t="s">
        <v>226</v>
      </c>
      <c r="D19" s="122" t="s">
        <v>580</v>
      </c>
      <c r="E19" s="92">
        <v>610000</v>
      </c>
      <c r="F19" s="116"/>
      <c r="G19" s="94">
        <f t="shared" si="19"/>
        <v>0</v>
      </c>
      <c r="H19" s="94">
        <f t="shared" si="20"/>
        <v>0</v>
      </c>
      <c r="I19" s="96"/>
      <c r="J19" s="117">
        <v>180180.54</v>
      </c>
      <c r="K19" s="117"/>
      <c r="L19" s="118"/>
      <c r="M19" s="97">
        <f t="shared" ref="M19:M66" si="81">Y19+AB19+AE19+AH19+AK19+AN19+AQ19+AT19+AW19+AZ19+BC19+BF19</f>
        <v>0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82">IF(BI19=0,SUM(Y19+AB19+AE19+AH19+AK19+AN19+AQ19+AT19+AW19+AZ19+BC19+BF19),BI19)</f>
        <v>0</v>
      </c>
      <c r="Q19" s="82">
        <f t="shared" si="82"/>
        <v>106932.03</v>
      </c>
      <c r="R19" s="82">
        <f t="shared" si="82"/>
        <v>0</v>
      </c>
      <c r="S19" s="97">
        <f t="shared" ref="S19:T19" si="83">I19-M19</f>
        <v>0</v>
      </c>
      <c r="T19" s="97">
        <f t="shared" si="83"/>
        <v>73248.510000000009</v>
      </c>
      <c r="U19" s="97">
        <f t="shared" si="59"/>
        <v>0</v>
      </c>
      <c r="V19" s="98" t="e">
        <f t="shared" ref="V19:W19" si="84">M19/I19</f>
        <v>#DIV/0!</v>
      </c>
      <c r="W19" s="98">
        <f t="shared" si="84"/>
        <v>0.59347158133725209</v>
      </c>
      <c r="X19" s="98" t="e">
        <f t="shared" si="26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96"/>
      <c r="AL19" s="12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581</v>
      </c>
      <c r="E20" s="92">
        <v>43000</v>
      </c>
      <c r="F20" s="92"/>
      <c r="G20" s="94">
        <f t="shared" si="19"/>
        <v>0</v>
      </c>
      <c r="H20" s="94">
        <f t="shared" si="20"/>
        <v>0</v>
      </c>
      <c r="I20" s="96"/>
      <c r="J20" s="117">
        <v>20565.900000000001</v>
      </c>
      <c r="K20" s="117"/>
      <c r="L20" s="118"/>
      <c r="M20" s="97">
        <f t="shared" si="81"/>
        <v>0</v>
      </c>
      <c r="N20" s="97">
        <f t="shared" ref="N20:O20" si="85">Z20+AC20+AF20+AI20+AL20+AO20+AR20+AU20+AX20+BA20+BD20+BG20</f>
        <v>14180.970000000001</v>
      </c>
      <c r="O20" s="97">
        <f t="shared" si="85"/>
        <v>0</v>
      </c>
      <c r="P20" s="82">
        <f t="shared" ref="P20:R20" si="86">IF(BI20=0,SUM(Y20+AB20+AE20+AH20+AK20+AN20+AQ20+AT20+AW20+AZ20+BC20+BF20),BI20)</f>
        <v>0</v>
      </c>
      <c r="Q20" s="82">
        <f t="shared" si="86"/>
        <v>14180.970000000001</v>
      </c>
      <c r="R20" s="82">
        <f t="shared" si="86"/>
        <v>0</v>
      </c>
      <c r="S20" s="97">
        <f t="shared" ref="S20:T20" si="87">I20-M20</f>
        <v>0</v>
      </c>
      <c r="T20" s="97">
        <f t="shared" si="87"/>
        <v>6384.93</v>
      </c>
      <c r="U20" s="97">
        <f t="shared" si="59"/>
        <v>0</v>
      </c>
      <c r="V20" s="98" t="e">
        <f t="shared" ref="V20:W20" si="88">M20/I20</f>
        <v>#DIV/0!</v>
      </c>
      <c r="W20" s="98">
        <f t="shared" si="88"/>
        <v>0.6895380216766589</v>
      </c>
      <c r="X20" s="98" t="e">
        <f t="shared" si="26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582</v>
      </c>
      <c r="E21" s="92">
        <v>2000</v>
      </c>
      <c r="F21" s="92"/>
      <c r="G21" s="94">
        <f t="shared" si="19"/>
        <v>0</v>
      </c>
      <c r="H21" s="94">
        <f t="shared" si="20"/>
        <v>0</v>
      </c>
      <c r="I21" s="96"/>
      <c r="J21" s="117">
        <v>1838.67</v>
      </c>
      <c r="K21" s="117"/>
      <c r="L21" s="118"/>
      <c r="M21" s="97">
        <f t="shared" si="81"/>
        <v>0</v>
      </c>
      <c r="N21" s="97">
        <f t="shared" ref="N21:O21" si="89">Z21+AC21+AF21+AI21+AL21+AO21+AR21+AU21+AX21+BA21+BD21+BG21</f>
        <v>1163.06</v>
      </c>
      <c r="O21" s="97">
        <f t="shared" si="89"/>
        <v>0</v>
      </c>
      <c r="P21" s="82">
        <f t="shared" ref="P21:R21" si="90">IF(BI21=0,SUM(Y21+AB21+AE21+AH21+AK21+AN21+AQ21+AT21+AW21+AZ21+BC21+BF21),BI21)</f>
        <v>0</v>
      </c>
      <c r="Q21" s="82">
        <f t="shared" si="90"/>
        <v>1163.06</v>
      </c>
      <c r="R21" s="82">
        <f t="shared" si="90"/>
        <v>0</v>
      </c>
      <c r="S21" s="97">
        <f t="shared" ref="S21:T21" si="91">I21-M21</f>
        <v>0</v>
      </c>
      <c r="T21" s="97">
        <f t="shared" si="91"/>
        <v>675.61000000000013</v>
      </c>
      <c r="U21" s="97">
        <f t="shared" si="59"/>
        <v>0</v>
      </c>
      <c r="V21" s="98" t="e">
        <f t="shared" ref="V21:W21" si="92">M21/I21</f>
        <v>#DIV/0!</v>
      </c>
      <c r="W21" s="98">
        <f t="shared" si="92"/>
        <v>0.6325550533809764</v>
      </c>
      <c r="X21" s="98" t="e">
        <f t="shared" si="26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583</v>
      </c>
      <c r="E22" s="92">
        <v>45000</v>
      </c>
      <c r="F22" s="116"/>
      <c r="G22" s="94">
        <f t="shared" si="19"/>
        <v>1.0740742222222224</v>
      </c>
      <c r="H22" s="94">
        <f t="shared" si="20"/>
        <v>0.1236811111111111</v>
      </c>
      <c r="I22" s="103">
        <f>4393.94+43939.4</f>
        <v>48333.340000000004</v>
      </c>
      <c r="J22" s="117">
        <v>16833.330000000002</v>
      </c>
      <c r="K22" s="117"/>
      <c r="L22" s="118"/>
      <c r="M22" s="97">
        <f t="shared" si="81"/>
        <v>5565.65</v>
      </c>
      <c r="N22" s="97">
        <f t="shared" ref="N22:O22" si="93">Z22+AC22+AF22+AI22+AL22+AO22+AR22+AU22+AX22+BA22+BD22+BG22</f>
        <v>13856.23</v>
      </c>
      <c r="O22" s="97">
        <f t="shared" si="93"/>
        <v>0</v>
      </c>
      <c r="P22" s="82">
        <f t="shared" ref="P22:R22" si="94">IF(BI22=0,SUM(Y22+AB22+AE22+AH22+AK22+AN22+AQ22+AT22+AW22+AZ22+BC22+BF22),BI22)</f>
        <v>5565.65</v>
      </c>
      <c r="Q22" s="82">
        <f t="shared" si="94"/>
        <v>13856.23</v>
      </c>
      <c r="R22" s="82">
        <f t="shared" si="94"/>
        <v>0</v>
      </c>
      <c r="S22" s="97">
        <f t="shared" ref="S22:T22" si="95">I22-M22</f>
        <v>42767.69</v>
      </c>
      <c r="T22" s="97">
        <f t="shared" si="95"/>
        <v>2977.1000000000022</v>
      </c>
      <c r="U22" s="97">
        <f t="shared" si="59"/>
        <v>0</v>
      </c>
      <c r="V22" s="98">
        <f t="shared" ref="V22:W22" si="96">M22/I22</f>
        <v>0.11515136342739814</v>
      </c>
      <c r="W22" s="98">
        <f t="shared" si="96"/>
        <v>0.82314253923614622</v>
      </c>
      <c r="X22" s="98" t="e">
        <f t="shared" si="26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584</v>
      </c>
      <c r="E23" s="92">
        <v>43000</v>
      </c>
      <c r="F23" s="116"/>
      <c r="G23" s="94">
        <f t="shared" si="19"/>
        <v>0</v>
      </c>
      <c r="H23" s="94">
        <f t="shared" si="20"/>
        <v>0</v>
      </c>
      <c r="I23" s="96"/>
      <c r="J23" s="117">
        <v>18798.599999999999</v>
      </c>
      <c r="K23" s="117"/>
      <c r="L23" s="118"/>
      <c r="M23" s="97">
        <f t="shared" si="81"/>
        <v>0</v>
      </c>
      <c r="N23" s="97">
        <f t="shared" ref="N23:O23" si="97">Z23+AC23+AF23+AI23+AL23+AO23+AR23+AU23+AX23+BA23+BD23+BG23</f>
        <v>13612.470000000001</v>
      </c>
      <c r="O23" s="97">
        <f t="shared" si="97"/>
        <v>0</v>
      </c>
      <c r="P23" s="82">
        <f t="shared" ref="P23:R23" si="98">IF(BI23=0,SUM(Y23+AB23+AE23+AH23+AK23+AN23+AQ23+AT23+AW23+AZ23+BC23+BF23),BI23)</f>
        <v>0</v>
      </c>
      <c r="Q23" s="82">
        <f t="shared" si="98"/>
        <v>13612.470000000001</v>
      </c>
      <c r="R23" s="82">
        <f t="shared" si="98"/>
        <v>0</v>
      </c>
      <c r="S23" s="97">
        <f t="shared" ref="S23:T23" si="99">I23-M23</f>
        <v>0</v>
      </c>
      <c r="T23" s="97">
        <f t="shared" si="99"/>
        <v>5186.1299999999974</v>
      </c>
      <c r="U23" s="97">
        <f t="shared" si="59"/>
        <v>0</v>
      </c>
      <c r="V23" s="98" t="e">
        <f t="shared" ref="V23:W23" si="100">M23/I23</f>
        <v>#DIV/0!</v>
      </c>
      <c r="W23" s="98">
        <f t="shared" si="100"/>
        <v>0.72412147713127584</v>
      </c>
      <c r="X23" s="98" t="e">
        <f t="shared" si="26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129"/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9"/>
        <v>0</v>
      </c>
      <c r="H24" s="94"/>
      <c r="I24" s="96"/>
      <c r="J24" s="117"/>
      <c r="K24" s="117"/>
      <c r="L24" s="118"/>
      <c r="M24" s="97">
        <f t="shared" si="81"/>
        <v>0</v>
      </c>
      <c r="N24" s="97">
        <f t="shared" ref="N24:O24" si="101">Z24+AC24+AF24+AI24+AL24+AO24+AR24+AU24+AX24+BA24+BD24+BG24</f>
        <v>0</v>
      </c>
      <c r="O24" s="97">
        <f t="shared" si="101"/>
        <v>0</v>
      </c>
      <c r="P24" s="82">
        <f t="shared" ref="P24:R24" si="102">IF(BI24=0,SUM(Y24+AB24+AE24+AH24+AK24+AN24+AQ24+AT24+AW24+AZ24+BC24+BF24),BI24)</f>
        <v>0</v>
      </c>
      <c r="Q24" s="82">
        <f t="shared" si="102"/>
        <v>0</v>
      </c>
      <c r="R24" s="82">
        <f t="shared" si="102"/>
        <v>0</v>
      </c>
      <c r="S24" s="97">
        <f t="shared" ref="S24:T24" si="103">I24-M24</f>
        <v>0</v>
      </c>
      <c r="T24" s="97">
        <f t="shared" si="103"/>
        <v>0</v>
      </c>
      <c r="U24" s="97">
        <f t="shared" si="59"/>
        <v>0</v>
      </c>
      <c r="V24" s="98" t="e">
        <f t="shared" ref="V24:W24" si="104">M24/I24</f>
        <v>#DIV/0!</v>
      </c>
      <c r="W24" s="98" t="e">
        <f t="shared" si="104"/>
        <v>#DIV/0!</v>
      </c>
      <c r="X24" s="98" t="e">
        <f t="shared" si="26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585</v>
      </c>
      <c r="E25" s="92">
        <v>7000</v>
      </c>
      <c r="F25" s="92"/>
      <c r="G25" s="94">
        <f t="shared" si="19"/>
        <v>0</v>
      </c>
      <c r="H25" s="94">
        <f t="shared" ref="H25:H54" si="105">M25/E25</f>
        <v>0</v>
      </c>
      <c r="I25" s="96"/>
      <c r="J25" s="117">
        <v>5583.4</v>
      </c>
      <c r="K25" s="117"/>
      <c r="L25" s="118"/>
      <c r="M25" s="97">
        <f t="shared" si="81"/>
        <v>0</v>
      </c>
      <c r="N25" s="97">
        <f t="shared" ref="N25:O25" si="106">Z25+AC25+AF25+AI25+AL25+AO25+AR25+AU25+AX25+BA25+BD25+BG25</f>
        <v>5583.4</v>
      </c>
      <c r="O25" s="97">
        <f t="shared" si="106"/>
        <v>0</v>
      </c>
      <c r="P25" s="82">
        <f t="shared" ref="P25:R25" si="107">IF(BI25=0,SUM(Y25+AB25+AE25+AH25+AK25+AN25+AQ25+AT25+AW25+AZ25+BC25+BF25),BI25)</f>
        <v>0</v>
      </c>
      <c r="Q25" s="82">
        <f t="shared" si="107"/>
        <v>5583.4</v>
      </c>
      <c r="R25" s="82">
        <f t="shared" si="107"/>
        <v>0</v>
      </c>
      <c r="S25" s="97">
        <f t="shared" ref="S25:T25" si="108">I25-M25</f>
        <v>0</v>
      </c>
      <c r="T25" s="97">
        <f t="shared" si="108"/>
        <v>0</v>
      </c>
      <c r="U25" s="97">
        <f t="shared" si="59"/>
        <v>0</v>
      </c>
      <c r="V25" s="98" t="e">
        <f t="shared" ref="V25:W25" si="109">M25/I25</f>
        <v>#DIV/0!</v>
      </c>
      <c r="W25" s="98">
        <f t="shared" si="109"/>
        <v>1</v>
      </c>
      <c r="X25" s="98" t="e">
        <f t="shared" si="26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356" t="s">
        <v>586</v>
      </c>
      <c r="B26" s="114"/>
      <c r="C26" s="101" t="s">
        <v>242</v>
      </c>
      <c r="D26" s="122" t="s">
        <v>587</v>
      </c>
      <c r="E26" s="116">
        <v>8404</v>
      </c>
      <c r="F26" s="116"/>
      <c r="G26" s="94">
        <f t="shared" si="19"/>
        <v>0.3420395049976202</v>
      </c>
      <c r="H26" s="94">
        <f t="shared" si="105"/>
        <v>0</v>
      </c>
      <c r="I26" s="103">
        <v>2874.5</v>
      </c>
      <c r="J26" s="117"/>
      <c r="K26" s="117"/>
      <c r="L26" s="118"/>
      <c r="M26" s="97">
        <f t="shared" si="81"/>
        <v>0</v>
      </c>
      <c r="N26" s="97">
        <f t="shared" ref="N26:O26" si="110">Z26+AC26+AF26+AI26+AL26+AO26+AR26+AU26+AX26+BA26+BD26+BG26</f>
        <v>0</v>
      </c>
      <c r="O26" s="97">
        <f t="shared" si="110"/>
        <v>0</v>
      </c>
      <c r="P26" s="82">
        <f t="shared" ref="P26:R26" si="111">IF(BI26=0,SUM(Y26+AB26+AE26+AH26+AK26+AN26+AQ26+AT26+AW26+AZ26+BC26+BF26),BI26)</f>
        <v>0</v>
      </c>
      <c r="Q26" s="82">
        <f t="shared" si="111"/>
        <v>0</v>
      </c>
      <c r="R26" s="82">
        <f t="shared" si="111"/>
        <v>0</v>
      </c>
      <c r="S26" s="97">
        <f t="shared" ref="S26:T26" si="112">I26-M26</f>
        <v>2874.5</v>
      </c>
      <c r="T26" s="97">
        <f t="shared" si="112"/>
        <v>0</v>
      </c>
      <c r="U26" s="97">
        <f t="shared" si="59"/>
        <v>0</v>
      </c>
      <c r="V26" s="98">
        <f t="shared" ref="V26:W26" si="113">M26/I26</f>
        <v>0</v>
      </c>
      <c r="W26" s="98" t="e">
        <f t="shared" si="113"/>
        <v>#DIV/0!</v>
      </c>
      <c r="X26" s="98" t="e">
        <f t="shared" si="26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9"/>
        <v>0</v>
      </c>
      <c r="H27" s="94">
        <f t="shared" si="105"/>
        <v>0</v>
      </c>
      <c r="I27" s="96"/>
      <c r="J27" s="117">
        <v>13095</v>
      </c>
      <c r="K27" s="117"/>
      <c r="L27" s="118"/>
      <c r="M27" s="97">
        <f t="shared" si="81"/>
        <v>0</v>
      </c>
      <c r="N27" s="97">
        <f t="shared" ref="N27:O27" si="114">Z27+AC27+AF27+AI27+AL27+AO27+AR27+AU27+AX27+BA27+BD27+BG27</f>
        <v>13095</v>
      </c>
      <c r="O27" s="97">
        <f t="shared" si="114"/>
        <v>0</v>
      </c>
      <c r="P27" s="82">
        <f t="shared" ref="P27:R27" si="115">IF(BI27=0,SUM(Y27+AB27+AE27+AH27+AK27+AN27+AQ27+AT27+AW27+AZ27+BC27+BF27),BI27)</f>
        <v>0</v>
      </c>
      <c r="Q27" s="82">
        <f t="shared" si="115"/>
        <v>13095</v>
      </c>
      <c r="R27" s="82">
        <f t="shared" si="115"/>
        <v>0</v>
      </c>
      <c r="S27" s="97">
        <f t="shared" ref="S27:T27" si="116">I27-M27</f>
        <v>0</v>
      </c>
      <c r="T27" s="97">
        <f t="shared" si="116"/>
        <v>0</v>
      </c>
      <c r="U27" s="97">
        <f t="shared" si="59"/>
        <v>0</v>
      </c>
      <c r="V27" s="98" t="e">
        <f t="shared" ref="V27:W27" si="117">M27/I27</f>
        <v>#DIV/0!</v>
      </c>
      <c r="W27" s="98">
        <f t="shared" si="117"/>
        <v>1</v>
      </c>
      <c r="X27" s="98" t="e">
        <f t="shared" si="26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9"/>
        <v>0</v>
      </c>
      <c r="H28" s="94">
        <f t="shared" si="105"/>
        <v>0</v>
      </c>
      <c r="I28" s="96"/>
      <c r="J28" s="117">
        <v>16850</v>
      </c>
      <c r="K28" s="117"/>
      <c r="L28" s="118"/>
      <c r="M28" s="97">
        <f t="shared" si="81"/>
        <v>0</v>
      </c>
      <c r="N28" s="97">
        <f t="shared" ref="N28:O28" si="118">Z28+AC28+AF28+AI28+AL28+AO28+AR28+AU28+AX28+BA28+BD28+BG28</f>
        <v>5229.5</v>
      </c>
      <c r="O28" s="97">
        <f t="shared" si="118"/>
        <v>0</v>
      </c>
      <c r="P28" s="82">
        <f t="shared" ref="P28:R28" si="119">IF(BI28=0,SUM(Y28+AB28+AE28+AH28+AK28+AN28+AQ28+AT28+AW28+AZ28+BC28+BF28),BI28)</f>
        <v>0</v>
      </c>
      <c r="Q28" s="82">
        <f t="shared" si="119"/>
        <v>5229.5</v>
      </c>
      <c r="R28" s="82">
        <f t="shared" si="119"/>
        <v>0</v>
      </c>
      <c r="S28" s="97">
        <f t="shared" ref="S28:T28" si="120">I28-M28</f>
        <v>0</v>
      </c>
      <c r="T28" s="97">
        <f t="shared" si="120"/>
        <v>11620.5</v>
      </c>
      <c r="U28" s="97">
        <f t="shared" si="59"/>
        <v>0</v>
      </c>
      <c r="V28" s="98" t="e">
        <f t="shared" ref="V28:W28" si="121">M28/I28</f>
        <v>#DIV/0!</v>
      </c>
      <c r="W28" s="98">
        <f t="shared" si="121"/>
        <v>0.31035608308605339</v>
      </c>
      <c r="X28" s="98" t="e">
        <f t="shared" si="26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9"/>
        <v>0</v>
      </c>
      <c r="H29" s="94">
        <f t="shared" si="105"/>
        <v>0</v>
      </c>
      <c r="I29" s="96"/>
      <c r="J29" s="117"/>
      <c r="K29" s="117"/>
      <c r="L29" s="118"/>
      <c r="M29" s="97">
        <f t="shared" si="81"/>
        <v>0</v>
      </c>
      <c r="N29" s="97">
        <f t="shared" ref="N29:O29" si="122">Z29+AC29+AF29+AI29+AL29+AO29+AR29+AU29+AX29+BA29+BD29+BG29</f>
        <v>0</v>
      </c>
      <c r="O29" s="97">
        <f t="shared" si="122"/>
        <v>0</v>
      </c>
      <c r="P29" s="82">
        <f t="shared" ref="P29:R29" si="123">IF(BI29=0,SUM(Y29+AB29+AE29+AH29+AK29+AN29+AQ29+AT29+AW29+AZ29+BC29+BF29),BI29)</f>
        <v>0</v>
      </c>
      <c r="Q29" s="82">
        <f t="shared" si="123"/>
        <v>0</v>
      </c>
      <c r="R29" s="82">
        <f t="shared" si="123"/>
        <v>0</v>
      </c>
      <c r="S29" s="97">
        <f t="shared" ref="S29:T29" si="124">I29-M29</f>
        <v>0</v>
      </c>
      <c r="T29" s="97">
        <f t="shared" si="124"/>
        <v>0</v>
      </c>
      <c r="U29" s="97">
        <f t="shared" si="59"/>
        <v>0</v>
      </c>
      <c r="V29" s="98" t="e">
        <f t="shared" ref="V29:W29" si="125">M29/I29</f>
        <v>#DIV/0!</v>
      </c>
      <c r="W29" s="98" t="e">
        <f t="shared" si="125"/>
        <v>#DIV/0!</v>
      </c>
      <c r="X29" s="98" t="e">
        <f t="shared" si="26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588</v>
      </c>
      <c r="E30" s="92">
        <v>18404</v>
      </c>
      <c r="F30" s="92"/>
      <c r="G30" s="94">
        <f t="shared" si="19"/>
        <v>0</v>
      </c>
      <c r="H30" s="94">
        <f t="shared" si="105"/>
        <v>0</v>
      </c>
      <c r="I30" s="96"/>
      <c r="J30" s="117">
        <f>2515+5718.85</f>
        <v>8233.85</v>
      </c>
      <c r="K30" s="117"/>
      <c r="L30" s="118"/>
      <c r="M30" s="97">
        <f t="shared" si="81"/>
        <v>0</v>
      </c>
      <c r="N30" s="97">
        <f t="shared" ref="N30:O30" si="126">Z30+AC30+AF30+AI30+AL30+AO30+AR30+AU30+AX30+BA30+BD30+BG30</f>
        <v>0</v>
      </c>
      <c r="O30" s="97">
        <f t="shared" si="126"/>
        <v>0</v>
      </c>
      <c r="P30" s="82">
        <f t="shared" ref="P30:R30" si="127">IF(BI30=0,SUM(Y30+AB30+AE30+AH30+AK30+AN30+AQ30+AT30+AW30+AZ30+BC30+BF30),BI30)</f>
        <v>0</v>
      </c>
      <c r="Q30" s="82">
        <f t="shared" si="127"/>
        <v>0</v>
      </c>
      <c r="R30" s="82">
        <f t="shared" si="127"/>
        <v>0</v>
      </c>
      <c r="S30" s="97">
        <f t="shared" ref="S30:T30" si="128">I30-M30</f>
        <v>0</v>
      </c>
      <c r="T30" s="97">
        <f t="shared" si="128"/>
        <v>8233.85</v>
      </c>
      <c r="U30" s="97">
        <f t="shared" si="59"/>
        <v>0</v>
      </c>
      <c r="V30" s="98" t="e">
        <f t="shared" ref="V30:W30" si="129">M30/I30</f>
        <v>#DIV/0!</v>
      </c>
      <c r="W30" s="98">
        <f t="shared" si="129"/>
        <v>0</v>
      </c>
      <c r="X30" s="98" t="e">
        <f t="shared" si="26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490</v>
      </c>
      <c r="C31" s="101" t="s">
        <v>240</v>
      </c>
      <c r="D31" s="130" t="s">
        <v>589</v>
      </c>
      <c r="E31" s="92"/>
      <c r="F31" s="92"/>
      <c r="G31" s="94" t="e">
        <f t="shared" si="19"/>
        <v>#DIV/0!</v>
      </c>
      <c r="H31" s="94" t="e">
        <f t="shared" si="105"/>
        <v>#DIV/0!</v>
      </c>
      <c r="I31" s="96"/>
      <c r="J31" s="117">
        <f>977.38+2861.28</f>
        <v>3838.6600000000003</v>
      </c>
      <c r="K31" s="117"/>
      <c r="L31" s="118"/>
      <c r="M31" s="97">
        <f t="shared" si="81"/>
        <v>0</v>
      </c>
      <c r="N31" s="97">
        <f t="shared" ref="N31:O31" si="130">Z31+AC31+AF31+AI31+AL31+AO31+AR31+AU31+AX31+BA31+BD31+BG31</f>
        <v>3838.66</v>
      </c>
      <c r="O31" s="97">
        <f t="shared" si="130"/>
        <v>0</v>
      </c>
      <c r="P31" s="82">
        <f t="shared" ref="P31:R31" si="131">IF(BI31=0,SUM(Y31+AB31+AE31+AH31+AK31+AN31+AQ31+AT31+AW31+AZ31+BC31+BF31),BI31)</f>
        <v>0</v>
      </c>
      <c r="Q31" s="82">
        <f t="shared" si="131"/>
        <v>3838.66</v>
      </c>
      <c r="R31" s="82">
        <f t="shared" si="131"/>
        <v>0</v>
      </c>
      <c r="S31" s="97">
        <f t="shared" ref="S31:T31" si="132">I31-M31</f>
        <v>0</v>
      </c>
      <c r="T31" s="97">
        <f t="shared" si="132"/>
        <v>0</v>
      </c>
      <c r="U31" s="97">
        <f t="shared" si="59"/>
        <v>0</v>
      </c>
      <c r="V31" s="98" t="e">
        <f t="shared" ref="V31:W31" si="133">M31/I31</f>
        <v>#DIV/0!</v>
      </c>
      <c r="W31" s="98">
        <f t="shared" si="133"/>
        <v>0.99999999999999989</v>
      </c>
      <c r="X31" s="98" t="e">
        <f t="shared" si="26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103">
        <v>3838.66</v>
      </c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590</v>
      </c>
      <c r="E32" s="92">
        <v>20000</v>
      </c>
      <c r="F32" s="92"/>
      <c r="G32" s="94">
        <f t="shared" si="19"/>
        <v>0</v>
      </c>
      <c r="H32" s="94">
        <f t="shared" si="105"/>
        <v>0</v>
      </c>
      <c r="I32" s="96"/>
      <c r="J32" s="117"/>
      <c r="K32" s="117"/>
      <c r="L32" s="118"/>
      <c r="M32" s="97">
        <f t="shared" si="81"/>
        <v>0</v>
      </c>
      <c r="N32" s="97">
        <f t="shared" ref="N32:O32" si="134">Z32+AC32+AF32+AI32+AL32+AO32+AR32+AU32+AX32+BA32+BD32+BG32</f>
        <v>0</v>
      </c>
      <c r="O32" s="97">
        <f t="shared" si="134"/>
        <v>0</v>
      </c>
      <c r="P32" s="82">
        <f t="shared" ref="P32:R32" si="135">IF(BI32=0,SUM(Y32+AB32+AE32+AH32+AK32+AN32+AQ32+AT32+AW32+AZ32+BC32+BF32),BI32)</f>
        <v>0</v>
      </c>
      <c r="Q32" s="82">
        <f t="shared" si="135"/>
        <v>0</v>
      </c>
      <c r="R32" s="82">
        <f t="shared" si="135"/>
        <v>0</v>
      </c>
      <c r="S32" s="97">
        <f t="shared" ref="S32:T32" si="136">I32-M32</f>
        <v>0</v>
      </c>
      <c r="T32" s="97">
        <f t="shared" si="136"/>
        <v>0</v>
      </c>
      <c r="U32" s="97">
        <f t="shared" si="59"/>
        <v>0</v>
      </c>
      <c r="V32" s="98" t="e">
        <f t="shared" ref="V32:W32" si="137">M32/I32</f>
        <v>#DIV/0!</v>
      </c>
      <c r="W32" s="98" t="e">
        <f t="shared" si="137"/>
        <v>#DIV/0!</v>
      </c>
      <c r="X32" s="98" t="e">
        <f t="shared" si="26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9"/>
        <v>0</v>
      </c>
      <c r="H33" s="94">
        <f t="shared" si="105"/>
        <v>0</v>
      </c>
      <c r="I33" s="96"/>
      <c r="J33" s="117">
        <v>3374.7</v>
      </c>
      <c r="K33" s="117"/>
      <c r="L33" s="118"/>
      <c r="M33" s="97">
        <f t="shared" si="81"/>
        <v>0</v>
      </c>
      <c r="N33" s="97">
        <f t="shared" ref="N33:O33" si="138">Z33+AC33+AF33+AI33+AL33+AO33+AR33+AU33+AX33+BA33+BD33+BG33</f>
        <v>3374.7</v>
      </c>
      <c r="O33" s="97">
        <f t="shared" si="138"/>
        <v>0</v>
      </c>
      <c r="P33" s="82">
        <f t="shared" ref="P33:R33" si="139">IF(BI33=0,SUM(Y33+AB33+AE33+AH33+AK33+AN33+AQ33+AT33+AW33+AZ33+BC33+BF33),BI33)</f>
        <v>0</v>
      </c>
      <c r="Q33" s="82">
        <f t="shared" si="139"/>
        <v>3374.7</v>
      </c>
      <c r="R33" s="82">
        <f t="shared" si="139"/>
        <v>0</v>
      </c>
      <c r="S33" s="97">
        <f t="shared" ref="S33:T33" si="140">I33-M33</f>
        <v>0</v>
      </c>
      <c r="T33" s="97">
        <f t="shared" si="140"/>
        <v>0</v>
      </c>
      <c r="U33" s="97">
        <f t="shared" si="59"/>
        <v>0</v>
      </c>
      <c r="V33" s="98" t="e">
        <f t="shared" ref="V33:W33" si="141">M33/I33</f>
        <v>#DIV/0!</v>
      </c>
      <c r="W33" s="98">
        <f t="shared" si="141"/>
        <v>1</v>
      </c>
      <c r="X33" s="98" t="e">
        <f t="shared" si="26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20"/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9"/>
        <v>0</v>
      </c>
      <c r="H34" s="94">
        <f t="shared" si="105"/>
        <v>0</v>
      </c>
      <c r="I34" s="133"/>
      <c r="J34" s="117">
        <v>4100</v>
      </c>
      <c r="K34" s="117"/>
      <c r="L34" s="118"/>
      <c r="M34" s="97">
        <f t="shared" si="81"/>
        <v>0</v>
      </c>
      <c r="N34" s="97">
        <f t="shared" ref="N34:O34" si="142">Z34+AC34+AF34+AI34+AL34+AO34+AR34+AU34+AX34+BA34+BD34+BG34</f>
        <v>4100</v>
      </c>
      <c r="O34" s="97">
        <f t="shared" si="142"/>
        <v>0</v>
      </c>
      <c r="P34" s="82">
        <f t="shared" ref="P34:R34" si="143">IF(BI34=0,SUM(Y34+AB34+AE34+AH34+AK34+AN34+AQ34+AT34+AW34+AZ34+BC34+BF34),BI34)</f>
        <v>0</v>
      </c>
      <c r="Q34" s="82">
        <f t="shared" si="143"/>
        <v>4100</v>
      </c>
      <c r="R34" s="82">
        <f t="shared" si="143"/>
        <v>0</v>
      </c>
      <c r="S34" s="134">
        <f t="shared" ref="S34:T34" si="144">I34-M34</f>
        <v>0</v>
      </c>
      <c r="T34" s="97">
        <f t="shared" si="144"/>
        <v>0</v>
      </c>
      <c r="U34" s="97">
        <f t="shared" si="59"/>
        <v>0</v>
      </c>
      <c r="V34" s="98" t="e">
        <f t="shared" ref="V34:W34" si="145">M34/I34</f>
        <v>#DIV/0!</v>
      </c>
      <c r="W34" s="98">
        <f t="shared" si="145"/>
        <v>1</v>
      </c>
      <c r="X34" s="98" t="e">
        <f t="shared" si="26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103">
        <v>4100</v>
      </c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591</v>
      </c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9"/>
        <v>0.17576</v>
      </c>
      <c r="H35" s="94">
        <f t="shared" si="105"/>
        <v>0</v>
      </c>
      <c r="I35" s="103">
        <v>1757.6</v>
      </c>
      <c r="J35" s="117">
        <f>19903.04+4541.3+16240</f>
        <v>40684.339999999997</v>
      </c>
      <c r="K35" s="135">
        <v>16240</v>
      </c>
      <c r="L35" s="118"/>
      <c r="M35" s="97">
        <f t="shared" si="81"/>
        <v>0</v>
      </c>
      <c r="N35" s="97">
        <f t="shared" ref="N35:O35" si="146">Z35+AC35+AF35+AI35+AL35+AO35+AR35+AU35+AX35+BA35+BD35+BG35</f>
        <v>24444.34</v>
      </c>
      <c r="O35" s="97">
        <f t="shared" si="146"/>
        <v>0</v>
      </c>
      <c r="P35" s="82">
        <f t="shared" ref="P35:R35" si="147">IF(BI35=0,SUM(Y35+AB35+AE35+AH35+AK35+AN35+AQ35+AT35+AW35+AZ35+BC35+BF35),BI35)</f>
        <v>0</v>
      </c>
      <c r="Q35" s="82">
        <f t="shared" si="147"/>
        <v>24444.34</v>
      </c>
      <c r="R35" s="82">
        <f t="shared" si="147"/>
        <v>0</v>
      </c>
      <c r="S35" s="97">
        <f t="shared" ref="S35:S66" si="148">I35-M35</f>
        <v>1757.6</v>
      </c>
      <c r="T35" s="97">
        <f>J35-N35-K35</f>
        <v>0</v>
      </c>
      <c r="U35" s="97">
        <f t="shared" si="59"/>
        <v>0</v>
      </c>
      <c r="V35" s="98">
        <f t="shared" ref="V35:W35" si="149">M35/I35</f>
        <v>0</v>
      </c>
      <c r="W35" s="98">
        <f t="shared" si="149"/>
        <v>0.60082921340250328</v>
      </c>
      <c r="X35" s="98" t="e">
        <f t="shared" si="26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103">
        <v>4541.3</v>
      </c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9"/>
        <v>#DIV/0!</v>
      </c>
      <c r="H36" s="94" t="e">
        <f t="shared" si="105"/>
        <v>#DIV/0!</v>
      </c>
      <c r="I36" s="96"/>
      <c r="J36" s="117">
        <v>949.5</v>
      </c>
      <c r="K36" s="117"/>
      <c r="L36" s="118"/>
      <c r="M36" s="97">
        <f t="shared" si="81"/>
        <v>0</v>
      </c>
      <c r="N36" s="97">
        <f t="shared" ref="N36:O36" si="150">Z36+AC36+AF36+AI36+AL36+AO36+AR36+AU36+AX36+BA36+BD36+BG36</f>
        <v>949.5</v>
      </c>
      <c r="O36" s="97">
        <f t="shared" si="150"/>
        <v>0</v>
      </c>
      <c r="P36" s="82">
        <f t="shared" ref="P36:R36" si="151">IF(BI36=0,SUM(Y36+AB36+AE36+AH36+AK36+AN36+AQ36+AT36+AW36+AZ36+BC36+BF36),BI36)</f>
        <v>0</v>
      </c>
      <c r="Q36" s="82">
        <f t="shared" si="151"/>
        <v>949.5</v>
      </c>
      <c r="R36" s="82">
        <f t="shared" si="151"/>
        <v>0</v>
      </c>
      <c r="S36" s="97">
        <f t="shared" si="148"/>
        <v>0</v>
      </c>
      <c r="T36" s="97">
        <f t="shared" ref="T36:T42" si="152">J36-N36</f>
        <v>0</v>
      </c>
      <c r="U36" s="97">
        <f t="shared" si="59"/>
        <v>0</v>
      </c>
      <c r="V36" s="98" t="e">
        <f t="shared" ref="V36:W36" si="153">M36/I36</f>
        <v>#DIV/0!</v>
      </c>
      <c r="W36" s="98">
        <f t="shared" si="153"/>
        <v>1</v>
      </c>
      <c r="X36" s="98" t="e">
        <f t="shared" si="26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9"/>
        <v>0</v>
      </c>
      <c r="H37" s="94">
        <f t="shared" si="105"/>
        <v>0</v>
      </c>
      <c r="I37" s="96"/>
      <c r="J37" s="358">
        <v>50813</v>
      </c>
      <c r="K37" s="117"/>
      <c r="L37" s="118"/>
      <c r="M37" s="97">
        <f t="shared" si="81"/>
        <v>0</v>
      </c>
      <c r="N37" s="97">
        <f t="shared" ref="N37:O37" si="154">Z37+AC37+AF37+AI37+AL37+AO37+AR37+AU37+AX37+BA37+BD37+BG37</f>
        <v>0</v>
      </c>
      <c r="O37" s="97">
        <f t="shared" si="154"/>
        <v>0</v>
      </c>
      <c r="P37" s="82">
        <f t="shared" ref="P37:R37" si="155">IF(BI37=0,SUM(Y37+AB37+AE37+AH37+AK37+AN37+AQ37+AT37+AW37+AZ37+BC37+BF37),BI37)</f>
        <v>0</v>
      </c>
      <c r="Q37" s="82">
        <f t="shared" si="155"/>
        <v>0</v>
      </c>
      <c r="R37" s="82">
        <f t="shared" si="155"/>
        <v>0</v>
      </c>
      <c r="S37" s="97">
        <f t="shared" si="148"/>
        <v>0</v>
      </c>
      <c r="T37" s="363">
        <f t="shared" si="152"/>
        <v>50813</v>
      </c>
      <c r="U37" s="97">
        <f t="shared" si="59"/>
        <v>0</v>
      </c>
      <c r="V37" s="98" t="e">
        <f t="shared" ref="V37:W37" si="156">M37/I37</f>
        <v>#DIV/0!</v>
      </c>
      <c r="W37" s="98">
        <f t="shared" si="156"/>
        <v>0</v>
      </c>
      <c r="X37" s="98" t="e">
        <f t="shared" si="26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9"/>
        <v>0</v>
      </c>
      <c r="H38" s="94">
        <f t="shared" si="105"/>
        <v>0</v>
      </c>
      <c r="I38" s="96"/>
      <c r="J38" s="117"/>
      <c r="K38" s="117"/>
      <c r="L38" s="118"/>
      <c r="M38" s="97">
        <f t="shared" si="81"/>
        <v>0</v>
      </c>
      <c r="N38" s="97">
        <f t="shared" ref="N38:O38" si="157">Z38+AC38+AF38+AI38+AL38+AO38+AR38+AU38+AX38+BA38+BD38+BG38</f>
        <v>0</v>
      </c>
      <c r="O38" s="97">
        <f t="shared" si="157"/>
        <v>0</v>
      </c>
      <c r="P38" s="82">
        <f t="shared" ref="P38:R38" si="158">IF(BI38=0,SUM(Y38+AB38+AE38+AH38+AK38+AN38+AQ38+AT38+AW38+AZ38+BC38+BF38),BI38)</f>
        <v>0</v>
      </c>
      <c r="Q38" s="82">
        <f t="shared" si="158"/>
        <v>0</v>
      </c>
      <c r="R38" s="82">
        <f t="shared" si="158"/>
        <v>0</v>
      </c>
      <c r="S38" s="97">
        <f t="shared" si="148"/>
        <v>0</v>
      </c>
      <c r="T38" s="97">
        <f t="shared" si="152"/>
        <v>0</v>
      </c>
      <c r="U38" s="97">
        <f t="shared" si="59"/>
        <v>0</v>
      </c>
      <c r="V38" s="98" t="e">
        <f t="shared" ref="V38:W38" si="159">M38/I38</f>
        <v>#DIV/0!</v>
      </c>
      <c r="W38" s="98" t="e">
        <f t="shared" si="159"/>
        <v>#DIV/0!</v>
      </c>
      <c r="X38" s="98" t="e">
        <f t="shared" si="26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592</v>
      </c>
      <c r="E39" s="116">
        <v>2344.5</v>
      </c>
      <c r="F39" s="92"/>
      <c r="G39" s="94">
        <f t="shared" si="19"/>
        <v>0</v>
      </c>
      <c r="H39" s="94">
        <f t="shared" si="105"/>
        <v>0</v>
      </c>
      <c r="I39" s="96"/>
      <c r="J39" s="117">
        <v>1424.02</v>
      </c>
      <c r="K39" s="117"/>
      <c r="L39" s="118"/>
      <c r="M39" s="97">
        <f t="shared" si="81"/>
        <v>0</v>
      </c>
      <c r="N39" s="97">
        <f t="shared" ref="N39:O39" si="160">Z39+AC39+AF39+AI39+AL39+AO39+AR39+AU39+AX39+BA39+BD39+BG39</f>
        <v>0</v>
      </c>
      <c r="O39" s="97">
        <f t="shared" si="160"/>
        <v>0</v>
      </c>
      <c r="P39" s="82">
        <f t="shared" ref="P39:R39" si="161">IF(BI39=0,SUM(Y39+AB39+AE39+AH39+AK39+AN39+AQ39+AT39+AW39+AZ39+BC39+BF39),BI39)</f>
        <v>0</v>
      </c>
      <c r="Q39" s="82">
        <f t="shared" si="161"/>
        <v>0</v>
      </c>
      <c r="R39" s="82">
        <f t="shared" si="161"/>
        <v>0</v>
      </c>
      <c r="S39" s="97">
        <f t="shared" si="148"/>
        <v>0</v>
      </c>
      <c r="T39" s="97">
        <f t="shared" si="152"/>
        <v>1424.02</v>
      </c>
      <c r="U39" s="97">
        <f t="shared" si="59"/>
        <v>0</v>
      </c>
      <c r="V39" s="98" t="e">
        <f t="shared" ref="V39:W39" si="162">M39/I39</f>
        <v>#DIV/0!</v>
      </c>
      <c r="W39" s="98">
        <f t="shared" si="162"/>
        <v>0</v>
      </c>
      <c r="X39" s="98" t="e">
        <f t="shared" si="26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9"/>
        <v>1.7454999999999998E-2</v>
      </c>
      <c r="H40" s="94">
        <f t="shared" si="105"/>
        <v>1.805E-3</v>
      </c>
      <c r="I40" s="96">
        <v>34.909999999999997</v>
      </c>
      <c r="J40" s="117">
        <v>576.45000000000005</v>
      </c>
      <c r="K40" s="117"/>
      <c r="L40" s="118"/>
      <c r="M40" s="97">
        <f t="shared" si="81"/>
        <v>3.61</v>
      </c>
      <c r="N40" s="97">
        <f t="shared" ref="N40:O40" si="163">Z40+AC40+AF40+AI40+AL40+AO40+AR40+AU40+AX40+BA40+BD40+BG40</f>
        <v>0</v>
      </c>
      <c r="O40" s="97">
        <f t="shared" si="163"/>
        <v>0</v>
      </c>
      <c r="P40" s="82">
        <f t="shared" ref="P40:R40" si="164">IF(BI40=0,SUM(Y40+AB40+AE40+AH40+AK40+AN40+AQ40+AT40+AW40+AZ40+BC40+BF40),BI40)</f>
        <v>3.61</v>
      </c>
      <c r="Q40" s="82">
        <f t="shared" si="164"/>
        <v>0</v>
      </c>
      <c r="R40" s="82">
        <f t="shared" si="164"/>
        <v>0</v>
      </c>
      <c r="S40" s="97">
        <f t="shared" si="148"/>
        <v>31.299999999999997</v>
      </c>
      <c r="T40" s="97">
        <f t="shared" si="152"/>
        <v>576.45000000000005</v>
      </c>
      <c r="U40" s="97">
        <f t="shared" si="59"/>
        <v>0</v>
      </c>
      <c r="V40" s="98">
        <f t="shared" ref="V40:W40" si="165">M40/I40</f>
        <v>0.10340876539673446</v>
      </c>
      <c r="W40" s="98">
        <f t="shared" si="165"/>
        <v>0</v>
      </c>
      <c r="X40" s="98" t="e">
        <f t="shared" si="26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547</v>
      </c>
      <c r="B41" s="114"/>
      <c r="C41" s="101" t="s">
        <v>268</v>
      </c>
      <c r="D41" s="91" t="s">
        <v>593</v>
      </c>
      <c r="E41" s="116">
        <f>5000+1000</f>
        <v>6000</v>
      </c>
      <c r="F41" s="92"/>
      <c r="G41" s="94">
        <f t="shared" si="19"/>
        <v>9.166666666666666E-2</v>
      </c>
      <c r="H41" s="94">
        <f t="shared" si="105"/>
        <v>9.166666666666666E-2</v>
      </c>
      <c r="I41" s="103">
        <v>550</v>
      </c>
      <c r="J41" s="117"/>
      <c r="K41" s="117"/>
      <c r="L41" s="118"/>
      <c r="M41" s="97">
        <f t="shared" si="81"/>
        <v>550</v>
      </c>
      <c r="N41" s="97">
        <f t="shared" ref="N41:O41" si="166">Z41+AC41+AF41+AI41+AL41+AO41+AR41+AU41+AX41+BA41+BD41+BG41</f>
        <v>0</v>
      </c>
      <c r="O41" s="97">
        <f t="shared" si="166"/>
        <v>0</v>
      </c>
      <c r="P41" s="82">
        <f t="shared" ref="P41:R41" si="167">IF(BI41=0,SUM(Y41+AB41+AE41+AH41+AK41+AN41+AQ41+AT41+AW41+AZ41+BC41+BF41),BI41)</f>
        <v>550</v>
      </c>
      <c r="Q41" s="82">
        <f t="shared" si="167"/>
        <v>0</v>
      </c>
      <c r="R41" s="82">
        <f t="shared" si="167"/>
        <v>0</v>
      </c>
      <c r="S41" s="97">
        <f t="shared" si="148"/>
        <v>0</v>
      </c>
      <c r="T41" s="97">
        <f t="shared" si="152"/>
        <v>0</v>
      </c>
      <c r="U41" s="97">
        <f t="shared" si="59"/>
        <v>0</v>
      </c>
      <c r="V41" s="98">
        <f t="shared" ref="V41:W41" si="168">M41/I41</f>
        <v>1</v>
      </c>
      <c r="W41" s="98" t="e">
        <f t="shared" si="168"/>
        <v>#DIV/0!</v>
      </c>
      <c r="X41" s="98" t="e">
        <f t="shared" si="26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594</v>
      </c>
      <c r="E42" s="116">
        <v>30000</v>
      </c>
      <c r="F42" s="92"/>
      <c r="G42" s="94">
        <f t="shared" si="19"/>
        <v>0.58333333333333337</v>
      </c>
      <c r="H42" s="94">
        <f t="shared" si="105"/>
        <v>0</v>
      </c>
      <c r="I42" s="96">
        <f>17500</f>
        <v>17500</v>
      </c>
      <c r="J42" s="135">
        <v>362.4</v>
      </c>
      <c r="K42" s="117"/>
      <c r="L42" s="118"/>
      <c r="M42" s="97">
        <f t="shared" si="81"/>
        <v>0</v>
      </c>
      <c r="N42" s="97">
        <f t="shared" ref="N42:O42" si="169">Z42+AC42+AF42+AI42+AL42+AO42+AR42+AU42+AX42+BA42+BD42+BG42</f>
        <v>0</v>
      </c>
      <c r="O42" s="97">
        <f t="shared" si="169"/>
        <v>0</v>
      </c>
      <c r="P42" s="82">
        <f t="shared" ref="P42:R42" si="170">IF(BI42=0,SUM(Y42+AB42+AE42+AH42+AK42+AN42+AQ42+AT42+AW42+AZ42+BC42+BF42),BI42)</f>
        <v>0</v>
      </c>
      <c r="Q42" s="82">
        <f t="shared" si="170"/>
        <v>0</v>
      </c>
      <c r="R42" s="82">
        <f t="shared" si="170"/>
        <v>0</v>
      </c>
      <c r="S42" s="97">
        <f t="shared" si="148"/>
        <v>17500</v>
      </c>
      <c r="T42" s="97">
        <f t="shared" si="152"/>
        <v>362.4</v>
      </c>
      <c r="U42" s="97">
        <f t="shared" si="59"/>
        <v>0</v>
      </c>
      <c r="V42" s="98">
        <f t="shared" ref="V42:W42" si="171">M42/I42</f>
        <v>0</v>
      </c>
      <c r="W42" s="98">
        <f t="shared" si="171"/>
        <v>0</v>
      </c>
      <c r="X42" s="98" t="e">
        <f t="shared" si="26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120"/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9"/>
        <v>0</v>
      </c>
      <c r="H43" s="94">
        <f t="shared" si="105"/>
        <v>0</v>
      </c>
      <c r="I43" s="96"/>
      <c r="J43" s="117">
        <f>1256.9+740+1407.15+678.68+610.54+4654.38+742.72+1006.2+186.96</f>
        <v>11283.53</v>
      </c>
      <c r="K43" s="135">
        <v>186.96</v>
      </c>
      <c r="L43" s="118"/>
      <c r="M43" s="97">
        <f t="shared" si="81"/>
        <v>0</v>
      </c>
      <c r="N43" s="97">
        <f t="shared" ref="N43:O43" si="172">Z43+AC43+AF43+AI43+AL43+AO43+AR43+AU43+AX43+BA43+BD43+BG43</f>
        <v>3702.5699999999997</v>
      </c>
      <c r="O43" s="97">
        <f t="shared" si="172"/>
        <v>0</v>
      </c>
      <c r="P43" s="82">
        <f t="shared" ref="P43:R43" si="173">IF(BI43=0,SUM(Y43+AB43+AE43+AH43+AK43+AN43+AQ43+AT43+AW43+AZ43+BC43+BF43),BI43)</f>
        <v>0</v>
      </c>
      <c r="Q43" s="82">
        <f t="shared" si="173"/>
        <v>3702.5699999999997</v>
      </c>
      <c r="R43" s="82">
        <f t="shared" si="173"/>
        <v>0</v>
      </c>
      <c r="S43" s="97">
        <f t="shared" si="148"/>
        <v>0</v>
      </c>
      <c r="T43" s="97">
        <f>J43-N43-K43</f>
        <v>7394.0000000000009</v>
      </c>
      <c r="U43" s="97">
        <f t="shared" si="59"/>
        <v>0</v>
      </c>
      <c r="V43" s="98" t="e">
        <f t="shared" ref="V43:W43" si="174">M43/I43</f>
        <v>#DIV/0!</v>
      </c>
      <c r="W43" s="98">
        <f t="shared" si="174"/>
        <v>0.32813933228342546</v>
      </c>
      <c r="X43" s="98" t="e">
        <f t="shared" si="26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595</v>
      </c>
      <c r="B44" s="141" t="s">
        <v>596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9"/>
        <v>0.33301866666666663</v>
      </c>
      <c r="H44" s="94">
        <f t="shared" si="105"/>
        <v>7.3963666666666664E-2</v>
      </c>
      <c r="I44" s="142">
        <f>1890+2443+727.8+5511.95+3821.32+104.82+319.96+1524+3081+145.33+303.98+107.96</f>
        <v>19981.12</v>
      </c>
      <c r="J44" s="117">
        <f>4740+413+1266+3806.39</f>
        <v>10225.39</v>
      </c>
      <c r="K44" s="117"/>
      <c r="L44" s="118"/>
      <c r="M44" s="97">
        <f t="shared" si="81"/>
        <v>4437.82</v>
      </c>
      <c r="N44" s="97">
        <f t="shared" ref="N44:O44" si="175">Z44+AC44+AF44+AI44+AL44+AO44+AR44+AU44+AX44+BA44+BD44+BG44</f>
        <v>4740</v>
      </c>
      <c r="O44" s="97">
        <f t="shared" si="175"/>
        <v>0</v>
      </c>
      <c r="P44" s="82">
        <f t="shared" ref="P44:R44" si="176">IF(BI44=0,SUM(Y44+AB44+AE44+AH44+AK44+AN44+AQ44+AT44+AW44+AZ44+BC44+BF44),BI44)</f>
        <v>4437.82</v>
      </c>
      <c r="Q44" s="82">
        <f t="shared" si="176"/>
        <v>4740</v>
      </c>
      <c r="R44" s="82">
        <f t="shared" si="176"/>
        <v>0</v>
      </c>
      <c r="S44" s="97">
        <f t="shared" si="148"/>
        <v>15543.3</v>
      </c>
      <c r="T44" s="97">
        <f t="shared" ref="T44:T66" si="177">J44-N44</f>
        <v>5485.3899999999994</v>
      </c>
      <c r="U44" s="97">
        <f t="shared" si="59"/>
        <v>0</v>
      </c>
      <c r="V44" s="98">
        <f t="shared" ref="V44:W44" si="178">M44/I44</f>
        <v>0.22210066302589646</v>
      </c>
      <c r="W44" s="98">
        <f t="shared" si="178"/>
        <v>0.46355200143955394</v>
      </c>
      <c r="X44" s="98" t="e">
        <f t="shared" si="26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260">
        <f>1890+2443+104.82</f>
        <v>4437.82</v>
      </c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364" t="s">
        <v>597</v>
      </c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9"/>
        <v>0.22306538461538464</v>
      </c>
      <c r="H45" s="94">
        <f t="shared" si="105"/>
        <v>0</v>
      </c>
      <c r="I45" s="103">
        <f>1949.9+949.95</f>
        <v>2899.8500000000004</v>
      </c>
      <c r="J45" s="358">
        <v>30000</v>
      </c>
      <c r="K45" s="117"/>
      <c r="L45" s="118"/>
      <c r="M45" s="97">
        <f t="shared" si="81"/>
        <v>0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79">IF(BI45=0,SUM(Y45+AB45+AE45+AH45+AK45+AN45+AQ45+AT45+AW45+AZ45+BC45+BF45),BI45)</f>
        <v>0</v>
      </c>
      <c r="Q45" s="82">
        <f t="shared" si="179"/>
        <v>0</v>
      </c>
      <c r="R45" s="82">
        <f t="shared" si="179"/>
        <v>0</v>
      </c>
      <c r="S45" s="97">
        <f t="shared" si="148"/>
        <v>2899.8500000000004</v>
      </c>
      <c r="T45" s="363">
        <f t="shared" si="177"/>
        <v>30000</v>
      </c>
      <c r="U45" s="97">
        <f t="shared" si="59"/>
        <v>0</v>
      </c>
      <c r="V45" s="98">
        <f t="shared" ref="V45:W45" si="180">M45/I45</f>
        <v>0</v>
      </c>
      <c r="W45" s="98">
        <f t="shared" si="180"/>
        <v>0</v>
      </c>
      <c r="X45" s="98" t="e">
        <f t="shared" si="26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598</v>
      </c>
      <c r="E46" s="116"/>
      <c r="F46" s="93"/>
      <c r="G46" s="94" t="e">
        <f t="shared" si="19"/>
        <v>#DIV/0!</v>
      </c>
      <c r="H46" s="94" t="e">
        <f t="shared" si="105"/>
        <v>#DIV/0!</v>
      </c>
      <c r="I46" s="96"/>
      <c r="J46" s="117">
        <v>22098.39</v>
      </c>
      <c r="K46" s="117"/>
      <c r="L46" s="118"/>
      <c r="M46" s="97">
        <f t="shared" si="81"/>
        <v>0</v>
      </c>
      <c r="N46" s="97">
        <f t="shared" ref="N46:O46" si="181">Z46+AC46+AF46+AI46+AL46+AO46+AR46+AU46+AX46+BA46+BD46+BG46</f>
        <v>8367.65</v>
      </c>
      <c r="O46" s="97">
        <f t="shared" si="181"/>
        <v>0</v>
      </c>
      <c r="P46" s="82">
        <f t="shared" ref="P46:R46" si="182">IF(BI46=0,SUM(Y46+AB46+AE46+AH46+AK46+AN46+AQ46+AT46+AW46+AZ46+BC46+BF46),BI46)</f>
        <v>0</v>
      </c>
      <c r="Q46" s="82">
        <f t="shared" si="182"/>
        <v>8367.65</v>
      </c>
      <c r="R46" s="82">
        <f t="shared" si="182"/>
        <v>0</v>
      </c>
      <c r="S46" s="97">
        <f t="shared" si="148"/>
        <v>0</v>
      </c>
      <c r="T46" s="97">
        <f t="shared" si="177"/>
        <v>13730.74</v>
      </c>
      <c r="U46" s="97">
        <f t="shared" si="59"/>
        <v>0</v>
      </c>
      <c r="V46" s="98" t="e">
        <f t="shared" ref="V46:W46" si="183">M46/I46</f>
        <v>#DIV/0!</v>
      </c>
      <c r="W46" s="98">
        <f t="shared" si="183"/>
        <v>0.37865428205403201</v>
      </c>
      <c r="X46" s="98" t="e">
        <f t="shared" si="26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43" t="s">
        <v>599</v>
      </c>
      <c r="C47" s="101" t="s">
        <v>278</v>
      </c>
      <c r="D47" s="91" t="s">
        <v>600</v>
      </c>
      <c r="E47" s="116"/>
      <c r="F47" s="92"/>
      <c r="G47" s="94" t="e">
        <f t="shared" si="19"/>
        <v>#DIV/0!</v>
      </c>
      <c r="H47" s="94" t="e">
        <f t="shared" si="105"/>
        <v>#DIV/0!</v>
      </c>
      <c r="I47" s="96"/>
      <c r="J47" s="117">
        <f>50068.66+42203.34</f>
        <v>92272</v>
      </c>
      <c r="K47" s="117"/>
      <c r="L47" s="96"/>
      <c r="M47" s="97">
        <f t="shared" si="81"/>
        <v>0</v>
      </c>
      <c r="N47" s="97">
        <f t="shared" ref="N47:O47" si="184">Z47+AC47+AF47+AI47+AL47+AO47+AR47+AU47+AX47+BA47+BD47+BG47</f>
        <v>66585.66</v>
      </c>
      <c r="O47" s="97">
        <f t="shared" si="184"/>
        <v>0</v>
      </c>
      <c r="P47" s="82">
        <f t="shared" ref="P47:R47" si="185">IF(BI47=0,SUM(Y47+AB47+AE47+AH47+AK47+AN47+AQ47+AT47+AW47+AZ47+BC47+BF47),BI47)</f>
        <v>0</v>
      </c>
      <c r="Q47" s="82">
        <f t="shared" si="185"/>
        <v>66585.66</v>
      </c>
      <c r="R47" s="82">
        <f t="shared" si="185"/>
        <v>0</v>
      </c>
      <c r="S47" s="97">
        <f t="shared" si="148"/>
        <v>0</v>
      </c>
      <c r="T47" s="97">
        <f t="shared" si="177"/>
        <v>25686.339999999997</v>
      </c>
      <c r="U47" s="97">
        <f t="shared" si="59"/>
        <v>0</v>
      </c>
      <c r="V47" s="98" t="e">
        <f t="shared" ref="V47:W47" si="186">M47/I47</f>
        <v>#DIV/0!</v>
      </c>
      <c r="W47" s="98">
        <f t="shared" si="186"/>
        <v>0.72162367782209125</v>
      </c>
      <c r="X47" s="98" t="e">
        <f t="shared" si="26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601</v>
      </c>
      <c r="E48" s="116"/>
      <c r="F48" s="92"/>
      <c r="G48" s="94" t="e">
        <f t="shared" si="19"/>
        <v>#DIV/0!</v>
      </c>
      <c r="H48" s="94" t="e">
        <f t="shared" si="105"/>
        <v>#DIV/0!</v>
      </c>
      <c r="I48" s="96"/>
      <c r="J48" s="117">
        <v>6782.31</v>
      </c>
      <c r="K48" s="117"/>
      <c r="L48" s="96"/>
      <c r="M48" s="97">
        <f t="shared" si="81"/>
        <v>0</v>
      </c>
      <c r="N48" s="97">
        <f t="shared" ref="N48:O48" si="187">Z48+AC48+AF48+AI48+AL48+AO48+AR48+AU48+AX48+BA48+BD48+BG48</f>
        <v>6782.31</v>
      </c>
      <c r="O48" s="97">
        <f t="shared" si="187"/>
        <v>0</v>
      </c>
      <c r="P48" s="82">
        <f t="shared" ref="P48:R48" si="188">IF(BI48=0,SUM(Y48+AB48+AE48+AH48+AK48+AN48+AQ48+AT48+AW48+AZ48+BC48+BF48),BI48)</f>
        <v>0</v>
      </c>
      <c r="Q48" s="82">
        <f t="shared" si="188"/>
        <v>6782.31</v>
      </c>
      <c r="R48" s="82">
        <f t="shared" si="188"/>
        <v>0</v>
      </c>
      <c r="S48" s="97">
        <f t="shared" si="148"/>
        <v>0</v>
      </c>
      <c r="T48" s="97">
        <f t="shared" si="177"/>
        <v>0</v>
      </c>
      <c r="U48" s="97">
        <f t="shared" si="59"/>
        <v>0</v>
      </c>
      <c r="V48" s="98" t="e">
        <f t="shared" ref="V48:W48" si="189">M48/I48</f>
        <v>#DIV/0!</v>
      </c>
      <c r="W48" s="98">
        <f t="shared" si="189"/>
        <v>1</v>
      </c>
      <c r="X48" s="98" t="e">
        <f t="shared" si="26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602</v>
      </c>
      <c r="E49" s="116"/>
      <c r="F49" s="92"/>
      <c r="G49" s="94" t="e">
        <f t="shared" si="19"/>
        <v>#DIV/0!</v>
      </c>
      <c r="H49" s="94" t="e">
        <f t="shared" si="105"/>
        <v>#DIV/0!</v>
      </c>
      <c r="I49" s="133"/>
      <c r="J49" s="117">
        <f>51880+30383</f>
        <v>82263</v>
      </c>
      <c r="K49" s="117"/>
      <c r="L49" s="96"/>
      <c r="M49" s="97">
        <f t="shared" si="81"/>
        <v>0</v>
      </c>
      <c r="N49" s="97">
        <f t="shared" ref="N49:O49" si="190">Z49+AC49+AF49+AI49+AL49+AO49+AR49+AU49+AX49+BA49+BD49+BG49</f>
        <v>82263</v>
      </c>
      <c r="O49" s="97">
        <f t="shared" si="190"/>
        <v>0</v>
      </c>
      <c r="P49" s="82">
        <f t="shared" ref="P49:R49" si="191">IF(BI49=0,SUM(Y49+AB49+AE49+AH49+AK49+AN49+AQ49+AT49+AW49+AZ49+BC49+BF49),BI49)</f>
        <v>0</v>
      </c>
      <c r="Q49" s="82">
        <f t="shared" si="191"/>
        <v>82263</v>
      </c>
      <c r="R49" s="82">
        <f t="shared" si="191"/>
        <v>0</v>
      </c>
      <c r="S49" s="97">
        <f t="shared" si="148"/>
        <v>0</v>
      </c>
      <c r="T49" s="97">
        <f t="shared" si="177"/>
        <v>0</v>
      </c>
      <c r="U49" s="97">
        <f t="shared" si="59"/>
        <v>0</v>
      </c>
      <c r="V49" s="98" t="e">
        <f t="shared" ref="V49:W49" si="192">M49/I49</f>
        <v>#DIV/0!</v>
      </c>
      <c r="W49" s="98">
        <f t="shared" si="192"/>
        <v>1</v>
      </c>
      <c r="X49" s="98" t="e">
        <f t="shared" si="26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56" t="s">
        <v>603</v>
      </c>
      <c r="B50" s="140" t="s">
        <v>286</v>
      </c>
      <c r="C50" s="101" t="s">
        <v>278</v>
      </c>
      <c r="D50" s="144" t="s">
        <v>604</v>
      </c>
      <c r="E50" s="116"/>
      <c r="F50" s="92"/>
      <c r="G50" s="94" t="e">
        <f t="shared" si="19"/>
        <v>#DIV/0!</v>
      </c>
      <c r="H50" s="94" t="e">
        <f t="shared" si="105"/>
        <v>#DIV/0!</v>
      </c>
      <c r="I50" s="361">
        <f>67481.17+33207.88</f>
        <v>100689.04999999999</v>
      </c>
      <c r="J50" s="117">
        <f>572638.78+46434.84</f>
        <v>619073.62</v>
      </c>
      <c r="K50" s="117"/>
      <c r="L50" s="118"/>
      <c r="M50" s="97">
        <f t="shared" si="81"/>
        <v>10051.59</v>
      </c>
      <c r="N50" s="97">
        <f t="shared" ref="N50:O50" si="193">Z50+AC50+AF50+AI50+AL50+AO50+AR50+AU50+AX50+BA50+BD50+BG50</f>
        <v>42111.08</v>
      </c>
      <c r="O50" s="97">
        <f t="shared" si="193"/>
        <v>0</v>
      </c>
      <c r="P50" s="82">
        <f t="shared" ref="P50:R50" si="194">IF(BI50=0,SUM(Y50+AB50+AE50+AH50+AK50+AN50+AQ50+AT50+AW50+AZ50+BC50+BF50),BI50)</f>
        <v>10051.59</v>
      </c>
      <c r="Q50" s="82">
        <f t="shared" si="194"/>
        <v>42111.08</v>
      </c>
      <c r="R50" s="82">
        <f t="shared" si="194"/>
        <v>0</v>
      </c>
      <c r="S50" s="97">
        <f t="shared" si="148"/>
        <v>90637.459999999992</v>
      </c>
      <c r="T50" s="97">
        <f t="shared" si="177"/>
        <v>576962.54</v>
      </c>
      <c r="U50" s="97">
        <f t="shared" si="59"/>
        <v>0</v>
      </c>
      <c r="V50" s="98">
        <f t="shared" ref="V50:W50" si="195">M50/I50</f>
        <v>9.9828034925346906E-2</v>
      </c>
      <c r="W50" s="98">
        <f t="shared" si="195"/>
        <v>6.8022733709764596E-2</v>
      </c>
      <c r="X50" s="98" t="e">
        <f t="shared" si="26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260">
        <v>10051.59</v>
      </c>
      <c r="AI50" s="260">
        <v>18924.84</v>
      </c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9"/>
        <v>#DIV/0!</v>
      </c>
      <c r="H51" s="94" t="e">
        <f t="shared" si="105"/>
        <v>#DIV/0!</v>
      </c>
      <c r="I51" s="133"/>
      <c r="J51" s="117">
        <f>5855+6447</f>
        <v>12302</v>
      </c>
      <c r="K51" s="117"/>
      <c r="L51" s="96"/>
      <c r="M51" s="97">
        <f t="shared" si="81"/>
        <v>0</v>
      </c>
      <c r="N51" s="97">
        <f t="shared" ref="N51:O51" si="196">Z51+AC51+AF51+AI51+AL51+AO51+AR51+AU51+AX51+BA51+BD51+BG51</f>
        <v>12302</v>
      </c>
      <c r="O51" s="97">
        <f t="shared" si="196"/>
        <v>0</v>
      </c>
      <c r="P51" s="82">
        <f t="shared" ref="P51:R51" si="197">IF(BI51=0,SUM(Y51+AB51+AE51+AH51+AK51+AN51+AQ51+AT51+AW51+AZ51+BC51+BF51),BI51)</f>
        <v>0</v>
      </c>
      <c r="Q51" s="82">
        <f t="shared" si="197"/>
        <v>12302</v>
      </c>
      <c r="R51" s="82">
        <f t="shared" si="197"/>
        <v>0</v>
      </c>
      <c r="S51" s="97">
        <f t="shared" si="148"/>
        <v>0</v>
      </c>
      <c r="T51" s="97">
        <f t="shared" si="177"/>
        <v>0</v>
      </c>
      <c r="U51" s="97">
        <f t="shared" si="59"/>
        <v>0</v>
      </c>
      <c r="V51" s="98" t="e">
        <f t="shared" ref="V51:W51" si="198">M51/I51</f>
        <v>#DIV/0!</v>
      </c>
      <c r="W51" s="98">
        <f t="shared" si="198"/>
        <v>1</v>
      </c>
      <c r="X51" s="98" t="e">
        <f t="shared" si="26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605</v>
      </c>
      <c r="E52" s="116"/>
      <c r="F52" s="92"/>
      <c r="G52" s="94" t="e">
        <f t="shared" si="19"/>
        <v>#DIV/0!</v>
      </c>
      <c r="H52" s="94" t="e">
        <f t="shared" si="105"/>
        <v>#DIV/0!</v>
      </c>
      <c r="I52" s="133"/>
      <c r="J52" s="117">
        <f>2874.45+8500+15300+2420</f>
        <v>29094.45</v>
      </c>
      <c r="K52" s="117"/>
      <c r="L52" s="145"/>
      <c r="M52" s="97">
        <f t="shared" si="81"/>
        <v>0</v>
      </c>
      <c r="N52" s="97">
        <f t="shared" ref="N52:O52" si="199">Z52+AC52+AF52+AI52+AL52+AO52+AR52+AU52+AX52+BA52+BD52+BG52</f>
        <v>29094.45</v>
      </c>
      <c r="O52" s="97">
        <f t="shared" si="199"/>
        <v>0</v>
      </c>
      <c r="P52" s="82">
        <f t="shared" ref="P52:R52" si="200">IF(BI52=0,SUM(Y52+AB52+AE52+AH52+AK52+AN52+AQ52+AT52+AW52+AZ52+BC52+BF52),BI52)</f>
        <v>0</v>
      </c>
      <c r="Q52" s="82">
        <f t="shared" si="200"/>
        <v>29094.45</v>
      </c>
      <c r="R52" s="82">
        <f t="shared" si="200"/>
        <v>0</v>
      </c>
      <c r="S52" s="97">
        <f t="shared" si="148"/>
        <v>0</v>
      </c>
      <c r="T52" s="97">
        <f t="shared" si="177"/>
        <v>0</v>
      </c>
      <c r="U52" s="97">
        <f t="shared" si="59"/>
        <v>0</v>
      </c>
      <c r="V52" s="98" t="e">
        <f t="shared" ref="V52:W52" si="201">M52/I52</f>
        <v>#DIV/0!</v>
      </c>
      <c r="W52" s="98">
        <f t="shared" si="201"/>
        <v>1</v>
      </c>
      <c r="X52" s="98" t="e">
        <f t="shared" si="26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260">
        <v>2874.45</v>
      </c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9"/>
        <v>#DIV/0!</v>
      </c>
      <c r="H53" s="94" t="e">
        <f t="shared" si="105"/>
        <v>#DIV/0!</v>
      </c>
      <c r="I53" s="133"/>
      <c r="J53" s="117"/>
      <c r="K53" s="117"/>
      <c r="L53" s="145"/>
      <c r="M53" s="97">
        <f t="shared" si="81"/>
        <v>0</v>
      </c>
      <c r="N53" s="97">
        <f t="shared" ref="N53:O53" si="202">Z53+AC53+AF53+AI53+AL53+AO53+AR53+AU53+AX53+BA53+BD53+BG53</f>
        <v>0</v>
      </c>
      <c r="O53" s="97">
        <f t="shared" si="202"/>
        <v>0</v>
      </c>
      <c r="P53" s="82">
        <f t="shared" ref="P53:R53" si="203">IF(BI53=0,SUM(Y53+AB53+AE53+AH53+AK53+AN53+AQ53+AT53+AW53+AZ53+BC53+BF53),BI53)</f>
        <v>0</v>
      </c>
      <c r="Q53" s="82">
        <f t="shared" si="203"/>
        <v>0</v>
      </c>
      <c r="R53" s="82">
        <f t="shared" si="203"/>
        <v>0</v>
      </c>
      <c r="S53" s="97">
        <f t="shared" si="148"/>
        <v>0</v>
      </c>
      <c r="T53" s="97">
        <f t="shared" si="177"/>
        <v>0</v>
      </c>
      <c r="U53" s="97">
        <f t="shared" si="59"/>
        <v>0</v>
      </c>
      <c r="V53" s="98" t="e">
        <f t="shared" ref="V53:W53" si="204">M53/I53</f>
        <v>#DIV/0!</v>
      </c>
      <c r="W53" s="98" t="e">
        <f t="shared" si="204"/>
        <v>#DIV/0!</v>
      </c>
      <c r="X53" s="98" t="e">
        <f t="shared" si="26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9"/>
        <v>#DIV/0!</v>
      </c>
      <c r="H54" s="94" t="e">
        <f t="shared" si="105"/>
        <v>#DIV/0!</v>
      </c>
      <c r="I54" s="133"/>
      <c r="J54" s="117"/>
      <c r="K54" s="117"/>
      <c r="L54" s="145"/>
      <c r="M54" s="97">
        <f t="shared" si="81"/>
        <v>0</v>
      </c>
      <c r="N54" s="97">
        <f t="shared" ref="N54:O54" si="205">Z54+AC54+AF54+AI54+AL54+AO54+AR54+AU54+AX54+BA54+BD54+BG54</f>
        <v>0</v>
      </c>
      <c r="O54" s="97">
        <f t="shared" si="205"/>
        <v>0</v>
      </c>
      <c r="P54" s="82">
        <f t="shared" ref="P54:R54" si="206">IF(BI54=0,SUM(Y54+AB54+AE54+AH54+AK54+AN54+AQ54+AT54+AW54+AZ54+BC54+BF54),BI54)</f>
        <v>0</v>
      </c>
      <c r="Q54" s="82">
        <f t="shared" si="206"/>
        <v>0</v>
      </c>
      <c r="R54" s="82">
        <f t="shared" si="206"/>
        <v>0</v>
      </c>
      <c r="S54" s="97">
        <f t="shared" si="148"/>
        <v>0</v>
      </c>
      <c r="T54" s="97">
        <f t="shared" si="177"/>
        <v>0</v>
      </c>
      <c r="U54" s="97">
        <f t="shared" si="59"/>
        <v>0</v>
      </c>
      <c r="V54" s="98" t="e">
        <f t="shared" ref="V54:W54" si="207">M54/I54</f>
        <v>#DIV/0!</v>
      </c>
      <c r="W54" s="98" t="e">
        <f t="shared" si="207"/>
        <v>#DIV/0!</v>
      </c>
      <c r="X54" s="98" t="e">
        <f t="shared" si="26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9"/>
        <v>#DIV/0!</v>
      </c>
      <c r="H55" s="94">
        <f t="shared" ref="H55:H60" si="208">M55/F55</f>
        <v>0</v>
      </c>
      <c r="I55" s="96"/>
      <c r="J55" s="117"/>
      <c r="K55" s="117"/>
      <c r="L55" s="118"/>
      <c r="M55" s="97">
        <f t="shared" si="81"/>
        <v>0</v>
      </c>
      <c r="N55" s="97">
        <f t="shared" ref="N55:O55" si="209">Z55+AC55+AF55+AI55+AL55+AO55+AR55+AU55+AX55+BA55+BD55+BG55</f>
        <v>0</v>
      </c>
      <c r="O55" s="97">
        <f t="shared" si="209"/>
        <v>0</v>
      </c>
      <c r="P55" s="82">
        <f t="shared" ref="P55:R55" si="210">IF(BI55=0,SUM(Y55+AB55+AE55+AH55+AK55+AN55+AQ55+AT55+AW55+AZ55+BC55+BF55),BI55)</f>
        <v>0</v>
      </c>
      <c r="Q55" s="82">
        <f t="shared" si="210"/>
        <v>0</v>
      </c>
      <c r="R55" s="82">
        <f t="shared" si="210"/>
        <v>0</v>
      </c>
      <c r="S55" s="97">
        <f t="shared" si="148"/>
        <v>0</v>
      </c>
      <c r="T55" s="97">
        <f t="shared" si="177"/>
        <v>0</v>
      </c>
      <c r="U55" s="97">
        <f t="shared" si="59"/>
        <v>0</v>
      </c>
      <c r="V55" s="98" t="e">
        <f t="shared" ref="V55:W55" si="211">M55/I55</f>
        <v>#DIV/0!</v>
      </c>
      <c r="W55" s="98" t="e">
        <f t="shared" si="211"/>
        <v>#DIV/0!</v>
      </c>
      <c r="X55" s="98" t="e">
        <f t="shared" si="26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9"/>
        <v>#DIV/0!</v>
      </c>
      <c r="H56" s="94">
        <f t="shared" si="208"/>
        <v>0</v>
      </c>
      <c r="I56" s="96"/>
      <c r="J56" s="117">
        <v>1817.8</v>
      </c>
      <c r="K56" s="117"/>
      <c r="L56" s="118"/>
      <c r="M56" s="97">
        <f t="shared" si="81"/>
        <v>0</v>
      </c>
      <c r="N56" s="97">
        <f t="shared" ref="N56:O56" si="212">Z56+AC56+AF56+AI56+AL56+AO56+AR56+AU56+AX56+BA56+BD56+BG56</f>
        <v>1817.8</v>
      </c>
      <c r="O56" s="97">
        <f t="shared" si="212"/>
        <v>0</v>
      </c>
      <c r="P56" s="82">
        <f t="shared" ref="P56:R56" si="213">IF(BI56=0,SUM(Y56+AB56+AE56+AH56+AK56+AN56+AQ56+AT56+AW56+AZ56+BC56+BF56),BI56)</f>
        <v>0</v>
      </c>
      <c r="Q56" s="82">
        <f t="shared" si="213"/>
        <v>1817.8</v>
      </c>
      <c r="R56" s="82">
        <f t="shared" si="213"/>
        <v>0</v>
      </c>
      <c r="S56" s="97">
        <f t="shared" si="148"/>
        <v>0</v>
      </c>
      <c r="T56" s="97">
        <f t="shared" si="177"/>
        <v>0</v>
      </c>
      <c r="U56" s="97">
        <f t="shared" si="59"/>
        <v>0</v>
      </c>
      <c r="V56" s="98" t="e">
        <f t="shared" ref="V56:W56" si="214">M56/I56</f>
        <v>#DIV/0!</v>
      </c>
      <c r="W56" s="98">
        <f t="shared" si="214"/>
        <v>1</v>
      </c>
      <c r="X56" s="98" t="e">
        <f t="shared" si="26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15">I57/F57</f>
        <v>0</v>
      </c>
      <c r="H57" s="94">
        <f t="shared" si="208"/>
        <v>0</v>
      </c>
      <c r="I57" s="96"/>
      <c r="J57" s="117"/>
      <c r="K57" s="117"/>
      <c r="L57" s="118"/>
      <c r="M57" s="97">
        <f t="shared" si="81"/>
        <v>0</v>
      </c>
      <c r="N57" s="97">
        <f t="shared" ref="N57:O57" si="216">Z57+AC57+AF57+AI57+AL57+AO57+AR57+AU57+AX57+BA57+BD57+BG57</f>
        <v>0</v>
      </c>
      <c r="O57" s="97">
        <f t="shared" si="216"/>
        <v>0</v>
      </c>
      <c r="P57" s="82">
        <f t="shared" ref="P57:R57" si="217">IF(BI57=0,SUM(Y57+AB57+AE57+AH57+AK57+AN57+AQ57+AT57+AW57+AZ57+BC57+BF57),BI57)</f>
        <v>0</v>
      </c>
      <c r="Q57" s="82">
        <f t="shared" si="217"/>
        <v>0</v>
      </c>
      <c r="R57" s="82">
        <f t="shared" si="217"/>
        <v>0</v>
      </c>
      <c r="S57" s="97">
        <f t="shared" si="148"/>
        <v>0</v>
      </c>
      <c r="T57" s="97">
        <f t="shared" si="177"/>
        <v>0</v>
      </c>
      <c r="U57" s="97">
        <f t="shared" si="59"/>
        <v>0</v>
      </c>
      <c r="V57" s="98" t="e">
        <f t="shared" ref="V57:W57" si="218">M57/I57</f>
        <v>#DIV/0!</v>
      </c>
      <c r="W57" s="98" t="e">
        <f t="shared" si="218"/>
        <v>#DIV/0!</v>
      </c>
      <c r="X57" s="98" t="e">
        <f t="shared" si="26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15"/>
        <v>0</v>
      </c>
      <c r="H58" s="94">
        <f t="shared" si="208"/>
        <v>0</v>
      </c>
      <c r="I58" s="142"/>
      <c r="J58" s="117"/>
      <c r="K58" s="117"/>
      <c r="L58" s="118"/>
      <c r="M58" s="97">
        <f t="shared" si="81"/>
        <v>0</v>
      </c>
      <c r="N58" s="97">
        <f t="shared" ref="N58:O58" si="219">Z58+AC58+AF58+AI58+AL58+AO58+AR58+AU58+AX58+BA58+BD58+BG58</f>
        <v>0</v>
      </c>
      <c r="O58" s="97">
        <f t="shared" si="219"/>
        <v>0</v>
      </c>
      <c r="P58" s="82">
        <f t="shared" ref="P58:R58" si="220">IF(BI58=0,SUM(Y58+AB58+AE58+AH58+AK58+AN58+AQ58+AT58+AW58+AZ58+BC58+BF58),BI58)</f>
        <v>0</v>
      </c>
      <c r="Q58" s="82">
        <f t="shared" si="220"/>
        <v>0</v>
      </c>
      <c r="R58" s="82">
        <f t="shared" si="220"/>
        <v>0</v>
      </c>
      <c r="S58" s="97">
        <f t="shared" si="148"/>
        <v>0</v>
      </c>
      <c r="T58" s="97">
        <f t="shared" si="177"/>
        <v>0</v>
      </c>
      <c r="U58" s="97">
        <f t="shared" si="59"/>
        <v>0</v>
      </c>
      <c r="V58" s="98" t="e">
        <f t="shared" ref="V58:W58" si="221">M58/I58</f>
        <v>#DIV/0!</v>
      </c>
      <c r="W58" s="98" t="e">
        <f t="shared" si="221"/>
        <v>#DIV/0!</v>
      </c>
      <c r="X58" s="98" t="e">
        <f t="shared" si="26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15"/>
        <v>0</v>
      </c>
      <c r="H59" s="94">
        <f t="shared" si="208"/>
        <v>0</v>
      </c>
      <c r="I59" s="96"/>
      <c r="J59" s="117"/>
      <c r="K59" s="117"/>
      <c r="L59" s="118"/>
      <c r="M59" s="97">
        <f t="shared" si="81"/>
        <v>0</v>
      </c>
      <c r="N59" s="97">
        <f t="shared" ref="N59:O59" si="222">Z59+AC59+AF59+AI59+AL59+AO59+AR59+AU59+AX59+BA59+BD59+BG59</f>
        <v>0</v>
      </c>
      <c r="O59" s="97">
        <f t="shared" si="222"/>
        <v>0</v>
      </c>
      <c r="P59" s="82">
        <f t="shared" ref="P59:R59" si="223">IF(BI59=0,SUM(Y59+AB59+AE59+AH59+AK59+AN59+AQ59+AT59+AW59+AZ59+BC59+BF59),BI59)</f>
        <v>0</v>
      </c>
      <c r="Q59" s="82">
        <f t="shared" si="223"/>
        <v>0</v>
      </c>
      <c r="R59" s="82">
        <f t="shared" si="223"/>
        <v>0</v>
      </c>
      <c r="S59" s="97">
        <f t="shared" si="148"/>
        <v>0</v>
      </c>
      <c r="T59" s="97">
        <f t="shared" si="177"/>
        <v>0</v>
      </c>
      <c r="U59" s="97">
        <f t="shared" si="59"/>
        <v>0</v>
      </c>
      <c r="V59" s="98" t="e">
        <f t="shared" ref="V59:W59" si="224">M59/I59</f>
        <v>#DIV/0!</v>
      </c>
      <c r="W59" s="98" t="e">
        <f t="shared" si="224"/>
        <v>#DIV/0!</v>
      </c>
      <c r="X59" s="98" t="e">
        <f t="shared" si="26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15"/>
        <v>0</v>
      </c>
      <c r="H60" s="94">
        <f t="shared" si="208"/>
        <v>0</v>
      </c>
      <c r="I60" s="96"/>
      <c r="J60" s="146"/>
      <c r="K60" s="146"/>
      <c r="L60" s="118"/>
      <c r="M60" s="97">
        <f t="shared" si="81"/>
        <v>0</v>
      </c>
      <c r="N60" s="97">
        <f t="shared" ref="N60:O60" si="225">Z60+AC60+AF60+AI60+AL60+AO60+AR60+AU60+AX60+BA60+BD60+BG60</f>
        <v>0</v>
      </c>
      <c r="O60" s="97">
        <f t="shared" si="225"/>
        <v>0</v>
      </c>
      <c r="P60" s="82">
        <f t="shared" ref="P60:R60" si="226">IF(BI60=0,SUM(Y60+AB60+AE60+AH60+AK60+AN60+AQ60+AT60+AW60+AZ60+BC60+BF60),BI60)</f>
        <v>0</v>
      </c>
      <c r="Q60" s="82">
        <f t="shared" si="226"/>
        <v>0</v>
      </c>
      <c r="R60" s="82">
        <f t="shared" si="226"/>
        <v>0</v>
      </c>
      <c r="S60" s="97">
        <f t="shared" si="148"/>
        <v>0</v>
      </c>
      <c r="T60" s="97">
        <f t="shared" si="177"/>
        <v>0</v>
      </c>
      <c r="U60" s="97">
        <f t="shared" si="59"/>
        <v>0</v>
      </c>
      <c r="V60" s="98" t="e">
        <f t="shared" ref="V60:W60" si="227">M60/I60</f>
        <v>#DIV/0!</v>
      </c>
      <c r="W60" s="98" t="e">
        <f t="shared" si="227"/>
        <v>#DIV/0!</v>
      </c>
      <c r="X60" s="98" t="e">
        <f t="shared" si="26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15"/>
        <v>0</v>
      </c>
      <c r="H61" s="94"/>
      <c r="I61" s="96"/>
      <c r="J61" s="146"/>
      <c r="K61" s="146"/>
      <c r="L61" s="118"/>
      <c r="M61" s="97">
        <f t="shared" si="81"/>
        <v>0</v>
      </c>
      <c r="N61" s="97">
        <f t="shared" ref="N61:O61" si="228">Z61+AC61+AF61+AI61+AL61+AO61+AR61+AU61+AX61+BA61+BD61+BG61</f>
        <v>0</v>
      </c>
      <c r="O61" s="97">
        <f t="shared" si="228"/>
        <v>0</v>
      </c>
      <c r="P61" s="82">
        <f t="shared" ref="P61:R61" si="229">IF(BI61=0,SUM(Y61+AB61+AE61+AH61+AK61+AN61+AQ61+AT61+AW61+AZ61+BC61+BF61),BI61)</f>
        <v>0</v>
      </c>
      <c r="Q61" s="82">
        <f t="shared" si="229"/>
        <v>0</v>
      </c>
      <c r="R61" s="82">
        <f t="shared" si="229"/>
        <v>0</v>
      </c>
      <c r="S61" s="97">
        <f t="shared" si="148"/>
        <v>0</v>
      </c>
      <c r="T61" s="97">
        <f t="shared" si="177"/>
        <v>0</v>
      </c>
      <c r="U61" s="97">
        <f t="shared" si="59"/>
        <v>0</v>
      </c>
      <c r="V61" s="98" t="e">
        <f t="shared" ref="V61:W61" si="230">M61/I61</f>
        <v>#DIV/0!</v>
      </c>
      <c r="W61" s="98" t="e">
        <f t="shared" si="230"/>
        <v>#DIV/0!</v>
      </c>
      <c r="X61" s="98" t="e">
        <f t="shared" si="26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15"/>
        <v>0</v>
      </c>
      <c r="H62" s="94"/>
      <c r="I62" s="96"/>
      <c r="J62" s="146"/>
      <c r="K62" s="146"/>
      <c r="L62" s="118"/>
      <c r="M62" s="97">
        <f t="shared" si="81"/>
        <v>0</v>
      </c>
      <c r="N62" s="97">
        <f t="shared" ref="N62:O62" si="231">Z62+AC62+AF62+AI62+AL62+AO62+AR62+AU62+AX62+BA62+BD62+BG62</f>
        <v>0</v>
      </c>
      <c r="O62" s="97">
        <f t="shared" si="231"/>
        <v>0</v>
      </c>
      <c r="P62" s="82">
        <f t="shared" ref="P62:R62" si="232">IF(BI62=0,SUM(Y62+AB62+AE62+AH62+AK62+AN62+AQ62+AT62+AW62+AZ62+BC62+BF62),BI62)</f>
        <v>0</v>
      </c>
      <c r="Q62" s="82">
        <f t="shared" si="232"/>
        <v>0</v>
      </c>
      <c r="R62" s="82">
        <f t="shared" si="232"/>
        <v>0</v>
      </c>
      <c r="S62" s="97">
        <f t="shared" si="148"/>
        <v>0</v>
      </c>
      <c r="T62" s="97">
        <f t="shared" si="177"/>
        <v>0</v>
      </c>
      <c r="U62" s="97">
        <f t="shared" si="59"/>
        <v>0</v>
      </c>
      <c r="V62" s="98" t="e">
        <f t="shared" ref="V62:W62" si="233">M62/I62</f>
        <v>#DIV/0!</v>
      </c>
      <c r="W62" s="98" t="e">
        <f t="shared" si="233"/>
        <v>#DIV/0!</v>
      </c>
      <c r="X62" s="98" t="e">
        <f t="shared" si="26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34">I63/E63</f>
        <v>#DIV/0!</v>
      </c>
      <c r="H63" s="94" t="e">
        <f t="shared" ref="H63:H80" si="235">M63/E63</f>
        <v>#DIV/0!</v>
      </c>
      <c r="I63" s="96"/>
      <c r="J63" s="146"/>
      <c r="K63" s="146"/>
      <c r="L63" s="118"/>
      <c r="M63" s="97">
        <f t="shared" si="81"/>
        <v>0</v>
      </c>
      <c r="N63" s="97">
        <f t="shared" ref="N63:O63" si="236">Z63+AC63+AF63+AI63+AL63+AO63+AR63+AU63+AX63+BA63+BD63+BG63</f>
        <v>0</v>
      </c>
      <c r="O63" s="97">
        <f t="shared" si="236"/>
        <v>0</v>
      </c>
      <c r="P63" s="82">
        <f t="shared" ref="P63:R63" si="237">IF(BI63=0,SUM(Y63+AB63+AE63+AH63+AK63+AN63+AQ63+AT63+AW63+AZ63+BC63+BF63),BI63)</f>
        <v>0</v>
      </c>
      <c r="Q63" s="82">
        <f t="shared" si="237"/>
        <v>0</v>
      </c>
      <c r="R63" s="82">
        <f t="shared" si="237"/>
        <v>0</v>
      </c>
      <c r="S63" s="97">
        <f t="shared" si="148"/>
        <v>0</v>
      </c>
      <c r="T63" s="97">
        <f t="shared" si="177"/>
        <v>0</v>
      </c>
      <c r="U63" s="97">
        <f t="shared" si="59"/>
        <v>0</v>
      </c>
      <c r="V63" s="98" t="e">
        <f t="shared" ref="V63:W63" si="238">M63/I63</f>
        <v>#DIV/0!</v>
      </c>
      <c r="W63" s="98" t="e">
        <f t="shared" si="238"/>
        <v>#DIV/0!</v>
      </c>
      <c r="X63" s="98" t="e">
        <f t="shared" si="26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34"/>
        <v>#DIV/0!</v>
      </c>
      <c r="H64" s="94" t="e">
        <f t="shared" si="235"/>
        <v>#DIV/0!</v>
      </c>
      <c r="I64" s="96"/>
      <c r="J64" s="146"/>
      <c r="K64" s="146"/>
      <c r="L64" s="118"/>
      <c r="M64" s="97">
        <f t="shared" si="81"/>
        <v>0</v>
      </c>
      <c r="N64" s="97">
        <f t="shared" ref="N64:O64" si="239">Z64+AC64+AF64+AI64+AL64+AO64+AR64+AU64+AX64+BA64+BD64+BG64</f>
        <v>0</v>
      </c>
      <c r="O64" s="97">
        <f t="shared" si="239"/>
        <v>0</v>
      </c>
      <c r="P64" s="82">
        <f t="shared" ref="P64:R64" si="240">IF(BI64=0,SUM(Y64+AB64+AE64+AH64+AK64+AN64+AQ64+AT64+AW64+AZ64+BC64+BF64),BI64)</f>
        <v>0</v>
      </c>
      <c r="Q64" s="82">
        <f t="shared" si="240"/>
        <v>0</v>
      </c>
      <c r="R64" s="82">
        <f t="shared" si="240"/>
        <v>0</v>
      </c>
      <c r="S64" s="97">
        <f t="shared" si="148"/>
        <v>0</v>
      </c>
      <c r="T64" s="97">
        <f t="shared" si="177"/>
        <v>0</v>
      </c>
      <c r="U64" s="97">
        <f t="shared" si="59"/>
        <v>0</v>
      </c>
      <c r="V64" s="98" t="e">
        <f t="shared" ref="V64:W64" si="241">M64/I64</f>
        <v>#DIV/0!</v>
      </c>
      <c r="W64" s="98" t="e">
        <f t="shared" si="241"/>
        <v>#DIV/0!</v>
      </c>
      <c r="X64" s="98" t="e">
        <f t="shared" si="26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34"/>
        <v>#DIV/0!</v>
      </c>
      <c r="H65" s="94" t="e">
        <f t="shared" si="235"/>
        <v>#DIV/0!</v>
      </c>
      <c r="I65" s="96"/>
      <c r="J65" s="126"/>
      <c r="K65" s="126"/>
      <c r="L65" s="118"/>
      <c r="M65" s="97">
        <f t="shared" si="81"/>
        <v>0</v>
      </c>
      <c r="N65" s="97">
        <f t="shared" ref="N65:O65" si="242">Z65+AC65+AF65+AI65+AL65+AO65+AR65+AU65+AX65+BA65+BD65+BG65</f>
        <v>0</v>
      </c>
      <c r="O65" s="97">
        <f t="shared" si="242"/>
        <v>0</v>
      </c>
      <c r="P65" s="82">
        <f t="shared" ref="P65:R65" si="243">IF(BI65=0,SUM(Y65+AB65+AE65+AH65+AK65+AN65+AQ65+AT65+AW65+AZ65+BC65+BF65),BI65)</f>
        <v>0</v>
      </c>
      <c r="Q65" s="82">
        <f t="shared" si="243"/>
        <v>0</v>
      </c>
      <c r="R65" s="82">
        <f t="shared" si="243"/>
        <v>0</v>
      </c>
      <c r="S65" s="97">
        <f t="shared" si="148"/>
        <v>0</v>
      </c>
      <c r="T65" s="97">
        <f t="shared" si="177"/>
        <v>0</v>
      </c>
      <c r="U65" s="97">
        <f t="shared" si="59"/>
        <v>0</v>
      </c>
      <c r="V65" s="98" t="e">
        <f t="shared" ref="V65:W65" si="244">M65/I65</f>
        <v>#DIV/0!</v>
      </c>
      <c r="W65" s="98" t="e">
        <f t="shared" si="244"/>
        <v>#DIV/0!</v>
      </c>
      <c r="X65" s="98" t="e">
        <f t="shared" si="26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34"/>
        <v>#DIV/0!</v>
      </c>
      <c r="H66" s="94" t="e">
        <f t="shared" si="235"/>
        <v>#DIV/0!</v>
      </c>
      <c r="I66" s="96"/>
      <c r="J66" s="146"/>
      <c r="K66" s="146"/>
      <c r="L66" s="95"/>
      <c r="M66" s="97">
        <f t="shared" si="81"/>
        <v>0</v>
      </c>
      <c r="N66" s="97">
        <f t="shared" ref="N66:O66" si="245">Z66+AC66+AF66+AI66+AL66+AO66+AR66+AU66+AX66+BA66+BD66+BG66</f>
        <v>0</v>
      </c>
      <c r="O66" s="97">
        <f t="shared" si="245"/>
        <v>0</v>
      </c>
      <c r="P66" s="82">
        <f t="shared" ref="P66:R66" si="246">IF(BI66=0,SUM(Y66+AB66+AE66+AH66+AK66+AN66+AQ66+AT66+AW66+AZ66+BC66+BF66),BI66)</f>
        <v>0</v>
      </c>
      <c r="Q66" s="82">
        <f t="shared" si="246"/>
        <v>0</v>
      </c>
      <c r="R66" s="82">
        <f t="shared" si="246"/>
        <v>0</v>
      </c>
      <c r="S66" s="97">
        <f t="shared" si="148"/>
        <v>0</v>
      </c>
      <c r="T66" s="97">
        <f t="shared" si="177"/>
        <v>0</v>
      </c>
      <c r="U66" s="97">
        <f t="shared" si="59"/>
        <v>0</v>
      </c>
      <c r="V66" s="98" t="e">
        <f t="shared" ref="V66:W66" si="247">M66/I66</f>
        <v>#DIV/0!</v>
      </c>
      <c r="W66" s="98" t="e">
        <f t="shared" si="247"/>
        <v>#DIV/0!</v>
      </c>
      <c r="X66" s="98" t="e">
        <f t="shared" si="26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34"/>
        <v>5.8527683896932747E-2</v>
      </c>
      <c r="H67" s="107">
        <f t="shared" si="235"/>
        <v>0</v>
      </c>
      <c r="I67" s="87">
        <f t="shared" ref="I67:Q67" si="248">I68+I75+I76+I77+I80+I84+I89</f>
        <v>15639.66</v>
      </c>
      <c r="J67" s="87">
        <f t="shared" si="248"/>
        <v>84340.34</v>
      </c>
      <c r="K67" s="87">
        <f t="shared" si="248"/>
        <v>0</v>
      </c>
      <c r="L67" s="87">
        <f t="shared" si="248"/>
        <v>0</v>
      </c>
      <c r="M67" s="87">
        <f t="shared" si="248"/>
        <v>0</v>
      </c>
      <c r="N67" s="87">
        <f t="shared" si="248"/>
        <v>20914.099999999999</v>
      </c>
      <c r="O67" s="87">
        <f t="shared" si="248"/>
        <v>0</v>
      </c>
      <c r="P67" s="87">
        <f t="shared" si="248"/>
        <v>0</v>
      </c>
      <c r="Q67" s="87">
        <f t="shared" si="248"/>
        <v>20914.099999999999</v>
      </c>
      <c r="R67" s="87">
        <f>IF(BK67=0,SUM(AA67+AD67+AG67+AJ67+AM67+AP67+AS67+AV67+AY67+BB67+BE67+BH67),BK67)</f>
        <v>0</v>
      </c>
      <c r="S67" s="87">
        <f>S68+S75+S76+S77+S80+S84+S89</f>
        <v>15076.66</v>
      </c>
      <c r="T67" s="87">
        <f>T68+T84</f>
        <v>63426.239999999998</v>
      </c>
      <c r="U67" s="87">
        <f>U68+U75+U76+U77+U80+U84+U89</f>
        <v>0</v>
      </c>
      <c r="V67" s="88">
        <f t="shared" ref="V67:W67" si="249">M67/I67</f>
        <v>0</v>
      </c>
      <c r="W67" s="88">
        <f t="shared" si="249"/>
        <v>0.24797267831739828</v>
      </c>
      <c r="X67" s="88" t="e">
        <f t="shared" si="26"/>
        <v>#DIV/0!</v>
      </c>
      <c r="Y67" s="87">
        <f t="shared" ref="Y67:BK67" si="250">Y68+Y75+Y76+Y77+Y80+Y84+Y89</f>
        <v>0</v>
      </c>
      <c r="Z67" s="87">
        <f t="shared" si="250"/>
        <v>4595.8899999999994</v>
      </c>
      <c r="AA67" s="87">
        <f t="shared" si="250"/>
        <v>0</v>
      </c>
      <c r="AB67" s="87">
        <f t="shared" si="250"/>
        <v>0</v>
      </c>
      <c r="AC67" s="87">
        <f t="shared" si="250"/>
        <v>7931.1</v>
      </c>
      <c r="AD67" s="87">
        <f t="shared" si="250"/>
        <v>0</v>
      </c>
      <c r="AE67" s="87">
        <f t="shared" si="250"/>
        <v>0</v>
      </c>
      <c r="AF67" s="87">
        <f t="shared" si="250"/>
        <v>5181.2700000000004</v>
      </c>
      <c r="AG67" s="87">
        <f t="shared" si="250"/>
        <v>0</v>
      </c>
      <c r="AH67" s="87">
        <f t="shared" si="250"/>
        <v>0</v>
      </c>
      <c r="AI67" s="87">
        <f t="shared" si="250"/>
        <v>3205.84</v>
      </c>
      <c r="AJ67" s="87">
        <f t="shared" si="250"/>
        <v>0</v>
      </c>
      <c r="AK67" s="87">
        <f t="shared" si="250"/>
        <v>0</v>
      </c>
      <c r="AL67" s="87">
        <f t="shared" si="250"/>
        <v>0</v>
      </c>
      <c r="AM67" s="87">
        <f t="shared" si="250"/>
        <v>0</v>
      </c>
      <c r="AN67" s="87">
        <f t="shared" si="250"/>
        <v>0</v>
      </c>
      <c r="AO67" s="87">
        <f t="shared" si="250"/>
        <v>0</v>
      </c>
      <c r="AP67" s="87">
        <f t="shared" si="250"/>
        <v>0</v>
      </c>
      <c r="AQ67" s="87">
        <f t="shared" si="250"/>
        <v>0</v>
      </c>
      <c r="AR67" s="87">
        <f t="shared" si="250"/>
        <v>0</v>
      </c>
      <c r="AS67" s="87">
        <f t="shared" si="250"/>
        <v>0</v>
      </c>
      <c r="AT67" s="87">
        <f t="shared" si="250"/>
        <v>0</v>
      </c>
      <c r="AU67" s="87">
        <f t="shared" si="250"/>
        <v>0</v>
      </c>
      <c r="AV67" s="87">
        <f t="shared" si="250"/>
        <v>0</v>
      </c>
      <c r="AW67" s="87">
        <f t="shared" si="250"/>
        <v>0</v>
      </c>
      <c r="AX67" s="87">
        <f t="shared" si="250"/>
        <v>0</v>
      </c>
      <c r="AY67" s="87">
        <f t="shared" si="250"/>
        <v>0</v>
      </c>
      <c r="AZ67" s="87">
        <f t="shared" si="250"/>
        <v>0</v>
      </c>
      <c r="BA67" s="87">
        <f t="shared" si="250"/>
        <v>0</v>
      </c>
      <c r="BB67" s="87">
        <f t="shared" si="250"/>
        <v>0</v>
      </c>
      <c r="BC67" s="87">
        <f t="shared" si="250"/>
        <v>0</v>
      </c>
      <c r="BD67" s="87">
        <f t="shared" si="250"/>
        <v>0</v>
      </c>
      <c r="BE67" s="87">
        <f t="shared" si="250"/>
        <v>0</v>
      </c>
      <c r="BF67" s="87">
        <f t="shared" si="250"/>
        <v>0</v>
      </c>
      <c r="BG67" s="87">
        <f t="shared" si="250"/>
        <v>0</v>
      </c>
      <c r="BH67" s="87">
        <f t="shared" si="250"/>
        <v>0</v>
      </c>
      <c r="BI67" s="87">
        <f t="shared" si="250"/>
        <v>0</v>
      </c>
      <c r="BJ67" s="87">
        <f t="shared" si="250"/>
        <v>0</v>
      </c>
      <c r="BK67" s="87">
        <f t="shared" si="250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34"/>
        <v>5.0069391294733763E-2</v>
      </c>
      <c r="H68" s="155">
        <f t="shared" si="235"/>
        <v>0</v>
      </c>
      <c r="I68" s="154">
        <f>SUM(I69:I74)</f>
        <v>7590</v>
      </c>
      <c r="J68" s="154">
        <f t="shared" ref="J68:K68" si="251">SUM(J70:J74)</f>
        <v>10402.67</v>
      </c>
      <c r="K68" s="154">
        <f t="shared" si="251"/>
        <v>0</v>
      </c>
      <c r="L68" s="154">
        <f>SUM(L70:L71)</f>
        <v>0</v>
      </c>
      <c r="M68" s="154">
        <f>SUM(M69:M74)</f>
        <v>0</v>
      </c>
      <c r="N68" s="154">
        <f>SUM(N70:N74)</f>
        <v>4980.7</v>
      </c>
      <c r="O68" s="154">
        <f>SUM(O69:O74)</f>
        <v>0</v>
      </c>
      <c r="P68" s="81">
        <f t="shared" ref="P68:R68" si="252">IF(BI68=0,SUM(Y68+AB68+AE68+AH68+AK68+AN68+AQ68+AT68+AW68+AZ68+BC68+BF68),BI68)</f>
        <v>0</v>
      </c>
      <c r="Q68" s="81">
        <f t="shared" si="252"/>
        <v>4980.7</v>
      </c>
      <c r="R68" s="81">
        <f t="shared" si="252"/>
        <v>0</v>
      </c>
      <c r="S68" s="154">
        <f t="shared" ref="S68:T68" si="253">SUM(S69:S74)</f>
        <v>7590</v>
      </c>
      <c r="T68" s="154">
        <f t="shared" si="253"/>
        <v>5421.97</v>
      </c>
      <c r="U68" s="154">
        <f>SUM(U70:U74)</f>
        <v>0</v>
      </c>
      <c r="V68" s="156">
        <f t="shared" ref="V68:W68" si="254">M68/I68</f>
        <v>0</v>
      </c>
      <c r="W68" s="156">
        <f t="shared" si="254"/>
        <v>0.47879054127449971</v>
      </c>
      <c r="X68" s="156" t="e">
        <f t="shared" si="26"/>
        <v>#DIV/0!</v>
      </c>
      <c r="Y68" s="154">
        <f>SUM(Y70:Y71)</f>
        <v>0</v>
      </c>
      <c r="Z68" s="154">
        <f>SUM(Z70:Z74)</f>
        <v>324.49</v>
      </c>
      <c r="AA68" s="154">
        <f t="shared" ref="AA68:AB68" si="255">SUM(AA70:AA71)</f>
        <v>0</v>
      </c>
      <c r="AB68" s="154">
        <f t="shared" si="255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56">SUM(AE70:AE74)</f>
        <v>0</v>
      </c>
      <c r="AF68" s="154">
        <f t="shared" si="256"/>
        <v>2089.27</v>
      </c>
      <c r="AG68" s="154">
        <f>SUM(AG70:AG71)</f>
        <v>0</v>
      </c>
      <c r="AH68" s="154">
        <f t="shared" ref="AH68:AI68" si="257">SUM(AH70:AH74)</f>
        <v>0</v>
      </c>
      <c r="AI68" s="154">
        <f t="shared" si="257"/>
        <v>1265.8399999999999</v>
      </c>
      <c r="AJ68" s="154">
        <f>SUM(AJ70:AJ71)</f>
        <v>0</v>
      </c>
      <c r="AK68" s="154">
        <f t="shared" ref="AK68:AL68" si="258">SUM(AK70:AK74)</f>
        <v>0</v>
      </c>
      <c r="AL68" s="154">
        <f t="shared" si="258"/>
        <v>0</v>
      </c>
      <c r="AM68" s="154">
        <f>SUM(AM70:AM71)</f>
        <v>0</v>
      </c>
      <c r="AN68" s="154">
        <f t="shared" ref="AN68:AO68" si="259">SUM(AN70:AN74)</f>
        <v>0</v>
      </c>
      <c r="AO68" s="154">
        <f t="shared" si="259"/>
        <v>0</v>
      </c>
      <c r="AP68" s="154">
        <f>SUM(AP70:AP71)</f>
        <v>0</v>
      </c>
      <c r="AQ68" s="154">
        <f>SUM(AQ70:AQ74)</f>
        <v>0</v>
      </c>
      <c r="AR68" s="154">
        <f t="shared" ref="AR68:AS68" si="260">SUM(AR70:AR71)</f>
        <v>0</v>
      </c>
      <c r="AS68" s="154">
        <f t="shared" si="260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61">SUM(AW70:AW74)</f>
        <v>0</v>
      </c>
      <c r="AX68" s="154">
        <f t="shared" si="261"/>
        <v>0</v>
      </c>
      <c r="AY68" s="154">
        <f t="shared" ref="AY68:AZ68" si="262">SUM(AY70:AY71)</f>
        <v>0</v>
      </c>
      <c r="AZ68" s="154">
        <f t="shared" si="262"/>
        <v>0</v>
      </c>
      <c r="BA68" s="154">
        <f>SUM(BA70:BA76)</f>
        <v>0</v>
      </c>
      <c r="BB68" s="154">
        <f t="shared" ref="BB68:BH68" si="263">SUM(BB70:BB71)</f>
        <v>0</v>
      </c>
      <c r="BC68" s="154">
        <f t="shared" si="263"/>
        <v>0</v>
      </c>
      <c r="BD68" s="154">
        <f t="shared" si="263"/>
        <v>0</v>
      </c>
      <c r="BE68" s="154">
        <f t="shared" si="263"/>
        <v>0</v>
      </c>
      <c r="BF68" s="154">
        <f t="shared" si="263"/>
        <v>0</v>
      </c>
      <c r="BG68" s="154">
        <f t="shared" si="263"/>
        <v>0</v>
      </c>
      <c r="BH68" s="154">
        <f t="shared" si="263"/>
        <v>0</v>
      </c>
      <c r="BI68" s="154">
        <f t="shared" ref="BI68:BK68" si="264">SUM(BI69:BI74)</f>
        <v>0</v>
      </c>
      <c r="BJ68" s="154">
        <f t="shared" si="264"/>
        <v>0</v>
      </c>
      <c r="BK68" s="154">
        <f t="shared" si="264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34"/>
        <v>1</v>
      </c>
      <c r="H69" s="94">
        <f t="shared" si="235"/>
        <v>0</v>
      </c>
      <c r="I69" s="142">
        <v>1500</v>
      </c>
      <c r="J69" s="117"/>
      <c r="K69" s="117"/>
      <c r="L69" s="118"/>
      <c r="M69" s="97">
        <f t="shared" ref="M69:O69" si="265">Y69+AB69+AE69+AH69+AK69+AN69+AQ69+AT69+AW69+AZ69+BC69+BF69</f>
        <v>0</v>
      </c>
      <c r="N69" s="97">
        <f t="shared" si="265"/>
        <v>0</v>
      </c>
      <c r="O69" s="97">
        <f t="shared" si="265"/>
        <v>0</v>
      </c>
      <c r="P69" s="82">
        <f t="shared" ref="P69:R69" si="266">IF(BI69=0,SUM(Y69+AB69+AE69+AH69+AK69+AN69+AQ69+AT69+AW69+AZ69+BC69+BF69),BI69)</f>
        <v>0</v>
      </c>
      <c r="Q69" s="82">
        <f t="shared" si="266"/>
        <v>0</v>
      </c>
      <c r="R69" s="82">
        <f t="shared" si="266"/>
        <v>0</v>
      </c>
      <c r="S69" s="97">
        <f t="shared" ref="S69:T69" si="267">I69-M69</f>
        <v>1500</v>
      </c>
      <c r="T69" s="97">
        <f t="shared" si="267"/>
        <v>0</v>
      </c>
      <c r="U69" s="97">
        <f t="shared" ref="U69:U76" si="268">L69-O69</f>
        <v>0</v>
      </c>
      <c r="V69" s="98">
        <f t="shared" ref="V69:W69" si="269">M69/I69</f>
        <v>0</v>
      </c>
      <c r="W69" s="98" t="e">
        <f t="shared" si="269"/>
        <v>#DIV/0!</v>
      </c>
      <c r="X69" s="98" t="e">
        <f t="shared" si="26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606</v>
      </c>
      <c r="E70" s="162">
        <v>10000</v>
      </c>
      <c r="F70" s="142"/>
      <c r="G70" s="94">
        <f t="shared" si="234"/>
        <v>0</v>
      </c>
      <c r="H70" s="94">
        <f t="shared" si="235"/>
        <v>0</v>
      </c>
      <c r="I70" s="142"/>
      <c r="J70" s="117">
        <v>5435.51</v>
      </c>
      <c r="K70" s="117"/>
      <c r="L70" s="118"/>
      <c r="M70" s="97">
        <f t="shared" ref="M70:O70" si="270">Y70+AB70+AE70+AH70+AK70+AN70+AQ70+AT70+AW70+AZ70+BC70+BF70</f>
        <v>0</v>
      </c>
      <c r="N70" s="97">
        <f t="shared" si="270"/>
        <v>1470.76</v>
      </c>
      <c r="O70" s="97">
        <f t="shared" si="270"/>
        <v>0</v>
      </c>
      <c r="P70" s="82">
        <f t="shared" ref="P70:R70" si="271">IF(BI70=0,SUM(Y70+AB70+AE70+AH70+AK70+AN70+AQ70+AT70+AW70+AZ70+BC70+BF70),BI70)</f>
        <v>0</v>
      </c>
      <c r="Q70" s="82">
        <f t="shared" si="271"/>
        <v>1470.76</v>
      </c>
      <c r="R70" s="82">
        <f t="shared" si="271"/>
        <v>0</v>
      </c>
      <c r="S70" s="97">
        <f t="shared" ref="S70:T70" si="272">I70-M70</f>
        <v>0</v>
      </c>
      <c r="T70" s="97">
        <f t="shared" si="272"/>
        <v>3964.75</v>
      </c>
      <c r="U70" s="97">
        <f t="shared" si="268"/>
        <v>0</v>
      </c>
      <c r="V70" s="98" t="e">
        <f t="shared" ref="V70:W70" si="273">M70/I70</f>
        <v>#DIV/0!</v>
      </c>
      <c r="W70" s="98">
        <f t="shared" si="273"/>
        <v>0.27058362508761824</v>
      </c>
      <c r="X70" s="98" t="e">
        <f t="shared" si="26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f>362.01+425.9</f>
        <v>787.91</v>
      </c>
      <c r="AJ70" s="96"/>
      <c r="AK70" s="96"/>
      <c r="AL70" s="96"/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54" t="s">
        <v>607</v>
      </c>
      <c r="B71" s="136"/>
      <c r="C71" s="101" t="s">
        <v>306</v>
      </c>
      <c r="D71" s="236" t="s">
        <v>608</v>
      </c>
      <c r="E71" s="92">
        <v>30000</v>
      </c>
      <c r="F71" s="166"/>
      <c r="G71" s="94">
        <f t="shared" si="234"/>
        <v>0.1002</v>
      </c>
      <c r="H71" s="94">
        <f t="shared" si="235"/>
        <v>0</v>
      </c>
      <c r="I71" s="103">
        <v>3006</v>
      </c>
      <c r="J71" s="117"/>
      <c r="K71" s="117"/>
      <c r="L71" s="118"/>
      <c r="M71" s="97">
        <f t="shared" ref="M71:O71" si="274">Y71+AB71+AE71+AH71+AK71+AN71+AQ71+AT71+AW71+AZ71+BC71+BF71</f>
        <v>0</v>
      </c>
      <c r="N71" s="97">
        <f t="shared" si="274"/>
        <v>0</v>
      </c>
      <c r="O71" s="97">
        <f t="shared" si="274"/>
        <v>0</v>
      </c>
      <c r="P71" s="82">
        <f t="shared" ref="P71:R71" si="275">IF(BI71=0,SUM(Y71+AB71+AE71+AH71+AK71+AN71+AQ71+AT71+AW71+AZ71+BC71+BF71),BI71)</f>
        <v>0</v>
      </c>
      <c r="Q71" s="82">
        <f t="shared" si="275"/>
        <v>0</v>
      </c>
      <c r="R71" s="82">
        <f t="shared" si="275"/>
        <v>0</v>
      </c>
      <c r="S71" s="97">
        <f t="shared" ref="S71:T71" si="276">I71-M71</f>
        <v>3006</v>
      </c>
      <c r="T71" s="97">
        <f t="shared" si="276"/>
        <v>0</v>
      </c>
      <c r="U71" s="97">
        <f t="shared" si="268"/>
        <v>0</v>
      </c>
      <c r="V71" s="98">
        <f t="shared" ref="V71:W71" si="277">M71/I71</f>
        <v>0</v>
      </c>
      <c r="W71" s="98" t="e">
        <f t="shared" si="277"/>
        <v>#DIV/0!</v>
      </c>
      <c r="X71" s="98" t="e">
        <f t="shared" si="26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0</v>
      </c>
      <c r="AL71" s="96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609</v>
      </c>
      <c r="E72" s="92">
        <v>5200</v>
      </c>
      <c r="F72" s="166"/>
      <c r="G72" s="94">
        <f t="shared" si="234"/>
        <v>0</v>
      </c>
      <c r="H72" s="94">
        <f t="shared" si="235"/>
        <v>0</v>
      </c>
      <c r="I72" s="96"/>
      <c r="J72" s="117">
        <v>2723.27</v>
      </c>
      <c r="K72" s="117"/>
      <c r="L72" s="118"/>
      <c r="M72" s="97">
        <f t="shared" ref="M72:O72" si="278">Y72+AB72+AE72+AH72+AK72+AN72+AQ72+AT72+AW72+AZ72+BC72+BF72</f>
        <v>0</v>
      </c>
      <c r="N72" s="97">
        <f t="shared" si="278"/>
        <v>1911.72</v>
      </c>
      <c r="O72" s="97">
        <f t="shared" si="278"/>
        <v>0</v>
      </c>
      <c r="P72" s="82">
        <f t="shared" ref="P72:P87" si="279">IF(BI72=0,SUM(Y72+AB72+AE72+AH72+AK72+AN72+AQ72+AT72+AW72+AZ72+BC72+BF72),BI72)</f>
        <v>0</v>
      </c>
      <c r="Q72" s="82">
        <f>IF(BJ72=0,SUM(Z72+AC72+AF72+AI72+AL72+AO72+AR72+AT72+AX72+BA72+BD72+BG72),BJ72)</f>
        <v>1911.72</v>
      </c>
      <c r="R72" s="82">
        <f>IF(BK72=0,SUM(AA72+AD72+AG72+AJ72+AM72+AP72+AS72+AV72+AY72+BB72+BE72+BH72),BK72)</f>
        <v>0</v>
      </c>
      <c r="S72" s="97">
        <f t="shared" ref="S72:T72" si="280">I72-M72</f>
        <v>0</v>
      </c>
      <c r="T72" s="97">
        <f t="shared" si="280"/>
        <v>811.55</v>
      </c>
      <c r="U72" s="97">
        <f t="shared" si="268"/>
        <v>0</v>
      </c>
      <c r="V72" s="98" t="e">
        <f t="shared" ref="V72:W72" si="281">M72/I72</f>
        <v>#DIV/0!</v>
      </c>
      <c r="W72" s="98">
        <f t="shared" si="281"/>
        <v>0.70199429362494359</v>
      </c>
      <c r="X72" s="98" t="e">
        <f t="shared" si="26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/>
      <c r="AI72" s="103">
        <v>477.93</v>
      </c>
      <c r="AJ72" s="96"/>
      <c r="AK72" s="103">
        <v>0</v>
      </c>
      <c r="AL72" s="96"/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34"/>
        <v>0</v>
      </c>
      <c r="H73" s="94">
        <f t="shared" si="235"/>
        <v>0</v>
      </c>
      <c r="I73" s="96"/>
      <c r="J73" s="117"/>
      <c r="K73" s="117"/>
      <c r="L73" s="118"/>
      <c r="M73" s="97">
        <f t="shared" ref="M73:O73" si="282">Y73+AB73+AE73+AH73+AK73+AN73+AQ73+AT73+AW73+AZ73+BC73+BF73</f>
        <v>0</v>
      </c>
      <c r="N73" s="97">
        <f t="shared" si="282"/>
        <v>0</v>
      </c>
      <c r="O73" s="97">
        <f t="shared" si="282"/>
        <v>0</v>
      </c>
      <c r="P73" s="82">
        <f t="shared" si="279"/>
        <v>0</v>
      </c>
      <c r="Q73" s="82">
        <f t="shared" ref="Q73:R73" si="283">IF(BJ73=0,SUM(Z73+AC73+AF73+AI73+AL73+AO73+AR73+AU73+AX73+BA73+BD73+BG73),BJ73)</f>
        <v>0</v>
      </c>
      <c r="R73" s="82">
        <f t="shared" si="283"/>
        <v>0</v>
      </c>
      <c r="S73" s="97">
        <f t="shared" ref="S73:T73" si="284">I73-M73</f>
        <v>0</v>
      </c>
      <c r="T73" s="97">
        <f t="shared" si="284"/>
        <v>0</v>
      </c>
      <c r="U73" s="97">
        <f t="shared" si="268"/>
        <v>0</v>
      </c>
      <c r="V73" s="98" t="e">
        <f t="shared" ref="V73:W73" si="285">M73/I73</f>
        <v>#DIV/0!</v>
      </c>
      <c r="W73" s="98" t="e">
        <f t="shared" si="285"/>
        <v>#DIV/0!</v>
      </c>
      <c r="X73" s="98" t="e">
        <f t="shared" si="26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34"/>
        <v>0.1028</v>
      </c>
      <c r="H74" s="94">
        <f t="shared" si="235"/>
        <v>0</v>
      </c>
      <c r="I74" s="96">
        <v>3084</v>
      </c>
      <c r="J74" s="167">
        <v>2243.89</v>
      </c>
      <c r="K74" s="117"/>
      <c r="L74" s="118"/>
      <c r="M74" s="97">
        <f t="shared" ref="M74:O74" si="286">Y74+AB74+AE74+AH74+AK74+AN74+AQ74+AT74+AW74+AZ74+BC74+BF74</f>
        <v>0</v>
      </c>
      <c r="N74" s="97">
        <f t="shared" si="286"/>
        <v>1598.22</v>
      </c>
      <c r="O74" s="97">
        <f t="shared" si="286"/>
        <v>0</v>
      </c>
      <c r="P74" s="82">
        <f t="shared" si="279"/>
        <v>0</v>
      </c>
      <c r="Q74" s="82">
        <f t="shared" ref="Q74:R74" si="287">IF(BJ74=0,SUM(Z74+AC74+AF74+AI74+AL74+AO74+AR74+AU74+AX74+BA74+BD74+BG74),BJ74)</f>
        <v>1598.22</v>
      </c>
      <c r="R74" s="82">
        <f t="shared" si="287"/>
        <v>0</v>
      </c>
      <c r="S74" s="97">
        <f t="shared" ref="S74:T74" si="288">I74-M74</f>
        <v>3084</v>
      </c>
      <c r="T74" s="97">
        <f t="shared" si="288"/>
        <v>645.66999999999985</v>
      </c>
      <c r="U74" s="97">
        <f t="shared" si="268"/>
        <v>0</v>
      </c>
      <c r="V74" s="98">
        <f t="shared" ref="V74:W74" si="289">M74/I74</f>
        <v>0</v>
      </c>
      <c r="W74" s="98">
        <f t="shared" si="289"/>
        <v>0.71225416575678846</v>
      </c>
      <c r="X74" s="98" t="e">
        <f t="shared" si="26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96"/>
      <c r="AL74" s="103">
        <v>0</v>
      </c>
      <c r="AM74" s="96"/>
      <c r="AN74" s="96"/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34"/>
        <v>0</v>
      </c>
      <c r="H75" s="94">
        <f t="shared" si="235"/>
        <v>0</v>
      </c>
      <c r="I75" s="173"/>
      <c r="J75" s="174"/>
      <c r="K75" s="174"/>
      <c r="L75" s="174"/>
      <c r="M75" s="97">
        <f t="shared" ref="M75:O75" si="290">Y75+AB75+AE75+AH75+AK75+AN75+AQ75+AT75+AW75+AZ75+BC75+BF75</f>
        <v>0</v>
      </c>
      <c r="N75" s="97">
        <f t="shared" si="290"/>
        <v>0</v>
      </c>
      <c r="O75" s="175">
        <f t="shared" si="290"/>
        <v>0</v>
      </c>
      <c r="P75" s="82">
        <f t="shared" si="279"/>
        <v>0</v>
      </c>
      <c r="Q75" s="82">
        <f t="shared" ref="Q75:R75" si="291">IF(BJ75=0,SUM(Z75+AC75+AF75+AI75+AL75+AO75+AR75+AU75+AX75+BA75+BD75+BG75),BJ75)</f>
        <v>0</v>
      </c>
      <c r="R75" s="82">
        <f t="shared" si="291"/>
        <v>0</v>
      </c>
      <c r="S75" s="175">
        <f t="shared" ref="S75:T75" si="292">I75-M75</f>
        <v>0</v>
      </c>
      <c r="T75" s="97">
        <f t="shared" si="292"/>
        <v>0</v>
      </c>
      <c r="U75" s="175">
        <f t="shared" si="268"/>
        <v>0</v>
      </c>
      <c r="V75" s="176" t="e">
        <f t="shared" ref="V75:W75" si="293">M75/I75</f>
        <v>#DIV/0!</v>
      </c>
      <c r="W75" s="176" t="e">
        <f t="shared" si="293"/>
        <v>#DIV/0!</v>
      </c>
      <c r="X75" s="176" t="e">
        <f t="shared" si="26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34"/>
        <v>0</v>
      </c>
      <c r="H76" s="94">
        <f t="shared" si="235"/>
        <v>0</v>
      </c>
      <c r="I76" s="174"/>
      <c r="J76" s="174"/>
      <c r="K76" s="174"/>
      <c r="L76" s="174"/>
      <c r="M76" s="175">
        <f t="shared" ref="M76:O76" si="294">Y76+AB76+AE76+AH76+AK76+AN76+AQ76+AT76+AW76+AZ76+BC76+BF76</f>
        <v>0</v>
      </c>
      <c r="N76" s="175">
        <f t="shared" si="294"/>
        <v>0</v>
      </c>
      <c r="O76" s="175">
        <f t="shared" si="294"/>
        <v>0</v>
      </c>
      <c r="P76" s="82">
        <f t="shared" si="279"/>
        <v>0</v>
      </c>
      <c r="Q76" s="82">
        <f t="shared" ref="Q76:R76" si="295">IF(BJ76=0,SUM(Z76+AC76+AF76+AI76+AL76+AO76+AR76+AU76+AX76+BA76+BD76+BG76),BJ76)</f>
        <v>0</v>
      </c>
      <c r="R76" s="82">
        <f t="shared" si="295"/>
        <v>0</v>
      </c>
      <c r="S76" s="175">
        <f t="shared" ref="S76:T76" si="296">I76-M76</f>
        <v>0</v>
      </c>
      <c r="T76" s="175">
        <f t="shared" si="296"/>
        <v>0</v>
      </c>
      <c r="U76" s="175">
        <f t="shared" si="268"/>
        <v>0</v>
      </c>
      <c r="V76" s="176" t="e">
        <f t="shared" ref="V76:W76" si="297">M76/I76</f>
        <v>#DIV/0!</v>
      </c>
      <c r="W76" s="176" t="e">
        <f t="shared" si="297"/>
        <v>#DIV/0!</v>
      </c>
      <c r="X76" s="176" t="e">
        <f t="shared" si="26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34"/>
        <v>0</v>
      </c>
      <c r="H77" s="188">
        <f t="shared" si="235"/>
        <v>0</v>
      </c>
      <c r="I77" s="186">
        <f t="shared" ref="I77:O77" si="298">SUM(I78:I79)</f>
        <v>0</v>
      </c>
      <c r="J77" s="186">
        <f t="shared" si="298"/>
        <v>0</v>
      </c>
      <c r="K77" s="186">
        <f t="shared" si="298"/>
        <v>0</v>
      </c>
      <c r="L77" s="186">
        <f t="shared" si="298"/>
        <v>0</v>
      </c>
      <c r="M77" s="186">
        <f t="shared" si="298"/>
        <v>0</v>
      </c>
      <c r="N77" s="186">
        <f t="shared" si="298"/>
        <v>0</v>
      </c>
      <c r="O77" s="186">
        <f t="shared" si="298"/>
        <v>0</v>
      </c>
      <c r="P77" s="81">
        <f t="shared" si="279"/>
        <v>0</v>
      </c>
      <c r="Q77" s="81">
        <f t="shared" ref="Q77:R77" si="299">IF(BJ77=0,SUM(Z77+AC77+AF77+AI77+AL77+AO77+AR77+AU77+AX77+BA77+BD77+BG77),BJ77)</f>
        <v>0</v>
      </c>
      <c r="R77" s="81">
        <f t="shared" si="299"/>
        <v>0</v>
      </c>
      <c r="S77" s="186">
        <f t="shared" ref="S77:U77" si="300">SUM(S78:S79)</f>
        <v>0</v>
      </c>
      <c r="T77" s="186">
        <f t="shared" si="300"/>
        <v>0</v>
      </c>
      <c r="U77" s="186">
        <f t="shared" si="300"/>
        <v>0</v>
      </c>
      <c r="V77" s="189" t="e">
        <f t="shared" ref="V77:W77" si="301">M77/I77</f>
        <v>#DIV/0!</v>
      </c>
      <c r="W77" s="189" t="e">
        <f t="shared" si="301"/>
        <v>#DIV/0!</v>
      </c>
      <c r="X77" s="189" t="e">
        <f t="shared" si="26"/>
        <v>#DIV/0!</v>
      </c>
      <c r="Y77" s="186">
        <f t="shared" ref="Y77:BK77" si="302">SUM(Y78:Y79)</f>
        <v>0</v>
      </c>
      <c r="Z77" s="186">
        <f t="shared" si="302"/>
        <v>0</v>
      </c>
      <c r="AA77" s="186">
        <f t="shared" si="302"/>
        <v>0</v>
      </c>
      <c r="AB77" s="186">
        <f t="shared" si="302"/>
        <v>0</v>
      </c>
      <c r="AC77" s="186">
        <f t="shared" si="302"/>
        <v>0</v>
      </c>
      <c r="AD77" s="186">
        <f t="shared" si="302"/>
        <v>0</v>
      </c>
      <c r="AE77" s="186">
        <f t="shared" si="302"/>
        <v>0</v>
      </c>
      <c r="AF77" s="186">
        <f t="shared" si="302"/>
        <v>0</v>
      </c>
      <c r="AG77" s="186">
        <f t="shared" si="302"/>
        <v>0</v>
      </c>
      <c r="AH77" s="186">
        <f t="shared" si="302"/>
        <v>0</v>
      </c>
      <c r="AI77" s="186">
        <f t="shared" si="302"/>
        <v>0</v>
      </c>
      <c r="AJ77" s="186">
        <f t="shared" si="302"/>
        <v>0</v>
      </c>
      <c r="AK77" s="186">
        <f t="shared" si="302"/>
        <v>0</v>
      </c>
      <c r="AL77" s="186">
        <f t="shared" si="302"/>
        <v>0</v>
      </c>
      <c r="AM77" s="186">
        <f t="shared" si="302"/>
        <v>0</v>
      </c>
      <c r="AN77" s="186">
        <f t="shared" si="302"/>
        <v>0</v>
      </c>
      <c r="AO77" s="186">
        <f t="shared" si="302"/>
        <v>0</v>
      </c>
      <c r="AP77" s="186">
        <f t="shared" si="302"/>
        <v>0</v>
      </c>
      <c r="AQ77" s="186">
        <f t="shared" si="302"/>
        <v>0</v>
      </c>
      <c r="AR77" s="186">
        <f t="shared" si="302"/>
        <v>0</v>
      </c>
      <c r="AS77" s="186">
        <f t="shared" si="302"/>
        <v>0</v>
      </c>
      <c r="AT77" s="186">
        <f t="shared" si="302"/>
        <v>0</v>
      </c>
      <c r="AU77" s="186">
        <f t="shared" si="302"/>
        <v>0</v>
      </c>
      <c r="AV77" s="186">
        <f t="shared" si="302"/>
        <v>0</v>
      </c>
      <c r="AW77" s="186">
        <f t="shared" si="302"/>
        <v>0</v>
      </c>
      <c r="AX77" s="186">
        <f t="shared" si="302"/>
        <v>0</v>
      </c>
      <c r="AY77" s="186">
        <f t="shared" si="302"/>
        <v>0</v>
      </c>
      <c r="AZ77" s="186">
        <f t="shared" si="302"/>
        <v>0</v>
      </c>
      <c r="BA77" s="186">
        <f t="shared" si="302"/>
        <v>0</v>
      </c>
      <c r="BB77" s="186">
        <f t="shared" si="302"/>
        <v>0</v>
      </c>
      <c r="BC77" s="186">
        <f t="shared" si="302"/>
        <v>0</v>
      </c>
      <c r="BD77" s="186">
        <f t="shared" si="302"/>
        <v>0</v>
      </c>
      <c r="BE77" s="186">
        <f t="shared" si="302"/>
        <v>0</v>
      </c>
      <c r="BF77" s="186">
        <f t="shared" si="302"/>
        <v>0</v>
      </c>
      <c r="BG77" s="186">
        <f t="shared" si="302"/>
        <v>0</v>
      </c>
      <c r="BH77" s="186">
        <f t="shared" si="302"/>
        <v>0</v>
      </c>
      <c r="BI77" s="186">
        <f t="shared" si="302"/>
        <v>0</v>
      </c>
      <c r="BJ77" s="186">
        <f t="shared" si="302"/>
        <v>0</v>
      </c>
      <c r="BK77" s="186">
        <f t="shared" si="302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34"/>
        <v>#DIV/0!</v>
      </c>
      <c r="H78" s="94" t="e">
        <f t="shared" si="235"/>
        <v>#DIV/0!</v>
      </c>
      <c r="I78" s="96"/>
      <c r="J78" s="190"/>
      <c r="K78" s="190"/>
      <c r="L78" s="190"/>
      <c r="M78" s="97">
        <f t="shared" ref="M78:O78" si="303">Y78+AB78+AE78+AH78+AK78+AN78+AQ78+AT78+AW78+AZ78+BC78+BF78</f>
        <v>0</v>
      </c>
      <c r="N78" s="97">
        <f t="shared" si="303"/>
        <v>0</v>
      </c>
      <c r="O78" s="97">
        <f t="shared" si="303"/>
        <v>0</v>
      </c>
      <c r="P78" s="82">
        <f t="shared" si="279"/>
        <v>0</v>
      </c>
      <c r="Q78" s="82">
        <f t="shared" ref="Q78:R78" si="304">IF(BJ78=0,SUM(Z78+AC78+AF78+AI78+AL78+AO78+AR78+AU78+AX78+BA78+BD78+BG78),BJ78)</f>
        <v>0</v>
      </c>
      <c r="R78" s="82">
        <f t="shared" si="304"/>
        <v>0</v>
      </c>
      <c r="S78" s="97">
        <f t="shared" ref="S78:T78" si="305">I78-M78</f>
        <v>0</v>
      </c>
      <c r="T78" s="97">
        <f t="shared" si="305"/>
        <v>0</v>
      </c>
      <c r="U78" s="97">
        <f t="shared" ref="U78:U79" si="306">L78-O78</f>
        <v>0</v>
      </c>
      <c r="V78" s="98" t="e">
        <f t="shared" ref="V78:W78" si="307">M78/I78</f>
        <v>#DIV/0!</v>
      </c>
      <c r="W78" s="98" t="e">
        <f t="shared" si="307"/>
        <v>#DIV/0!</v>
      </c>
      <c r="X78" s="98" t="e">
        <f t="shared" si="26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34"/>
        <v>#DIV/0!</v>
      </c>
      <c r="H79" s="94" t="e">
        <f t="shared" si="235"/>
        <v>#DIV/0!</v>
      </c>
      <c r="I79" s="96"/>
      <c r="J79" s="190"/>
      <c r="K79" s="190"/>
      <c r="L79" s="190"/>
      <c r="M79" s="97">
        <f t="shared" ref="M79:O79" si="308">Y79+AB79+AE79+AH79+AK79+AN79+AQ79+AT79+AW79+AZ79+BC79+BF79</f>
        <v>0</v>
      </c>
      <c r="N79" s="97">
        <f t="shared" si="308"/>
        <v>0</v>
      </c>
      <c r="O79" s="97">
        <f t="shared" si="308"/>
        <v>0</v>
      </c>
      <c r="P79" s="82">
        <f t="shared" si="279"/>
        <v>0</v>
      </c>
      <c r="Q79" s="82">
        <f t="shared" ref="Q79:R79" si="309">IF(BJ79=0,SUM(Z79+AC79+AF79+AI79+AL79+AO79+AR79+AU79+AX79+BA79+BD79+BG79),BJ79)</f>
        <v>0</v>
      </c>
      <c r="R79" s="82">
        <f t="shared" si="309"/>
        <v>0</v>
      </c>
      <c r="S79" s="97">
        <f t="shared" ref="S79:T79" si="310">I79-M79</f>
        <v>0</v>
      </c>
      <c r="T79" s="97">
        <f t="shared" si="310"/>
        <v>0</v>
      </c>
      <c r="U79" s="97">
        <f t="shared" si="306"/>
        <v>0</v>
      </c>
      <c r="V79" s="98" t="e">
        <f t="shared" ref="V79:W79" si="311">M79/I79</f>
        <v>#DIV/0!</v>
      </c>
      <c r="W79" s="98" t="e">
        <f t="shared" si="311"/>
        <v>#DIV/0!</v>
      </c>
      <c r="X79" s="98" t="e">
        <f t="shared" si="26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12">SUM(E81:E83)</f>
        <v>13808</v>
      </c>
      <c r="F80" s="154">
        <f t="shared" si="312"/>
        <v>0</v>
      </c>
      <c r="G80" s="192">
        <f t="shared" si="234"/>
        <v>0.27578215527230593</v>
      </c>
      <c r="H80" s="192">
        <f t="shared" si="235"/>
        <v>0</v>
      </c>
      <c r="I80" s="154">
        <f t="shared" ref="I80:O80" si="313">SUM(I81:I83)</f>
        <v>3808</v>
      </c>
      <c r="J80" s="154">
        <f t="shared" si="313"/>
        <v>0</v>
      </c>
      <c r="K80" s="154">
        <f t="shared" si="313"/>
        <v>0</v>
      </c>
      <c r="L80" s="154">
        <f t="shared" si="313"/>
        <v>0</v>
      </c>
      <c r="M80" s="154">
        <f t="shared" si="313"/>
        <v>0</v>
      </c>
      <c r="N80" s="154">
        <f t="shared" si="313"/>
        <v>0</v>
      </c>
      <c r="O80" s="154">
        <f t="shared" si="313"/>
        <v>0</v>
      </c>
      <c r="P80" s="81">
        <f t="shared" si="279"/>
        <v>0</v>
      </c>
      <c r="Q80" s="81">
        <f t="shared" ref="Q80:R80" si="314">IF(BJ80=0,SUM(Z80+AC80+AF80+AI80+AL80+AO80+AR80+AU80+AX80+BA80+BD80+BG80),BJ80)</f>
        <v>0</v>
      </c>
      <c r="R80" s="81">
        <f t="shared" si="314"/>
        <v>0</v>
      </c>
      <c r="S80" s="154">
        <f t="shared" ref="S80:U80" si="315">SUM(S81:S83)</f>
        <v>3808</v>
      </c>
      <c r="T80" s="154">
        <f t="shared" si="315"/>
        <v>0</v>
      </c>
      <c r="U80" s="154">
        <f t="shared" si="315"/>
        <v>0</v>
      </c>
      <c r="V80" s="193">
        <f t="shared" ref="V80:W80" si="316">M80/I80</f>
        <v>0</v>
      </c>
      <c r="W80" s="193" t="e">
        <f t="shared" si="316"/>
        <v>#DIV/0!</v>
      </c>
      <c r="X80" s="193" t="e">
        <f t="shared" si="26"/>
        <v>#DIV/0!</v>
      </c>
      <c r="Y80" s="154">
        <f t="shared" ref="Y80:BK80" si="317">SUM(Y81:Y83)</f>
        <v>0</v>
      </c>
      <c r="Z80" s="154">
        <f t="shared" si="317"/>
        <v>0</v>
      </c>
      <c r="AA80" s="154">
        <f t="shared" si="317"/>
        <v>0</v>
      </c>
      <c r="AB80" s="154">
        <f t="shared" si="317"/>
        <v>0</v>
      </c>
      <c r="AC80" s="154">
        <f t="shared" si="317"/>
        <v>0</v>
      </c>
      <c r="AD80" s="154">
        <f t="shared" si="317"/>
        <v>0</v>
      </c>
      <c r="AE80" s="154">
        <f t="shared" si="317"/>
        <v>0</v>
      </c>
      <c r="AF80" s="154">
        <f t="shared" si="317"/>
        <v>0</v>
      </c>
      <c r="AG80" s="154">
        <f t="shared" si="317"/>
        <v>0</v>
      </c>
      <c r="AH80" s="154">
        <f t="shared" si="317"/>
        <v>0</v>
      </c>
      <c r="AI80" s="154">
        <f t="shared" si="317"/>
        <v>0</v>
      </c>
      <c r="AJ80" s="154">
        <f t="shared" si="317"/>
        <v>0</v>
      </c>
      <c r="AK80" s="154">
        <f t="shared" si="317"/>
        <v>0</v>
      </c>
      <c r="AL80" s="154">
        <f t="shared" si="317"/>
        <v>0</v>
      </c>
      <c r="AM80" s="154">
        <f t="shared" si="317"/>
        <v>0</v>
      </c>
      <c r="AN80" s="154">
        <f t="shared" si="317"/>
        <v>0</v>
      </c>
      <c r="AO80" s="154">
        <f t="shared" si="317"/>
        <v>0</v>
      </c>
      <c r="AP80" s="154">
        <f t="shared" si="317"/>
        <v>0</v>
      </c>
      <c r="AQ80" s="154">
        <f t="shared" si="317"/>
        <v>0</v>
      </c>
      <c r="AR80" s="154">
        <f t="shared" si="317"/>
        <v>0</v>
      </c>
      <c r="AS80" s="154">
        <f t="shared" si="317"/>
        <v>0</v>
      </c>
      <c r="AT80" s="154">
        <f t="shared" si="317"/>
        <v>0</v>
      </c>
      <c r="AU80" s="154">
        <f t="shared" si="317"/>
        <v>0</v>
      </c>
      <c r="AV80" s="154">
        <f t="shared" si="317"/>
        <v>0</v>
      </c>
      <c r="AW80" s="154">
        <f t="shared" si="317"/>
        <v>0</v>
      </c>
      <c r="AX80" s="154">
        <f t="shared" si="317"/>
        <v>0</v>
      </c>
      <c r="AY80" s="154">
        <f t="shared" si="317"/>
        <v>0</v>
      </c>
      <c r="AZ80" s="154">
        <f t="shared" si="317"/>
        <v>0</v>
      </c>
      <c r="BA80" s="154">
        <f t="shared" si="317"/>
        <v>0</v>
      </c>
      <c r="BB80" s="154">
        <f t="shared" si="317"/>
        <v>0</v>
      </c>
      <c r="BC80" s="154">
        <f t="shared" si="317"/>
        <v>0</v>
      </c>
      <c r="BD80" s="154">
        <f t="shared" si="317"/>
        <v>0</v>
      </c>
      <c r="BE80" s="154">
        <f t="shared" si="317"/>
        <v>0</v>
      </c>
      <c r="BF80" s="154">
        <f t="shared" si="317"/>
        <v>0</v>
      </c>
      <c r="BG80" s="154">
        <f t="shared" si="317"/>
        <v>0</v>
      </c>
      <c r="BH80" s="154">
        <f t="shared" si="317"/>
        <v>0</v>
      </c>
      <c r="BI80" s="154">
        <f t="shared" si="317"/>
        <v>0</v>
      </c>
      <c r="BJ80" s="154">
        <f t="shared" si="317"/>
        <v>0</v>
      </c>
      <c r="BK80" s="154">
        <f t="shared" si="317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18">Y81+AB81+AE81+AH81+AK81+AN81+AQ81+AT81+AW81+AZ81+BC81+BF81</f>
        <v>0</v>
      </c>
      <c r="N81" s="97">
        <f t="shared" si="318"/>
        <v>0</v>
      </c>
      <c r="O81" s="97">
        <f t="shared" si="318"/>
        <v>0</v>
      </c>
      <c r="P81" s="82">
        <f t="shared" si="279"/>
        <v>0</v>
      </c>
      <c r="Q81" s="82">
        <f t="shared" ref="Q81:R81" si="319">IF(BJ81=0,SUM(Z81+AC81+AF81+AI81+AL81+AO81+AR81+AU81+AX81+BA81+BD81+BG81),BJ81)</f>
        <v>0</v>
      </c>
      <c r="R81" s="82">
        <f t="shared" si="319"/>
        <v>0</v>
      </c>
      <c r="S81" s="97">
        <f t="shared" ref="S81:T81" si="320">I81-M81</f>
        <v>3808</v>
      </c>
      <c r="T81" s="97">
        <f t="shared" si="320"/>
        <v>0</v>
      </c>
      <c r="U81" s="97">
        <f t="shared" ref="U81:U83" si="321">L81-O81</f>
        <v>0</v>
      </c>
      <c r="V81" s="98">
        <f t="shared" ref="V81:W81" si="322">M81/I81</f>
        <v>0</v>
      </c>
      <c r="W81" s="98" t="e">
        <f t="shared" si="322"/>
        <v>#DIV/0!</v>
      </c>
      <c r="X81" s="98" t="e">
        <f t="shared" si="26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23">I82/E82</f>
        <v>#DIV/0!</v>
      </c>
      <c r="H82" s="94" t="e">
        <f t="shared" ref="H82:H89" si="324">M82/E82</f>
        <v>#DIV/0!</v>
      </c>
      <c r="I82" s="96"/>
      <c r="J82" s="96"/>
      <c r="K82" s="96"/>
      <c r="L82" s="95"/>
      <c r="M82" s="97">
        <f t="shared" ref="M82:O82" si="325">Y82+AB82+AE82+AH82+AK82+AN82+AQ82+AT82+AW82+AZ82+BC82+BF82</f>
        <v>0</v>
      </c>
      <c r="N82" s="97">
        <f t="shared" si="325"/>
        <v>0</v>
      </c>
      <c r="O82" s="97">
        <f t="shared" si="325"/>
        <v>0</v>
      </c>
      <c r="P82" s="82">
        <f t="shared" si="279"/>
        <v>0</v>
      </c>
      <c r="Q82" s="82">
        <f t="shared" ref="Q82:R82" si="326">IF(BJ82=0,SUM(Z82+AC82+AF82+AI82+AL82+AO82+AR82+AU82+AX82+BA82+BD82+BG82),BJ82)</f>
        <v>0</v>
      </c>
      <c r="R82" s="82">
        <f t="shared" si="326"/>
        <v>0</v>
      </c>
      <c r="S82" s="97">
        <f t="shared" ref="S82:T82" si="327">I82-M82</f>
        <v>0</v>
      </c>
      <c r="T82" s="97">
        <f t="shared" si="327"/>
        <v>0</v>
      </c>
      <c r="U82" s="97">
        <f t="shared" si="321"/>
        <v>0</v>
      </c>
      <c r="V82" s="98" t="e">
        <f t="shared" ref="V82:W82" si="328">M82/I82</f>
        <v>#DIV/0!</v>
      </c>
      <c r="W82" s="98" t="e">
        <f t="shared" si="328"/>
        <v>#DIV/0!</v>
      </c>
      <c r="X82" s="98" t="e">
        <f t="shared" si="26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23"/>
        <v>0</v>
      </c>
      <c r="H83" s="94">
        <f t="shared" si="324"/>
        <v>0</v>
      </c>
      <c r="I83" s="142"/>
      <c r="J83" s="96"/>
      <c r="K83" s="96"/>
      <c r="L83" s="95"/>
      <c r="M83" s="97">
        <f t="shared" ref="M83:O83" si="329">Y83+AB83+AE83+AH83+AK83+AN83+AQ83+AT83+AW83+AZ83+BC83+BF83</f>
        <v>0</v>
      </c>
      <c r="N83" s="97">
        <f t="shared" si="329"/>
        <v>0</v>
      </c>
      <c r="O83" s="97">
        <f t="shared" si="329"/>
        <v>0</v>
      </c>
      <c r="P83" s="82">
        <f t="shared" si="279"/>
        <v>0</v>
      </c>
      <c r="Q83" s="82">
        <f t="shared" ref="Q83:R83" si="330">IF(BJ83=0,SUM(Z83+AC83+AF83+AI83+AL83+AO83+AR83+AU83+AX83+BA83+BD83+BG83),BJ83)</f>
        <v>0</v>
      </c>
      <c r="R83" s="82">
        <f t="shared" si="330"/>
        <v>0</v>
      </c>
      <c r="S83" s="97">
        <f t="shared" ref="S83:T83" si="331">I83-M83</f>
        <v>0</v>
      </c>
      <c r="T83" s="97">
        <f t="shared" si="331"/>
        <v>0</v>
      </c>
      <c r="U83" s="97">
        <f t="shared" si="321"/>
        <v>0</v>
      </c>
      <c r="V83" s="98" t="e">
        <f t="shared" ref="V83:W83" si="332">M83/I83</f>
        <v>#DIV/0!</v>
      </c>
      <c r="W83" s="98" t="e">
        <f t="shared" si="332"/>
        <v>#DIV/0!</v>
      </c>
      <c r="X83" s="98" t="e">
        <f t="shared" si="26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23"/>
        <v>0</v>
      </c>
      <c r="H84" s="192">
        <f t="shared" si="324"/>
        <v>0</v>
      </c>
      <c r="I84" s="154">
        <f t="shared" ref="I84:K84" si="333">SUM(I85:I88)</f>
        <v>0</v>
      </c>
      <c r="J84" s="154">
        <f t="shared" si="333"/>
        <v>73937.67</v>
      </c>
      <c r="K84" s="154">
        <f t="shared" si="333"/>
        <v>0</v>
      </c>
      <c r="L84" s="154">
        <f t="shared" ref="L84:M84" si="334">SUM(L85:L87)</f>
        <v>0</v>
      </c>
      <c r="M84" s="154">
        <f t="shared" si="334"/>
        <v>0</v>
      </c>
      <c r="N84" s="154">
        <f>SUM(N85:N88)</f>
        <v>15933.4</v>
      </c>
      <c r="O84" s="154">
        <f>SUM(O85:O87)</f>
        <v>0</v>
      </c>
      <c r="P84" s="81">
        <f t="shared" si="279"/>
        <v>0</v>
      </c>
      <c r="Q84" s="81">
        <f t="shared" ref="Q84:R84" si="335">IF(BJ84=0,SUM(Z84+AC84+AF84+AI84+AL84+AO84+AR84+AU84+AX84+BA84+BD84+BG84),BJ84)</f>
        <v>15933.4</v>
      </c>
      <c r="R84" s="81">
        <f t="shared" si="335"/>
        <v>0</v>
      </c>
      <c r="S84" s="154">
        <f t="shared" ref="S84:T84" si="336">SUM(S85:S88)</f>
        <v>0</v>
      </c>
      <c r="T84" s="154">
        <f t="shared" si="336"/>
        <v>58004.27</v>
      </c>
      <c r="U84" s="154">
        <f>SUM(U85:U87)</f>
        <v>0</v>
      </c>
      <c r="V84" s="193" t="e">
        <f t="shared" ref="V84:W84" si="337">M84/I84</f>
        <v>#DIV/0!</v>
      </c>
      <c r="W84" s="193">
        <f t="shared" si="337"/>
        <v>0.21549772937123932</v>
      </c>
      <c r="X84" s="193" t="e">
        <f t="shared" si="26"/>
        <v>#DIV/0!</v>
      </c>
      <c r="Y84" s="154">
        <f t="shared" ref="Y84:AH84" si="338">SUM(Y85:Y87)</f>
        <v>0</v>
      </c>
      <c r="Z84" s="154">
        <f t="shared" si="338"/>
        <v>4271.3999999999996</v>
      </c>
      <c r="AA84" s="154">
        <f t="shared" si="338"/>
        <v>0</v>
      </c>
      <c r="AB84" s="154">
        <f t="shared" si="338"/>
        <v>0</v>
      </c>
      <c r="AC84" s="154">
        <f t="shared" si="338"/>
        <v>6630</v>
      </c>
      <c r="AD84" s="154">
        <f t="shared" si="338"/>
        <v>0</v>
      </c>
      <c r="AE84" s="154">
        <f t="shared" si="338"/>
        <v>0</v>
      </c>
      <c r="AF84" s="154">
        <f t="shared" si="338"/>
        <v>3092</v>
      </c>
      <c r="AG84" s="154">
        <f t="shared" si="338"/>
        <v>0</v>
      </c>
      <c r="AH84" s="154">
        <f t="shared" si="338"/>
        <v>0</v>
      </c>
      <c r="AI84" s="154">
        <f>SUM(AI85:AI88)</f>
        <v>1940</v>
      </c>
      <c r="AJ84" s="154">
        <f t="shared" ref="AJ84:BK84" si="339">SUM(AJ85:AJ87)</f>
        <v>0</v>
      </c>
      <c r="AK84" s="154">
        <f t="shared" si="339"/>
        <v>0</v>
      </c>
      <c r="AL84" s="154">
        <f t="shared" si="339"/>
        <v>0</v>
      </c>
      <c r="AM84" s="154">
        <f t="shared" si="339"/>
        <v>0</v>
      </c>
      <c r="AN84" s="154">
        <f t="shared" si="339"/>
        <v>0</v>
      </c>
      <c r="AO84" s="154">
        <f t="shared" si="339"/>
        <v>0</v>
      </c>
      <c r="AP84" s="154">
        <f t="shared" si="339"/>
        <v>0</v>
      </c>
      <c r="AQ84" s="154">
        <f t="shared" si="339"/>
        <v>0</v>
      </c>
      <c r="AR84" s="154">
        <f t="shared" si="339"/>
        <v>0</v>
      </c>
      <c r="AS84" s="154">
        <f t="shared" si="339"/>
        <v>0</v>
      </c>
      <c r="AT84" s="154">
        <f t="shared" si="339"/>
        <v>0</v>
      </c>
      <c r="AU84" s="154">
        <f t="shared" si="339"/>
        <v>0</v>
      </c>
      <c r="AV84" s="154">
        <f t="shared" si="339"/>
        <v>0</v>
      </c>
      <c r="AW84" s="154">
        <f t="shared" si="339"/>
        <v>0</v>
      </c>
      <c r="AX84" s="154">
        <f t="shared" si="339"/>
        <v>0</v>
      </c>
      <c r="AY84" s="154">
        <f t="shared" si="339"/>
        <v>0</v>
      </c>
      <c r="AZ84" s="154">
        <f t="shared" si="339"/>
        <v>0</v>
      </c>
      <c r="BA84" s="154">
        <f t="shared" si="339"/>
        <v>0</v>
      </c>
      <c r="BB84" s="154">
        <f t="shared" si="339"/>
        <v>0</v>
      </c>
      <c r="BC84" s="154">
        <f t="shared" si="339"/>
        <v>0</v>
      </c>
      <c r="BD84" s="154">
        <f t="shared" si="339"/>
        <v>0</v>
      </c>
      <c r="BE84" s="154">
        <f t="shared" si="339"/>
        <v>0</v>
      </c>
      <c r="BF84" s="154">
        <f t="shared" si="339"/>
        <v>0</v>
      </c>
      <c r="BG84" s="154">
        <f t="shared" si="339"/>
        <v>0</v>
      </c>
      <c r="BH84" s="154">
        <f t="shared" si="339"/>
        <v>0</v>
      </c>
      <c r="BI84" s="154">
        <f t="shared" si="339"/>
        <v>0</v>
      </c>
      <c r="BJ84" s="154">
        <f t="shared" si="339"/>
        <v>0</v>
      </c>
      <c r="BK84" s="154">
        <f t="shared" si="339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23"/>
        <v>0</v>
      </c>
      <c r="H85" s="94">
        <f t="shared" si="324"/>
        <v>0</v>
      </c>
      <c r="I85" s="142"/>
      <c r="J85" s="96"/>
      <c r="K85" s="96"/>
      <c r="L85" s="95"/>
      <c r="M85" s="97">
        <f t="shared" ref="M85:O85" si="340">Y85+AB85+AE85+AH85+AK85+AN85+AQ85+AT85+AW85+AZ85+BC85+BF85</f>
        <v>0</v>
      </c>
      <c r="N85" s="97">
        <f t="shared" si="340"/>
        <v>0</v>
      </c>
      <c r="O85" s="97">
        <f t="shared" si="340"/>
        <v>0</v>
      </c>
      <c r="P85" s="82">
        <f t="shared" si="279"/>
        <v>0</v>
      </c>
      <c r="Q85" s="82">
        <f t="shared" ref="Q85:R85" si="341">IF(BJ85=0,SUM(Z85+AC85+AF85+AI85+AL85+AO85+AR85+AU85+AX85+BA85+BD85+BG85),BJ85)</f>
        <v>0</v>
      </c>
      <c r="R85" s="82">
        <f t="shared" si="341"/>
        <v>0</v>
      </c>
      <c r="S85" s="97">
        <f t="shared" ref="S85:T85" si="342">I85-M85</f>
        <v>0</v>
      </c>
      <c r="T85" s="97">
        <f t="shared" si="342"/>
        <v>0</v>
      </c>
      <c r="U85" s="97">
        <f t="shared" ref="U85:U88" si="343">L85-O85</f>
        <v>0</v>
      </c>
      <c r="V85" s="98" t="e">
        <f t="shared" ref="V85:W85" si="344">M85/I85</f>
        <v>#DIV/0!</v>
      </c>
      <c r="W85" s="98" t="e">
        <f t="shared" si="344"/>
        <v>#DIV/0!</v>
      </c>
      <c r="X85" s="98" t="e">
        <f t="shared" si="26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23"/>
        <v>0</v>
      </c>
      <c r="H86" s="94">
        <f t="shared" si="324"/>
        <v>0</v>
      </c>
      <c r="I86" s="95"/>
      <c r="J86" s="119"/>
      <c r="K86" s="119"/>
      <c r="L86" s="95"/>
      <c r="M86" s="97">
        <f t="shared" ref="M86:O86" si="345">Y86+AB86+AE86+AH86+AK86+AN86+AQ86+AT86+AW86+AZ86+BC86+BF86</f>
        <v>0</v>
      </c>
      <c r="N86" s="97">
        <f t="shared" si="345"/>
        <v>0</v>
      </c>
      <c r="O86" s="97">
        <f t="shared" si="345"/>
        <v>0</v>
      </c>
      <c r="P86" s="82">
        <f t="shared" si="279"/>
        <v>0</v>
      </c>
      <c r="Q86" s="82">
        <f t="shared" ref="Q86:R86" si="346">IF(BJ86=0,SUM(Z86+AC86+AF86+AI86+AL86+AO86+AR86+AU86+AX86+BA86+BD86+BG86),BJ86)</f>
        <v>0</v>
      </c>
      <c r="R86" s="82">
        <f t="shared" si="346"/>
        <v>0</v>
      </c>
      <c r="S86" s="97">
        <f t="shared" ref="S86:T86" si="347">I86-M86</f>
        <v>0</v>
      </c>
      <c r="T86" s="97">
        <f t="shared" si="347"/>
        <v>0</v>
      </c>
      <c r="U86" s="97">
        <f t="shared" si="343"/>
        <v>0</v>
      </c>
      <c r="V86" s="98" t="e">
        <f t="shared" ref="V86:W86" si="348">M86/I86</f>
        <v>#DIV/0!</v>
      </c>
      <c r="W86" s="98" t="e">
        <f t="shared" si="348"/>
        <v>#DIV/0!</v>
      </c>
      <c r="X86" s="98" t="e">
        <f t="shared" si="26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23"/>
        <v>0</v>
      </c>
      <c r="H87" s="94">
        <f t="shared" si="324"/>
        <v>0</v>
      </c>
      <c r="I87" s="96"/>
      <c r="J87" s="117">
        <v>73937.67</v>
      </c>
      <c r="K87" s="117"/>
      <c r="L87" s="95"/>
      <c r="M87" s="97">
        <f t="shared" ref="M87:O87" si="349">Y87+AB87+AE87+AH87+AK87+AN87+AQ87+AT87+AW87+AZ87+BC87+BF87</f>
        <v>0</v>
      </c>
      <c r="N87" s="97">
        <f t="shared" si="349"/>
        <v>13993.4</v>
      </c>
      <c r="O87" s="97">
        <f t="shared" si="349"/>
        <v>0</v>
      </c>
      <c r="P87" s="82">
        <f t="shared" si="279"/>
        <v>0</v>
      </c>
      <c r="Q87" s="82">
        <f t="shared" ref="Q87:R87" si="350">IF(BJ87=0,SUM(Z87+AC87+AF87+AI87+AL87+AO87+AR87+AU87+AX87+BA87+BD87+BG87),BJ87)</f>
        <v>13993.4</v>
      </c>
      <c r="R87" s="82">
        <f t="shared" si="350"/>
        <v>0</v>
      </c>
      <c r="S87" s="97">
        <f t="shared" ref="S87:T87" si="351">I87-M87</f>
        <v>0</v>
      </c>
      <c r="T87" s="97">
        <f t="shared" si="351"/>
        <v>59944.27</v>
      </c>
      <c r="U87" s="97">
        <f t="shared" si="343"/>
        <v>0</v>
      </c>
      <c r="V87" s="98" t="e">
        <f t="shared" ref="V87:W87" si="352">M87/I87</f>
        <v>#DIV/0!</v>
      </c>
      <c r="W87" s="98">
        <f t="shared" si="352"/>
        <v>0.18925941269179838</v>
      </c>
      <c r="X87" s="98" t="e">
        <f t="shared" si="26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23"/>
        <v>0</v>
      </c>
      <c r="H88" s="94">
        <f t="shared" si="324"/>
        <v>0</v>
      </c>
      <c r="I88" s="126"/>
      <c r="J88" s="126"/>
      <c r="K88" s="117"/>
      <c r="L88" s="95"/>
      <c r="M88" s="196">
        <f t="shared" ref="M88:N88" si="353">Y88+AE88+AH88+AK88+AN88+AQ88+AT88+AW88+AZ88+BC88+BF88</f>
        <v>0</v>
      </c>
      <c r="N88" s="97">
        <f t="shared" si="353"/>
        <v>1940</v>
      </c>
      <c r="O88" s="97">
        <f>AA88+AD88+AG88+AJ88+AM88+AP88+AS88+AV88+AY88+BB88+BE88+BH88</f>
        <v>0</v>
      </c>
      <c r="P88" s="82">
        <f t="shared" ref="P88:Q88" si="354">IF(BI88=0,SUM(Y88+AE88+AH88+AK88+AN88+AQ88+AT88+AW88+AZ88+BC88+BF88),BI88)</f>
        <v>0</v>
      </c>
      <c r="Q88" s="82">
        <f t="shared" si="354"/>
        <v>1940</v>
      </c>
      <c r="R88" s="82">
        <f>IF(BK88=0,SUM(AA88+AD88+AG88+AJ88+AM88+AP88+AS88+AV88+AY88+BB88+BE88+BH88),BK88)</f>
        <v>0</v>
      </c>
      <c r="S88" s="97">
        <f t="shared" ref="S88:T88" si="355">I88-M88</f>
        <v>0</v>
      </c>
      <c r="T88" s="97">
        <f t="shared" si="355"/>
        <v>-1940</v>
      </c>
      <c r="U88" s="97">
        <f t="shared" si="343"/>
        <v>0</v>
      </c>
      <c r="V88" s="98" t="e">
        <f t="shared" ref="V88:W88" si="356">M88/I39</f>
        <v>#DIV/0!</v>
      </c>
      <c r="W88" s="98">
        <f t="shared" si="356"/>
        <v>1.3623404165671831</v>
      </c>
      <c r="X88" s="98" t="e">
        <f t="shared" si="26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103">
        <f>500+1440</f>
        <v>1940</v>
      </c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57">SUM(E90:E95)</f>
        <v>69491.34</v>
      </c>
      <c r="F89" s="154">
        <f t="shared" si="357"/>
        <v>21041.95</v>
      </c>
      <c r="G89" s="192">
        <f t="shared" si="323"/>
        <v>6.1038684820295591E-2</v>
      </c>
      <c r="H89" s="192">
        <f t="shared" si="324"/>
        <v>0</v>
      </c>
      <c r="I89" s="154">
        <f t="shared" ref="I89:O89" si="358">SUM(I91:I95)</f>
        <v>4241.66</v>
      </c>
      <c r="J89" s="154">
        <f t="shared" si="358"/>
        <v>0</v>
      </c>
      <c r="K89" s="154">
        <f t="shared" si="358"/>
        <v>0</v>
      </c>
      <c r="L89" s="154">
        <f t="shared" si="358"/>
        <v>0</v>
      </c>
      <c r="M89" s="154">
        <f t="shared" si="358"/>
        <v>0</v>
      </c>
      <c r="N89" s="154">
        <f t="shared" si="358"/>
        <v>0</v>
      </c>
      <c r="O89" s="154">
        <f t="shared" si="358"/>
        <v>0</v>
      </c>
      <c r="P89" s="81">
        <f t="shared" ref="P89:R89" si="359">IF(BI89=0,SUM(Y89+AB89+AE89+AH89+AK89+AN89+AQ89+AT89+AW89+AZ89+BC89+BF89),BI89)</f>
        <v>0</v>
      </c>
      <c r="Q89" s="81">
        <f t="shared" si="359"/>
        <v>0</v>
      </c>
      <c r="R89" s="81">
        <f t="shared" si="359"/>
        <v>0</v>
      </c>
      <c r="S89" s="154">
        <f t="shared" ref="S89:U89" si="360">SUM(S91:S95)</f>
        <v>3678.66</v>
      </c>
      <c r="T89" s="154">
        <f t="shared" si="360"/>
        <v>0</v>
      </c>
      <c r="U89" s="154">
        <f t="shared" si="360"/>
        <v>0</v>
      </c>
      <c r="V89" s="193">
        <f t="shared" ref="V89:W89" si="361">M89/I89</f>
        <v>0</v>
      </c>
      <c r="W89" s="193" t="e">
        <f t="shared" si="361"/>
        <v>#DIV/0!</v>
      </c>
      <c r="X89" s="193" t="e">
        <f t="shared" si="26"/>
        <v>#DIV/0!</v>
      </c>
      <c r="Y89" s="154">
        <f t="shared" ref="Y89:BK89" si="362">SUM(Y91:Y95)</f>
        <v>0</v>
      </c>
      <c r="Z89" s="154">
        <f t="shared" si="362"/>
        <v>0</v>
      </c>
      <c r="AA89" s="154">
        <f t="shared" si="362"/>
        <v>0</v>
      </c>
      <c r="AB89" s="154">
        <f t="shared" si="362"/>
        <v>0</v>
      </c>
      <c r="AC89" s="154">
        <f t="shared" si="362"/>
        <v>0</v>
      </c>
      <c r="AD89" s="154">
        <f t="shared" si="362"/>
        <v>0</v>
      </c>
      <c r="AE89" s="154">
        <f t="shared" si="362"/>
        <v>0</v>
      </c>
      <c r="AF89" s="154">
        <f t="shared" si="362"/>
        <v>0</v>
      </c>
      <c r="AG89" s="154">
        <f t="shared" si="362"/>
        <v>0</v>
      </c>
      <c r="AH89" s="154">
        <f t="shared" si="362"/>
        <v>0</v>
      </c>
      <c r="AI89" s="154">
        <f t="shared" si="362"/>
        <v>0</v>
      </c>
      <c r="AJ89" s="154">
        <f t="shared" si="362"/>
        <v>0</v>
      </c>
      <c r="AK89" s="154">
        <f t="shared" si="362"/>
        <v>0</v>
      </c>
      <c r="AL89" s="154">
        <f t="shared" si="362"/>
        <v>0</v>
      </c>
      <c r="AM89" s="154">
        <f t="shared" si="362"/>
        <v>0</v>
      </c>
      <c r="AN89" s="154">
        <f t="shared" si="362"/>
        <v>0</v>
      </c>
      <c r="AO89" s="154">
        <f t="shared" si="362"/>
        <v>0</v>
      </c>
      <c r="AP89" s="154">
        <f t="shared" si="362"/>
        <v>0</v>
      </c>
      <c r="AQ89" s="154">
        <f t="shared" si="362"/>
        <v>0</v>
      </c>
      <c r="AR89" s="154">
        <f t="shared" si="362"/>
        <v>0</v>
      </c>
      <c r="AS89" s="154">
        <f t="shared" si="362"/>
        <v>0</v>
      </c>
      <c r="AT89" s="154">
        <f t="shared" si="362"/>
        <v>0</v>
      </c>
      <c r="AU89" s="154">
        <f t="shared" si="362"/>
        <v>0</v>
      </c>
      <c r="AV89" s="154">
        <f t="shared" si="362"/>
        <v>0</v>
      </c>
      <c r="AW89" s="154">
        <f t="shared" si="362"/>
        <v>0</v>
      </c>
      <c r="AX89" s="154">
        <f t="shared" si="362"/>
        <v>0</v>
      </c>
      <c r="AY89" s="154">
        <f t="shared" si="362"/>
        <v>0</v>
      </c>
      <c r="AZ89" s="154">
        <f t="shared" si="362"/>
        <v>0</v>
      </c>
      <c r="BA89" s="154">
        <f t="shared" si="362"/>
        <v>0</v>
      </c>
      <c r="BB89" s="154">
        <f t="shared" si="362"/>
        <v>0</v>
      </c>
      <c r="BC89" s="154">
        <f t="shared" si="362"/>
        <v>0</v>
      </c>
      <c r="BD89" s="154">
        <f t="shared" si="362"/>
        <v>0</v>
      </c>
      <c r="BE89" s="154">
        <f t="shared" si="362"/>
        <v>0</v>
      </c>
      <c r="BF89" s="154">
        <f t="shared" si="362"/>
        <v>0</v>
      </c>
      <c r="BG89" s="154">
        <f t="shared" si="362"/>
        <v>0</v>
      </c>
      <c r="BH89" s="154">
        <f t="shared" si="362"/>
        <v>0</v>
      </c>
      <c r="BI89" s="154">
        <f t="shared" si="362"/>
        <v>0</v>
      </c>
      <c r="BJ89" s="154">
        <f t="shared" si="362"/>
        <v>0</v>
      </c>
      <c r="BK89" s="154">
        <f t="shared" si="362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365" t="s">
        <v>610</v>
      </c>
      <c r="B91" s="197"/>
      <c r="C91" s="198" t="s">
        <v>165</v>
      </c>
      <c r="D91" s="199" t="s">
        <v>611</v>
      </c>
      <c r="E91" s="200">
        <v>10000</v>
      </c>
      <c r="F91" s="172"/>
      <c r="G91" s="94">
        <f>I91/E91</f>
        <v>0.36786599999999997</v>
      </c>
      <c r="H91" s="94">
        <f>M91/E91</f>
        <v>0</v>
      </c>
      <c r="I91" s="366">
        <f>2252+1426.66</f>
        <v>3678.66</v>
      </c>
      <c r="J91" s="174"/>
      <c r="K91" s="174"/>
      <c r="L91" s="174"/>
      <c r="M91" s="175">
        <f t="shared" ref="M91:O91" si="363">Y91+AB91+AE91+AH91+AK91+AN91+AQ91+AT91+AW91+AZ91+BC91+BF91</f>
        <v>0</v>
      </c>
      <c r="N91" s="175">
        <f t="shared" si="363"/>
        <v>0</v>
      </c>
      <c r="O91" s="175">
        <f t="shared" si="363"/>
        <v>0</v>
      </c>
      <c r="P91" s="82">
        <f t="shared" ref="P91:R91" si="364">IF(BI91=0,SUM(Y91+AB91+AE91+AH91+AK91+AN91+AQ91+AT91+AW91+AZ91+BC91+BF91),BI91)</f>
        <v>0</v>
      </c>
      <c r="Q91" s="82">
        <f t="shared" si="364"/>
        <v>0</v>
      </c>
      <c r="R91" s="82">
        <f t="shared" si="364"/>
        <v>0</v>
      </c>
      <c r="S91" s="175">
        <f t="shared" ref="S91:T91" si="365">I91-M91</f>
        <v>3678.66</v>
      </c>
      <c r="T91" s="175">
        <f t="shared" si="365"/>
        <v>0</v>
      </c>
      <c r="U91" s="175">
        <f>L91-O91</f>
        <v>0</v>
      </c>
      <c r="V91" s="176">
        <f t="shared" ref="V91:W91" si="366">M91/I91</f>
        <v>0</v>
      </c>
      <c r="W91" s="176" t="e">
        <f t="shared" si="366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67">IF(BI92=0,SUM(Y92+AB92+AE92+AH92+AK92+AN92+AQ92+AT92+AW92+AZ92+BC92+BF92),BI92)</f>
        <v>0</v>
      </c>
      <c r="Q92" s="82">
        <f t="shared" si="367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89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68">IF(BI93=0,SUM(Y93+AB93+AE93+AH93+AK93+AN93+AQ93+AT93+AW93+AZ93+BC93+BF93),BI93)</f>
        <v>0</v>
      </c>
      <c r="Q93" s="82">
        <f t="shared" si="368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69">I94/E94</f>
        <v>#DIV/0!</v>
      </c>
      <c r="H94" s="94" t="e">
        <f t="shared" ref="H94:H116" si="370">M94/E94</f>
        <v>#DIV/0!</v>
      </c>
      <c r="I94" s="96"/>
      <c r="J94" s="96"/>
      <c r="K94" s="96"/>
      <c r="L94" s="96"/>
      <c r="M94" s="97">
        <f t="shared" ref="M94:O94" si="371">Y94+AB94+AE94+AH94+AK94+AN94+AQ94+AT94+AW94+AZ94+BC94+BF94</f>
        <v>0</v>
      </c>
      <c r="N94" s="97">
        <f t="shared" si="371"/>
        <v>0</v>
      </c>
      <c r="O94" s="97">
        <f t="shared" si="371"/>
        <v>0</v>
      </c>
      <c r="P94" s="82">
        <f t="shared" ref="P94:R94" si="372">IF(BI94=0,SUM(Y94+AB94+AE94+AH94+AK94+AN94+AQ94+AT94+AW94+AZ94+BC94+BF94),BI94)</f>
        <v>0</v>
      </c>
      <c r="Q94" s="82">
        <f t="shared" si="372"/>
        <v>0</v>
      </c>
      <c r="R94" s="82">
        <f t="shared" si="372"/>
        <v>0</v>
      </c>
      <c r="S94" s="97">
        <f t="shared" ref="S94:T94" si="373">I94-M94</f>
        <v>0</v>
      </c>
      <c r="T94" s="97">
        <f t="shared" si="373"/>
        <v>0</v>
      </c>
      <c r="U94" s="97">
        <f t="shared" ref="U94:U95" si="374">L94-O94</f>
        <v>0</v>
      </c>
      <c r="V94" s="98" t="e">
        <f t="shared" ref="V94:W94" si="375">M94/I94</f>
        <v>#DIV/0!</v>
      </c>
      <c r="W94" s="98" t="e">
        <f t="shared" si="375"/>
        <v>#DIV/0!</v>
      </c>
      <c r="X94" s="98" t="e">
        <f t="shared" ref="X94:X102" si="376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69"/>
        <v>#DIV/0!</v>
      </c>
      <c r="H95" s="94" t="e">
        <f t="shared" si="370"/>
        <v>#DIV/0!</v>
      </c>
      <c r="I95" s="96"/>
      <c r="J95" s="96"/>
      <c r="K95" s="96"/>
      <c r="L95" s="96"/>
      <c r="M95" s="97">
        <f t="shared" ref="M95:O95" si="377">Y95+AB95+AE95+AH95+AK95+AN95+AQ95+AT95+AW95+AZ95+BC95+BF95</f>
        <v>0</v>
      </c>
      <c r="N95" s="97">
        <f t="shared" si="377"/>
        <v>0</v>
      </c>
      <c r="O95" s="97">
        <f t="shared" si="377"/>
        <v>0</v>
      </c>
      <c r="P95" s="82">
        <f t="shared" ref="P95:R95" si="378">IF(BI95=0,SUM(Y95+AB95+AE95+AH95+AK95+AN95+AQ95+AT95+AW95+AZ95+BC95+BF95),BI95)</f>
        <v>0</v>
      </c>
      <c r="Q95" s="82">
        <f t="shared" si="378"/>
        <v>0</v>
      </c>
      <c r="R95" s="82">
        <f t="shared" si="378"/>
        <v>0</v>
      </c>
      <c r="S95" s="97">
        <f t="shared" ref="S95:T95" si="379">I95-M95</f>
        <v>0</v>
      </c>
      <c r="T95" s="97">
        <f t="shared" si="379"/>
        <v>0</v>
      </c>
      <c r="U95" s="97">
        <f t="shared" si="374"/>
        <v>0</v>
      </c>
      <c r="V95" s="98" t="e">
        <f t="shared" ref="V95:W95" si="380">M95/I95</f>
        <v>#DIV/0!</v>
      </c>
      <c r="W95" s="98" t="e">
        <f t="shared" si="380"/>
        <v>#DIV/0!</v>
      </c>
      <c r="X95" s="98" t="e">
        <f t="shared" si="376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381">E97+E114+E119+E145+E150+E154</f>
        <v>273274.02</v>
      </c>
      <c r="F96" s="87">
        <f t="shared" si="381"/>
        <v>1183964.47</v>
      </c>
      <c r="G96" s="107">
        <f t="shared" si="369"/>
        <v>3.4770959932451682E-2</v>
      </c>
      <c r="H96" s="107">
        <f t="shared" si="370"/>
        <v>0</v>
      </c>
      <c r="I96" s="87">
        <f t="shared" ref="I96:O96" si="382">I97+I114+I119+I145+I150+I154</f>
        <v>9502</v>
      </c>
      <c r="J96" s="87">
        <f t="shared" si="382"/>
        <v>751131.49</v>
      </c>
      <c r="K96" s="87">
        <f t="shared" si="382"/>
        <v>0</v>
      </c>
      <c r="L96" s="87">
        <f t="shared" si="382"/>
        <v>0</v>
      </c>
      <c r="M96" s="87">
        <f t="shared" si="382"/>
        <v>0</v>
      </c>
      <c r="N96" s="87">
        <f t="shared" si="382"/>
        <v>344396.7</v>
      </c>
      <c r="O96" s="87">
        <f t="shared" si="382"/>
        <v>0</v>
      </c>
      <c r="P96" s="87">
        <f t="shared" ref="P96:R96" si="383">IF(BI96=0,SUM(Y96+AB96+AE96+AH96+AK96+AN96+AQ96+AT96+AW96+AZ96+BC96+BF96),BI96)</f>
        <v>0</v>
      </c>
      <c r="Q96" s="87">
        <f t="shared" si="383"/>
        <v>344396.7</v>
      </c>
      <c r="R96" s="87">
        <f t="shared" si="383"/>
        <v>0</v>
      </c>
      <c r="S96" s="87">
        <f t="shared" ref="S96:U96" si="384">S97+S114+S119+S145+S150+S154</f>
        <v>9502</v>
      </c>
      <c r="T96" s="87">
        <f t="shared" si="384"/>
        <v>406734.79000000004</v>
      </c>
      <c r="U96" s="87">
        <f t="shared" si="384"/>
        <v>0</v>
      </c>
      <c r="V96" s="88">
        <f t="shared" ref="V96:W96" si="385">M96/I96</f>
        <v>0</v>
      </c>
      <c r="W96" s="88">
        <f t="shared" si="385"/>
        <v>0.45850387659822384</v>
      </c>
      <c r="X96" s="88" t="e">
        <f t="shared" si="376"/>
        <v>#DIV/0!</v>
      </c>
      <c r="Y96" s="87">
        <f t="shared" ref="Y96:BK96" si="386">Y97+Y114+Y119+Y145+Y150+Y154</f>
        <v>0</v>
      </c>
      <c r="Z96" s="87">
        <f t="shared" si="386"/>
        <v>53060</v>
      </c>
      <c r="AA96" s="87">
        <f t="shared" si="386"/>
        <v>0</v>
      </c>
      <c r="AB96" s="87">
        <f t="shared" si="386"/>
        <v>0</v>
      </c>
      <c r="AC96" s="87">
        <f t="shared" si="386"/>
        <v>61206.74</v>
      </c>
      <c r="AD96" s="87">
        <f t="shared" si="386"/>
        <v>0</v>
      </c>
      <c r="AE96" s="87">
        <f t="shared" si="386"/>
        <v>0</v>
      </c>
      <c r="AF96" s="87">
        <f t="shared" si="386"/>
        <v>63661.509999999995</v>
      </c>
      <c r="AG96" s="87">
        <f t="shared" si="386"/>
        <v>0</v>
      </c>
      <c r="AH96" s="87">
        <f t="shared" si="386"/>
        <v>0</v>
      </c>
      <c r="AI96" s="87">
        <f t="shared" si="386"/>
        <v>166468.45000000001</v>
      </c>
      <c r="AJ96" s="87">
        <f t="shared" si="386"/>
        <v>0</v>
      </c>
      <c r="AK96" s="87">
        <f t="shared" si="386"/>
        <v>0</v>
      </c>
      <c r="AL96" s="87">
        <f t="shared" si="386"/>
        <v>0</v>
      </c>
      <c r="AM96" s="87">
        <f t="shared" si="386"/>
        <v>0</v>
      </c>
      <c r="AN96" s="87">
        <f t="shared" si="386"/>
        <v>0</v>
      </c>
      <c r="AO96" s="87">
        <f t="shared" si="386"/>
        <v>0</v>
      </c>
      <c r="AP96" s="87">
        <f t="shared" si="386"/>
        <v>0</v>
      </c>
      <c r="AQ96" s="87">
        <f t="shared" si="386"/>
        <v>0</v>
      </c>
      <c r="AR96" s="87">
        <f t="shared" si="386"/>
        <v>0</v>
      </c>
      <c r="AS96" s="87">
        <f t="shared" si="386"/>
        <v>0</v>
      </c>
      <c r="AT96" s="87">
        <f t="shared" si="386"/>
        <v>0</v>
      </c>
      <c r="AU96" s="87">
        <f t="shared" si="386"/>
        <v>0</v>
      </c>
      <c r="AV96" s="87">
        <f t="shared" si="386"/>
        <v>0</v>
      </c>
      <c r="AW96" s="87">
        <f t="shared" si="386"/>
        <v>0</v>
      </c>
      <c r="AX96" s="87">
        <f t="shared" si="386"/>
        <v>0</v>
      </c>
      <c r="AY96" s="87">
        <f t="shared" si="386"/>
        <v>0</v>
      </c>
      <c r="AZ96" s="87">
        <f t="shared" si="386"/>
        <v>0</v>
      </c>
      <c r="BA96" s="87">
        <f t="shared" si="386"/>
        <v>0</v>
      </c>
      <c r="BB96" s="87">
        <f t="shared" si="386"/>
        <v>0</v>
      </c>
      <c r="BC96" s="87">
        <f t="shared" si="386"/>
        <v>0</v>
      </c>
      <c r="BD96" s="87">
        <f t="shared" si="386"/>
        <v>0</v>
      </c>
      <c r="BE96" s="87">
        <f t="shared" si="386"/>
        <v>0</v>
      </c>
      <c r="BF96" s="87">
        <f t="shared" si="386"/>
        <v>0</v>
      </c>
      <c r="BG96" s="87">
        <f t="shared" si="386"/>
        <v>0</v>
      </c>
      <c r="BH96" s="87">
        <f t="shared" si="386"/>
        <v>0</v>
      </c>
      <c r="BI96" s="87">
        <f t="shared" si="386"/>
        <v>0</v>
      </c>
      <c r="BJ96" s="87">
        <f t="shared" si="386"/>
        <v>0</v>
      </c>
      <c r="BK96" s="87">
        <f t="shared" si="386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387">SUM(E98:E113)</f>
        <v>97800</v>
      </c>
      <c r="F97" s="154">
        <f t="shared" si="387"/>
        <v>10000</v>
      </c>
      <c r="G97" s="192">
        <f t="shared" si="369"/>
        <v>9.7157464212678943E-2</v>
      </c>
      <c r="H97" s="192">
        <f t="shared" si="370"/>
        <v>0</v>
      </c>
      <c r="I97" s="154">
        <f t="shared" ref="I97:O97" si="388">SUM(I98:I113)</f>
        <v>9502</v>
      </c>
      <c r="J97" s="154">
        <f t="shared" si="388"/>
        <v>75763.899999999994</v>
      </c>
      <c r="K97" s="154">
        <f t="shared" si="388"/>
        <v>0</v>
      </c>
      <c r="L97" s="154">
        <f t="shared" si="388"/>
        <v>0</v>
      </c>
      <c r="M97" s="154">
        <f t="shared" si="388"/>
        <v>0</v>
      </c>
      <c r="N97" s="154">
        <f t="shared" si="388"/>
        <v>52560</v>
      </c>
      <c r="O97" s="154">
        <f t="shared" si="388"/>
        <v>0</v>
      </c>
      <c r="P97" s="81">
        <f t="shared" ref="P97:R97" si="389">IF(BI97=0,SUM(Y97+AB97+AE97+AH97+AK97+AN97+AQ97+AT97+AW97+AZ97+BC97+BF97),BI97)</f>
        <v>0</v>
      </c>
      <c r="Q97" s="81">
        <f t="shared" si="389"/>
        <v>52560</v>
      </c>
      <c r="R97" s="81">
        <f t="shared" si="389"/>
        <v>0</v>
      </c>
      <c r="S97" s="154">
        <f t="shared" ref="S97:U97" si="390">SUM(S98:S113)</f>
        <v>9502</v>
      </c>
      <c r="T97" s="154">
        <f t="shared" si="390"/>
        <v>23203.9</v>
      </c>
      <c r="U97" s="154">
        <f t="shared" si="390"/>
        <v>0</v>
      </c>
      <c r="V97" s="193">
        <f t="shared" ref="V97:W97" si="391">M97/I97</f>
        <v>0</v>
      </c>
      <c r="W97" s="193">
        <f t="shared" si="391"/>
        <v>0.69373408707841078</v>
      </c>
      <c r="X97" s="193" t="e">
        <f t="shared" si="376"/>
        <v>#DIV/0!</v>
      </c>
      <c r="Y97" s="154">
        <f t="shared" ref="Y97:BK97" si="392">SUM(Y98:Y113)</f>
        <v>0</v>
      </c>
      <c r="Z97" s="154">
        <f t="shared" si="392"/>
        <v>52560</v>
      </c>
      <c r="AA97" s="154">
        <f t="shared" si="392"/>
        <v>0</v>
      </c>
      <c r="AB97" s="154">
        <f t="shared" si="392"/>
        <v>0</v>
      </c>
      <c r="AC97" s="154">
        <f t="shared" si="392"/>
        <v>0</v>
      </c>
      <c r="AD97" s="154">
        <f t="shared" si="392"/>
        <v>0</v>
      </c>
      <c r="AE97" s="154">
        <f t="shared" si="392"/>
        <v>0</v>
      </c>
      <c r="AF97" s="154">
        <f t="shared" si="392"/>
        <v>0</v>
      </c>
      <c r="AG97" s="154">
        <f t="shared" si="392"/>
        <v>0</v>
      </c>
      <c r="AH97" s="154">
        <f t="shared" si="392"/>
        <v>0</v>
      </c>
      <c r="AI97" s="154">
        <f t="shared" si="392"/>
        <v>0</v>
      </c>
      <c r="AJ97" s="154">
        <f t="shared" si="392"/>
        <v>0</v>
      </c>
      <c r="AK97" s="154">
        <f t="shared" si="392"/>
        <v>0</v>
      </c>
      <c r="AL97" s="154">
        <f t="shared" si="392"/>
        <v>0</v>
      </c>
      <c r="AM97" s="154">
        <f t="shared" si="392"/>
        <v>0</v>
      </c>
      <c r="AN97" s="154">
        <f t="shared" si="392"/>
        <v>0</v>
      </c>
      <c r="AO97" s="154">
        <f t="shared" si="392"/>
        <v>0</v>
      </c>
      <c r="AP97" s="154">
        <f t="shared" si="392"/>
        <v>0</v>
      </c>
      <c r="AQ97" s="154">
        <f t="shared" si="392"/>
        <v>0</v>
      </c>
      <c r="AR97" s="154">
        <f t="shared" si="392"/>
        <v>0</v>
      </c>
      <c r="AS97" s="154">
        <f t="shared" si="392"/>
        <v>0</v>
      </c>
      <c r="AT97" s="154">
        <f t="shared" si="392"/>
        <v>0</v>
      </c>
      <c r="AU97" s="154">
        <f t="shared" si="392"/>
        <v>0</v>
      </c>
      <c r="AV97" s="154">
        <f t="shared" si="392"/>
        <v>0</v>
      </c>
      <c r="AW97" s="154">
        <f t="shared" si="392"/>
        <v>0</v>
      </c>
      <c r="AX97" s="154">
        <f t="shared" si="392"/>
        <v>0</v>
      </c>
      <c r="AY97" s="154">
        <f t="shared" si="392"/>
        <v>0</v>
      </c>
      <c r="AZ97" s="154">
        <f t="shared" si="392"/>
        <v>0</v>
      </c>
      <c r="BA97" s="154">
        <f t="shared" si="392"/>
        <v>0</v>
      </c>
      <c r="BB97" s="154">
        <f t="shared" si="392"/>
        <v>0</v>
      </c>
      <c r="BC97" s="154">
        <f t="shared" si="392"/>
        <v>0</v>
      </c>
      <c r="BD97" s="154">
        <f t="shared" si="392"/>
        <v>0</v>
      </c>
      <c r="BE97" s="154">
        <f t="shared" si="392"/>
        <v>0</v>
      </c>
      <c r="BF97" s="154">
        <f t="shared" si="392"/>
        <v>0</v>
      </c>
      <c r="BG97" s="154">
        <f t="shared" si="392"/>
        <v>0</v>
      </c>
      <c r="BH97" s="154">
        <f t="shared" si="392"/>
        <v>0</v>
      </c>
      <c r="BI97" s="154">
        <f t="shared" si="392"/>
        <v>0</v>
      </c>
      <c r="BJ97" s="154">
        <f t="shared" si="392"/>
        <v>0</v>
      </c>
      <c r="BK97" s="154">
        <f t="shared" si="392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69"/>
        <v>1</v>
      </c>
      <c r="H98" s="94">
        <f t="shared" si="370"/>
        <v>0</v>
      </c>
      <c r="I98" s="96">
        <v>4500</v>
      </c>
      <c r="J98" s="96"/>
      <c r="K98" s="96"/>
      <c r="L98" s="96"/>
      <c r="M98" s="97">
        <f t="shared" ref="M98:O98" si="393">Y98+AB98+AE98+AH98+AK98+AN98+AQ98+AT98+AW98+AZ98+BC98+BF98</f>
        <v>0</v>
      </c>
      <c r="N98" s="97">
        <f t="shared" si="393"/>
        <v>0</v>
      </c>
      <c r="O98" s="97">
        <f t="shared" si="393"/>
        <v>0</v>
      </c>
      <c r="P98" s="97">
        <f t="shared" ref="P98:R98" si="394">IF(BI98=0,SUM(Y98+AB98+AE98+AH98+AK98+AN98+AQ98+AT98+AW98+AZ98+BC98+BF98),BI98)</f>
        <v>0</v>
      </c>
      <c r="Q98" s="97">
        <f t="shared" si="394"/>
        <v>0</v>
      </c>
      <c r="R98" s="97">
        <f t="shared" si="394"/>
        <v>0</v>
      </c>
      <c r="S98" s="97">
        <f t="shared" ref="S98:T98" si="395">I98-M98</f>
        <v>4500</v>
      </c>
      <c r="T98" s="97">
        <f t="shared" si="395"/>
        <v>0</v>
      </c>
      <c r="U98" s="97">
        <f t="shared" ref="U98:U113" si="396">L98-O98</f>
        <v>0</v>
      </c>
      <c r="V98" s="98">
        <f t="shared" ref="V98:W98" si="397">M98/I98</f>
        <v>0</v>
      </c>
      <c r="W98" s="98" t="e">
        <f t="shared" si="397"/>
        <v>#DIV/0!</v>
      </c>
      <c r="X98" s="98" t="e">
        <f t="shared" si="376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69"/>
        <v>1</v>
      </c>
      <c r="H99" s="94">
        <f t="shared" si="370"/>
        <v>0</v>
      </c>
      <c r="I99" s="96">
        <v>2500</v>
      </c>
      <c r="J99" s="96"/>
      <c r="K99" s="96"/>
      <c r="L99" s="96"/>
      <c r="M99" s="97">
        <f t="shared" ref="M99:O99" si="398">Y99+AB99+AE99+AH99+AK99+AN99+AQ99+AT99+AW99+AZ99+BC99+BF99</f>
        <v>0</v>
      </c>
      <c r="N99" s="97">
        <f t="shared" si="398"/>
        <v>0</v>
      </c>
      <c r="O99" s="97">
        <f t="shared" si="398"/>
        <v>0</v>
      </c>
      <c r="P99" s="97">
        <f t="shared" ref="P99:R99" si="399">IF(BI99=0,SUM(Y99+AB99+AE99+AH99+AK99+AN99+AQ99+AT99+AW99+AZ99+BC99+BF99),BI99)</f>
        <v>0</v>
      </c>
      <c r="Q99" s="97">
        <f t="shared" si="399"/>
        <v>0</v>
      </c>
      <c r="R99" s="97">
        <f t="shared" si="399"/>
        <v>0</v>
      </c>
      <c r="S99" s="97">
        <f t="shared" ref="S99:T99" si="400">I99-M99</f>
        <v>2500</v>
      </c>
      <c r="T99" s="97">
        <f t="shared" si="400"/>
        <v>0</v>
      </c>
      <c r="U99" s="97">
        <f t="shared" si="396"/>
        <v>0</v>
      </c>
      <c r="V99" s="98">
        <f t="shared" ref="V99:W99" si="401">M99/I99</f>
        <v>0</v>
      </c>
      <c r="W99" s="98" t="e">
        <f t="shared" si="401"/>
        <v>#DIV/0!</v>
      </c>
      <c r="X99" s="98" t="e">
        <f t="shared" si="376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69"/>
        <v>#DIV/0!</v>
      </c>
      <c r="H100" s="94" t="e">
        <f t="shared" si="370"/>
        <v>#DIV/0!</v>
      </c>
      <c r="I100" s="96"/>
      <c r="J100" s="96"/>
      <c r="K100" s="96"/>
      <c r="L100" s="96"/>
      <c r="M100" s="97">
        <f t="shared" ref="M100:O100" si="402">Y100+AB100+AE100+AH100+AK100+AN100+AQ100+AT100+AW100+AZ100+BC100+BF100</f>
        <v>0</v>
      </c>
      <c r="N100" s="97">
        <f t="shared" si="402"/>
        <v>0</v>
      </c>
      <c r="O100" s="97">
        <f t="shared" si="402"/>
        <v>0</v>
      </c>
      <c r="P100" s="97">
        <f t="shared" ref="P100:R100" si="403">IF(BI100=0,SUM(Y100+AB100+AE100+AH100+AK100+AN100+AQ100+AT100+AW100+AZ100+BC100+BF100),BI100)</f>
        <v>0</v>
      </c>
      <c r="Q100" s="97">
        <f t="shared" si="403"/>
        <v>0</v>
      </c>
      <c r="R100" s="97">
        <f t="shared" si="403"/>
        <v>0</v>
      </c>
      <c r="S100" s="97">
        <f t="shared" ref="S100:T100" si="404">I100-M100</f>
        <v>0</v>
      </c>
      <c r="T100" s="97">
        <f t="shared" si="404"/>
        <v>0</v>
      </c>
      <c r="U100" s="97">
        <f t="shared" si="396"/>
        <v>0</v>
      </c>
      <c r="V100" s="98" t="e">
        <f t="shared" ref="V100:W100" si="405">M100/I100</f>
        <v>#DIV/0!</v>
      </c>
      <c r="W100" s="98" t="e">
        <f t="shared" si="405"/>
        <v>#DIV/0!</v>
      </c>
      <c r="X100" s="98" t="e">
        <f t="shared" si="376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612</v>
      </c>
      <c r="E101" s="208"/>
      <c r="F101" s="208"/>
      <c r="G101" s="94" t="e">
        <f t="shared" si="369"/>
        <v>#DIV/0!</v>
      </c>
      <c r="H101" s="94" t="e">
        <f t="shared" si="370"/>
        <v>#DIV/0!</v>
      </c>
      <c r="I101" s="202"/>
      <c r="J101" s="204"/>
      <c r="K101" s="204"/>
      <c r="L101" s="202"/>
      <c r="M101" s="97">
        <f t="shared" ref="M101:O101" si="406">Y101+AB101+AE101+AH101+AK101+AN101+AQ101+AT101+AW101+AZ101+BC101+BF101</f>
        <v>0</v>
      </c>
      <c r="N101" s="97">
        <f t="shared" si="406"/>
        <v>0</v>
      </c>
      <c r="O101" s="97">
        <f t="shared" si="406"/>
        <v>0</v>
      </c>
      <c r="P101" s="97">
        <f t="shared" ref="P101:R101" si="407">IF(BI101=0,SUM(Y101+AB101+AE101+AH101+AK101+AN101+AQ101+AT101+AW101+AZ101+BC101+BF101),BI101)</f>
        <v>0</v>
      </c>
      <c r="Q101" s="97">
        <f t="shared" si="407"/>
        <v>0</v>
      </c>
      <c r="R101" s="97">
        <f t="shared" si="407"/>
        <v>0</v>
      </c>
      <c r="S101" s="97">
        <f t="shared" ref="S101:T101" si="408">I101-M101</f>
        <v>0</v>
      </c>
      <c r="T101" s="97">
        <f t="shared" si="408"/>
        <v>0</v>
      </c>
      <c r="U101" s="97">
        <f t="shared" si="396"/>
        <v>0</v>
      </c>
      <c r="V101" s="98" t="e">
        <f t="shared" ref="V101:W101" si="409">M101/I101</f>
        <v>#DIV/0!</v>
      </c>
      <c r="W101" s="98" t="e">
        <f t="shared" si="409"/>
        <v>#DIV/0!</v>
      </c>
      <c r="X101" s="98" t="e">
        <f t="shared" si="376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613</v>
      </c>
      <c r="E102" s="166"/>
      <c r="F102" s="147"/>
      <c r="G102" s="94" t="e">
        <f t="shared" si="369"/>
        <v>#DIV/0!</v>
      </c>
      <c r="H102" s="94" t="e">
        <f t="shared" si="370"/>
        <v>#DIV/0!</v>
      </c>
      <c r="I102" s="96"/>
      <c r="J102" s="96"/>
      <c r="K102" s="96"/>
      <c r="L102" s="96"/>
      <c r="M102" s="97">
        <f t="shared" ref="M102:O102" si="410">Y102+AB102+AE102+AH102+AK102+AN102+AQ102+AT102+AW102+AZ102+BC102+BF102</f>
        <v>0</v>
      </c>
      <c r="N102" s="97">
        <f t="shared" si="410"/>
        <v>0</v>
      </c>
      <c r="O102" s="97">
        <f t="shared" si="410"/>
        <v>0</v>
      </c>
      <c r="P102" s="97">
        <f t="shared" ref="P102:R102" si="411">IF(BI102=0,SUM(Y102+AB102+AE102+AH102+AK102+AN102+AQ102+AT102+AW102+AZ102+BC102+BF102),BI102)</f>
        <v>0</v>
      </c>
      <c r="Q102" s="97">
        <f t="shared" si="411"/>
        <v>0</v>
      </c>
      <c r="R102" s="97">
        <f t="shared" si="411"/>
        <v>0</v>
      </c>
      <c r="S102" s="97">
        <f t="shared" ref="S102:T102" si="412">I102-M102</f>
        <v>0</v>
      </c>
      <c r="T102" s="97">
        <f t="shared" si="412"/>
        <v>0</v>
      </c>
      <c r="U102" s="97">
        <f t="shared" si="396"/>
        <v>0</v>
      </c>
      <c r="V102" s="98" t="e">
        <f t="shared" ref="V102:W102" si="413">M102/I102</f>
        <v>#DIV/0!</v>
      </c>
      <c r="W102" s="98" t="e">
        <f t="shared" si="413"/>
        <v>#DIV/0!</v>
      </c>
      <c r="X102" s="98" t="e">
        <f t="shared" si="376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69"/>
        <v>0</v>
      </c>
      <c r="H103" s="94">
        <f t="shared" si="370"/>
        <v>0</v>
      </c>
      <c r="I103" s="96"/>
      <c r="J103" s="96"/>
      <c r="K103" s="96"/>
      <c r="L103" s="96"/>
      <c r="M103" s="97">
        <f t="shared" ref="M103:O103" si="414">Y103+AB103+AE103+AH103+AK103+AN103+AQ103+AT103+AW103+AZ103+BC103+BF103</f>
        <v>0</v>
      </c>
      <c r="N103" s="97">
        <f t="shared" si="414"/>
        <v>0</v>
      </c>
      <c r="O103" s="97">
        <f t="shared" si="414"/>
        <v>0</v>
      </c>
      <c r="P103" s="97">
        <f t="shared" ref="P103:R103" si="415">IF(BI103=0,SUM(Y103+AB103+AE103+AH103+AK103+AN103+AQ103+AT103+AW103+AZ103+BC103+BF103),BI103)</f>
        <v>0</v>
      </c>
      <c r="Q103" s="97">
        <f t="shared" si="415"/>
        <v>0</v>
      </c>
      <c r="R103" s="97">
        <f t="shared" si="415"/>
        <v>0</v>
      </c>
      <c r="S103" s="97">
        <f t="shared" ref="S103:T103" si="416">I103-M103</f>
        <v>0</v>
      </c>
      <c r="T103" s="97">
        <f t="shared" si="416"/>
        <v>0</v>
      </c>
      <c r="U103" s="97">
        <f t="shared" si="396"/>
        <v>0</v>
      </c>
      <c r="V103" s="98" t="e">
        <f t="shared" ref="V103:W103" si="417">M103/I103</f>
        <v>#DIV/0!</v>
      </c>
      <c r="W103" s="98" t="e">
        <f t="shared" si="417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69"/>
        <v>#DIV/0!</v>
      </c>
      <c r="H104" s="94" t="e">
        <f t="shared" si="370"/>
        <v>#DIV/0!</v>
      </c>
      <c r="I104" s="96"/>
      <c r="J104" s="96"/>
      <c r="K104" s="96"/>
      <c r="L104" s="96"/>
      <c r="M104" s="97">
        <f t="shared" ref="M104:O104" si="418">Y104+AB104+AE104+AH104+AK104+AN104+AQ104+AT104+AW104+AZ104+BC104+BF104</f>
        <v>0</v>
      </c>
      <c r="N104" s="97">
        <f t="shared" si="418"/>
        <v>0</v>
      </c>
      <c r="O104" s="97">
        <f t="shared" si="418"/>
        <v>0</v>
      </c>
      <c r="P104" s="97">
        <f t="shared" ref="P104:R104" si="419">IF(BI104=0,SUM(Y104+AB104+AE104+AH104+AK104+AN104+AQ104+AT104+AW104+AZ104+BC104+BF104),BI104)</f>
        <v>0</v>
      </c>
      <c r="Q104" s="97">
        <f t="shared" si="419"/>
        <v>0</v>
      </c>
      <c r="R104" s="97">
        <f t="shared" si="419"/>
        <v>0</v>
      </c>
      <c r="S104" s="97">
        <f t="shared" ref="S104:T104" si="420">I104-M104</f>
        <v>0</v>
      </c>
      <c r="T104" s="97">
        <f t="shared" si="420"/>
        <v>0</v>
      </c>
      <c r="U104" s="97">
        <f t="shared" si="396"/>
        <v>0</v>
      </c>
      <c r="V104" s="98" t="e">
        <f t="shared" ref="V104:W104" si="421">M104/I104</f>
        <v>#DIV/0!</v>
      </c>
      <c r="W104" s="98" t="e">
        <f t="shared" si="421"/>
        <v>#DIV/0!</v>
      </c>
      <c r="X104" s="98" t="e">
        <f t="shared" ref="X104:X116" si="422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69"/>
        <v>0</v>
      </c>
      <c r="H105" s="94">
        <f t="shared" si="370"/>
        <v>0</v>
      </c>
      <c r="I105" s="96"/>
      <c r="J105" s="96"/>
      <c r="K105" s="96"/>
      <c r="L105" s="96"/>
      <c r="M105" s="97">
        <f t="shared" ref="M105:O105" si="423">Y105+AB105+AE105+AH105+AK105+AN105+AQ105+AT105+AW105+AZ105+BC105+BF105</f>
        <v>0</v>
      </c>
      <c r="N105" s="97">
        <f t="shared" si="423"/>
        <v>0</v>
      </c>
      <c r="O105" s="97">
        <f t="shared" si="423"/>
        <v>0</v>
      </c>
      <c r="P105" s="97">
        <f t="shared" ref="P105:R105" si="424">IF(BI105=0,SUM(Y105+AB105+AE105+AH105+AK105+AN105+AQ105+AT105+AW105+AZ105+BC105+BF105),BI105)</f>
        <v>0</v>
      </c>
      <c r="Q105" s="97">
        <f t="shared" si="424"/>
        <v>0</v>
      </c>
      <c r="R105" s="97">
        <f t="shared" si="424"/>
        <v>0</v>
      </c>
      <c r="S105" s="97">
        <f t="shared" ref="S105:T105" si="425">I105-M105</f>
        <v>0</v>
      </c>
      <c r="T105" s="97">
        <f t="shared" si="425"/>
        <v>0</v>
      </c>
      <c r="U105" s="97">
        <f t="shared" si="396"/>
        <v>0</v>
      </c>
      <c r="V105" s="98" t="e">
        <f t="shared" ref="V105:W105" si="426">M105/I105</f>
        <v>#DIV/0!</v>
      </c>
      <c r="W105" s="98" t="e">
        <f t="shared" si="426"/>
        <v>#DIV/0!</v>
      </c>
      <c r="X105" s="98" t="e">
        <f t="shared" si="422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354" t="s">
        <v>614</v>
      </c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69"/>
        <v>3.5742857142857146E-2</v>
      </c>
      <c r="H106" s="94">
        <f t="shared" si="370"/>
        <v>0</v>
      </c>
      <c r="I106" s="103">
        <v>2502</v>
      </c>
      <c r="J106" s="96"/>
      <c r="K106" s="96"/>
      <c r="L106" s="96"/>
      <c r="M106" s="97">
        <f t="shared" ref="M106:O106" si="427">Y106+AB106+AE106+AH106+AK106+AN106+AQ106+AT106+AW106+AZ106+BC106+BF106</f>
        <v>0</v>
      </c>
      <c r="N106" s="97">
        <f t="shared" si="427"/>
        <v>0</v>
      </c>
      <c r="O106" s="97">
        <f t="shared" si="427"/>
        <v>0</v>
      </c>
      <c r="P106" s="97">
        <f t="shared" ref="P106:R106" si="428">IF(BI106=0,SUM(Y106+AB106+AE106+AH106+AK106+AN106+AQ106+AT106+AW106+AZ106+BC106+BF106),BI106)</f>
        <v>0</v>
      </c>
      <c r="Q106" s="97">
        <f t="shared" si="428"/>
        <v>0</v>
      </c>
      <c r="R106" s="97">
        <f t="shared" si="428"/>
        <v>0</v>
      </c>
      <c r="S106" s="97">
        <f t="shared" ref="S106:S113" si="429">I106-M106</f>
        <v>2502</v>
      </c>
      <c r="T106" s="97">
        <f>J106-N106-K106</f>
        <v>0</v>
      </c>
      <c r="U106" s="97">
        <f t="shared" si="396"/>
        <v>0</v>
      </c>
      <c r="V106" s="98">
        <f t="shared" ref="V106:W106" si="430">M106/I106</f>
        <v>0</v>
      </c>
      <c r="W106" s="98" t="e">
        <f t="shared" si="430"/>
        <v>#DIV/0!</v>
      </c>
      <c r="X106" s="98" t="e">
        <f t="shared" si="422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69"/>
        <v>0</v>
      </c>
      <c r="H107" s="94">
        <f t="shared" si="370"/>
        <v>0</v>
      </c>
      <c r="I107" s="96"/>
      <c r="J107" s="96"/>
      <c r="K107" s="96"/>
      <c r="L107" s="96"/>
      <c r="M107" s="97">
        <f t="shared" ref="M107:O107" si="431">Y107+AB107+AE107+AH107+AK107+AN107+AQ107+AT107+AW107+AZ107+BC107+BF107</f>
        <v>0</v>
      </c>
      <c r="N107" s="97">
        <f t="shared" si="431"/>
        <v>0</v>
      </c>
      <c r="O107" s="97">
        <f t="shared" si="431"/>
        <v>0</v>
      </c>
      <c r="P107" s="97">
        <f t="shared" ref="P107:R107" si="432">IF(BI107=0,SUM(Y107+AB107+AE107+AH107+AK107+AN107+AQ107+AT107+AW107+AZ107+BC107+BF107),BI107)</f>
        <v>0</v>
      </c>
      <c r="Q107" s="97">
        <f t="shared" si="432"/>
        <v>0</v>
      </c>
      <c r="R107" s="97">
        <f t="shared" si="432"/>
        <v>0</v>
      </c>
      <c r="S107" s="97">
        <f t="shared" si="429"/>
        <v>0</v>
      </c>
      <c r="T107" s="97">
        <f t="shared" ref="T107:T113" si="433">J107-N107</f>
        <v>0</v>
      </c>
      <c r="U107" s="97">
        <f t="shared" si="396"/>
        <v>0</v>
      </c>
      <c r="V107" s="98" t="e">
        <f t="shared" ref="V107:W107" si="434">M107/I107</f>
        <v>#DIV/0!</v>
      </c>
      <c r="W107" s="98" t="e">
        <f t="shared" si="434"/>
        <v>#DIV/0!</v>
      </c>
      <c r="X107" s="98" t="e">
        <f t="shared" si="422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615</v>
      </c>
      <c r="E108" s="92">
        <v>3000</v>
      </c>
      <c r="F108" s="93">
        <v>10000</v>
      </c>
      <c r="G108" s="94">
        <f t="shared" si="369"/>
        <v>0</v>
      </c>
      <c r="H108" s="94">
        <f t="shared" si="370"/>
        <v>0</v>
      </c>
      <c r="I108" s="96"/>
      <c r="J108" s="96">
        <v>19996.900000000001</v>
      </c>
      <c r="K108" s="96"/>
      <c r="L108" s="96"/>
      <c r="M108" s="97">
        <f t="shared" ref="M108:O108" si="435">Y108+AB108+AE108+AH108+AK108+AN108+AQ108+AT108+AW108+AZ108+BC108+BF108</f>
        <v>0</v>
      </c>
      <c r="N108" s="97">
        <f t="shared" si="435"/>
        <v>0</v>
      </c>
      <c r="O108" s="97">
        <f t="shared" si="435"/>
        <v>0</v>
      </c>
      <c r="P108" s="97">
        <f t="shared" ref="P108:R108" si="436">IF(BI108=0,SUM(Y108+AB108+AE108+AH108+AK108+AN108+AQ108+AT108+AW108+AZ108+BC108+BF108),BI108)</f>
        <v>0</v>
      </c>
      <c r="Q108" s="97">
        <f t="shared" si="436"/>
        <v>0</v>
      </c>
      <c r="R108" s="97">
        <f t="shared" si="436"/>
        <v>0</v>
      </c>
      <c r="S108" s="97">
        <f t="shared" si="429"/>
        <v>0</v>
      </c>
      <c r="T108" s="97">
        <f t="shared" si="433"/>
        <v>19996.900000000001</v>
      </c>
      <c r="U108" s="97">
        <f t="shared" si="396"/>
        <v>0</v>
      </c>
      <c r="V108" s="98" t="e">
        <f t="shared" ref="V108:W108" si="437">M108/I108</f>
        <v>#DIV/0!</v>
      </c>
      <c r="W108" s="98">
        <f t="shared" si="437"/>
        <v>0</v>
      </c>
      <c r="X108" s="98" t="e">
        <f t="shared" si="422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616</v>
      </c>
      <c r="E109" s="92"/>
      <c r="F109" s="93"/>
      <c r="G109" s="94" t="e">
        <f t="shared" si="369"/>
        <v>#DIV/0!</v>
      </c>
      <c r="H109" s="94" t="e">
        <f t="shared" si="370"/>
        <v>#DIV/0!</v>
      </c>
      <c r="I109" s="96"/>
      <c r="J109" s="117">
        <v>52560</v>
      </c>
      <c r="K109" s="117"/>
      <c r="L109" s="96"/>
      <c r="M109" s="97">
        <f t="shared" ref="M109:O109" si="438">Y109+AB109+AE109+AH109+AK109+AN109+AQ109+AT109+AW109+AZ109+BC109+BF109</f>
        <v>0</v>
      </c>
      <c r="N109" s="97">
        <f t="shared" si="438"/>
        <v>52560</v>
      </c>
      <c r="O109" s="97">
        <f t="shared" si="438"/>
        <v>0</v>
      </c>
      <c r="P109" s="97">
        <f t="shared" ref="P109:R109" si="439">IF(BI109=0,SUM(Y109+AB109+AE109+AH109+AK109+AN109+AQ109+AT109+AW109+AZ109+BC109+BF109),BI109)</f>
        <v>0</v>
      </c>
      <c r="Q109" s="97">
        <f t="shared" si="439"/>
        <v>52560</v>
      </c>
      <c r="R109" s="97">
        <f t="shared" si="439"/>
        <v>0</v>
      </c>
      <c r="S109" s="97">
        <f t="shared" si="429"/>
        <v>0</v>
      </c>
      <c r="T109" s="97">
        <f t="shared" si="433"/>
        <v>0</v>
      </c>
      <c r="U109" s="97">
        <f t="shared" si="396"/>
        <v>0</v>
      </c>
      <c r="V109" s="98" t="e">
        <f t="shared" ref="V109:W109" si="440">M109/I109</f>
        <v>#DIV/0!</v>
      </c>
      <c r="W109" s="98">
        <f t="shared" si="440"/>
        <v>1</v>
      </c>
      <c r="X109" s="98" t="e">
        <f t="shared" si="422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617</v>
      </c>
      <c r="E110" s="166"/>
      <c r="F110" s="147"/>
      <c r="G110" s="94" t="e">
        <f t="shared" si="369"/>
        <v>#DIV/0!</v>
      </c>
      <c r="H110" s="94" t="e">
        <f t="shared" si="370"/>
        <v>#DIV/0!</v>
      </c>
      <c r="I110" s="96"/>
      <c r="J110" s="96"/>
      <c r="K110" s="96"/>
      <c r="L110" s="96"/>
      <c r="M110" s="97">
        <f t="shared" ref="M110:O110" si="441">Y110+AB110+AE110+AH110+AK110+AN110+AQ110+AT110+AW110+AZ110+BC110+BF110</f>
        <v>0</v>
      </c>
      <c r="N110" s="97">
        <f t="shared" si="441"/>
        <v>0</v>
      </c>
      <c r="O110" s="97">
        <f t="shared" si="441"/>
        <v>0</v>
      </c>
      <c r="P110" s="97">
        <f t="shared" ref="P110:R110" si="442">IF(BI110=0,SUM(Y110+AB110+AE110+AH110+AK110+AN110+AQ110+AT110+AW110+AZ110+BC110+BF110),BI110)</f>
        <v>0</v>
      </c>
      <c r="Q110" s="97">
        <f t="shared" si="442"/>
        <v>0</v>
      </c>
      <c r="R110" s="97">
        <f t="shared" si="442"/>
        <v>0</v>
      </c>
      <c r="S110" s="97">
        <f t="shared" si="429"/>
        <v>0</v>
      </c>
      <c r="T110" s="97">
        <f t="shared" si="433"/>
        <v>0</v>
      </c>
      <c r="U110" s="97">
        <f t="shared" si="396"/>
        <v>0</v>
      </c>
      <c r="V110" s="98" t="e">
        <f t="shared" ref="V110:W110" si="443">M110/I110</f>
        <v>#DIV/0!</v>
      </c>
      <c r="W110" s="98" t="e">
        <f t="shared" si="443"/>
        <v>#DIV/0!</v>
      </c>
      <c r="X110" s="98" t="e">
        <f t="shared" si="422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618</v>
      </c>
      <c r="E111" s="166"/>
      <c r="F111" s="213"/>
      <c r="G111" s="94" t="e">
        <f t="shared" si="369"/>
        <v>#DIV/0!</v>
      </c>
      <c r="H111" s="94" t="e">
        <f t="shared" si="370"/>
        <v>#DIV/0!</v>
      </c>
      <c r="I111" s="96"/>
      <c r="J111" s="96"/>
      <c r="K111" s="96"/>
      <c r="L111" s="96"/>
      <c r="M111" s="97">
        <f t="shared" ref="M111:O111" si="444">Y111+AB111+AE111+AH111+AK111+AN111+AQ111+AT111+AW111+AZ111+BC111+BF111</f>
        <v>0</v>
      </c>
      <c r="N111" s="97">
        <f t="shared" si="444"/>
        <v>0</v>
      </c>
      <c r="O111" s="97">
        <f t="shared" si="444"/>
        <v>0</v>
      </c>
      <c r="P111" s="97">
        <f t="shared" ref="P111:R111" si="445">IF(BI111=0,SUM(Y111+AB111+AE111+AH111+AK111+AN111+AQ111+AT111+AW111+AZ111+BC111+BF111),BI111)</f>
        <v>0</v>
      </c>
      <c r="Q111" s="97">
        <f t="shared" si="445"/>
        <v>0</v>
      </c>
      <c r="R111" s="97">
        <f t="shared" si="445"/>
        <v>0</v>
      </c>
      <c r="S111" s="97">
        <f t="shared" si="429"/>
        <v>0</v>
      </c>
      <c r="T111" s="97">
        <f t="shared" si="433"/>
        <v>0</v>
      </c>
      <c r="U111" s="97">
        <f t="shared" si="396"/>
        <v>0</v>
      </c>
      <c r="V111" s="98" t="e">
        <f t="shared" ref="V111:W111" si="446">M111/I111</f>
        <v>#DIV/0!</v>
      </c>
      <c r="W111" s="98" t="e">
        <f t="shared" si="446"/>
        <v>#DIV/0!</v>
      </c>
      <c r="X111" s="98" t="e">
        <f t="shared" si="422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69"/>
        <v>#DIV/0!</v>
      </c>
      <c r="H112" s="94" t="e">
        <f t="shared" si="370"/>
        <v>#DIV/0!</v>
      </c>
      <c r="I112" s="96"/>
      <c r="J112" s="96">
        <v>3207</v>
      </c>
      <c r="K112" s="96"/>
      <c r="L112" s="214"/>
      <c r="M112" s="97">
        <f t="shared" ref="M112:O112" si="447">Y112+AB112+AE112+AH112+AK112+AN112+AQ112+AT112+AW112+AZ112+BC112+BF112</f>
        <v>0</v>
      </c>
      <c r="N112" s="97">
        <f t="shared" si="447"/>
        <v>0</v>
      </c>
      <c r="O112" s="97">
        <f t="shared" si="447"/>
        <v>0</v>
      </c>
      <c r="P112" s="97">
        <f t="shared" ref="P112:R112" si="448">IF(BI112=0,SUM(Y112+AB112+AE112+AH112+AK112+AN112+AQ112+AT112+AW112+AZ112+BC112+BF112),BI112)</f>
        <v>0</v>
      </c>
      <c r="Q112" s="97">
        <f t="shared" si="448"/>
        <v>0</v>
      </c>
      <c r="R112" s="97">
        <f t="shared" si="448"/>
        <v>0</v>
      </c>
      <c r="S112" s="97">
        <f t="shared" si="429"/>
        <v>0</v>
      </c>
      <c r="T112" s="97">
        <f t="shared" si="433"/>
        <v>3207</v>
      </c>
      <c r="U112" s="97">
        <f t="shared" si="396"/>
        <v>0</v>
      </c>
      <c r="V112" s="98" t="e">
        <f t="shared" ref="V112:W112" si="449">M112/I112</f>
        <v>#DIV/0!</v>
      </c>
      <c r="W112" s="98">
        <f t="shared" si="449"/>
        <v>0</v>
      </c>
      <c r="X112" s="98" t="e">
        <f t="shared" si="422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69"/>
        <v>#DIV/0!</v>
      </c>
      <c r="H113" s="155" t="e">
        <f t="shared" si="370"/>
        <v>#DIV/0!</v>
      </c>
      <c r="I113" s="218"/>
      <c r="J113" s="219"/>
      <c r="K113" s="219"/>
      <c r="L113" s="219"/>
      <c r="M113" s="82">
        <f t="shared" ref="M113:O113" si="450">Y113+AB113+AE113+AH113+AK113+AN113+AQ113+AT113+AW113+AZ113+BC113+BF113</f>
        <v>0</v>
      </c>
      <c r="N113" s="82">
        <f t="shared" si="450"/>
        <v>0</v>
      </c>
      <c r="O113" s="82">
        <f t="shared" si="450"/>
        <v>0</v>
      </c>
      <c r="P113" s="97">
        <f t="shared" ref="P113:R113" si="451">IF(BI113=0,SUM(Y113+AB113+AE113+AH113+AK113+AN113+AQ113+AT113+AW113+AZ113+BC113+BF113),BI113)</f>
        <v>0</v>
      </c>
      <c r="Q113" s="97">
        <f t="shared" si="451"/>
        <v>0</v>
      </c>
      <c r="R113" s="97">
        <f t="shared" si="451"/>
        <v>0</v>
      </c>
      <c r="S113" s="97">
        <f t="shared" si="429"/>
        <v>0</v>
      </c>
      <c r="T113" s="97">
        <f t="shared" si="433"/>
        <v>0</v>
      </c>
      <c r="U113" s="97">
        <f t="shared" si="396"/>
        <v>0</v>
      </c>
      <c r="V113" s="79" t="e">
        <f t="shared" ref="V113:W113" si="452">M113/I113</f>
        <v>#DIV/0!</v>
      </c>
      <c r="W113" s="79" t="e">
        <f t="shared" si="452"/>
        <v>#DIV/0!</v>
      </c>
      <c r="X113" s="79" t="e">
        <f t="shared" si="422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53">SUM(E115:E118)</f>
        <v>23296.54</v>
      </c>
      <c r="F114" s="186">
        <f t="shared" si="453"/>
        <v>0</v>
      </c>
      <c r="G114" s="223">
        <f t="shared" si="369"/>
        <v>0</v>
      </c>
      <c r="H114" s="223">
        <f t="shared" si="370"/>
        <v>0</v>
      </c>
      <c r="I114" s="186">
        <f t="shared" ref="I114:J114" si="454">SUM(I115:I118)</f>
        <v>0</v>
      </c>
      <c r="J114" s="186">
        <f t="shared" si="454"/>
        <v>0</v>
      </c>
      <c r="K114" s="186"/>
      <c r="L114" s="186">
        <f t="shared" ref="L114:O114" si="455">SUM(L115:L118)</f>
        <v>0</v>
      </c>
      <c r="M114" s="186">
        <f t="shared" si="455"/>
        <v>0</v>
      </c>
      <c r="N114" s="186">
        <f t="shared" si="455"/>
        <v>0</v>
      </c>
      <c r="O114" s="186">
        <f t="shared" si="455"/>
        <v>0</v>
      </c>
      <c r="P114" s="186">
        <f t="shared" ref="P114:R114" si="456">IF(BI114=0,SUM(Y114+AB114+AE114+AH114+AK114+AN114+AQ114+AT114+AW114+AZ114+BC114+BF114),BI114)</f>
        <v>0</v>
      </c>
      <c r="Q114" s="186">
        <f t="shared" si="456"/>
        <v>0</v>
      </c>
      <c r="R114" s="186">
        <f t="shared" si="456"/>
        <v>0</v>
      </c>
      <c r="S114" s="186">
        <f t="shared" ref="S114:U114" si="457">SUM(S115:S118)</f>
        <v>0</v>
      </c>
      <c r="T114" s="186">
        <f t="shared" si="457"/>
        <v>0</v>
      </c>
      <c r="U114" s="186">
        <f t="shared" si="457"/>
        <v>0</v>
      </c>
      <c r="V114" s="189" t="e">
        <f t="shared" ref="V114:W114" si="458">M114/I114</f>
        <v>#DIV/0!</v>
      </c>
      <c r="W114" s="189" t="e">
        <f t="shared" si="458"/>
        <v>#DIV/0!</v>
      </c>
      <c r="X114" s="189" t="e">
        <f t="shared" si="422"/>
        <v>#DIV/0!</v>
      </c>
      <c r="Y114" s="186">
        <f t="shared" ref="Y114:BK114" si="459">SUM(Y115:Y118)</f>
        <v>0</v>
      </c>
      <c r="Z114" s="186">
        <f t="shared" si="459"/>
        <v>0</v>
      </c>
      <c r="AA114" s="186">
        <f t="shared" si="459"/>
        <v>0</v>
      </c>
      <c r="AB114" s="186">
        <f t="shared" si="459"/>
        <v>0</v>
      </c>
      <c r="AC114" s="186">
        <f t="shared" si="459"/>
        <v>0</v>
      </c>
      <c r="AD114" s="186">
        <f t="shared" si="459"/>
        <v>0</v>
      </c>
      <c r="AE114" s="186">
        <f t="shared" si="459"/>
        <v>0</v>
      </c>
      <c r="AF114" s="186">
        <f t="shared" si="459"/>
        <v>0</v>
      </c>
      <c r="AG114" s="186">
        <f t="shared" si="459"/>
        <v>0</v>
      </c>
      <c r="AH114" s="186">
        <f t="shared" si="459"/>
        <v>0</v>
      </c>
      <c r="AI114" s="186">
        <f t="shared" si="459"/>
        <v>0</v>
      </c>
      <c r="AJ114" s="186">
        <f t="shared" si="459"/>
        <v>0</v>
      </c>
      <c r="AK114" s="186">
        <f t="shared" si="459"/>
        <v>0</v>
      </c>
      <c r="AL114" s="186">
        <f t="shared" si="459"/>
        <v>0</v>
      </c>
      <c r="AM114" s="186">
        <f t="shared" si="459"/>
        <v>0</v>
      </c>
      <c r="AN114" s="186">
        <f t="shared" si="459"/>
        <v>0</v>
      </c>
      <c r="AO114" s="186">
        <f t="shared" si="459"/>
        <v>0</v>
      </c>
      <c r="AP114" s="186">
        <f t="shared" si="459"/>
        <v>0</v>
      </c>
      <c r="AQ114" s="186">
        <f t="shared" si="459"/>
        <v>0</v>
      </c>
      <c r="AR114" s="186">
        <f t="shared" si="459"/>
        <v>0</v>
      </c>
      <c r="AS114" s="186">
        <f t="shared" si="459"/>
        <v>0</v>
      </c>
      <c r="AT114" s="186">
        <f t="shared" si="459"/>
        <v>0</v>
      </c>
      <c r="AU114" s="186">
        <f t="shared" si="459"/>
        <v>0</v>
      </c>
      <c r="AV114" s="186">
        <f t="shared" si="459"/>
        <v>0</v>
      </c>
      <c r="AW114" s="186">
        <f t="shared" si="459"/>
        <v>0</v>
      </c>
      <c r="AX114" s="186">
        <f t="shared" si="459"/>
        <v>0</v>
      </c>
      <c r="AY114" s="186">
        <f t="shared" si="459"/>
        <v>0</v>
      </c>
      <c r="AZ114" s="186">
        <f t="shared" si="459"/>
        <v>0</v>
      </c>
      <c r="BA114" s="186">
        <f t="shared" si="459"/>
        <v>0</v>
      </c>
      <c r="BB114" s="186">
        <f t="shared" si="459"/>
        <v>0</v>
      </c>
      <c r="BC114" s="186">
        <f t="shared" si="459"/>
        <v>0</v>
      </c>
      <c r="BD114" s="186">
        <f t="shared" si="459"/>
        <v>0</v>
      </c>
      <c r="BE114" s="186">
        <f t="shared" si="459"/>
        <v>0</v>
      </c>
      <c r="BF114" s="186">
        <f t="shared" si="459"/>
        <v>0</v>
      </c>
      <c r="BG114" s="186">
        <f t="shared" si="459"/>
        <v>0</v>
      </c>
      <c r="BH114" s="186">
        <f t="shared" si="459"/>
        <v>0</v>
      </c>
      <c r="BI114" s="186">
        <f t="shared" si="459"/>
        <v>0</v>
      </c>
      <c r="BJ114" s="186">
        <f t="shared" si="459"/>
        <v>0</v>
      </c>
      <c r="BK114" s="186">
        <f t="shared" si="459"/>
        <v>0</v>
      </c>
      <c r="BL114" s="157"/>
      <c r="BM114" s="158"/>
      <c r="BN114" s="158"/>
      <c r="BO114" s="158"/>
      <c r="BP114" s="158"/>
    </row>
    <row r="115" spans="1:68" ht="15.75" customHeight="1">
      <c r="A115" s="89"/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69"/>
        <v>0</v>
      </c>
      <c r="H115" s="94">
        <f t="shared" si="370"/>
        <v>0</v>
      </c>
      <c r="I115" s="142"/>
      <c r="J115" s="96"/>
      <c r="K115" s="96"/>
      <c r="L115" s="95"/>
      <c r="M115" s="97">
        <f t="shared" ref="M115:O115" si="460">Y115+AB115+AE115+AH115+AK115+AN115+AQ115+AT115+AW115+AZ115+BC115+BF115</f>
        <v>0</v>
      </c>
      <c r="N115" s="97">
        <f t="shared" si="460"/>
        <v>0</v>
      </c>
      <c r="O115" s="97">
        <f t="shared" si="460"/>
        <v>0</v>
      </c>
      <c r="P115" s="97">
        <f t="shared" ref="P115:R115" si="461">IF(BI115=0,SUM(Y115+AB115+AE115+AH115+AK115+AN115+AQ115+AT115+AW115+AZ115+BC115+BF115),BI115)</f>
        <v>0</v>
      </c>
      <c r="Q115" s="97">
        <f t="shared" si="461"/>
        <v>0</v>
      </c>
      <c r="R115" s="97">
        <f t="shared" si="461"/>
        <v>0</v>
      </c>
      <c r="S115" s="97">
        <f t="shared" ref="S115:T115" si="462">I115-M115</f>
        <v>0</v>
      </c>
      <c r="T115" s="97">
        <f t="shared" si="462"/>
        <v>0</v>
      </c>
      <c r="U115" s="97">
        <f t="shared" ref="U115:U118" si="463">L115-O115</f>
        <v>0</v>
      </c>
      <c r="V115" s="98" t="e">
        <f t="shared" ref="V115:W115" si="464">M115/I115</f>
        <v>#DIV/0!</v>
      </c>
      <c r="W115" s="98" t="e">
        <f t="shared" si="464"/>
        <v>#DIV/0!</v>
      </c>
      <c r="X115" s="98" t="e">
        <f t="shared" si="422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69"/>
        <v>0</v>
      </c>
      <c r="H116" s="94">
        <f t="shared" si="370"/>
        <v>0</v>
      </c>
      <c r="I116" s="96"/>
      <c r="J116" s="96"/>
      <c r="K116" s="96"/>
      <c r="L116" s="95"/>
      <c r="M116" s="97">
        <f t="shared" ref="M116:O116" si="465">Y116+AB116+AE116+AH116+AK116+AN116+AQ116+AT116+AW116+AZ116+BC116+BF116</f>
        <v>0</v>
      </c>
      <c r="N116" s="97">
        <f t="shared" si="465"/>
        <v>0</v>
      </c>
      <c r="O116" s="97">
        <f t="shared" si="465"/>
        <v>0</v>
      </c>
      <c r="P116" s="97">
        <f t="shared" ref="P116:R116" si="466">IF(BI116=0,SUM(Y116+AB116+AE116+AH116+AK116+AN116+AQ116+AT116+AW116+AZ116+BC116+BF116),BI116)</f>
        <v>0</v>
      </c>
      <c r="Q116" s="97">
        <f t="shared" si="466"/>
        <v>0</v>
      </c>
      <c r="R116" s="97">
        <f t="shared" si="466"/>
        <v>0</v>
      </c>
      <c r="S116" s="97">
        <f t="shared" ref="S116:T116" si="467">I116-M116</f>
        <v>0</v>
      </c>
      <c r="T116" s="97">
        <f t="shared" si="467"/>
        <v>0</v>
      </c>
      <c r="U116" s="97">
        <f t="shared" si="463"/>
        <v>0</v>
      </c>
      <c r="V116" s="98" t="e">
        <f t="shared" ref="V116:W116" si="468">M116/I116</f>
        <v>#DIV/0!</v>
      </c>
      <c r="W116" s="98" t="e">
        <f t="shared" si="468"/>
        <v>#DIV/0!</v>
      </c>
      <c r="X116" s="98" t="e">
        <f t="shared" si="422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69">Y117+AB117+AE117+AH117+AK117+AN117+AQ117+AT117+AW117+AZ117+BC117+BF117</f>
        <v>0</v>
      </c>
      <c r="N117" s="97">
        <f t="shared" si="469"/>
        <v>0</v>
      </c>
      <c r="O117" s="97">
        <f t="shared" si="469"/>
        <v>0</v>
      </c>
      <c r="P117" s="97">
        <f t="shared" ref="P117:R117" si="470">IF(BI117=0,SUM(Y117+AB117+AE117+AH117+AK117+AN117+AQ117+AT117+AW117+AZ117+BC117+BF117),BI117)</f>
        <v>0</v>
      </c>
      <c r="Q117" s="97">
        <f t="shared" si="470"/>
        <v>0</v>
      </c>
      <c r="R117" s="97">
        <f t="shared" si="470"/>
        <v>0</v>
      </c>
      <c r="S117" s="97">
        <f t="shared" ref="S117:T117" si="471">I117-M117</f>
        <v>0</v>
      </c>
      <c r="T117" s="97">
        <f t="shared" si="471"/>
        <v>0</v>
      </c>
      <c r="U117" s="97">
        <f t="shared" si="463"/>
        <v>0</v>
      </c>
      <c r="V117" s="98" t="e">
        <f t="shared" ref="V117:V127" si="472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473">M118/E118</f>
        <v>#DIV/0!</v>
      </c>
      <c r="I118" s="96"/>
      <c r="J118" s="96"/>
      <c r="K118" s="96"/>
      <c r="L118" s="95"/>
      <c r="M118" s="97">
        <f t="shared" ref="M118:O118" si="474">Y118+AB118+AE118+AH118+AK118+AN118+AQ118+AT118+AW118+AZ118+BC118+BF118</f>
        <v>0</v>
      </c>
      <c r="N118" s="97">
        <f t="shared" si="474"/>
        <v>0</v>
      </c>
      <c r="O118" s="97">
        <f t="shared" si="474"/>
        <v>0</v>
      </c>
      <c r="P118" s="97">
        <f t="shared" ref="P118:R118" si="475">IF(BI118=0,SUM(Y118+AB118+AE118+AH118+AK118+AN118+AQ118+AT118+AW118+AZ118+BC118+BF118),BI118)</f>
        <v>0</v>
      </c>
      <c r="Q118" s="97">
        <f t="shared" si="475"/>
        <v>0</v>
      </c>
      <c r="R118" s="97">
        <f t="shared" si="475"/>
        <v>0</v>
      </c>
      <c r="S118" s="97">
        <f t="shared" ref="S118:T118" si="476">I118-M118</f>
        <v>0</v>
      </c>
      <c r="T118" s="97">
        <f t="shared" si="476"/>
        <v>0</v>
      </c>
      <c r="U118" s="97">
        <f t="shared" si="463"/>
        <v>0</v>
      </c>
      <c r="V118" s="98" t="e">
        <f t="shared" si="472"/>
        <v>#DIV/0!</v>
      </c>
      <c r="W118" s="98" t="e">
        <f t="shared" ref="W118:W127" si="477">N118/J118</f>
        <v>#DIV/0!</v>
      </c>
      <c r="X118" s="98" t="e">
        <f t="shared" ref="X118:X127" si="478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479">E120+E130+E136+E140</f>
        <v>152177.47999999998</v>
      </c>
      <c r="F119" s="186">
        <f t="shared" si="479"/>
        <v>1173964.47</v>
      </c>
      <c r="G119" s="225" t="e">
        <f t="shared" si="479"/>
        <v>#DIV/0!</v>
      </c>
      <c r="H119" s="223">
        <f t="shared" si="473"/>
        <v>0</v>
      </c>
      <c r="I119" s="186">
        <f t="shared" ref="I119:U119" si="480">I120+I130+I136+I140</f>
        <v>0</v>
      </c>
      <c r="J119" s="186">
        <f t="shared" si="480"/>
        <v>665873.97</v>
      </c>
      <c r="K119" s="186">
        <f t="shared" si="480"/>
        <v>0</v>
      </c>
      <c r="L119" s="186">
        <f t="shared" si="480"/>
        <v>0</v>
      </c>
      <c r="M119" s="186">
        <f t="shared" si="480"/>
        <v>0</v>
      </c>
      <c r="N119" s="186">
        <f t="shared" si="480"/>
        <v>291336.7</v>
      </c>
      <c r="O119" s="186">
        <f t="shared" si="480"/>
        <v>0</v>
      </c>
      <c r="P119" s="186">
        <f t="shared" si="480"/>
        <v>0</v>
      </c>
      <c r="Q119" s="186">
        <f t="shared" si="480"/>
        <v>291336.7</v>
      </c>
      <c r="R119" s="186">
        <f t="shared" si="480"/>
        <v>0</v>
      </c>
      <c r="S119" s="186">
        <f t="shared" si="480"/>
        <v>0</v>
      </c>
      <c r="T119" s="186">
        <f t="shared" si="480"/>
        <v>374537.27</v>
      </c>
      <c r="U119" s="186">
        <f t="shared" si="480"/>
        <v>0</v>
      </c>
      <c r="V119" s="189" t="e">
        <f t="shared" si="472"/>
        <v>#DIV/0!</v>
      </c>
      <c r="W119" s="189">
        <f t="shared" si="477"/>
        <v>0.43752528725518436</v>
      </c>
      <c r="X119" s="189" t="e">
        <f t="shared" si="478"/>
        <v>#DIV/0!</v>
      </c>
      <c r="Y119" s="186">
        <f t="shared" ref="Y119:BK119" si="481">Y120+Y130+Y136+Y140</f>
        <v>0</v>
      </c>
      <c r="Z119" s="186">
        <f t="shared" si="481"/>
        <v>0</v>
      </c>
      <c r="AA119" s="186">
        <f t="shared" si="481"/>
        <v>0</v>
      </c>
      <c r="AB119" s="186">
        <f t="shared" si="481"/>
        <v>0</v>
      </c>
      <c r="AC119" s="186">
        <f t="shared" si="481"/>
        <v>61206.74</v>
      </c>
      <c r="AD119" s="186">
        <f t="shared" si="481"/>
        <v>0</v>
      </c>
      <c r="AE119" s="186">
        <f t="shared" si="481"/>
        <v>0</v>
      </c>
      <c r="AF119" s="186">
        <f t="shared" si="481"/>
        <v>63661.509999999995</v>
      </c>
      <c r="AG119" s="186">
        <f t="shared" si="481"/>
        <v>0</v>
      </c>
      <c r="AH119" s="186">
        <f t="shared" si="481"/>
        <v>0</v>
      </c>
      <c r="AI119" s="186">
        <f t="shared" si="481"/>
        <v>166468.45000000001</v>
      </c>
      <c r="AJ119" s="186">
        <f t="shared" si="481"/>
        <v>0</v>
      </c>
      <c r="AK119" s="186">
        <f t="shared" si="481"/>
        <v>0</v>
      </c>
      <c r="AL119" s="186">
        <f t="shared" si="481"/>
        <v>0</v>
      </c>
      <c r="AM119" s="186">
        <f t="shared" si="481"/>
        <v>0</v>
      </c>
      <c r="AN119" s="186">
        <f t="shared" si="481"/>
        <v>0</v>
      </c>
      <c r="AO119" s="186">
        <f t="shared" si="481"/>
        <v>0</v>
      </c>
      <c r="AP119" s="186">
        <f t="shared" si="481"/>
        <v>0</v>
      </c>
      <c r="AQ119" s="186">
        <f t="shared" si="481"/>
        <v>0</v>
      </c>
      <c r="AR119" s="186">
        <f t="shared" si="481"/>
        <v>0</v>
      </c>
      <c r="AS119" s="186">
        <f t="shared" si="481"/>
        <v>0</v>
      </c>
      <c r="AT119" s="186">
        <f t="shared" si="481"/>
        <v>0</v>
      </c>
      <c r="AU119" s="186">
        <f t="shared" si="481"/>
        <v>0</v>
      </c>
      <c r="AV119" s="186">
        <f t="shared" si="481"/>
        <v>0</v>
      </c>
      <c r="AW119" s="186">
        <f t="shared" si="481"/>
        <v>0</v>
      </c>
      <c r="AX119" s="186">
        <f t="shared" si="481"/>
        <v>0</v>
      </c>
      <c r="AY119" s="186">
        <f t="shared" si="481"/>
        <v>0</v>
      </c>
      <c r="AZ119" s="186">
        <f t="shared" si="481"/>
        <v>0</v>
      </c>
      <c r="BA119" s="186">
        <f t="shared" si="481"/>
        <v>0</v>
      </c>
      <c r="BB119" s="186">
        <f t="shared" si="481"/>
        <v>0</v>
      </c>
      <c r="BC119" s="186">
        <f t="shared" si="481"/>
        <v>0</v>
      </c>
      <c r="BD119" s="186">
        <f t="shared" si="481"/>
        <v>0</v>
      </c>
      <c r="BE119" s="186">
        <f t="shared" si="481"/>
        <v>0</v>
      </c>
      <c r="BF119" s="186">
        <f t="shared" si="481"/>
        <v>0</v>
      </c>
      <c r="BG119" s="186">
        <f t="shared" si="481"/>
        <v>0</v>
      </c>
      <c r="BH119" s="186">
        <f t="shared" si="481"/>
        <v>0</v>
      </c>
      <c r="BI119" s="186">
        <f t="shared" si="481"/>
        <v>0</v>
      </c>
      <c r="BJ119" s="186">
        <f t="shared" si="481"/>
        <v>0</v>
      </c>
      <c r="BK119" s="186">
        <f t="shared" si="481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482">SUM(E121:E129)</f>
        <v>152177.47999999998</v>
      </c>
      <c r="F120" s="231">
        <f t="shared" si="482"/>
        <v>0</v>
      </c>
      <c r="G120" s="187">
        <f t="shared" ref="G120:G127" si="483">I120/E120</f>
        <v>0</v>
      </c>
      <c r="H120" s="187">
        <f t="shared" si="473"/>
        <v>0</v>
      </c>
      <c r="I120" s="231">
        <f t="shared" ref="I120:O120" si="484">SUM(I121:I129)</f>
        <v>0</v>
      </c>
      <c r="J120" s="231">
        <f t="shared" si="484"/>
        <v>457969.89</v>
      </c>
      <c r="K120" s="231">
        <f t="shared" si="484"/>
        <v>0</v>
      </c>
      <c r="L120" s="231">
        <f t="shared" si="484"/>
        <v>0</v>
      </c>
      <c r="M120" s="231">
        <f t="shared" si="484"/>
        <v>0</v>
      </c>
      <c r="N120" s="231">
        <f t="shared" si="484"/>
        <v>156261.5</v>
      </c>
      <c r="O120" s="231">
        <f t="shared" si="484"/>
        <v>0</v>
      </c>
      <c r="P120" s="232">
        <f t="shared" ref="P120:R120" si="485">IF(BI120=0,SUM(Y120+AB120+AE120+AH120+AK120+AN120+AQ120+AT120+AW120+AZ120+BC120+BF120),BI120)</f>
        <v>0</v>
      </c>
      <c r="Q120" s="232">
        <f t="shared" si="485"/>
        <v>156261.5</v>
      </c>
      <c r="R120" s="232">
        <f t="shared" si="485"/>
        <v>0</v>
      </c>
      <c r="S120" s="231">
        <f t="shared" ref="S120:U120" si="486">SUM(S121:S129)</f>
        <v>0</v>
      </c>
      <c r="T120" s="231">
        <f t="shared" si="486"/>
        <v>301708.39</v>
      </c>
      <c r="U120" s="231">
        <f t="shared" si="486"/>
        <v>0</v>
      </c>
      <c r="V120" s="188" t="e">
        <f t="shared" si="472"/>
        <v>#DIV/0!</v>
      </c>
      <c r="W120" s="188">
        <f t="shared" si="477"/>
        <v>0.341204746015071</v>
      </c>
      <c r="X120" s="188" t="e">
        <f t="shared" si="478"/>
        <v>#DIV/0!</v>
      </c>
      <c r="Y120" s="231">
        <f t="shared" ref="Y120:BK120" si="487">SUM(Y121:Y129)</f>
        <v>0</v>
      </c>
      <c r="Z120" s="231">
        <f t="shared" si="487"/>
        <v>0</v>
      </c>
      <c r="AA120" s="231">
        <f t="shared" si="487"/>
        <v>0</v>
      </c>
      <c r="AB120" s="231">
        <f t="shared" si="487"/>
        <v>0</v>
      </c>
      <c r="AC120" s="231">
        <f t="shared" si="487"/>
        <v>61206.74</v>
      </c>
      <c r="AD120" s="231">
        <f t="shared" si="487"/>
        <v>0</v>
      </c>
      <c r="AE120" s="231">
        <f t="shared" si="487"/>
        <v>0</v>
      </c>
      <c r="AF120" s="231">
        <f t="shared" si="487"/>
        <v>0</v>
      </c>
      <c r="AG120" s="231">
        <f t="shared" si="487"/>
        <v>0</v>
      </c>
      <c r="AH120" s="231">
        <f t="shared" si="487"/>
        <v>0</v>
      </c>
      <c r="AI120" s="231">
        <f t="shared" si="487"/>
        <v>95054.76</v>
      </c>
      <c r="AJ120" s="231">
        <f t="shared" si="487"/>
        <v>0</v>
      </c>
      <c r="AK120" s="231">
        <f t="shared" si="487"/>
        <v>0</v>
      </c>
      <c r="AL120" s="231">
        <f t="shared" si="487"/>
        <v>0</v>
      </c>
      <c r="AM120" s="231">
        <f t="shared" si="487"/>
        <v>0</v>
      </c>
      <c r="AN120" s="231">
        <f t="shared" si="487"/>
        <v>0</v>
      </c>
      <c r="AO120" s="231">
        <f t="shared" si="487"/>
        <v>0</v>
      </c>
      <c r="AP120" s="231">
        <f t="shared" si="487"/>
        <v>0</v>
      </c>
      <c r="AQ120" s="231">
        <f t="shared" si="487"/>
        <v>0</v>
      </c>
      <c r="AR120" s="231">
        <f t="shared" si="487"/>
        <v>0</v>
      </c>
      <c r="AS120" s="231">
        <f t="shared" si="487"/>
        <v>0</v>
      </c>
      <c r="AT120" s="231">
        <f t="shared" si="487"/>
        <v>0</v>
      </c>
      <c r="AU120" s="231">
        <f t="shared" si="487"/>
        <v>0</v>
      </c>
      <c r="AV120" s="231">
        <f t="shared" si="487"/>
        <v>0</v>
      </c>
      <c r="AW120" s="231">
        <f t="shared" si="487"/>
        <v>0</v>
      </c>
      <c r="AX120" s="231">
        <f t="shared" si="487"/>
        <v>0</v>
      </c>
      <c r="AY120" s="231">
        <f t="shared" si="487"/>
        <v>0</v>
      </c>
      <c r="AZ120" s="231">
        <f t="shared" si="487"/>
        <v>0</v>
      </c>
      <c r="BA120" s="231">
        <f t="shared" si="487"/>
        <v>0</v>
      </c>
      <c r="BB120" s="231">
        <f t="shared" si="487"/>
        <v>0</v>
      </c>
      <c r="BC120" s="231">
        <f t="shared" si="487"/>
        <v>0</v>
      </c>
      <c r="BD120" s="231">
        <f t="shared" si="487"/>
        <v>0</v>
      </c>
      <c r="BE120" s="231">
        <f t="shared" si="487"/>
        <v>0</v>
      </c>
      <c r="BF120" s="231">
        <f t="shared" si="487"/>
        <v>0</v>
      </c>
      <c r="BG120" s="231">
        <f t="shared" si="487"/>
        <v>0</v>
      </c>
      <c r="BH120" s="231">
        <f t="shared" si="487"/>
        <v>0</v>
      </c>
      <c r="BI120" s="231">
        <f t="shared" si="487"/>
        <v>0</v>
      </c>
      <c r="BJ120" s="231">
        <f t="shared" si="487"/>
        <v>0</v>
      </c>
      <c r="BK120" s="231">
        <f t="shared" si="487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483"/>
        <v>0</v>
      </c>
      <c r="H121" s="94">
        <f t="shared" si="473"/>
        <v>0</v>
      </c>
      <c r="I121" s="96"/>
      <c r="J121" s="96"/>
      <c r="K121" s="96"/>
      <c r="L121" s="96"/>
      <c r="M121" s="97">
        <f t="shared" ref="M121:O121" si="488">Y121+AB121+AE121+AH121+AK121+AN121+AQ121+AT121+AW121+AZ121+BC121+BF121</f>
        <v>0</v>
      </c>
      <c r="N121" s="97">
        <f t="shared" si="488"/>
        <v>0</v>
      </c>
      <c r="O121" s="97">
        <f t="shared" si="488"/>
        <v>0</v>
      </c>
      <c r="P121" s="97">
        <f t="shared" ref="P121:R121" si="489">IF(BI121=0,SUM(Y121+AB121+AE121+AH121+AK121+AN121+AQ121+AT121+AW121+AZ121+BC121+BF121),BI121)</f>
        <v>0</v>
      </c>
      <c r="Q121" s="97">
        <f t="shared" si="489"/>
        <v>0</v>
      </c>
      <c r="R121" s="97">
        <f t="shared" si="489"/>
        <v>0</v>
      </c>
      <c r="S121" s="97">
        <f t="shared" ref="S121:T121" si="490">I121-M121</f>
        <v>0</v>
      </c>
      <c r="T121" s="97">
        <f t="shared" si="490"/>
        <v>0</v>
      </c>
      <c r="U121" s="97">
        <f t="shared" ref="U121:U129" si="491">L121-O121</f>
        <v>0</v>
      </c>
      <c r="V121" s="94" t="e">
        <f t="shared" si="472"/>
        <v>#DIV/0!</v>
      </c>
      <c r="W121" s="94" t="e">
        <f t="shared" si="477"/>
        <v>#DIV/0!</v>
      </c>
      <c r="X121" s="94" t="e">
        <f t="shared" si="478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483"/>
        <v>#DIV/0!</v>
      </c>
      <c r="H122" s="94" t="e">
        <f t="shared" si="473"/>
        <v>#DIV/0!</v>
      </c>
      <c r="I122" s="96"/>
      <c r="J122" s="96"/>
      <c r="K122" s="96"/>
      <c r="L122" s="96"/>
      <c r="M122" s="97">
        <f t="shared" ref="M122:O122" si="492">Y122+AB122+AE122+AH122+AK122+AN122+AQ122+AT122+AW122+AZ122+BC122+BF122</f>
        <v>0</v>
      </c>
      <c r="N122" s="97">
        <f t="shared" si="492"/>
        <v>0</v>
      </c>
      <c r="O122" s="97">
        <f t="shared" si="492"/>
        <v>0</v>
      </c>
      <c r="P122" s="97">
        <f t="shared" ref="P122:R122" si="493">IF(BI122=0,SUM(Y122+AB122+AE122+AH122+AK122+AN122+AQ122+AT122+AW122+AZ122+BC122+BF122),BI122)</f>
        <v>0</v>
      </c>
      <c r="Q122" s="97">
        <f t="shared" si="493"/>
        <v>0</v>
      </c>
      <c r="R122" s="97">
        <f t="shared" si="493"/>
        <v>0</v>
      </c>
      <c r="S122" s="97">
        <f t="shared" ref="S122:T122" si="494">I122-M122</f>
        <v>0</v>
      </c>
      <c r="T122" s="97">
        <f t="shared" si="494"/>
        <v>0</v>
      </c>
      <c r="U122" s="97">
        <f t="shared" si="491"/>
        <v>0</v>
      </c>
      <c r="V122" s="94" t="e">
        <f t="shared" si="472"/>
        <v>#DIV/0!</v>
      </c>
      <c r="W122" s="94" t="e">
        <f t="shared" si="477"/>
        <v>#DIV/0!</v>
      </c>
      <c r="X122" s="94" t="e">
        <f t="shared" si="478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483"/>
        <v>#DIV/0!</v>
      </c>
      <c r="H123" s="94" t="e">
        <f t="shared" si="473"/>
        <v>#DIV/0!</v>
      </c>
      <c r="I123" s="96"/>
      <c r="J123" s="96"/>
      <c r="K123" s="96"/>
      <c r="L123" s="96"/>
      <c r="M123" s="97">
        <f t="shared" ref="M123:O123" si="495">Y123+AB123+AE123+AH123+AK123+AN123+AQ123+AT123+AW123+AZ123+BC123+BF123</f>
        <v>0</v>
      </c>
      <c r="N123" s="97">
        <f t="shared" si="495"/>
        <v>0</v>
      </c>
      <c r="O123" s="97">
        <f t="shared" si="495"/>
        <v>0</v>
      </c>
      <c r="P123" s="97">
        <f t="shared" ref="P123:R123" si="496">IF(BI123=0,SUM(Y123+AB123+AE123+AH123+AK123+AN123+AQ123+AT123+AW123+AZ123+BC123+BF123),BI123)</f>
        <v>0</v>
      </c>
      <c r="Q123" s="97">
        <f t="shared" si="496"/>
        <v>0</v>
      </c>
      <c r="R123" s="97">
        <f t="shared" si="496"/>
        <v>0</v>
      </c>
      <c r="S123" s="97">
        <f t="shared" ref="S123:T123" si="497">I123-M123</f>
        <v>0</v>
      </c>
      <c r="T123" s="97">
        <f t="shared" si="497"/>
        <v>0</v>
      </c>
      <c r="U123" s="97">
        <f t="shared" si="491"/>
        <v>0</v>
      </c>
      <c r="V123" s="94" t="e">
        <f t="shared" si="472"/>
        <v>#DIV/0!</v>
      </c>
      <c r="W123" s="94" t="e">
        <f t="shared" si="477"/>
        <v>#DIV/0!</v>
      </c>
      <c r="X123" s="94" t="e">
        <f t="shared" si="478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483"/>
        <v>#DIV/0!</v>
      </c>
      <c r="H124" s="94" t="e">
        <f t="shared" si="473"/>
        <v>#DIV/0!</v>
      </c>
      <c r="I124" s="96"/>
      <c r="J124" s="96"/>
      <c r="K124" s="96"/>
      <c r="L124" s="96"/>
      <c r="M124" s="97">
        <f t="shared" ref="M124:O124" si="498">Y124+AB124+AE124+AH124+AK124+AN124+AQ124+AT124+AW124+AZ124+BC124+BF124</f>
        <v>0</v>
      </c>
      <c r="N124" s="97">
        <f t="shared" si="498"/>
        <v>0</v>
      </c>
      <c r="O124" s="97">
        <f t="shared" si="498"/>
        <v>0</v>
      </c>
      <c r="P124" s="97">
        <f t="shared" ref="P124:R124" si="499">IF(BI124=0,SUM(Y124+AB124+AE124+AH124+AK124+AN124+AQ124+AT124+AW124+AZ124+BC124+BF124),BI124)</f>
        <v>0</v>
      </c>
      <c r="Q124" s="97">
        <f t="shared" si="499"/>
        <v>0</v>
      </c>
      <c r="R124" s="97">
        <f t="shared" si="499"/>
        <v>0</v>
      </c>
      <c r="S124" s="97">
        <f t="shared" ref="S124:T124" si="500">I124-M124</f>
        <v>0</v>
      </c>
      <c r="T124" s="97">
        <f t="shared" si="500"/>
        <v>0</v>
      </c>
      <c r="U124" s="97">
        <f t="shared" si="491"/>
        <v>0</v>
      </c>
      <c r="V124" s="94" t="e">
        <f t="shared" si="472"/>
        <v>#DIV/0!</v>
      </c>
      <c r="W124" s="94" t="e">
        <f t="shared" si="477"/>
        <v>#DIV/0!</v>
      </c>
      <c r="X124" s="94" t="e">
        <f t="shared" si="478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619</v>
      </c>
      <c r="E125" s="166"/>
      <c r="F125" s="166"/>
      <c r="G125" s="94" t="e">
        <f t="shared" si="483"/>
        <v>#DIV/0!</v>
      </c>
      <c r="H125" s="94" t="e">
        <f t="shared" si="473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01">Y125+AB125+AE125+AH125+AK125+AN125+AQ125+AT125+AW125+AZ125+BC125+BF125</f>
        <v>0</v>
      </c>
      <c r="N125" s="97">
        <f t="shared" si="501"/>
        <v>0</v>
      </c>
      <c r="O125" s="97">
        <f t="shared" si="501"/>
        <v>0</v>
      </c>
      <c r="P125" s="97">
        <f t="shared" ref="P125:R125" si="502">IF(BI125=0,SUM(Y125+AB125+AE125+AH125+AK125+AN125+AQ125+AT125+AW125+AZ125+BC125+BF125),BI125)</f>
        <v>0</v>
      </c>
      <c r="Q125" s="97">
        <f t="shared" si="502"/>
        <v>0</v>
      </c>
      <c r="R125" s="97">
        <f t="shared" si="502"/>
        <v>0</v>
      </c>
      <c r="S125" s="97">
        <f t="shared" ref="S125:T125" si="503">I125-M125</f>
        <v>0</v>
      </c>
      <c r="T125" s="97">
        <f t="shared" si="503"/>
        <v>5199.4000000000005</v>
      </c>
      <c r="U125" s="97">
        <f t="shared" si="491"/>
        <v>0</v>
      </c>
      <c r="V125" s="94" t="e">
        <f t="shared" si="472"/>
        <v>#DIV/0!</v>
      </c>
      <c r="W125" s="94">
        <f t="shared" si="477"/>
        <v>0</v>
      </c>
      <c r="X125" s="94" t="e">
        <f t="shared" si="478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483"/>
        <v>0</v>
      </c>
      <c r="H126" s="94">
        <f t="shared" si="473"/>
        <v>0</v>
      </c>
      <c r="I126" s="96"/>
      <c r="J126" s="96"/>
      <c r="K126" s="96"/>
      <c r="L126" s="96"/>
      <c r="M126" s="97">
        <f t="shared" ref="M126:O126" si="504">Y126+AB126+AE126+AH126+AK126+AN126+AQ126+AT126+AW126+AZ126+BC126+BF126</f>
        <v>0</v>
      </c>
      <c r="N126" s="97">
        <f t="shared" si="504"/>
        <v>0</v>
      </c>
      <c r="O126" s="97">
        <f t="shared" si="504"/>
        <v>0</v>
      </c>
      <c r="P126" s="97">
        <f t="shared" ref="P126:R126" si="505">IF(BI126=0,SUM(Y126+AB126+AE126+AH126+AK126+AN126+AQ126+AT126+AW126+AZ126+BC126+BF126),BI126)</f>
        <v>0</v>
      </c>
      <c r="Q126" s="97">
        <f t="shared" si="505"/>
        <v>0</v>
      </c>
      <c r="R126" s="97">
        <f t="shared" si="505"/>
        <v>0</v>
      </c>
      <c r="S126" s="97">
        <f t="shared" ref="S126:T126" si="506">I126-M126</f>
        <v>0</v>
      </c>
      <c r="T126" s="97">
        <f t="shared" si="506"/>
        <v>0</v>
      </c>
      <c r="U126" s="97">
        <f t="shared" si="491"/>
        <v>0</v>
      </c>
      <c r="V126" s="94" t="e">
        <f t="shared" si="472"/>
        <v>#DIV/0!</v>
      </c>
      <c r="W126" s="94" t="e">
        <f t="shared" si="477"/>
        <v>#DIV/0!</v>
      </c>
      <c r="X126" s="94" t="e">
        <f t="shared" si="478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483"/>
        <v>#DIV/0!</v>
      </c>
      <c r="H127" s="94" t="e">
        <f t="shared" si="473"/>
        <v>#DIV/0!</v>
      </c>
      <c r="I127" s="96"/>
      <c r="J127" s="96"/>
      <c r="K127" s="96"/>
      <c r="L127" s="96"/>
      <c r="M127" s="97">
        <f t="shared" ref="M127:O127" si="507">Y127+AB127+AE127+AH127+AK127+AN127+AQ127+AT127+AW127+AZ127+BC127+BF127</f>
        <v>0</v>
      </c>
      <c r="N127" s="97">
        <f t="shared" si="507"/>
        <v>0</v>
      </c>
      <c r="O127" s="97">
        <f t="shared" si="507"/>
        <v>0</v>
      </c>
      <c r="P127" s="97">
        <f t="shared" ref="P127:R127" si="508">IF(BI127=0,SUM(Y127+AB127+AE127+AH127+AK127+AN127+AQ127+AT127+AW127+AZ127+BC127+BF127),BI127)</f>
        <v>0</v>
      </c>
      <c r="Q127" s="97">
        <f t="shared" si="508"/>
        <v>0</v>
      </c>
      <c r="R127" s="97">
        <f t="shared" si="508"/>
        <v>0</v>
      </c>
      <c r="S127" s="97">
        <f t="shared" ref="S127:T127" si="509">I127-M127</f>
        <v>0</v>
      </c>
      <c r="T127" s="97">
        <f t="shared" si="509"/>
        <v>0</v>
      </c>
      <c r="U127" s="97">
        <f t="shared" si="491"/>
        <v>0</v>
      </c>
      <c r="V127" s="94" t="e">
        <f t="shared" si="472"/>
        <v>#DIV/0!</v>
      </c>
      <c r="W127" s="94" t="e">
        <f t="shared" si="477"/>
        <v>#DIV/0!</v>
      </c>
      <c r="X127" s="94" t="e">
        <f t="shared" si="478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620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10">Y128+AB128+AE128+AH128+AK128+AN128+AQ128+AT128+AW128+AZ128+BC128+BF128</f>
        <v>0</v>
      </c>
      <c r="N128" s="97">
        <f t="shared" si="510"/>
        <v>156261.5</v>
      </c>
      <c r="O128" s="97">
        <f t="shared" si="510"/>
        <v>0</v>
      </c>
      <c r="P128" s="97">
        <f t="shared" ref="P128:R128" si="511">IF(BI128=0,SUM(Y128+AB128+AE128+AH128+AK128+AN128+AQ128+AT128+AW128+AZ128+BC128+BF128),BI128)</f>
        <v>0</v>
      </c>
      <c r="Q128" s="97">
        <f t="shared" si="511"/>
        <v>156261.5</v>
      </c>
      <c r="R128" s="97">
        <f t="shared" si="511"/>
        <v>0</v>
      </c>
      <c r="S128" s="97">
        <f t="shared" ref="S128:T128" si="512">I128-M128</f>
        <v>0</v>
      </c>
      <c r="T128" s="97">
        <f t="shared" si="512"/>
        <v>296508.99</v>
      </c>
      <c r="U128" s="97">
        <f t="shared" si="491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103">
        <f>95054.76</f>
        <v>95054.76</v>
      </c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13">I129/E129</f>
        <v>#DIV/0!</v>
      </c>
      <c r="H129" s="94" t="e">
        <f t="shared" ref="H129:H136" si="514">M129/E129</f>
        <v>#DIV/0!</v>
      </c>
      <c r="I129" s="96"/>
      <c r="J129" s="96"/>
      <c r="K129" s="96"/>
      <c r="L129" s="237"/>
      <c r="M129" s="97">
        <f t="shared" ref="M129:O129" si="515">Y129+AB129+AE129+AH129+AK129+AN129+AQ129+AT129+AW129+AZ129+BC129+BF129</f>
        <v>0</v>
      </c>
      <c r="N129" s="97">
        <f t="shared" si="515"/>
        <v>0</v>
      </c>
      <c r="O129" s="97">
        <f t="shared" si="515"/>
        <v>0</v>
      </c>
      <c r="P129" s="97">
        <f t="shared" ref="P129:R129" si="516">IF(BI129=0,SUM(Y129+AB129+AE129+AH129+AK129+AN129+AQ129+AT129+AW129+AZ129+BC129+BF129),BI129)</f>
        <v>0</v>
      </c>
      <c r="Q129" s="97">
        <f t="shared" si="516"/>
        <v>0</v>
      </c>
      <c r="R129" s="97">
        <f t="shared" si="516"/>
        <v>0</v>
      </c>
      <c r="S129" s="97">
        <f t="shared" ref="S129:T129" si="517">I129-M129</f>
        <v>0</v>
      </c>
      <c r="T129" s="97">
        <f t="shared" si="517"/>
        <v>0</v>
      </c>
      <c r="U129" s="97">
        <f t="shared" si="491"/>
        <v>0</v>
      </c>
      <c r="V129" s="94" t="e">
        <f t="shared" ref="V129:W129" si="518">M129/I129</f>
        <v>#DIV/0!</v>
      </c>
      <c r="W129" s="94" t="e">
        <f t="shared" si="518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19">SUM(E131:E135)</f>
        <v>0</v>
      </c>
      <c r="F130" s="231">
        <f t="shared" si="519"/>
        <v>216000</v>
      </c>
      <c r="G130" s="187" t="e">
        <f t="shared" si="513"/>
        <v>#DIV/0!</v>
      </c>
      <c r="H130" s="187" t="e">
        <f t="shared" si="514"/>
        <v>#DIV/0!</v>
      </c>
      <c r="I130" s="231">
        <f t="shared" ref="I130:O130" si="520">SUM(I131:I135)</f>
        <v>0</v>
      </c>
      <c r="J130" s="231">
        <f t="shared" si="520"/>
        <v>0</v>
      </c>
      <c r="K130" s="231">
        <f t="shared" si="520"/>
        <v>0</v>
      </c>
      <c r="L130" s="231">
        <f t="shared" si="520"/>
        <v>0</v>
      </c>
      <c r="M130" s="231">
        <f t="shared" si="520"/>
        <v>0</v>
      </c>
      <c r="N130" s="238">
        <f t="shared" si="520"/>
        <v>0</v>
      </c>
      <c r="O130" s="238">
        <f t="shared" si="520"/>
        <v>0</v>
      </c>
      <c r="P130" s="238">
        <f t="shared" ref="P130:R130" si="521">IF(BI130=0,SUM(Y130+AB130+AE130+AH130+AK130+AN130+AQ130+AT130+AW130+AZ130+BC130+BF130),BI130)</f>
        <v>0</v>
      </c>
      <c r="Q130" s="238">
        <f t="shared" si="521"/>
        <v>0</v>
      </c>
      <c r="R130" s="238">
        <f t="shared" si="521"/>
        <v>0</v>
      </c>
      <c r="S130" s="238">
        <f t="shared" ref="S130:BK130" si="522">SUM(S131:S135)</f>
        <v>0</v>
      </c>
      <c r="T130" s="238">
        <f t="shared" si="522"/>
        <v>0</v>
      </c>
      <c r="U130" s="238">
        <f t="shared" si="522"/>
        <v>0</v>
      </c>
      <c r="V130" s="238" t="e">
        <f t="shared" si="522"/>
        <v>#DIV/0!</v>
      </c>
      <c r="W130" s="238" t="e">
        <f t="shared" si="522"/>
        <v>#DIV/0!</v>
      </c>
      <c r="X130" s="238" t="e">
        <f t="shared" si="522"/>
        <v>#DIV/0!</v>
      </c>
      <c r="Y130" s="231">
        <f t="shared" si="522"/>
        <v>0</v>
      </c>
      <c r="Z130" s="231">
        <f t="shared" si="522"/>
        <v>0</v>
      </c>
      <c r="AA130" s="231">
        <f t="shared" si="522"/>
        <v>0</v>
      </c>
      <c r="AB130" s="231">
        <f t="shared" si="522"/>
        <v>0</v>
      </c>
      <c r="AC130" s="231">
        <f t="shared" si="522"/>
        <v>0</v>
      </c>
      <c r="AD130" s="231">
        <f t="shared" si="522"/>
        <v>0</v>
      </c>
      <c r="AE130" s="231">
        <f t="shared" si="522"/>
        <v>0</v>
      </c>
      <c r="AF130" s="231">
        <f t="shared" si="522"/>
        <v>0</v>
      </c>
      <c r="AG130" s="231">
        <f t="shared" si="522"/>
        <v>0</v>
      </c>
      <c r="AH130" s="231">
        <f t="shared" si="522"/>
        <v>0</v>
      </c>
      <c r="AI130" s="231">
        <f t="shared" si="522"/>
        <v>0</v>
      </c>
      <c r="AJ130" s="231">
        <f t="shared" si="522"/>
        <v>0</v>
      </c>
      <c r="AK130" s="231">
        <f t="shared" si="522"/>
        <v>0</v>
      </c>
      <c r="AL130" s="231">
        <f t="shared" si="522"/>
        <v>0</v>
      </c>
      <c r="AM130" s="231">
        <f t="shared" si="522"/>
        <v>0</v>
      </c>
      <c r="AN130" s="231">
        <f t="shared" si="522"/>
        <v>0</v>
      </c>
      <c r="AO130" s="231">
        <f t="shared" si="522"/>
        <v>0</v>
      </c>
      <c r="AP130" s="231">
        <f t="shared" si="522"/>
        <v>0</v>
      </c>
      <c r="AQ130" s="231">
        <f t="shared" si="522"/>
        <v>0</v>
      </c>
      <c r="AR130" s="231">
        <f t="shared" si="522"/>
        <v>0</v>
      </c>
      <c r="AS130" s="231">
        <f t="shared" si="522"/>
        <v>0</v>
      </c>
      <c r="AT130" s="231">
        <f t="shared" si="522"/>
        <v>0</v>
      </c>
      <c r="AU130" s="231">
        <f t="shared" si="522"/>
        <v>0</v>
      </c>
      <c r="AV130" s="231">
        <f t="shared" si="522"/>
        <v>0</v>
      </c>
      <c r="AW130" s="231">
        <f t="shared" si="522"/>
        <v>0</v>
      </c>
      <c r="AX130" s="231">
        <f t="shared" si="522"/>
        <v>0</v>
      </c>
      <c r="AY130" s="231">
        <f t="shared" si="522"/>
        <v>0</v>
      </c>
      <c r="AZ130" s="231">
        <f t="shared" si="522"/>
        <v>0</v>
      </c>
      <c r="BA130" s="231">
        <f t="shared" si="522"/>
        <v>0</v>
      </c>
      <c r="BB130" s="231">
        <f t="shared" si="522"/>
        <v>0</v>
      </c>
      <c r="BC130" s="231">
        <f t="shared" si="522"/>
        <v>0</v>
      </c>
      <c r="BD130" s="231">
        <f t="shared" si="522"/>
        <v>0</v>
      </c>
      <c r="BE130" s="231">
        <f t="shared" si="522"/>
        <v>0</v>
      </c>
      <c r="BF130" s="231">
        <f t="shared" si="522"/>
        <v>0</v>
      </c>
      <c r="BG130" s="231">
        <f t="shared" si="522"/>
        <v>0</v>
      </c>
      <c r="BH130" s="231">
        <f t="shared" si="522"/>
        <v>0</v>
      </c>
      <c r="BI130" s="231">
        <f t="shared" si="522"/>
        <v>0</v>
      </c>
      <c r="BJ130" s="231">
        <f t="shared" si="522"/>
        <v>0</v>
      </c>
      <c r="BK130" s="231">
        <f t="shared" si="522"/>
        <v>0</v>
      </c>
      <c r="BL130" s="233"/>
      <c r="BM130" s="234"/>
      <c r="BN130" s="234"/>
      <c r="BO130" s="234"/>
      <c r="BP130" s="234"/>
    </row>
    <row r="131" spans="1:68" ht="15.75" customHeight="1">
      <c r="A131" s="111"/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13"/>
        <v>#DIV/0!</v>
      </c>
      <c r="H131" s="94" t="e">
        <f t="shared" si="514"/>
        <v>#DIV/0!</v>
      </c>
      <c r="I131" s="96"/>
      <c r="J131" s="96"/>
      <c r="K131" s="96"/>
      <c r="L131" s="96"/>
      <c r="M131" s="97">
        <f t="shared" ref="M131:O131" si="523">Y131+AB131+AE131+AH131+AK131+AN131+AQ131+AT131+AW131+AZ131+BC131+BF131</f>
        <v>0</v>
      </c>
      <c r="N131" s="97">
        <f t="shared" si="523"/>
        <v>0</v>
      </c>
      <c r="O131" s="97">
        <f t="shared" si="523"/>
        <v>0</v>
      </c>
      <c r="P131" s="97">
        <f t="shared" ref="P131:R131" si="524">IF(BI131=0,SUM(Y131+AB131+AE131+AH131+AK131+AN131+AQ131+AT131+AW131+AZ131+BC131+BF131),BI131)</f>
        <v>0</v>
      </c>
      <c r="Q131" s="97">
        <f t="shared" si="524"/>
        <v>0</v>
      </c>
      <c r="R131" s="97">
        <f t="shared" si="524"/>
        <v>0</v>
      </c>
      <c r="S131" s="97">
        <f t="shared" ref="S131:T131" si="525">I131-M131</f>
        <v>0</v>
      </c>
      <c r="T131" s="97">
        <f t="shared" si="525"/>
        <v>0</v>
      </c>
      <c r="U131" s="97">
        <f t="shared" ref="U131:U135" si="526">L131-O131</f>
        <v>0</v>
      </c>
      <c r="V131" s="98" t="e">
        <f t="shared" ref="V131:W131" si="527">M131/I131</f>
        <v>#DIV/0!</v>
      </c>
      <c r="W131" s="98" t="e">
        <f t="shared" si="527"/>
        <v>#DIV/0!</v>
      </c>
      <c r="X131" s="98" t="e">
        <f t="shared" ref="X131:X135" si="528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13"/>
        <v>#DIV/0!</v>
      </c>
      <c r="H132" s="94" t="e">
        <f t="shared" si="514"/>
        <v>#DIV/0!</v>
      </c>
      <c r="I132" s="96"/>
      <c r="J132" s="96"/>
      <c r="K132" s="96"/>
      <c r="L132" s="83"/>
      <c r="M132" s="97">
        <f t="shared" ref="M132:O132" si="529">Y132+AB132+AE132+AH132+AK132+AN132+AQ132+AT132+AW132+AZ132+BC132+BF132</f>
        <v>0</v>
      </c>
      <c r="N132" s="97">
        <f t="shared" si="529"/>
        <v>0</v>
      </c>
      <c r="O132" s="97">
        <f t="shared" si="529"/>
        <v>0</v>
      </c>
      <c r="P132" s="97">
        <f t="shared" ref="P132:R132" si="530">IF(BI132=0,SUM(Y132+AB132+AE132+AH132+AK132+AN132+AQ132+AT132+AW132+AZ132+BC132+BF132),BI132)</f>
        <v>0</v>
      </c>
      <c r="Q132" s="97">
        <f t="shared" si="530"/>
        <v>0</v>
      </c>
      <c r="R132" s="97">
        <f t="shared" si="530"/>
        <v>0</v>
      </c>
      <c r="S132" s="97">
        <f t="shared" ref="S132:T132" si="531">I132-M132</f>
        <v>0</v>
      </c>
      <c r="T132" s="97">
        <f t="shared" si="531"/>
        <v>0</v>
      </c>
      <c r="U132" s="97">
        <f t="shared" si="526"/>
        <v>0</v>
      </c>
      <c r="V132" s="98" t="e">
        <f t="shared" ref="V132:W132" si="532">M132/I132</f>
        <v>#DIV/0!</v>
      </c>
      <c r="W132" s="98" t="e">
        <f t="shared" si="532"/>
        <v>#DIV/0!</v>
      </c>
      <c r="X132" s="98" t="e">
        <f t="shared" si="528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13"/>
        <v>#DIV/0!</v>
      </c>
      <c r="H133" s="94" t="e">
        <f t="shared" si="514"/>
        <v>#DIV/0!</v>
      </c>
      <c r="I133" s="96"/>
      <c r="J133" s="96"/>
      <c r="K133" s="96"/>
      <c r="L133" s="96"/>
      <c r="M133" s="97">
        <f t="shared" ref="M133:O133" si="533">Y133+AB133+AE133+AH133+AK133+AN133+AQ133+AT133+AW133+AZ133+BC133+BF133</f>
        <v>0</v>
      </c>
      <c r="N133" s="97">
        <f t="shared" si="533"/>
        <v>0</v>
      </c>
      <c r="O133" s="97">
        <f t="shared" si="533"/>
        <v>0</v>
      </c>
      <c r="P133" s="97">
        <f t="shared" ref="P133:R133" si="534">IF(BI133=0,SUM(Y133+AB133+AE133+AH133+AK133+AN133+AQ133+AT133+AW133+AZ133+BC133+BF133),BI133)</f>
        <v>0</v>
      </c>
      <c r="Q133" s="97">
        <f t="shared" si="534"/>
        <v>0</v>
      </c>
      <c r="R133" s="97">
        <f t="shared" si="534"/>
        <v>0</v>
      </c>
      <c r="S133" s="97">
        <f t="shared" ref="S133:T133" si="535">I133-M133</f>
        <v>0</v>
      </c>
      <c r="T133" s="97">
        <f t="shared" si="535"/>
        <v>0</v>
      </c>
      <c r="U133" s="97">
        <f t="shared" si="526"/>
        <v>0</v>
      </c>
      <c r="V133" s="98" t="e">
        <f t="shared" ref="V133:W133" si="536">M133/I133</f>
        <v>#DIV/0!</v>
      </c>
      <c r="W133" s="98" t="e">
        <f t="shared" si="536"/>
        <v>#DIV/0!</v>
      </c>
      <c r="X133" s="98" t="e">
        <f t="shared" si="528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13"/>
        <v>#DIV/0!</v>
      </c>
      <c r="H134" s="94" t="e">
        <f t="shared" si="514"/>
        <v>#DIV/0!</v>
      </c>
      <c r="I134" s="96"/>
      <c r="J134" s="96"/>
      <c r="K134" s="96"/>
      <c r="L134" s="96"/>
      <c r="M134" s="97">
        <f t="shared" ref="M134:O134" si="537">Y134+AB134+AE134+AH134+AK134+AN134+AQ134+AT134+AW134+AZ134+BC134+BF134</f>
        <v>0</v>
      </c>
      <c r="N134" s="97">
        <f t="shared" si="537"/>
        <v>0</v>
      </c>
      <c r="O134" s="97">
        <f t="shared" si="537"/>
        <v>0</v>
      </c>
      <c r="P134" s="97">
        <f t="shared" ref="P134:R134" si="538">IF(BI134=0,SUM(Y134+AB134+AE134+AH134+AK134+AN134+AQ134+AT134+AW134+AZ134+BC134+BF134),BI134)</f>
        <v>0</v>
      </c>
      <c r="Q134" s="97">
        <f t="shared" si="538"/>
        <v>0</v>
      </c>
      <c r="R134" s="97">
        <f t="shared" si="538"/>
        <v>0</v>
      </c>
      <c r="S134" s="97">
        <f t="shared" ref="S134:T134" si="539">I134-M134</f>
        <v>0</v>
      </c>
      <c r="T134" s="97">
        <f t="shared" si="539"/>
        <v>0</v>
      </c>
      <c r="U134" s="97">
        <f t="shared" si="526"/>
        <v>0</v>
      </c>
      <c r="V134" s="98" t="e">
        <f t="shared" ref="V134:W134" si="540">M134/I134</f>
        <v>#DIV/0!</v>
      </c>
      <c r="W134" s="98" t="e">
        <f t="shared" si="540"/>
        <v>#DIV/0!</v>
      </c>
      <c r="X134" s="98" t="e">
        <f t="shared" si="528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13"/>
        <v>#DIV/0!</v>
      </c>
      <c r="H135" s="94" t="e">
        <f t="shared" si="514"/>
        <v>#DIV/0!</v>
      </c>
      <c r="I135" s="96"/>
      <c r="J135" s="96"/>
      <c r="K135" s="96"/>
      <c r="L135" s="239"/>
      <c r="M135" s="97">
        <f t="shared" ref="M135:O135" si="541">Y135+AB135+AE135+AH135+AK135+AN135+AQ135+AT135+AW135+AZ135+BC135+BF135</f>
        <v>0</v>
      </c>
      <c r="N135" s="97">
        <f t="shared" si="541"/>
        <v>0</v>
      </c>
      <c r="O135" s="97">
        <f t="shared" si="541"/>
        <v>0</v>
      </c>
      <c r="P135" s="97">
        <f t="shared" ref="P135:R135" si="542">IF(BI135=0,SUM(Y135+AB135+AE135+AH135+AK135+AN135+AQ135+AT135+AW135+AZ135+BC135+BF135),BI135)</f>
        <v>0</v>
      </c>
      <c r="Q135" s="97">
        <f t="shared" si="542"/>
        <v>0</v>
      </c>
      <c r="R135" s="97">
        <f t="shared" si="542"/>
        <v>0</v>
      </c>
      <c r="S135" s="97">
        <f t="shared" ref="S135:T135" si="543">I135-M135</f>
        <v>0</v>
      </c>
      <c r="T135" s="97">
        <f t="shared" si="543"/>
        <v>0</v>
      </c>
      <c r="U135" s="97">
        <f t="shared" si="526"/>
        <v>0</v>
      </c>
      <c r="V135" s="98" t="e">
        <f t="shared" ref="V135:W135" si="544">M135/I135</f>
        <v>#DIV/0!</v>
      </c>
      <c r="W135" s="98" t="e">
        <f t="shared" si="544"/>
        <v>#DIV/0!</v>
      </c>
      <c r="X135" s="98" t="e">
        <f t="shared" si="528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45">SUM(E137:E139)</f>
        <v>0</v>
      </c>
      <c r="F136" s="242">
        <f t="shared" si="545"/>
        <v>867964.47</v>
      </c>
      <c r="G136" s="187" t="e">
        <f t="shared" si="513"/>
        <v>#DIV/0!</v>
      </c>
      <c r="H136" s="187" t="e">
        <f t="shared" si="514"/>
        <v>#DIV/0!</v>
      </c>
      <c r="I136" s="242">
        <f t="shared" ref="I136:O136" si="546">SUM(I137:I139)</f>
        <v>0</v>
      </c>
      <c r="J136" s="242">
        <f t="shared" si="546"/>
        <v>203666.88</v>
      </c>
      <c r="K136" s="242">
        <f t="shared" si="546"/>
        <v>0</v>
      </c>
      <c r="L136" s="242">
        <f t="shared" si="546"/>
        <v>0</v>
      </c>
      <c r="M136" s="242">
        <f t="shared" si="546"/>
        <v>0</v>
      </c>
      <c r="N136" s="243">
        <f t="shared" si="546"/>
        <v>130838</v>
      </c>
      <c r="O136" s="243">
        <f t="shared" si="546"/>
        <v>0</v>
      </c>
      <c r="P136" s="243">
        <f t="shared" ref="P136:R136" si="547">IF(BI136=0,SUM(Y136+AB136+AE136+AH136+AK136+AN136+AQ136+AT136+AW136+AZ136+BC136+BF136),BI136)</f>
        <v>0</v>
      </c>
      <c r="Q136" s="243">
        <f t="shared" si="547"/>
        <v>130838</v>
      </c>
      <c r="R136" s="243">
        <f t="shared" si="547"/>
        <v>0</v>
      </c>
      <c r="S136" s="242">
        <f t="shared" ref="S136:BK136" si="548">SUM(S137:S139)</f>
        <v>0</v>
      </c>
      <c r="T136" s="186">
        <f t="shared" si="548"/>
        <v>72828.88</v>
      </c>
      <c r="U136" s="186">
        <f t="shared" si="548"/>
        <v>0</v>
      </c>
      <c r="V136" s="186" t="e">
        <f t="shared" si="548"/>
        <v>#DIV/0!</v>
      </c>
      <c r="W136" s="186" t="e">
        <f t="shared" si="548"/>
        <v>#DIV/0!</v>
      </c>
      <c r="X136" s="186" t="e">
        <f t="shared" si="548"/>
        <v>#DIV/0!</v>
      </c>
      <c r="Y136" s="242">
        <f t="shared" si="548"/>
        <v>0</v>
      </c>
      <c r="Z136" s="242">
        <f t="shared" si="548"/>
        <v>0</v>
      </c>
      <c r="AA136" s="242">
        <f t="shared" si="548"/>
        <v>0</v>
      </c>
      <c r="AB136" s="242">
        <f t="shared" si="548"/>
        <v>0</v>
      </c>
      <c r="AC136" s="242">
        <f t="shared" si="548"/>
        <v>0</v>
      </c>
      <c r="AD136" s="242">
        <f t="shared" si="548"/>
        <v>0</v>
      </c>
      <c r="AE136" s="242">
        <f t="shared" si="548"/>
        <v>0</v>
      </c>
      <c r="AF136" s="242">
        <f t="shared" si="548"/>
        <v>59424.31</v>
      </c>
      <c r="AG136" s="242">
        <f t="shared" si="548"/>
        <v>0</v>
      </c>
      <c r="AH136" s="242">
        <f t="shared" si="548"/>
        <v>0</v>
      </c>
      <c r="AI136" s="242">
        <f t="shared" si="548"/>
        <v>71413.69</v>
      </c>
      <c r="AJ136" s="242">
        <f t="shared" si="548"/>
        <v>0</v>
      </c>
      <c r="AK136" s="242">
        <f t="shared" si="548"/>
        <v>0</v>
      </c>
      <c r="AL136" s="242">
        <f t="shared" si="548"/>
        <v>0</v>
      </c>
      <c r="AM136" s="242">
        <f t="shared" si="548"/>
        <v>0</v>
      </c>
      <c r="AN136" s="242">
        <f t="shared" si="548"/>
        <v>0</v>
      </c>
      <c r="AO136" s="242">
        <f t="shared" si="548"/>
        <v>0</v>
      </c>
      <c r="AP136" s="242">
        <f t="shared" si="548"/>
        <v>0</v>
      </c>
      <c r="AQ136" s="242">
        <f t="shared" si="548"/>
        <v>0</v>
      </c>
      <c r="AR136" s="242">
        <f t="shared" si="548"/>
        <v>0</v>
      </c>
      <c r="AS136" s="242">
        <f t="shared" si="548"/>
        <v>0</v>
      </c>
      <c r="AT136" s="242">
        <f t="shared" si="548"/>
        <v>0</v>
      </c>
      <c r="AU136" s="242">
        <f t="shared" si="548"/>
        <v>0</v>
      </c>
      <c r="AV136" s="242">
        <f t="shared" si="548"/>
        <v>0</v>
      </c>
      <c r="AW136" s="242">
        <f t="shared" si="548"/>
        <v>0</v>
      </c>
      <c r="AX136" s="242">
        <f t="shared" si="548"/>
        <v>0</v>
      </c>
      <c r="AY136" s="242">
        <f t="shared" si="548"/>
        <v>0</v>
      </c>
      <c r="AZ136" s="242">
        <f t="shared" si="548"/>
        <v>0</v>
      </c>
      <c r="BA136" s="242">
        <f t="shared" si="548"/>
        <v>0</v>
      </c>
      <c r="BB136" s="242">
        <f t="shared" si="548"/>
        <v>0</v>
      </c>
      <c r="BC136" s="242">
        <f t="shared" si="548"/>
        <v>0</v>
      </c>
      <c r="BD136" s="242">
        <f t="shared" si="548"/>
        <v>0</v>
      </c>
      <c r="BE136" s="242">
        <f t="shared" si="548"/>
        <v>0</v>
      </c>
      <c r="BF136" s="242">
        <f t="shared" si="548"/>
        <v>0</v>
      </c>
      <c r="BG136" s="242">
        <f t="shared" si="548"/>
        <v>0</v>
      </c>
      <c r="BH136" s="242">
        <f t="shared" si="548"/>
        <v>0</v>
      </c>
      <c r="BI136" s="242">
        <f t="shared" si="548"/>
        <v>0</v>
      </c>
      <c r="BJ136" s="242">
        <f t="shared" si="548"/>
        <v>0</v>
      </c>
      <c r="BK136" s="242">
        <f t="shared" si="548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49">I137/#REF!</f>
        <v>#REF!</v>
      </c>
      <c r="H137" s="94" t="e">
        <f t="shared" ref="H137:H138" si="550">M137/#REF!</f>
        <v>#REF!</v>
      </c>
      <c r="I137" s="96"/>
      <c r="J137" s="96">
        <v>193192.78</v>
      </c>
      <c r="K137" s="96"/>
      <c r="L137" s="96"/>
      <c r="M137" s="97">
        <f t="shared" ref="M137:O137" si="551">Y137+AB137+AE137+AH137+AK137+AN137+AQ137+AT137+AW137+AZ137+BC137+BF137</f>
        <v>0</v>
      </c>
      <c r="N137" s="97">
        <f t="shared" si="551"/>
        <v>130838</v>
      </c>
      <c r="O137" s="97">
        <f t="shared" si="551"/>
        <v>0</v>
      </c>
      <c r="P137" s="97">
        <f t="shared" ref="P137:R137" si="552">IF(BI137=0,SUM(Y137+AB137+AE137+AH137+AK137+AN137+AQ137+AT137+AW137+AZ137+BC137+BF137),BI137)</f>
        <v>0</v>
      </c>
      <c r="Q137" s="97">
        <f t="shared" si="552"/>
        <v>130838</v>
      </c>
      <c r="R137" s="97">
        <f t="shared" si="552"/>
        <v>0</v>
      </c>
      <c r="S137" s="97">
        <f t="shared" ref="S137:T137" si="553">I137-M137</f>
        <v>0</v>
      </c>
      <c r="T137" s="97">
        <f t="shared" si="553"/>
        <v>62354.78</v>
      </c>
      <c r="U137" s="97">
        <f t="shared" ref="U137:U139" si="554">L137-O137</f>
        <v>0</v>
      </c>
      <c r="V137" s="98" t="e">
        <f t="shared" ref="V137:W137" si="555">M137/I137</f>
        <v>#DIV/0!</v>
      </c>
      <c r="W137" s="98">
        <f t="shared" si="555"/>
        <v>0.67724062979993349</v>
      </c>
      <c r="X137" s="98" t="e">
        <f t="shared" ref="X137:X139" si="556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>
        <f>31947.84+39465.85</f>
        <v>71413.69</v>
      </c>
      <c r="AJ137" s="96"/>
      <c r="AK137" s="96"/>
      <c r="AL137" s="96"/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49"/>
        <v>#REF!</v>
      </c>
      <c r="H138" s="94" t="e">
        <f t="shared" si="550"/>
        <v>#REF!</v>
      </c>
      <c r="I138" s="119"/>
      <c r="J138" s="96"/>
      <c r="K138" s="96"/>
      <c r="L138" s="202"/>
      <c r="M138" s="97">
        <f t="shared" ref="M138:O138" si="557">Y138+AB138+AE138+AH138+AK138+AN138+AQ138+AT138+AW138+AZ138+BC138+BF138</f>
        <v>0</v>
      </c>
      <c r="N138" s="97">
        <f t="shared" si="557"/>
        <v>0</v>
      </c>
      <c r="O138" s="97">
        <f t="shared" si="557"/>
        <v>0</v>
      </c>
      <c r="P138" s="97">
        <f t="shared" ref="P138:R138" si="558">IF(BI138=0,SUM(Y138+AB138+AE138+AH138+AK138+AN138+AQ138+AT138+AW138+AZ138+BC138+BF138),BI138)</f>
        <v>0</v>
      </c>
      <c r="Q138" s="97">
        <f t="shared" si="558"/>
        <v>0</v>
      </c>
      <c r="R138" s="97">
        <f t="shared" si="558"/>
        <v>0</v>
      </c>
      <c r="S138" s="97">
        <f t="shared" ref="S138:T138" si="559">I138-M138</f>
        <v>0</v>
      </c>
      <c r="T138" s="97">
        <f t="shared" si="559"/>
        <v>0</v>
      </c>
      <c r="U138" s="97">
        <f t="shared" si="554"/>
        <v>0</v>
      </c>
      <c r="V138" s="98" t="e">
        <f t="shared" ref="V138:W138" si="560">M138/I138</f>
        <v>#DIV/0!</v>
      </c>
      <c r="W138" s="98" t="e">
        <f t="shared" si="560"/>
        <v>#DIV/0!</v>
      </c>
      <c r="X138" s="98" t="e">
        <f t="shared" si="556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61">I139/E139</f>
        <v>#DIV/0!</v>
      </c>
      <c r="H139" s="94" t="e">
        <f t="shared" ref="H139:H143" si="562">M139/E139</f>
        <v>#DIV/0!</v>
      </c>
      <c r="I139" s="96"/>
      <c r="J139" s="96">
        <v>10474.1</v>
      </c>
      <c r="K139" s="96"/>
      <c r="L139" s="244"/>
      <c r="M139" s="97">
        <f t="shared" ref="M139:O139" si="563">Y139+AB139+AE139+AH139+AK139+AN139+AQ139+AT139+AW139+AZ139+BC139+BF139</f>
        <v>0</v>
      </c>
      <c r="N139" s="97">
        <f t="shared" si="563"/>
        <v>0</v>
      </c>
      <c r="O139" s="97">
        <f t="shared" si="563"/>
        <v>0</v>
      </c>
      <c r="P139" s="97">
        <f t="shared" ref="P139:R139" si="564">IF(BI139=0,SUM(Y139+AB139+AE139+AH139+AK139+AN139+AQ139+AT139+AW139+AZ139+BC139+BF139),BI139)</f>
        <v>0</v>
      </c>
      <c r="Q139" s="97">
        <f t="shared" si="564"/>
        <v>0</v>
      </c>
      <c r="R139" s="97">
        <f t="shared" si="564"/>
        <v>0</v>
      </c>
      <c r="S139" s="97">
        <f t="shared" ref="S139:T139" si="565">I139-M139</f>
        <v>0</v>
      </c>
      <c r="T139" s="97">
        <f t="shared" si="565"/>
        <v>10474.1</v>
      </c>
      <c r="U139" s="97">
        <f t="shared" si="554"/>
        <v>0</v>
      </c>
      <c r="V139" s="98" t="e">
        <f t="shared" ref="V139:W139" si="566">M139/I139</f>
        <v>#DIV/0!</v>
      </c>
      <c r="W139" s="98">
        <f t="shared" si="566"/>
        <v>0</v>
      </c>
      <c r="X139" s="98" t="e">
        <f t="shared" si="556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67">SUM(E141:E143)</f>
        <v>0</v>
      </c>
      <c r="F140" s="242">
        <f t="shared" si="567"/>
        <v>90000</v>
      </c>
      <c r="G140" s="187" t="e">
        <f t="shared" si="561"/>
        <v>#DIV/0!</v>
      </c>
      <c r="H140" s="187" t="e">
        <f t="shared" si="562"/>
        <v>#DIV/0!</v>
      </c>
      <c r="I140" s="242">
        <f>SUM(I141:I143)</f>
        <v>0</v>
      </c>
      <c r="J140" s="242">
        <f t="shared" ref="J140:K140" si="568">SUM(J141:J144)</f>
        <v>4237.2</v>
      </c>
      <c r="K140" s="242">
        <f t="shared" si="568"/>
        <v>0</v>
      </c>
      <c r="L140" s="242">
        <f t="shared" ref="L140:M140" si="569">SUM(L141:L143)</f>
        <v>0</v>
      </c>
      <c r="M140" s="242">
        <f t="shared" si="569"/>
        <v>0</v>
      </c>
      <c r="N140" s="243">
        <f>SUM(N141:N144)</f>
        <v>4237.2</v>
      </c>
      <c r="O140" s="243">
        <f>SUM(O141:O143)</f>
        <v>0</v>
      </c>
      <c r="P140" s="243">
        <f t="shared" ref="P140:R140" si="570">IF(BI140=0,SUM(Y140+AB140+AE140+AH140+AK140+AN140+AQ140+AT140+AW140+AZ140+BC140+BF140),BI140)</f>
        <v>0</v>
      </c>
      <c r="Q140" s="243">
        <f t="shared" si="570"/>
        <v>4237.2</v>
      </c>
      <c r="R140" s="243">
        <f t="shared" si="570"/>
        <v>0</v>
      </c>
      <c r="S140" s="242">
        <f t="shared" ref="S140:AE140" si="571">SUM(S141:S143)</f>
        <v>0</v>
      </c>
      <c r="T140" s="186">
        <f t="shared" si="571"/>
        <v>0</v>
      </c>
      <c r="U140" s="186">
        <f t="shared" si="571"/>
        <v>0</v>
      </c>
      <c r="V140" s="186" t="e">
        <f t="shared" si="571"/>
        <v>#DIV/0!</v>
      </c>
      <c r="W140" s="186" t="e">
        <f t="shared" si="571"/>
        <v>#DIV/0!</v>
      </c>
      <c r="X140" s="186" t="e">
        <f t="shared" si="571"/>
        <v>#DIV/0!</v>
      </c>
      <c r="Y140" s="242">
        <f t="shared" si="571"/>
        <v>0</v>
      </c>
      <c r="Z140" s="242">
        <f t="shared" si="571"/>
        <v>0</v>
      </c>
      <c r="AA140" s="242">
        <f t="shared" si="571"/>
        <v>0</v>
      </c>
      <c r="AB140" s="242">
        <f t="shared" si="571"/>
        <v>0</v>
      </c>
      <c r="AC140" s="242">
        <f t="shared" si="571"/>
        <v>0</v>
      </c>
      <c r="AD140" s="242">
        <f t="shared" si="571"/>
        <v>0</v>
      </c>
      <c r="AE140" s="242">
        <f t="shared" si="571"/>
        <v>0</v>
      </c>
      <c r="AF140" s="242">
        <f>SUM(AF141:AF144)</f>
        <v>4237.2</v>
      </c>
      <c r="AG140" s="242">
        <f t="shared" ref="AG140:BK140" si="572">SUM(AG141:AG143)</f>
        <v>0</v>
      </c>
      <c r="AH140" s="242">
        <f t="shared" si="572"/>
        <v>0</v>
      </c>
      <c r="AI140" s="242">
        <f t="shared" si="572"/>
        <v>0</v>
      </c>
      <c r="AJ140" s="242">
        <f t="shared" si="572"/>
        <v>0</v>
      </c>
      <c r="AK140" s="242">
        <f t="shared" si="572"/>
        <v>0</v>
      </c>
      <c r="AL140" s="242">
        <f t="shared" si="572"/>
        <v>0</v>
      </c>
      <c r="AM140" s="242">
        <f t="shared" si="572"/>
        <v>0</v>
      </c>
      <c r="AN140" s="242">
        <f t="shared" si="572"/>
        <v>0</v>
      </c>
      <c r="AO140" s="242">
        <f t="shared" si="572"/>
        <v>0</v>
      </c>
      <c r="AP140" s="242">
        <f t="shared" si="572"/>
        <v>0</v>
      </c>
      <c r="AQ140" s="242">
        <f t="shared" si="572"/>
        <v>0</v>
      </c>
      <c r="AR140" s="242">
        <f t="shared" si="572"/>
        <v>0</v>
      </c>
      <c r="AS140" s="242">
        <f t="shared" si="572"/>
        <v>0</v>
      </c>
      <c r="AT140" s="242">
        <f t="shared" si="572"/>
        <v>0</v>
      </c>
      <c r="AU140" s="242">
        <f t="shared" si="572"/>
        <v>0</v>
      </c>
      <c r="AV140" s="242">
        <f t="shared" si="572"/>
        <v>0</v>
      </c>
      <c r="AW140" s="242">
        <f t="shared" si="572"/>
        <v>0</v>
      </c>
      <c r="AX140" s="242">
        <f t="shared" si="572"/>
        <v>0</v>
      </c>
      <c r="AY140" s="242">
        <f t="shared" si="572"/>
        <v>0</v>
      </c>
      <c r="AZ140" s="242">
        <f t="shared" si="572"/>
        <v>0</v>
      </c>
      <c r="BA140" s="242">
        <f t="shared" si="572"/>
        <v>0</v>
      </c>
      <c r="BB140" s="242">
        <f t="shared" si="572"/>
        <v>0</v>
      </c>
      <c r="BC140" s="242">
        <f t="shared" si="572"/>
        <v>0</v>
      </c>
      <c r="BD140" s="242">
        <f t="shared" si="572"/>
        <v>0</v>
      </c>
      <c r="BE140" s="242">
        <f t="shared" si="572"/>
        <v>0</v>
      </c>
      <c r="BF140" s="242">
        <f t="shared" si="572"/>
        <v>0</v>
      </c>
      <c r="BG140" s="242">
        <f t="shared" si="572"/>
        <v>0</v>
      </c>
      <c r="BH140" s="242">
        <f t="shared" si="572"/>
        <v>0</v>
      </c>
      <c r="BI140" s="242">
        <f t="shared" si="572"/>
        <v>0</v>
      </c>
      <c r="BJ140" s="242">
        <f t="shared" si="572"/>
        <v>0</v>
      </c>
      <c r="BK140" s="242">
        <f t="shared" si="572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621</v>
      </c>
      <c r="E141" s="166"/>
      <c r="F141" s="147">
        <v>90000</v>
      </c>
      <c r="G141" s="94" t="e">
        <f t="shared" si="561"/>
        <v>#DIV/0!</v>
      </c>
      <c r="H141" s="94" t="e">
        <f t="shared" si="562"/>
        <v>#DIV/0!</v>
      </c>
      <c r="I141" s="96"/>
      <c r="J141" s="96"/>
      <c r="K141" s="96"/>
      <c r="L141" s="202"/>
      <c r="M141" s="97">
        <f t="shared" ref="M141:O141" si="573">Y141+AB141+AE141+AH141+AK141+AN141+AQ141+AT141+AW141+AZ141+BC141+BF141</f>
        <v>0</v>
      </c>
      <c r="N141" s="97">
        <f t="shared" si="573"/>
        <v>0</v>
      </c>
      <c r="O141" s="97">
        <f t="shared" si="573"/>
        <v>0</v>
      </c>
      <c r="P141" s="97">
        <f t="shared" ref="P141:R141" si="574">IF(BI141=0,SUM(Y141+AB141+AE141+AH141+AK141+AN141+AQ141+AT141+AW141+AZ141+BC141+BF141),BI141)</f>
        <v>0</v>
      </c>
      <c r="Q141" s="97">
        <f t="shared" si="574"/>
        <v>0</v>
      </c>
      <c r="R141" s="97">
        <f t="shared" si="574"/>
        <v>0</v>
      </c>
      <c r="S141" s="97">
        <f t="shared" ref="S141:T141" si="575">I141-M141</f>
        <v>0</v>
      </c>
      <c r="T141" s="97">
        <f t="shared" si="575"/>
        <v>0</v>
      </c>
      <c r="U141" s="97">
        <f t="shared" ref="U141:U143" si="576">L141-O141</f>
        <v>0</v>
      </c>
      <c r="V141" s="98" t="e">
        <f t="shared" ref="V141:W141" si="577">M141/I141</f>
        <v>#DIV/0!</v>
      </c>
      <c r="W141" s="98" t="e">
        <f t="shared" si="577"/>
        <v>#DIV/0!</v>
      </c>
      <c r="X141" s="98" t="e">
        <f t="shared" ref="X141:X143" si="578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61"/>
        <v>#DIV/0!</v>
      </c>
      <c r="H142" s="94" t="e">
        <f t="shared" si="562"/>
        <v>#DIV/0!</v>
      </c>
      <c r="I142" s="202"/>
      <c r="J142" s="96"/>
      <c r="K142" s="96"/>
      <c r="L142" s="202"/>
      <c r="M142" s="97">
        <f t="shared" ref="M142:O142" si="579">Y142+AB142+AE142+AH142+AK142+AN142+AQ142+AT142+AW142+AZ142+BC142+BF142</f>
        <v>0</v>
      </c>
      <c r="N142" s="97">
        <f t="shared" si="579"/>
        <v>0</v>
      </c>
      <c r="O142" s="97">
        <f t="shared" si="579"/>
        <v>0</v>
      </c>
      <c r="P142" s="97">
        <f t="shared" ref="P142:R142" si="580">IF(BI142=0,SUM(Y142+AB142+AE142+AH142+AK142+AN142+AQ142+AT142+AW142+AZ142+BC142+BF142),BI142)</f>
        <v>0</v>
      </c>
      <c r="Q142" s="97">
        <f t="shared" si="580"/>
        <v>0</v>
      </c>
      <c r="R142" s="97">
        <f t="shared" si="580"/>
        <v>0</v>
      </c>
      <c r="S142" s="97">
        <f t="shared" ref="S142:T142" si="581">I142-M142</f>
        <v>0</v>
      </c>
      <c r="T142" s="97">
        <f t="shared" si="581"/>
        <v>0</v>
      </c>
      <c r="U142" s="97">
        <f t="shared" si="576"/>
        <v>0</v>
      </c>
      <c r="V142" s="98" t="e">
        <f t="shared" ref="V142:W142" si="582">M142/I142</f>
        <v>#DIV/0!</v>
      </c>
      <c r="W142" s="98" t="e">
        <f t="shared" si="582"/>
        <v>#DIV/0!</v>
      </c>
      <c r="X142" s="98" t="e">
        <f t="shared" si="578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61"/>
        <v>#DIV/0!</v>
      </c>
      <c r="H143" s="94" t="e">
        <f t="shared" si="562"/>
        <v>#DIV/0!</v>
      </c>
      <c r="I143" s="96"/>
      <c r="J143" s="96"/>
      <c r="K143" s="96"/>
      <c r="L143" s="244"/>
      <c r="M143" s="97">
        <f t="shared" ref="M143:O143" si="583">Y143+AB143+AE143+AH143+AK143+AN143+AQ143+AT143+AW143+AZ143+BC143+BF143</f>
        <v>0</v>
      </c>
      <c r="N143" s="97">
        <f t="shared" si="583"/>
        <v>0</v>
      </c>
      <c r="O143" s="97">
        <f t="shared" si="583"/>
        <v>0</v>
      </c>
      <c r="P143" s="97">
        <f t="shared" ref="P143:R143" si="584">IF(BI143=0,SUM(Y143+AB143+AE143+AH143+AK143+AN143+AQ143+AT143+AW143+AZ143+BC143+BF143),BI143)</f>
        <v>0</v>
      </c>
      <c r="Q143" s="97">
        <f t="shared" si="584"/>
        <v>0</v>
      </c>
      <c r="R143" s="97">
        <f t="shared" si="584"/>
        <v>0</v>
      </c>
      <c r="S143" s="97">
        <f t="shared" ref="S143:T143" si="585">I143-M143</f>
        <v>0</v>
      </c>
      <c r="T143" s="97">
        <f t="shared" si="585"/>
        <v>0</v>
      </c>
      <c r="U143" s="97">
        <f t="shared" si="576"/>
        <v>0</v>
      </c>
      <c r="V143" s="98" t="e">
        <f t="shared" ref="V143:W143" si="586">M143/I143</f>
        <v>#DIV/0!</v>
      </c>
      <c r="W143" s="98" t="e">
        <f t="shared" si="586"/>
        <v>#DIV/0!</v>
      </c>
      <c r="X143" s="98" t="e">
        <f t="shared" si="578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>
        <f t="shared" ref="N144:O144" si="587">Z144+AC144+AF144+AI144+AL144+AO144+AR144+AU144+AX144+BA144+BD144+BG144</f>
        <v>4237.2</v>
      </c>
      <c r="O144" s="97">
        <f t="shared" si="587"/>
        <v>0</v>
      </c>
      <c r="P144" s="97">
        <f t="shared" ref="P144:Q144" si="588">IF(BI144=0,SUM(Y144+AB144+AE144+AH144+AK144+AN144+AQ144+AT144+AW144+AZ144+BC144+BF144),BI144)</f>
        <v>0</v>
      </c>
      <c r="Q144" s="97">
        <f t="shared" si="588"/>
        <v>4237.2</v>
      </c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589">SUM(E146:E149)</f>
        <v>0</v>
      </c>
      <c r="F145" s="186">
        <f t="shared" si="589"/>
        <v>0</v>
      </c>
      <c r="G145" s="223" t="e">
        <f t="shared" ref="G145:G147" si="590">I145/E145</f>
        <v>#DIV/0!</v>
      </c>
      <c r="H145" s="187" t="e">
        <f t="shared" ref="H145:H147" si="591">M145/E145</f>
        <v>#DIV/0!</v>
      </c>
      <c r="I145" s="186">
        <f t="shared" ref="I145:O145" si="592">SUM(I146:I149)</f>
        <v>0</v>
      </c>
      <c r="J145" s="186">
        <f t="shared" si="592"/>
        <v>500</v>
      </c>
      <c r="K145" s="186">
        <f t="shared" si="592"/>
        <v>0</v>
      </c>
      <c r="L145" s="186">
        <f t="shared" si="592"/>
        <v>0</v>
      </c>
      <c r="M145" s="186">
        <f t="shared" si="592"/>
        <v>0</v>
      </c>
      <c r="N145" s="186">
        <f t="shared" si="592"/>
        <v>500</v>
      </c>
      <c r="O145" s="186">
        <f t="shared" si="592"/>
        <v>0</v>
      </c>
      <c r="P145" s="245">
        <f t="shared" ref="P145:R145" si="593">IF(BI145=0,SUM(Y145+AB145+AE145+AH145+AK145+AN145+AQ145+AT145+AW145+AZ145+BC145+BF145),BI145)</f>
        <v>0</v>
      </c>
      <c r="Q145" s="245">
        <f t="shared" si="593"/>
        <v>500</v>
      </c>
      <c r="R145" s="245">
        <f t="shared" si="593"/>
        <v>0</v>
      </c>
      <c r="S145" s="186">
        <f t="shared" ref="S145:U145" si="594">SUM(S146:S149)</f>
        <v>0</v>
      </c>
      <c r="T145" s="186">
        <f t="shared" si="594"/>
        <v>0</v>
      </c>
      <c r="U145" s="186">
        <f t="shared" si="594"/>
        <v>0</v>
      </c>
      <c r="V145" s="189" t="e">
        <f t="shared" ref="V145:W145" si="595">M145/I145</f>
        <v>#DIV/0!</v>
      </c>
      <c r="W145" s="189">
        <f t="shared" si="595"/>
        <v>1</v>
      </c>
      <c r="X145" s="189" t="e">
        <f t="shared" ref="X145:X147" si="596">O145/L145</f>
        <v>#DIV/0!</v>
      </c>
      <c r="Y145" s="186">
        <f t="shared" ref="Y145:BK145" si="597">SUM(Y146:Y149)</f>
        <v>0</v>
      </c>
      <c r="Z145" s="186">
        <f t="shared" si="597"/>
        <v>500</v>
      </c>
      <c r="AA145" s="186">
        <f t="shared" si="597"/>
        <v>0</v>
      </c>
      <c r="AB145" s="186">
        <f t="shared" si="597"/>
        <v>0</v>
      </c>
      <c r="AC145" s="186">
        <f t="shared" si="597"/>
        <v>0</v>
      </c>
      <c r="AD145" s="186">
        <f t="shared" si="597"/>
        <v>0</v>
      </c>
      <c r="AE145" s="186">
        <f t="shared" si="597"/>
        <v>0</v>
      </c>
      <c r="AF145" s="186">
        <f t="shared" si="597"/>
        <v>0</v>
      </c>
      <c r="AG145" s="186">
        <f t="shared" si="597"/>
        <v>0</v>
      </c>
      <c r="AH145" s="186">
        <f t="shared" si="597"/>
        <v>0</v>
      </c>
      <c r="AI145" s="186">
        <f t="shared" si="597"/>
        <v>0</v>
      </c>
      <c r="AJ145" s="186">
        <f t="shared" si="597"/>
        <v>0</v>
      </c>
      <c r="AK145" s="186">
        <f t="shared" si="597"/>
        <v>0</v>
      </c>
      <c r="AL145" s="186">
        <f t="shared" si="597"/>
        <v>0</v>
      </c>
      <c r="AM145" s="186">
        <f t="shared" si="597"/>
        <v>0</v>
      </c>
      <c r="AN145" s="186">
        <f t="shared" si="597"/>
        <v>0</v>
      </c>
      <c r="AO145" s="186">
        <f t="shared" si="597"/>
        <v>0</v>
      </c>
      <c r="AP145" s="186">
        <f t="shared" si="597"/>
        <v>0</v>
      </c>
      <c r="AQ145" s="186">
        <f t="shared" si="597"/>
        <v>0</v>
      </c>
      <c r="AR145" s="186">
        <f t="shared" si="597"/>
        <v>0</v>
      </c>
      <c r="AS145" s="186">
        <f t="shared" si="597"/>
        <v>0</v>
      </c>
      <c r="AT145" s="186">
        <f t="shared" si="597"/>
        <v>0</v>
      </c>
      <c r="AU145" s="186">
        <f t="shared" si="597"/>
        <v>0</v>
      </c>
      <c r="AV145" s="186">
        <f t="shared" si="597"/>
        <v>0</v>
      </c>
      <c r="AW145" s="186">
        <f t="shared" si="597"/>
        <v>0</v>
      </c>
      <c r="AX145" s="186">
        <f t="shared" si="597"/>
        <v>0</v>
      </c>
      <c r="AY145" s="186">
        <f t="shared" si="597"/>
        <v>0</v>
      </c>
      <c r="AZ145" s="186">
        <f t="shared" si="597"/>
        <v>0</v>
      </c>
      <c r="BA145" s="186">
        <f t="shared" si="597"/>
        <v>0</v>
      </c>
      <c r="BB145" s="186">
        <f t="shared" si="597"/>
        <v>0</v>
      </c>
      <c r="BC145" s="186">
        <f t="shared" si="597"/>
        <v>0</v>
      </c>
      <c r="BD145" s="186">
        <f t="shared" si="597"/>
        <v>0</v>
      </c>
      <c r="BE145" s="186">
        <f t="shared" si="597"/>
        <v>0</v>
      </c>
      <c r="BF145" s="186">
        <f t="shared" si="597"/>
        <v>0</v>
      </c>
      <c r="BG145" s="186">
        <f t="shared" si="597"/>
        <v>0</v>
      </c>
      <c r="BH145" s="186">
        <f t="shared" si="597"/>
        <v>0</v>
      </c>
      <c r="BI145" s="186">
        <f t="shared" si="597"/>
        <v>0</v>
      </c>
      <c r="BJ145" s="186">
        <f t="shared" si="597"/>
        <v>0</v>
      </c>
      <c r="BK145" s="186">
        <f t="shared" si="597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590"/>
        <v>#DIV/0!</v>
      </c>
      <c r="H146" s="94" t="e">
        <f t="shared" si="591"/>
        <v>#DIV/0!</v>
      </c>
      <c r="I146" s="142"/>
      <c r="J146" s="96"/>
      <c r="K146" s="96"/>
      <c r="L146" s="202"/>
      <c r="M146" s="97">
        <f t="shared" ref="M146:O146" si="598">Y146+AB146+AE146+AH146+AK146+AN146+AQ146+AT146+AW146+AZ146+BC146+BF146</f>
        <v>0</v>
      </c>
      <c r="N146" s="97">
        <f t="shared" si="598"/>
        <v>0</v>
      </c>
      <c r="O146" s="97">
        <f t="shared" si="598"/>
        <v>0</v>
      </c>
      <c r="P146" s="97">
        <f t="shared" ref="P146:R146" si="599">IF(BI146=0,SUM(Y146+AB146+AE146+AH146+AK146+AN146+AQ146+AT146+AW146+AZ146+BC146+BF146),BI146)</f>
        <v>0</v>
      </c>
      <c r="Q146" s="97">
        <f t="shared" si="599"/>
        <v>0</v>
      </c>
      <c r="R146" s="97">
        <f t="shared" si="599"/>
        <v>0</v>
      </c>
      <c r="S146" s="97">
        <f t="shared" ref="S146:T146" si="600">I146-M146</f>
        <v>0</v>
      </c>
      <c r="T146" s="97">
        <f t="shared" si="600"/>
        <v>0</v>
      </c>
      <c r="U146" s="97">
        <f t="shared" ref="U146:U147" si="601">L146-O146</f>
        <v>0</v>
      </c>
      <c r="V146" s="98" t="e">
        <f t="shared" ref="V146:W146" si="602">M146/I146</f>
        <v>#DIV/0!</v>
      </c>
      <c r="W146" s="98" t="e">
        <f t="shared" si="602"/>
        <v>#DIV/0!</v>
      </c>
      <c r="X146" s="98" t="e">
        <f t="shared" si="596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590"/>
        <v>#DIV/0!</v>
      </c>
      <c r="H147" s="94" t="e">
        <f t="shared" si="591"/>
        <v>#DIV/0!</v>
      </c>
      <c r="I147" s="119"/>
      <c r="J147" s="96"/>
      <c r="K147" s="96"/>
      <c r="L147" s="202"/>
      <c r="M147" s="97">
        <f t="shared" ref="M147:O147" si="603">Y147+AB147+AE147+AH147+AK147+AN147+AQ147+AT147+AW147+AZ147+BC147+BF147</f>
        <v>0</v>
      </c>
      <c r="N147" s="97">
        <f t="shared" si="603"/>
        <v>0</v>
      </c>
      <c r="O147" s="97">
        <f t="shared" si="603"/>
        <v>0</v>
      </c>
      <c r="P147" s="97">
        <f t="shared" ref="P147:R147" si="604">IF(BI147=0,SUM(Y147+AB147+AE147+AH147+AK147+AN147+AQ147+AT147+AW147+AZ147+BC147+BF147),BI147)</f>
        <v>0</v>
      </c>
      <c r="Q147" s="97">
        <f t="shared" si="604"/>
        <v>0</v>
      </c>
      <c r="R147" s="97">
        <f t="shared" si="604"/>
        <v>0</v>
      </c>
      <c r="S147" s="97">
        <f t="shared" ref="S147:T147" si="605">I147-M147</f>
        <v>0</v>
      </c>
      <c r="T147" s="97">
        <f t="shared" si="605"/>
        <v>0</v>
      </c>
      <c r="U147" s="97">
        <f t="shared" si="601"/>
        <v>0</v>
      </c>
      <c r="V147" s="98" t="e">
        <f t="shared" ref="V147:W147" si="606">M147/I147</f>
        <v>#DIV/0!</v>
      </c>
      <c r="W147" s="98" t="e">
        <f t="shared" si="606"/>
        <v>#DIV/0!</v>
      </c>
      <c r="X147" s="98" t="e">
        <f t="shared" si="596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>
        <f t="shared" ref="N148:O148" si="607">Z148+AC148+AF148+AI148+AL148+AO148+AR148+AU148+AX148+BA148+BD148+BG148</f>
        <v>500</v>
      </c>
      <c r="O148" s="97">
        <f t="shared" si="607"/>
        <v>0</v>
      </c>
      <c r="P148" s="97">
        <f t="shared" ref="P148:R148" si="608">IF(BI148=0,SUM(Y148+AB148+AE148+AH148+AK148+AN148+AQ148+AT148+AW148+AZ148+BC148+BF148),BI148)</f>
        <v>0</v>
      </c>
      <c r="Q148" s="97">
        <f t="shared" si="608"/>
        <v>500</v>
      </c>
      <c r="R148" s="97">
        <f t="shared" si="608"/>
        <v>0</v>
      </c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09">I149/E149</f>
        <v>#DIV/0!</v>
      </c>
      <c r="H149" s="94" t="e">
        <f t="shared" ref="H149:H151" si="610">M149/E149</f>
        <v>#DIV/0!</v>
      </c>
      <c r="I149" s="96"/>
      <c r="J149" s="96"/>
      <c r="K149" s="96"/>
      <c r="L149" s="96"/>
      <c r="M149" s="97">
        <f t="shared" ref="M149:O149" si="611">Y149+AB149+AE149+AH149+AK149+AN149+AQ149+AT149+AW149+AZ149+BC149+BF149</f>
        <v>0</v>
      </c>
      <c r="N149" s="97">
        <f t="shared" si="611"/>
        <v>0</v>
      </c>
      <c r="O149" s="97">
        <f t="shared" si="611"/>
        <v>0</v>
      </c>
      <c r="P149" s="97">
        <f t="shared" ref="P149:R149" si="612">IF(BI149=0,SUM(Y149+AB149+AE149+AH149+AK149+AN149+AQ149+AT149+AW149+AZ149+BC149+BF149),BI149)</f>
        <v>0</v>
      </c>
      <c r="Q149" s="97">
        <f t="shared" si="612"/>
        <v>0</v>
      </c>
      <c r="R149" s="97">
        <f t="shared" si="612"/>
        <v>0</v>
      </c>
      <c r="S149" s="97">
        <f t="shared" ref="S149:T149" si="613">I149-M149</f>
        <v>0</v>
      </c>
      <c r="T149" s="97">
        <f t="shared" si="613"/>
        <v>0</v>
      </c>
      <c r="U149" s="97">
        <f>L149-O149</f>
        <v>0</v>
      </c>
      <c r="V149" s="98" t="e">
        <f t="shared" ref="V149:W149" si="614">M149/I149</f>
        <v>#DIV/0!</v>
      </c>
      <c r="W149" s="98" t="e">
        <f t="shared" si="614"/>
        <v>#DIV/0!</v>
      </c>
      <c r="X149" s="98" t="e">
        <f t="shared" ref="X149:X156" si="615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16">SUM(E151:E153)</f>
        <v>0</v>
      </c>
      <c r="F150" s="249">
        <f t="shared" si="616"/>
        <v>0</v>
      </c>
      <c r="G150" s="223" t="e">
        <f t="shared" si="609"/>
        <v>#DIV/0!</v>
      </c>
      <c r="H150" s="187" t="e">
        <f t="shared" si="610"/>
        <v>#DIV/0!</v>
      </c>
      <c r="I150" s="249">
        <f t="shared" ref="I150:O150" si="617">SUM(I151:I153)</f>
        <v>0</v>
      </c>
      <c r="J150" s="249">
        <f t="shared" si="617"/>
        <v>293.62</v>
      </c>
      <c r="K150" s="249">
        <f t="shared" si="617"/>
        <v>0</v>
      </c>
      <c r="L150" s="249">
        <f t="shared" si="617"/>
        <v>0</v>
      </c>
      <c r="M150" s="249">
        <f t="shared" si="617"/>
        <v>0</v>
      </c>
      <c r="N150" s="249">
        <f t="shared" si="617"/>
        <v>0</v>
      </c>
      <c r="O150" s="249">
        <f t="shared" si="617"/>
        <v>0</v>
      </c>
      <c r="P150" s="238">
        <f t="shared" ref="P150:R150" si="618">IF(BI150=0,SUM(Y150+AB150+AE150+AH150+AK150+AN150+AQ150+AT150+AW150+AZ150+BC150+BF150),BI150)</f>
        <v>0</v>
      </c>
      <c r="Q150" s="238">
        <f t="shared" si="618"/>
        <v>0</v>
      </c>
      <c r="R150" s="238">
        <f t="shared" si="618"/>
        <v>0</v>
      </c>
      <c r="S150" s="249">
        <f t="shared" ref="S150:U150" si="619">SUM(S151:S153)</f>
        <v>0</v>
      </c>
      <c r="T150" s="249">
        <f t="shared" si="619"/>
        <v>293.62</v>
      </c>
      <c r="U150" s="249">
        <f t="shared" si="619"/>
        <v>0</v>
      </c>
      <c r="V150" s="250" t="e">
        <f t="shared" ref="V150:W150" si="620">M150/I150</f>
        <v>#DIV/0!</v>
      </c>
      <c r="W150" s="250">
        <f t="shared" si="620"/>
        <v>0</v>
      </c>
      <c r="X150" s="250" t="e">
        <f t="shared" si="615"/>
        <v>#DIV/0!</v>
      </c>
      <c r="Y150" s="249">
        <f t="shared" ref="Y150:BK150" si="621">SUM(Y151:Y153)</f>
        <v>0</v>
      </c>
      <c r="Z150" s="249">
        <f t="shared" si="621"/>
        <v>0</v>
      </c>
      <c r="AA150" s="249">
        <f t="shared" si="621"/>
        <v>0</v>
      </c>
      <c r="AB150" s="249">
        <f t="shared" si="621"/>
        <v>0</v>
      </c>
      <c r="AC150" s="249">
        <f t="shared" si="621"/>
        <v>0</v>
      </c>
      <c r="AD150" s="249">
        <f t="shared" si="621"/>
        <v>0</v>
      </c>
      <c r="AE150" s="249">
        <f t="shared" si="621"/>
        <v>0</v>
      </c>
      <c r="AF150" s="249">
        <f t="shared" si="621"/>
        <v>0</v>
      </c>
      <c r="AG150" s="249">
        <f t="shared" si="621"/>
        <v>0</v>
      </c>
      <c r="AH150" s="249">
        <f t="shared" si="621"/>
        <v>0</v>
      </c>
      <c r="AI150" s="249">
        <f t="shared" si="621"/>
        <v>0</v>
      </c>
      <c r="AJ150" s="249">
        <f t="shared" si="621"/>
        <v>0</v>
      </c>
      <c r="AK150" s="249">
        <f t="shared" si="621"/>
        <v>0</v>
      </c>
      <c r="AL150" s="249">
        <f t="shared" si="621"/>
        <v>0</v>
      </c>
      <c r="AM150" s="249">
        <f t="shared" si="621"/>
        <v>0</v>
      </c>
      <c r="AN150" s="249">
        <f t="shared" si="621"/>
        <v>0</v>
      </c>
      <c r="AO150" s="249">
        <f t="shared" si="621"/>
        <v>0</v>
      </c>
      <c r="AP150" s="249">
        <f t="shared" si="621"/>
        <v>0</v>
      </c>
      <c r="AQ150" s="249">
        <f t="shared" si="621"/>
        <v>0</v>
      </c>
      <c r="AR150" s="249">
        <f t="shared" si="621"/>
        <v>0</v>
      </c>
      <c r="AS150" s="249">
        <f t="shared" si="621"/>
        <v>0</v>
      </c>
      <c r="AT150" s="249">
        <f t="shared" si="621"/>
        <v>0</v>
      </c>
      <c r="AU150" s="249">
        <f t="shared" si="621"/>
        <v>0</v>
      </c>
      <c r="AV150" s="249">
        <f t="shared" si="621"/>
        <v>0</v>
      </c>
      <c r="AW150" s="249">
        <f t="shared" si="621"/>
        <v>0</v>
      </c>
      <c r="AX150" s="249">
        <f t="shared" si="621"/>
        <v>0</v>
      </c>
      <c r="AY150" s="249">
        <f t="shared" si="621"/>
        <v>0</v>
      </c>
      <c r="AZ150" s="249">
        <f t="shared" si="621"/>
        <v>0</v>
      </c>
      <c r="BA150" s="249">
        <f t="shared" si="621"/>
        <v>0</v>
      </c>
      <c r="BB150" s="249">
        <f t="shared" si="621"/>
        <v>0</v>
      </c>
      <c r="BC150" s="249">
        <f t="shared" si="621"/>
        <v>0</v>
      </c>
      <c r="BD150" s="249">
        <f t="shared" si="621"/>
        <v>0</v>
      </c>
      <c r="BE150" s="249">
        <f t="shared" si="621"/>
        <v>0</v>
      </c>
      <c r="BF150" s="249">
        <f t="shared" si="621"/>
        <v>0</v>
      </c>
      <c r="BG150" s="249">
        <f t="shared" si="621"/>
        <v>0</v>
      </c>
      <c r="BH150" s="249">
        <f t="shared" si="621"/>
        <v>0</v>
      </c>
      <c r="BI150" s="249">
        <f t="shared" si="621"/>
        <v>0</v>
      </c>
      <c r="BJ150" s="249">
        <f t="shared" si="621"/>
        <v>0</v>
      </c>
      <c r="BK150" s="249">
        <f t="shared" si="621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09"/>
        <v>#DIV/0!</v>
      </c>
      <c r="H151" s="94" t="e">
        <f t="shared" si="610"/>
        <v>#DIV/0!</v>
      </c>
      <c r="I151" s="142"/>
      <c r="J151" s="131">
        <v>293.62</v>
      </c>
      <c r="K151" s="204"/>
      <c r="L151" s="202"/>
      <c r="M151" s="97">
        <f t="shared" ref="M151:O151" si="622">Y151+AB151+AE151+AH151+AK151+AN151+AQ151+AT151+AW151+AZ151+BC151+BF151</f>
        <v>0</v>
      </c>
      <c r="N151" s="97">
        <f t="shared" si="622"/>
        <v>0</v>
      </c>
      <c r="O151" s="97">
        <f t="shared" si="622"/>
        <v>0</v>
      </c>
      <c r="P151" s="97">
        <f t="shared" ref="P151:R151" si="623">IF(BI151=0,SUM(Y151+AB151+AE151+AH151+AK151+AN151+AQ151+AT151+AW151+AZ151+BC151+BF151),BI151)</f>
        <v>0</v>
      </c>
      <c r="Q151" s="97">
        <f t="shared" si="623"/>
        <v>0</v>
      </c>
      <c r="R151" s="97">
        <f t="shared" si="623"/>
        <v>0</v>
      </c>
      <c r="S151" s="97">
        <f t="shared" ref="S151:T151" si="624">I151-M151</f>
        <v>0</v>
      </c>
      <c r="T151" s="97">
        <f t="shared" si="624"/>
        <v>293.62</v>
      </c>
      <c r="U151" s="97">
        <f t="shared" ref="U151:U153" si="625">L151-O151</f>
        <v>0</v>
      </c>
      <c r="V151" s="98" t="e">
        <f t="shared" ref="V151:W151" si="626">M151/I151</f>
        <v>#DIV/0!</v>
      </c>
      <c r="W151" s="98">
        <f t="shared" si="626"/>
        <v>0</v>
      </c>
      <c r="X151" s="98" t="e">
        <f t="shared" si="615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27">Y152+AB152+AE152+AH152+AK152+AN152+AQ152+AT152+AW152+AZ152+BC152+BF152</f>
        <v>0</v>
      </c>
      <c r="N152" s="97">
        <f t="shared" si="627"/>
        <v>0</v>
      </c>
      <c r="O152" s="97">
        <f t="shared" si="627"/>
        <v>0</v>
      </c>
      <c r="P152" s="97">
        <f t="shared" ref="P152:R152" si="628">IF(BI152=0,SUM(Y152+AB152+AE152+AH152+AK152+AN152+AQ152+AT152+AW152+AZ152+BC152+BF152),BI152)</f>
        <v>0</v>
      </c>
      <c r="Q152" s="97">
        <f t="shared" si="628"/>
        <v>0</v>
      </c>
      <c r="R152" s="97">
        <f t="shared" si="628"/>
        <v>0</v>
      </c>
      <c r="S152" s="97">
        <f t="shared" ref="S152:T152" si="629">I152-M152</f>
        <v>0</v>
      </c>
      <c r="T152" s="97">
        <f t="shared" si="629"/>
        <v>0</v>
      </c>
      <c r="U152" s="97">
        <f t="shared" si="625"/>
        <v>0</v>
      </c>
      <c r="V152" s="98" t="e">
        <f t="shared" ref="V152:W152" si="630">M152/I152</f>
        <v>#DIV/0!</v>
      </c>
      <c r="W152" s="98" t="e">
        <f t="shared" si="630"/>
        <v>#DIV/0!</v>
      </c>
      <c r="X152" s="98" t="e">
        <f t="shared" si="615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31">I153/E153</f>
        <v>#DIV/0!</v>
      </c>
      <c r="H153" s="94" t="e">
        <f t="shared" ref="H153:H156" si="632">M153/E153</f>
        <v>#DIV/0!</v>
      </c>
      <c r="I153" s="96"/>
      <c r="J153" s="96"/>
      <c r="K153" s="96"/>
      <c r="L153" s="96"/>
      <c r="M153" s="97">
        <f t="shared" ref="M153:O153" si="633">Y153+AB153+AE153+AH153+AK153+AN153+AQ153+AT153+AW153+AZ153+BC153+BF153</f>
        <v>0</v>
      </c>
      <c r="N153" s="97">
        <f t="shared" si="633"/>
        <v>0</v>
      </c>
      <c r="O153" s="97">
        <f t="shared" si="633"/>
        <v>0</v>
      </c>
      <c r="P153" s="97">
        <f t="shared" ref="P153:R153" si="634">IF(BI153=0,SUM(Y153+AB153+AE153+AH153+AK153+AN153+AQ153+AT153+AW153+AZ153+BC153+BF153),BI153)</f>
        <v>0</v>
      </c>
      <c r="Q153" s="97">
        <f t="shared" si="634"/>
        <v>0</v>
      </c>
      <c r="R153" s="97">
        <f t="shared" si="634"/>
        <v>0</v>
      </c>
      <c r="S153" s="97">
        <f t="shared" ref="S153:T153" si="635">I153-M153</f>
        <v>0</v>
      </c>
      <c r="T153" s="97">
        <f t="shared" si="635"/>
        <v>0</v>
      </c>
      <c r="U153" s="97">
        <f t="shared" si="625"/>
        <v>0</v>
      </c>
      <c r="V153" s="98" t="e">
        <f t="shared" ref="V153:W153" si="636">M153/I153</f>
        <v>#DIV/0!</v>
      </c>
      <c r="W153" s="98" t="e">
        <f t="shared" si="636"/>
        <v>#DIV/0!</v>
      </c>
      <c r="X153" s="98" t="e">
        <f t="shared" si="615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37">SUM(E155:E158)</f>
        <v>0</v>
      </c>
      <c r="F154" s="249">
        <f t="shared" si="637"/>
        <v>0</v>
      </c>
      <c r="G154" s="223" t="e">
        <f t="shared" si="631"/>
        <v>#DIV/0!</v>
      </c>
      <c r="H154" s="187" t="e">
        <f t="shared" si="632"/>
        <v>#DIV/0!</v>
      </c>
      <c r="I154" s="249">
        <f t="shared" ref="I154:O154" si="638">SUM(I155:I158)</f>
        <v>0</v>
      </c>
      <c r="J154" s="249">
        <f t="shared" si="638"/>
        <v>8700</v>
      </c>
      <c r="K154" s="249">
        <f t="shared" si="638"/>
        <v>0</v>
      </c>
      <c r="L154" s="249">
        <f t="shared" si="638"/>
        <v>0</v>
      </c>
      <c r="M154" s="249">
        <f t="shared" si="638"/>
        <v>0</v>
      </c>
      <c r="N154" s="249">
        <f t="shared" si="638"/>
        <v>0</v>
      </c>
      <c r="O154" s="249">
        <f t="shared" si="638"/>
        <v>0</v>
      </c>
      <c r="P154" s="238">
        <f t="shared" ref="P154:R154" si="639">IF(BI154=0,SUM(Y154+AB154+AE154+AH154+AK154+AN154+AQ154+AT154+AW154+AZ154+BC154+BF154),BI154)</f>
        <v>0</v>
      </c>
      <c r="Q154" s="238">
        <f t="shared" si="639"/>
        <v>0</v>
      </c>
      <c r="R154" s="238">
        <f t="shared" si="639"/>
        <v>0</v>
      </c>
      <c r="S154" s="249">
        <f t="shared" ref="S154:U154" si="640">SUM(S155:S158)</f>
        <v>0</v>
      </c>
      <c r="T154" s="249">
        <f t="shared" si="640"/>
        <v>8700</v>
      </c>
      <c r="U154" s="249">
        <f t="shared" si="640"/>
        <v>0</v>
      </c>
      <c r="V154" s="250" t="e">
        <f t="shared" ref="V154:W154" si="641">M154/I154</f>
        <v>#DIV/0!</v>
      </c>
      <c r="W154" s="250">
        <f t="shared" si="641"/>
        <v>0</v>
      </c>
      <c r="X154" s="250" t="e">
        <f t="shared" si="615"/>
        <v>#DIV/0!</v>
      </c>
      <c r="Y154" s="249">
        <f t="shared" ref="Y154:BK154" si="642">SUM(Y155:Y158)</f>
        <v>0</v>
      </c>
      <c r="Z154" s="249">
        <f t="shared" si="642"/>
        <v>0</v>
      </c>
      <c r="AA154" s="249">
        <f t="shared" si="642"/>
        <v>0</v>
      </c>
      <c r="AB154" s="249">
        <f t="shared" si="642"/>
        <v>0</v>
      </c>
      <c r="AC154" s="249">
        <f t="shared" si="642"/>
        <v>0</v>
      </c>
      <c r="AD154" s="249">
        <f t="shared" si="642"/>
        <v>0</v>
      </c>
      <c r="AE154" s="249">
        <f t="shared" si="642"/>
        <v>0</v>
      </c>
      <c r="AF154" s="249">
        <f t="shared" si="642"/>
        <v>0</v>
      </c>
      <c r="AG154" s="249">
        <f t="shared" si="642"/>
        <v>0</v>
      </c>
      <c r="AH154" s="249">
        <f t="shared" si="642"/>
        <v>0</v>
      </c>
      <c r="AI154" s="249">
        <f t="shared" si="642"/>
        <v>0</v>
      </c>
      <c r="AJ154" s="249">
        <f t="shared" si="642"/>
        <v>0</v>
      </c>
      <c r="AK154" s="249">
        <f t="shared" si="642"/>
        <v>0</v>
      </c>
      <c r="AL154" s="249">
        <f t="shared" si="642"/>
        <v>0</v>
      </c>
      <c r="AM154" s="249">
        <f t="shared" si="642"/>
        <v>0</v>
      </c>
      <c r="AN154" s="249">
        <f t="shared" si="642"/>
        <v>0</v>
      </c>
      <c r="AO154" s="249">
        <f t="shared" si="642"/>
        <v>0</v>
      </c>
      <c r="AP154" s="249">
        <f t="shared" si="642"/>
        <v>0</v>
      </c>
      <c r="AQ154" s="249">
        <f t="shared" si="642"/>
        <v>0</v>
      </c>
      <c r="AR154" s="249">
        <f t="shared" si="642"/>
        <v>0</v>
      </c>
      <c r="AS154" s="249">
        <f t="shared" si="642"/>
        <v>0</v>
      </c>
      <c r="AT154" s="249">
        <f t="shared" si="642"/>
        <v>0</v>
      </c>
      <c r="AU154" s="249">
        <f t="shared" si="642"/>
        <v>0</v>
      </c>
      <c r="AV154" s="249">
        <f t="shared" si="642"/>
        <v>0</v>
      </c>
      <c r="AW154" s="249">
        <f t="shared" si="642"/>
        <v>0</v>
      </c>
      <c r="AX154" s="249">
        <f t="shared" si="642"/>
        <v>0</v>
      </c>
      <c r="AY154" s="249">
        <f t="shared" si="642"/>
        <v>0</v>
      </c>
      <c r="AZ154" s="249">
        <f t="shared" si="642"/>
        <v>0</v>
      </c>
      <c r="BA154" s="249">
        <f t="shared" si="642"/>
        <v>0</v>
      </c>
      <c r="BB154" s="249">
        <f t="shared" si="642"/>
        <v>0</v>
      </c>
      <c r="BC154" s="249">
        <f t="shared" si="642"/>
        <v>0</v>
      </c>
      <c r="BD154" s="249">
        <f t="shared" si="642"/>
        <v>0</v>
      </c>
      <c r="BE154" s="249">
        <f t="shared" si="642"/>
        <v>0</v>
      </c>
      <c r="BF154" s="249">
        <f t="shared" si="642"/>
        <v>0</v>
      </c>
      <c r="BG154" s="249">
        <f t="shared" si="642"/>
        <v>0</v>
      </c>
      <c r="BH154" s="249">
        <f t="shared" si="642"/>
        <v>0</v>
      </c>
      <c r="BI154" s="249">
        <f t="shared" si="642"/>
        <v>0</v>
      </c>
      <c r="BJ154" s="249">
        <f t="shared" si="642"/>
        <v>0</v>
      </c>
      <c r="BK154" s="249">
        <f t="shared" si="642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31"/>
        <v>#DIV/0!</v>
      </c>
      <c r="H155" s="94" t="e">
        <f t="shared" si="632"/>
        <v>#DIV/0!</v>
      </c>
      <c r="I155" s="96"/>
      <c r="J155" s="96"/>
      <c r="K155" s="96"/>
      <c r="L155" s="95"/>
      <c r="M155" s="97">
        <f t="shared" ref="M155:O155" si="643">Y155+AB155+AE155+AH155+AK155+AN155+AQ155+AT155+AW155+AZ155+BC155+BF155</f>
        <v>0</v>
      </c>
      <c r="N155" s="97">
        <f t="shared" si="643"/>
        <v>0</v>
      </c>
      <c r="O155" s="97">
        <f t="shared" si="643"/>
        <v>0</v>
      </c>
      <c r="P155" s="97">
        <f t="shared" ref="P155:R155" si="644">IF(BI155=0,SUM(Y155+AB155+AE155+AH155+AK155+AN155+AQ155+AT155+AW155+AZ155+BC155+BF155),BI155)</f>
        <v>0</v>
      </c>
      <c r="Q155" s="97">
        <f t="shared" si="644"/>
        <v>0</v>
      </c>
      <c r="R155" s="97">
        <f t="shared" si="644"/>
        <v>0</v>
      </c>
      <c r="S155" s="97">
        <f t="shared" ref="S155:T155" si="645">I155-M155</f>
        <v>0</v>
      </c>
      <c r="T155" s="97">
        <f t="shared" si="645"/>
        <v>0</v>
      </c>
      <c r="U155" s="97">
        <f t="shared" ref="U155:U158" si="646">L155-O155</f>
        <v>0</v>
      </c>
      <c r="V155" s="98" t="e">
        <f t="shared" ref="V155:W155" si="647">M155/I155</f>
        <v>#DIV/0!</v>
      </c>
      <c r="W155" s="98" t="e">
        <f t="shared" si="647"/>
        <v>#DIV/0!</v>
      </c>
      <c r="X155" s="98" t="e">
        <f t="shared" si="615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31"/>
        <v>#DIV/0!</v>
      </c>
      <c r="H156" s="94" t="e">
        <f t="shared" si="632"/>
        <v>#DIV/0!</v>
      </c>
      <c r="I156" s="96"/>
      <c r="J156" s="167">
        <v>8700</v>
      </c>
      <c r="K156" s="117"/>
      <c r="L156" s="95"/>
      <c r="M156" s="97">
        <f t="shared" ref="M156:O156" si="648">Y156+AB156+AE156+AH156+AK156+AN156+AQ156+AT156+AW156+AZ156+BC156+BF156</f>
        <v>0</v>
      </c>
      <c r="N156" s="97">
        <f t="shared" si="648"/>
        <v>0</v>
      </c>
      <c r="O156" s="97">
        <f t="shared" si="648"/>
        <v>0</v>
      </c>
      <c r="P156" s="97">
        <f t="shared" ref="P156:R156" si="649">IF(BI156=0,SUM(Y156+AB156+AE156+AH156+AK156+AN156+AQ156+AT156+AW156+AZ156+BC156+BF156),BI156)</f>
        <v>0</v>
      </c>
      <c r="Q156" s="97">
        <f t="shared" si="649"/>
        <v>0</v>
      </c>
      <c r="R156" s="97">
        <f t="shared" si="649"/>
        <v>0</v>
      </c>
      <c r="S156" s="97">
        <f t="shared" ref="S156:T156" si="650">I156-M156</f>
        <v>0</v>
      </c>
      <c r="T156" s="97">
        <f t="shared" si="650"/>
        <v>8700</v>
      </c>
      <c r="U156" s="97">
        <f t="shared" si="646"/>
        <v>0</v>
      </c>
      <c r="V156" s="98" t="e">
        <f t="shared" ref="V156:W156" si="651">M156/I156</f>
        <v>#DIV/0!</v>
      </c>
      <c r="W156" s="98">
        <f t="shared" si="651"/>
        <v>0</v>
      </c>
      <c r="X156" s="98" t="e">
        <f t="shared" si="615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52">Y157+AB157+AE157+AH157+AK157+AN157+AQ157+AT157+AW157+AZ157+BC157+BF157</f>
        <v>0</v>
      </c>
      <c r="N157" s="97">
        <f t="shared" si="652"/>
        <v>0</v>
      </c>
      <c r="O157" s="97">
        <f t="shared" si="652"/>
        <v>0</v>
      </c>
      <c r="P157" s="97">
        <f t="shared" ref="P157:R157" si="653">IF(BI157=0,SUM(Y157+AB157+AE157+AH157+AK157+AN157+AQ157+AT157+AW157+AZ157+BC157+BF157),BI157)</f>
        <v>0</v>
      </c>
      <c r="Q157" s="97">
        <f t="shared" si="653"/>
        <v>0</v>
      </c>
      <c r="R157" s="97">
        <f t="shared" si="653"/>
        <v>0</v>
      </c>
      <c r="S157" s="97">
        <f t="shared" ref="S157:T157" si="654">I157-M157</f>
        <v>0</v>
      </c>
      <c r="T157" s="97">
        <f t="shared" si="654"/>
        <v>0</v>
      </c>
      <c r="U157" s="97">
        <f t="shared" si="646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89"/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55">I158/E158</f>
        <v>#DIV/0!</v>
      </c>
      <c r="H158" s="94" t="e">
        <f t="shared" ref="H158:H178" si="656">M158/E158</f>
        <v>#DIV/0!</v>
      </c>
      <c r="I158" s="202"/>
      <c r="J158" s="204"/>
      <c r="K158" s="204"/>
      <c r="L158" s="202"/>
      <c r="M158" s="97">
        <f t="shared" ref="M158:N158" si="657">Y158+AB158+AE158+AH158+AK158+AN158+AQ158+AT158+AW158+AZ158+BC158+BF158</f>
        <v>0</v>
      </c>
      <c r="N158" s="97">
        <f t="shared" si="657"/>
        <v>0</v>
      </c>
      <c r="O158" s="97"/>
      <c r="P158" s="97">
        <f t="shared" ref="P158:Q158" si="658">IF(BI158=0,SUM(Y158+AB158+AE158+AH158+AK158+AN158+AQ158+AT158+AW158+AZ158+BC158+BF158),BI158)</f>
        <v>0</v>
      </c>
      <c r="Q158" s="97">
        <f t="shared" si="658"/>
        <v>0</v>
      </c>
      <c r="R158" s="97"/>
      <c r="S158" s="97">
        <f t="shared" ref="S158:T158" si="659">I158-M158</f>
        <v>0</v>
      </c>
      <c r="T158" s="97">
        <f t="shared" si="659"/>
        <v>0</v>
      </c>
      <c r="U158" s="97">
        <f t="shared" si="646"/>
        <v>0</v>
      </c>
      <c r="V158" s="98" t="e">
        <f t="shared" ref="V158:W158" si="660">M158/I158</f>
        <v>#DIV/0!</v>
      </c>
      <c r="W158" s="98" t="e">
        <f t="shared" si="660"/>
        <v>#DIV/0!</v>
      </c>
      <c r="X158" s="98" t="e">
        <f t="shared" ref="X158:X169" si="661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62">E160+E168+E183</f>
        <v>121389.6</v>
      </c>
      <c r="F159" s="87">
        <f t="shared" si="662"/>
        <v>36000</v>
      </c>
      <c r="G159" s="107">
        <f t="shared" si="655"/>
        <v>1.2356907016746081E-2</v>
      </c>
      <c r="H159" s="107">
        <f t="shared" si="656"/>
        <v>0</v>
      </c>
      <c r="I159" s="87">
        <f t="shared" ref="I159:O159" si="663">I160+I168+I183</f>
        <v>1500</v>
      </c>
      <c r="J159" s="87">
        <f t="shared" si="663"/>
        <v>984.93000000000006</v>
      </c>
      <c r="K159" s="87">
        <f t="shared" si="663"/>
        <v>0</v>
      </c>
      <c r="L159" s="87">
        <f t="shared" si="663"/>
        <v>0</v>
      </c>
      <c r="M159" s="87">
        <f t="shared" si="663"/>
        <v>0</v>
      </c>
      <c r="N159" s="87">
        <f t="shared" si="663"/>
        <v>626.89</v>
      </c>
      <c r="O159" s="87">
        <f t="shared" si="663"/>
        <v>0</v>
      </c>
      <c r="P159" s="87">
        <f t="shared" ref="P159:R159" si="664">IF(BI159=0,SUM(Y159+AB159+AE159+AH159+AK159+AN159+AQ159+AT159+AW159+AZ159+BC159+BF159),BI159)</f>
        <v>0</v>
      </c>
      <c r="Q159" s="87">
        <f t="shared" si="664"/>
        <v>626.89</v>
      </c>
      <c r="R159" s="87">
        <f t="shared" si="664"/>
        <v>0</v>
      </c>
      <c r="S159" s="87">
        <f t="shared" ref="S159:U159" si="665">S160+S168+S183</f>
        <v>1500</v>
      </c>
      <c r="T159" s="87">
        <f t="shared" si="665"/>
        <v>358.04</v>
      </c>
      <c r="U159" s="87">
        <f t="shared" si="665"/>
        <v>0</v>
      </c>
      <c r="V159" s="88">
        <f t="shared" ref="V159:W159" si="666">M159/I159</f>
        <v>0</v>
      </c>
      <c r="W159" s="88">
        <f t="shared" si="666"/>
        <v>0.6364817804310966</v>
      </c>
      <c r="X159" s="88" t="e">
        <f t="shared" si="661"/>
        <v>#DIV/0!</v>
      </c>
      <c r="Y159" s="87">
        <f t="shared" ref="Y159:BK159" si="667">Y160+Y168+Y183</f>
        <v>0</v>
      </c>
      <c r="Z159" s="87">
        <f t="shared" si="667"/>
        <v>250</v>
      </c>
      <c r="AA159" s="87">
        <f t="shared" si="667"/>
        <v>0</v>
      </c>
      <c r="AB159" s="87">
        <f t="shared" si="667"/>
        <v>0</v>
      </c>
      <c r="AC159" s="87">
        <f t="shared" si="667"/>
        <v>0</v>
      </c>
      <c r="AD159" s="87">
        <f t="shared" si="667"/>
        <v>0</v>
      </c>
      <c r="AE159" s="87">
        <f t="shared" si="667"/>
        <v>0</v>
      </c>
      <c r="AF159" s="87">
        <f t="shared" si="667"/>
        <v>0</v>
      </c>
      <c r="AG159" s="87">
        <f t="shared" si="667"/>
        <v>0</v>
      </c>
      <c r="AH159" s="87">
        <f t="shared" si="667"/>
        <v>0</v>
      </c>
      <c r="AI159" s="87">
        <f t="shared" si="667"/>
        <v>376.89</v>
      </c>
      <c r="AJ159" s="87">
        <f t="shared" si="667"/>
        <v>0</v>
      </c>
      <c r="AK159" s="87">
        <f t="shared" si="667"/>
        <v>0</v>
      </c>
      <c r="AL159" s="87">
        <f t="shared" si="667"/>
        <v>0</v>
      </c>
      <c r="AM159" s="87">
        <f t="shared" si="667"/>
        <v>0</v>
      </c>
      <c r="AN159" s="87">
        <f t="shared" si="667"/>
        <v>0</v>
      </c>
      <c r="AO159" s="87">
        <f t="shared" si="667"/>
        <v>0</v>
      </c>
      <c r="AP159" s="87">
        <f t="shared" si="667"/>
        <v>0</v>
      </c>
      <c r="AQ159" s="87">
        <f t="shared" si="667"/>
        <v>0</v>
      </c>
      <c r="AR159" s="87">
        <f t="shared" si="667"/>
        <v>0</v>
      </c>
      <c r="AS159" s="87">
        <f t="shared" si="667"/>
        <v>0</v>
      </c>
      <c r="AT159" s="87">
        <f t="shared" si="667"/>
        <v>0</v>
      </c>
      <c r="AU159" s="87">
        <f t="shared" si="667"/>
        <v>0</v>
      </c>
      <c r="AV159" s="87">
        <f t="shared" si="667"/>
        <v>0</v>
      </c>
      <c r="AW159" s="87">
        <f t="shared" si="667"/>
        <v>0</v>
      </c>
      <c r="AX159" s="87">
        <f t="shared" si="667"/>
        <v>0</v>
      </c>
      <c r="AY159" s="87">
        <f t="shared" si="667"/>
        <v>0</v>
      </c>
      <c r="AZ159" s="87">
        <f t="shared" si="667"/>
        <v>0</v>
      </c>
      <c r="BA159" s="87">
        <f t="shared" si="667"/>
        <v>0</v>
      </c>
      <c r="BB159" s="87">
        <f t="shared" si="667"/>
        <v>0</v>
      </c>
      <c r="BC159" s="87">
        <f t="shared" si="667"/>
        <v>0</v>
      </c>
      <c r="BD159" s="87">
        <f t="shared" si="667"/>
        <v>0</v>
      </c>
      <c r="BE159" s="87">
        <f t="shared" si="667"/>
        <v>0</v>
      </c>
      <c r="BF159" s="87">
        <f t="shared" si="667"/>
        <v>0</v>
      </c>
      <c r="BG159" s="87">
        <f t="shared" si="667"/>
        <v>0</v>
      </c>
      <c r="BH159" s="87">
        <f t="shared" si="667"/>
        <v>0</v>
      </c>
      <c r="BI159" s="87">
        <f t="shared" si="667"/>
        <v>0</v>
      </c>
      <c r="BJ159" s="87">
        <f t="shared" si="667"/>
        <v>0</v>
      </c>
      <c r="BK159" s="87">
        <f t="shared" si="667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68">E161+E165</f>
        <v>36444.800000000003</v>
      </c>
      <c r="F160" s="255">
        <f t="shared" si="668"/>
        <v>0</v>
      </c>
      <c r="G160" s="223">
        <f t="shared" si="655"/>
        <v>4.1158135042584948E-2</v>
      </c>
      <c r="H160" s="223">
        <f t="shared" si="656"/>
        <v>0</v>
      </c>
      <c r="I160" s="255">
        <f t="shared" ref="I160:O160" si="669">I161+I165</f>
        <v>1500</v>
      </c>
      <c r="J160" s="255">
        <f t="shared" si="669"/>
        <v>0</v>
      </c>
      <c r="K160" s="255">
        <f t="shared" si="669"/>
        <v>0</v>
      </c>
      <c r="L160" s="255">
        <f t="shared" si="669"/>
        <v>0</v>
      </c>
      <c r="M160" s="255">
        <f t="shared" si="669"/>
        <v>0</v>
      </c>
      <c r="N160" s="255">
        <f t="shared" si="669"/>
        <v>0</v>
      </c>
      <c r="O160" s="255">
        <f t="shared" si="669"/>
        <v>0</v>
      </c>
      <c r="P160" s="245">
        <f t="shared" ref="P160:R160" si="670">IF(BI160=0,SUM(Y160+AB160+AE160+AH160+AK160+AN160+AQ160+AT160+AW160+AZ160+BC160+BF160),BI160)</f>
        <v>0</v>
      </c>
      <c r="Q160" s="245">
        <f t="shared" si="670"/>
        <v>0</v>
      </c>
      <c r="R160" s="245">
        <f t="shared" si="670"/>
        <v>0</v>
      </c>
      <c r="S160" s="255">
        <f t="shared" ref="S160:U160" si="671">S161+S165</f>
        <v>1500</v>
      </c>
      <c r="T160" s="255">
        <f t="shared" si="671"/>
        <v>0</v>
      </c>
      <c r="U160" s="255">
        <f t="shared" si="671"/>
        <v>0</v>
      </c>
      <c r="V160" s="256">
        <f t="shared" ref="V160:W160" si="672">M160/I160</f>
        <v>0</v>
      </c>
      <c r="W160" s="256" t="e">
        <f t="shared" si="672"/>
        <v>#DIV/0!</v>
      </c>
      <c r="X160" s="256" t="e">
        <f t="shared" si="661"/>
        <v>#DIV/0!</v>
      </c>
      <c r="Y160" s="255">
        <f t="shared" ref="Y160:BK160" si="673">Y161+Y165</f>
        <v>0</v>
      </c>
      <c r="Z160" s="255">
        <f t="shared" si="673"/>
        <v>0</v>
      </c>
      <c r="AA160" s="255">
        <f t="shared" si="673"/>
        <v>0</v>
      </c>
      <c r="AB160" s="255">
        <f t="shared" si="673"/>
        <v>0</v>
      </c>
      <c r="AC160" s="255">
        <f t="shared" si="673"/>
        <v>0</v>
      </c>
      <c r="AD160" s="255">
        <f t="shared" si="673"/>
        <v>0</v>
      </c>
      <c r="AE160" s="255">
        <f t="shared" si="673"/>
        <v>0</v>
      </c>
      <c r="AF160" s="255">
        <f t="shared" si="673"/>
        <v>0</v>
      </c>
      <c r="AG160" s="255">
        <f t="shared" si="673"/>
        <v>0</v>
      </c>
      <c r="AH160" s="255">
        <f t="shared" si="673"/>
        <v>0</v>
      </c>
      <c r="AI160" s="255">
        <f t="shared" si="673"/>
        <v>0</v>
      </c>
      <c r="AJ160" s="255">
        <f t="shared" si="673"/>
        <v>0</v>
      </c>
      <c r="AK160" s="255">
        <f t="shared" si="673"/>
        <v>0</v>
      </c>
      <c r="AL160" s="255">
        <f t="shared" si="673"/>
        <v>0</v>
      </c>
      <c r="AM160" s="255">
        <f t="shared" si="673"/>
        <v>0</v>
      </c>
      <c r="AN160" s="255">
        <f t="shared" si="673"/>
        <v>0</v>
      </c>
      <c r="AO160" s="255">
        <f t="shared" si="673"/>
        <v>0</v>
      </c>
      <c r="AP160" s="255">
        <f t="shared" si="673"/>
        <v>0</v>
      </c>
      <c r="AQ160" s="255">
        <f t="shared" si="673"/>
        <v>0</v>
      </c>
      <c r="AR160" s="255">
        <f t="shared" si="673"/>
        <v>0</v>
      </c>
      <c r="AS160" s="255">
        <f t="shared" si="673"/>
        <v>0</v>
      </c>
      <c r="AT160" s="255">
        <f t="shared" si="673"/>
        <v>0</v>
      </c>
      <c r="AU160" s="255">
        <f t="shared" si="673"/>
        <v>0</v>
      </c>
      <c r="AV160" s="255">
        <f t="shared" si="673"/>
        <v>0</v>
      </c>
      <c r="AW160" s="255">
        <f t="shared" si="673"/>
        <v>0</v>
      </c>
      <c r="AX160" s="255">
        <f t="shared" si="673"/>
        <v>0</v>
      </c>
      <c r="AY160" s="255">
        <f t="shared" si="673"/>
        <v>0</v>
      </c>
      <c r="AZ160" s="255">
        <f t="shared" si="673"/>
        <v>0</v>
      </c>
      <c r="BA160" s="255">
        <f t="shared" si="673"/>
        <v>0</v>
      </c>
      <c r="BB160" s="255">
        <f t="shared" si="673"/>
        <v>0</v>
      </c>
      <c r="BC160" s="255">
        <f t="shared" si="673"/>
        <v>0</v>
      </c>
      <c r="BD160" s="255">
        <f t="shared" si="673"/>
        <v>0</v>
      </c>
      <c r="BE160" s="255">
        <f t="shared" si="673"/>
        <v>0</v>
      </c>
      <c r="BF160" s="255">
        <f t="shared" si="673"/>
        <v>0</v>
      </c>
      <c r="BG160" s="255">
        <f t="shared" si="673"/>
        <v>0</v>
      </c>
      <c r="BH160" s="255">
        <f t="shared" si="673"/>
        <v>0</v>
      </c>
      <c r="BI160" s="255">
        <f t="shared" si="673"/>
        <v>0</v>
      </c>
      <c r="BJ160" s="255">
        <f t="shared" si="673"/>
        <v>0</v>
      </c>
      <c r="BK160" s="255">
        <f t="shared" si="673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74">SUM(E162:E164)</f>
        <v>36444.800000000003</v>
      </c>
      <c r="F161" s="231">
        <f t="shared" si="674"/>
        <v>0</v>
      </c>
      <c r="G161" s="187">
        <f t="shared" si="655"/>
        <v>4.1158135042584948E-2</v>
      </c>
      <c r="H161" s="187">
        <f t="shared" si="656"/>
        <v>0</v>
      </c>
      <c r="I161" s="231">
        <f t="shared" ref="I161:O161" si="675">SUM(I162:I164)</f>
        <v>1500</v>
      </c>
      <c r="J161" s="231">
        <f t="shared" si="675"/>
        <v>0</v>
      </c>
      <c r="K161" s="231">
        <f t="shared" si="675"/>
        <v>0</v>
      </c>
      <c r="L161" s="231">
        <f t="shared" si="675"/>
        <v>0</v>
      </c>
      <c r="M161" s="231">
        <f t="shared" si="675"/>
        <v>0</v>
      </c>
      <c r="N161" s="231">
        <f t="shared" si="675"/>
        <v>0</v>
      </c>
      <c r="O161" s="231">
        <f t="shared" si="675"/>
        <v>0</v>
      </c>
      <c r="P161" s="258">
        <f t="shared" ref="P161:R161" si="676">IF(BI161=0,SUM(Y161+AB161+AE161+AH161+AK161+AN161+AQ161+AT161+AW161+AZ161+BC161+BF161),BI161)</f>
        <v>0</v>
      </c>
      <c r="Q161" s="258">
        <f t="shared" si="676"/>
        <v>0</v>
      </c>
      <c r="R161" s="258">
        <f t="shared" si="676"/>
        <v>0</v>
      </c>
      <c r="S161" s="231">
        <f t="shared" ref="S161:U161" si="677">SUM(S162:S164)</f>
        <v>1500</v>
      </c>
      <c r="T161" s="231">
        <f t="shared" si="677"/>
        <v>0</v>
      </c>
      <c r="U161" s="231">
        <f t="shared" si="677"/>
        <v>0</v>
      </c>
      <c r="V161" s="259">
        <f t="shared" ref="V161:W161" si="678">M161/I161</f>
        <v>0</v>
      </c>
      <c r="W161" s="259" t="e">
        <f t="shared" si="678"/>
        <v>#DIV/0!</v>
      </c>
      <c r="X161" s="259" t="e">
        <f t="shared" si="661"/>
        <v>#DIV/0!</v>
      </c>
      <c r="Y161" s="231">
        <f t="shared" ref="Y161:BK161" si="679">SUM(Y162:Y164)</f>
        <v>0</v>
      </c>
      <c r="Z161" s="231">
        <f t="shared" si="679"/>
        <v>0</v>
      </c>
      <c r="AA161" s="231">
        <f t="shared" si="679"/>
        <v>0</v>
      </c>
      <c r="AB161" s="231">
        <f t="shared" si="679"/>
        <v>0</v>
      </c>
      <c r="AC161" s="231">
        <f t="shared" si="679"/>
        <v>0</v>
      </c>
      <c r="AD161" s="231">
        <f t="shared" si="679"/>
        <v>0</v>
      </c>
      <c r="AE161" s="231">
        <f t="shared" si="679"/>
        <v>0</v>
      </c>
      <c r="AF161" s="231">
        <f t="shared" si="679"/>
        <v>0</v>
      </c>
      <c r="AG161" s="231">
        <f t="shared" si="679"/>
        <v>0</v>
      </c>
      <c r="AH161" s="231">
        <f t="shared" si="679"/>
        <v>0</v>
      </c>
      <c r="AI161" s="231">
        <f t="shared" si="679"/>
        <v>0</v>
      </c>
      <c r="AJ161" s="231">
        <f t="shared" si="679"/>
        <v>0</v>
      </c>
      <c r="AK161" s="231">
        <f t="shared" si="679"/>
        <v>0</v>
      </c>
      <c r="AL161" s="231">
        <f t="shared" si="679"/>
        <v>0</v>
      </c>
      <c r="AM161" s="231">
        <f t="shared" si="679"/>
        <v>0</v>
      </c>
      <c r="AN161" s="231">
        <f t="shared" si="679"/>
        <v>0</v>
      </c>
      <c r="AO161" s="231">
        <f t="shared" si="679"/>
        <v>0</v>
      </c>
      <c r="AP161" s="231">
        <f t="shared" si="679"/>
        <v>0</v>
      </c>
      <c r="AQ161" s="231">
        <f t="shared" si="679"/>
        <v>0</v>
      </c>
      <c r="AR161" s="231">
        <f t="shared" si="679"/>
        <v>0</v>
      </c>
      <c r="AS161" s="231">
        <f t="shared" si="679"/>
        <v>0</v>
      </c>
      <c r="AT161" s="231">
        <f t="shared" si="679"/>
        <v>0</v>
      </c>
      <c r="AU161" s="231">
        <f t="shared" si="679"/>
        <v>0</v>
      </c>
      <c r="AV161" s="231">
        <f t="shared" si="679"/>
        <v>0</v>
      </c>
      <c r="AW161" s="231">
        <f t="shared" si="679"/>
        <v>0</v>
      </c>
      <c r="AX161" s="231">
        <f t="shared" si="679"/>
        <v>0</v>
      </c>
      <c r="AY161" s="231">
        <f t="shared" si="679"/>
        <v>0</v>
      </c>
      <c r="AZ161" s="231">
        <f t="shared" si="679"/>
        <v>0</v>
      </c>
      <c r="BA161" s="231">
        <f t="shared" si="679"/>
        <v>0</v>
      </c>
      <c r="BB161" s="231">
        <f t="shared" si="679"/>
        <v>0</v>
      </c>
      <c r="BC161" s="231">
        <f t="shared" si="679"/>
        <v>0</v>
      </c>
      <c r="BD161" s="231">
        <f t="shared" si="679"/>
        <v>0</v>
      </c>
      <c r="BE161" s="231">
        <f t="shared" si="679"/>
        <v>0</v>
      </c>
      <c r="BF161" s="231">
        <f t="shared" si="679"/>
        <v>0</v>
      </c>
      <c r="BG161" s="231">
        <f t="shared" si="679"/>
        <v>0</v>
      </c>
      <c r="BH161" s="231">
        <f t="shared" si="679"/>
        <v>0</v>
      </c>
      <c r="BI161" s="231">
        <f t="shared" si="679"/>
        <v>0</v>
      </c>
      <c r="BJ161" s="231">
        <f t="shared" si="679"/>
        <v>0</v>
      </c>
      <c r="BK161" s="231">
        <f t="shared" si="679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55"/>
        <v>0</v>
      </c>
      <c r="H162" s="94">
        <f t="shared" si="656"/>
        <v>0</v>
      </c>
      <c r="I162" s="142">
        <v>0</v>
      </c>
      <c r="J162" s="96"/>
      <c r="K162" s="96"/>
      <c r="L162" s="96"/>
      <c r="M162" s="97">
        <f t="shared" ref="M162:O162" si="680">Y162+AB162+AE162+AH162+AK162+AN162+AQ162+AT162+AW162+AZ162+BC162+BF162</f>
        <v>0</v>
      </c>
      <c r="N162" s="97">
        <f t="shared" si="680"/>
        <v>0</v>
      </c>
      <c r="O162" s="97">
        <f t="shared" si="680"/>
        <v>0</v>
      </c>
      <c r="P162" s="97">
        <f t="shared" ref="P162:R162" si="681">IF(BI162=0,SUM(Y162+AB162+AE162+AH162+AK162+AN162+AQ162+AT162+AW162+AZ162+BC162+BF162),BI162)</f>
        <v>0</v>
      </c>
      <c r="Q162" s="97">
        <f t="shared" si="681"/>
        <v>0</v>
      </c>
      <c r="R162" s="97">
        <f t="shared" si="681"/>
        <v>0</v>
      </c>
      <c r="S162" s="138">
        <f t="shared" ref="S162:T162" si="682">I162-M162</f>
        <v>0</v>
      </c>
      <c r="T162" s="97">
        <f t="shared" si="682"/>
        <v>0</v>
      </c>
      <c r="U162" s="97">
        <f t="shared" ref="U162:U164" si="683">L162-O162</f>
        <v>0</v>
      </c>
      <c r="V162" s="98" t="e">
        <f t="shared" ref="V162:W162" si="684">M162/I162</f>
        <v>#DIV/0!</v>
      </c>
      <c r="W162" s="98" t="e">
        <f t="shared" si="684"/>
        <v>#DIV/0!</v>
      </c>
      <c r="X162" s="98" t="e">
        <f t="shared" si="661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55"/>
        <v>1</v>
      </c>
      <c r="H163" s="94">
        <f t="shared" si="656"/>
        <v>0</v>
      </c>
      <c r="I163" s="95">
        <v>1500</v>
      </c>
      <c r="J163" s="96"/>
      <c r="K163" s="96"/>
      <c r="L163" s="261"/>
      <c r="M163" s="97">
        <f t="shared" ref="M163:O163" si="685">Y163+AB163+AE163+AH163+AK163+AN163+AQ163+AT163+AW163+AZ163+BC163+BF163</f>
        <v>0</v>
      </c>
      <c r="N163" s="97">
        <f t="shared" si="685"/>
        <v>0</v>
      </c>
      <c r="O163" s="97">
        <f t="shared" si="685"/>
        <v>0</v>
      </c>
      <c r="P163" s="97">
        <f t="shared" ref="P163:R163" si="686">IF(BI163=0,SUM(Y163+AB163+AE163+AH163+AK163+AN163+AQ163+AT163+AW163+AZ163+BC163+BF163),BI163)</f>
        <v>0</v>
      </c>
      <c r="Q163" s="97">
        <f t="shared" si="686"/>
        <v>0</v>
      </c>
      <c r="R163" s="97">
        <f t="shared" si="686"/>
        <v>0</v>
      </c>
      <c r="S163" s="97">
        <f t="shared" ref="S163:T163" si="687">I163-M163</f>
        <v>1500</v>
      </c>
      <c r="T163" s="97">
        <f t="shared" si="687"/>
        <v>0</v>
      </c>
      <c r="U163" s="97">
        <f t="shared" si="683"/>
        <v>0</v>
      </c>
      <c r="V163" s="98">
        <f t="shared" ref="V163:W163" si="688">M163/I163</f>
        <v>0</v>
      </c>
      <c r="W163" s="98" t="e">
        <f t="shared" si="688"/>
        <v>#DIV/0!</v>
      </c>
      <c r="X163" s="98" t="e">
        <f t="shared" si="661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55"/>
        <v>#DIV/0!</v>
      </c>
      <c r="H164" s="94" t="e">
        <f t="shared" si="656"/>
        <v>#DIV/0!</v>
      </c>
      <c r="I164" s="95"/>
      <c r="J164" s="96"/>
      <c r="K164" s="96"/>
      <c r="L164" s="95"/>
      <c r="M164" s="97">
        <f t="shared" ref="M164:O164" si="689">Y164+AB164+AE164+AH164+AK164+AN164+AQ164+AT164+AW164+AZ164+BC164+BF164</f>
        <v>0</v>
      </c>
      <c r="N164" s="97">
        <f t="shared" si="689"/>
        <v>0</v>
      </c>
      <c r="O164" s="97">
        <f t="shared" si="689"/>
        <v>0</v>
      </c>
      <c r="P164" s="97">
        <f t="shared" ref="P164:R164" si="690">IF(BI164=0,SUM(Y164+AB164+AE164+AH164+AK164+AN164+AQ164+AT164+AW164+AZ164+BC164+BF164),BI164)</f>
        <v>0</v>
      </c>
      <c r="Q164" s="97">
        <f t="shared" si="690"/>
        <v>0</v>
      </c>
      <c r="R164" s="97">
        <f t="shared" si="690"/>
        <v>0</v>
      </c>
      <c r="S164" s="97">
        <f t="shared" ref="S164:T164" si="691">I164-M164</f>
        <v>0</v>
      </c>
      <c r="T164" s="97">
        <f t="shared" si="691"/>
        <v>0</v>
      </c>
      <c r="U164" s="97">
        <f t="shared" si="683"/>
        <v>0</v>
      </c>
      <c r="V164" s="98" t="e">
        <f t="shared" ref="V164:W164" si="692">M164/I164</f>
        <v>#DIV/0!</v>
      </c>
      <c r="W164" s="98" t="e">
        <f t="shared" si="692"/>
        <v>#DIV/0!</v>
      </c>
      <c r="X164" s="98" t="e">
        <f t="shared" si="661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693">SUM(E166:E167)</f>
        <v>0</v>
      </c>
      <c r="F165" s="231">
        <f t="shared" si="693"/>
        <v>0</v>
      </c>
      <c r="G165" s="188" t="e">
        <f t="shared" si="655"/>
        <v>#DIV/0!</v>
      </c>
      <c r="H165" s="188" t="e">
        <f t="shared" si="656"/>
        <v>#DIV/0!</v>
      </c>
      <c r="I165" s="231">
        <f t="shared" ref="I165:O165" si="694">SUM(I166:I167)</f>
        <v>0</v>
      </c>
      <c r="J165" s="231">
        <f t="shared" si="694"/>
        <v>0</v>
      </c>
      <c r="K165" s="231">
        <f t="shared" si="694"/>
        <v>0</v>
      </c>
      <c r="L165" s="231">
        <f t="shared" si="694"/>
        <v>0</v>
      </c>
      <c r="M165" s="231">
        <f t="shared" si="694"/>
        <v>0</v>
      </c>
      <c r="N165" s="231">
        <f t="shared" si="694"/>
        <v>0</v>
      </c>
      <c r="O165" s="231">
        <f t="shared" si="694"/>
        <v>0</v>
      </c>
      <c r="P165" s="258">
        <f t="shared" ref="P165:R165" si="695">IF(BI165=0,SUM(Y165+AB165+AE165+AH165+AK165+AN165+AQ165+AT165+AW165+AZ165+BC165+BF165),BI165)</f>
        <v>0</v>
      </c>
      <c r="Q165" s="258">
        <f t="shared" si="695"/>
        <v>0</v>
      </c>
      <c r="R165" s="258">
        <f t="shared" si="695"/>
        <v>0</v>
      </c>
      <c r="S165" s="231">
        <f t="shared" ref="S165:U165" si="696">SUM(S166:S167)</f>
        <v>0</v>
      </c>
      <c r="T165" s="231">
        <f t="shared" si="696"/>
        <v>0</v>
      </c>
      <c r="U165" s="231">
        <f t="shared" si="696"/>
        <v>0</v>
      </c>
      <c r="V165" s="259" t="e">
        <f t="shared" ref="V165:W165" si="697">M165/I165</f>
        <v>#DIV/0!</v>
      </c>
      <c r="W165" s="259" t="e">
        <f t="shared" si="697"/>
        <v>#DIV/0!</v>
      </c>
      <c r="X165" s="259" t="e">
        <f t="shared" si="661"/>
        <v>#DIV/0!</v>
      </c>
      <c r="Y165" s="231">
        <f t="shared" ref="Y165:BK165" si="698">SUM(Y166:Y167)</f>
        <v>0</v>
      </c>
      <c r="Z165" s="231">
        <f t="shared" si="698"/>
        <v>0</v>
      </c>
      <c r="AA165" s="231">
        <f t="shared" si="698"/>
        <v>0</v>
      </c>
      <c r="AB165" s="231">
        <f t="shared" si="698"/>
        <v>0</v>
      </c>
      <c r="AC165" s="231">
        <f t="shared" si="698"/>
        <v>0</v>
      </c>
      <c r="AD165" s="231">
        <f t="shared" si="698"/>
        <v>0</v>
      </c>
      <c r="AE165" s="231">
        <f t="shared" si="698"/>
        <v>0</v>
      </c>
      <c r="AF165" s="231">
        <f t="shared" si="698"/>
        <v>0</v>
      </c>
      <c r="AG165" s="231">
        <f t="shared" si="698"/>
        <v>0</v>
      </c>
      <c r="AH165" s="231">
        <f t="shared" si="698"/>
        <v>0</v>
      </c>
      <c r="AI165" s="231">
        <f t="shared" si="698"/>
        <v>0</v>
      </c>
      <c r="AJ165" s="231">
        <f t="shared" si="698"/>
        <v>0</v>
      </c>
      <c r="AK165" s="231">
        <f t="shared" si="698"/>
        <v>0</v>
      </c>
      <c r="AL165" s="231">
        <f t="shared" si="698"/>
        <v>0</v>
      </c>
      <c r="AM165" s="231">
        <f t="shared" si="698"/>
        <v>0</v>
      </c>
      <c r="AN165" s="231">
        <f t="shared" si="698"/>
        <v>0</v>
      </c>
      <c r="AO165" s="231">
        <f t="shared" si="698"/>
        <v>0</v>
      </c>
      <c r="AP165" s="231">
        <f t="shared" si="698"/>
        <v>0</v>
      </c>
      <c r="AQ165" s="231">
        <f t="shared" si="698"/>
        <v>0</v>
      </c>
      <c r="AR165" s="231">
        <f t="shared" si="698"/>
        <v>0</v>
      </c>
      <c r="AS165" s="231">
        <f t="shared" si="698"/>
        <v>0</v>
      </c>
      <c r="AT165" s="231">
        <f t="shared" si="698"/>
        <v>0</v>
      </c>
      <c r="AU165" s="231">
        <f t="shared" si="698"/>
        <v>0</v>
      </c>
      <c r="AV165" s="231">
        <f t="shared" si="698"/>
        <v>0</v>
      </c>
      <c r="AW165" s="231">
        <f t="shared" si="698"/>
        <v>0</v>
      </c>
      <c r="AX165" s="231">
        <f t="shared" si="698"/>
        <v>0</v>
      </c>
      <c r="AY165" s="231">
        <f t="shared" si="698"/>
        <v>0</v>
      </c>
      <c r="AZ165" s="231">
        <f t="shared" si="698"/>
        <v>0</v>
      </c>
      <c r="BA165" s="231">
        <f t="shared" si="698"/>
        <v>0</v>
      </c>
      <c r="BB165" s="231">
        <f t="shared" si="698"/>
        <v>0</v>
      </c>
      <c r="BC165" s="231">
        <f t="shared" si="698"/>
        <v>0</v>
      </c>
      <c r="BD165" s="231">
        <f t="shared" si="698"/>
        <v>0</v>
      </c>
      <c r="BE165" s="231">
        <f t="shared" si="698"/>
        <v>0</v>
      </c>
      <c r="BF165" s="231">
        <f t="shared" si="698"/>
        <v>0</v>
      </c>
      <c r="BG165" s="231">
        <f t="shared" si="698"/>
        <v>0</v>
      </c>
      <c r="BH165" s="231">
        <f t="shared" si="698"/>
        <v>0</v>
      </c>
      <c r="BI165" s="231">
        <f t="shared" si="698"/>
        <v>0</v>
      </c>
      <c r="BJ165" s="231">
        <f t="shared" si="698"/>
        <v>0</v>
      </c>
      <c r="BK165" s="231">
        <f t="shared" si="698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55"/>
        <v>#DIV/0!</v>
      </c>
      <c r="H166" s="94" t="e">
        <f t="shared" si="656"/>
        <v>#DIV/0!</v>
      </c>
      <c r="I166" s="95"/>
      <c r="J166" s="96"/>
      <c r="K166" s="96"/>
      <c r="L166" s="95"/>
      <c r="M166" s="97">
        <f t="shared" ref="M166:O166" si="699">Y166+AB166+AE166+AH166+AK166+AN166+AQ166+AT166+AW166+AZ166+BC166+BF166</f>
        <v>0</v>
      </c>
      <c r="N166" s="97">
        <f t="shared" si="699"/>
        <v>0</v>
      </c>
      <c r="O166" s="97">
        <f t="shared" si="699"/>
        <v>0</v>
      </c>
      <c r="P166" s="97">
        <f t="shared" ref="P166:R166" si="700">IF(BI166=0,SUM(Y166+AB166+AE166+AH166+AK166+AN166+AQ166+AT166+AW166+AZ166+BC166+BF166),BI166)</f>
        <v>0</v>
      </c>
      <c r="Q166" s="97">
        <f t="shared" si="700"/>
        <v>0</v>
      </c>
      <c r="R166" s="97">
        <f t="shared" si="700"/>
        <v>0</v>
      </c>
      <c r="S166" s="97">
        <f t="shared" ref="S166:T166" si="701">I166-M166</f>
        <v>0</v>
      </c>
      <c r="T166" s="97">
        <f t="shared" si="701"/>
        <v>0</v>
      </c>
      <c r="U166" s="97">
        <f t="shared" ref="U166:U167" si="702">L166-O166</f>
        <v>0</v>
      </c>
      <c r="V166" s="98" t="e">
        <f t="shared" ref="V166:W166" si="703">M166/I166</f>
        <v>#DIV/0!</v>
      </c>
      <c r="W166" s="98" t="e">
        <f t="shared" si="703"/>
        <v>#DIV/0!</v>
      </c>
      <c r="X166" s="98" t="e">
        <f t="shared" si="661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55"/>
        <v>#DIV/0!</v>
      </c>
      <c r="H167" s="94" t="e">
        <f t="shared" si="656"/>
        <v>#DIV/0!</v>
      </c>
      <c r="I167" s="95"/>
      <c r="J167" s="96"/>
      <c r="K167" s="96"/>
      <c r="L167" s="95"/>
      <c r="M167" s="97"/>
      <c r="N167" s="97">
        <f t="shared" ref="N167:O167" si="704">Z167+AC167+AF167+AI167+AL167+AO167+AR167+AU167+AX167+BA167+BD167+BG167</f>
        <v>0</v>
      </c>
      <c r="O167" s="97">
        <f t="shared" si="704"/>
        <v>0</v>
      </c>
      <c r="P167" s="97">
        <f t="shared" ref="P167:R167" si="705">IF(BI167=0,SUM(Y167+AB167+AE167+AH167+AK167+AN167+AQ167+AT167+AW167+AZ167+BC167+BF167),BI167)</f>
        <v>0</v>
      </c>
      <c r="Q167" s="97">
        <f t="shared" si="705"/>
        <v>0</v>
      </c>
      <c r="R167" s="97">
        <f t="shared" si="705"/>
        <v>0</v>
      </c>
      <c r="S167" s="97">
        <f t="shared" ref="S167:T167" si="706">I167-M167</f>
        <v>0</v>
      </c>
      <c r="T167" s="97">
        <f t="shared" si="706"/>
        <v>0</v>
      </c>
      <c r="U167" s="97">
        <f t="shared" si="702"/>
        <v>0</v>
      </c>
      <c r="V167" s="98" t="e">
        <f t="shared" ref="V167:W167" si="707">M167/I167</f>
        <v>#DIV/0!</v>
      </c>
      <c r="W167" s="98" t="e">
        <f t="shared" si="707"/>
        <v>#DIV/0!</v>
      </c>
      <c r="X167" s="98" t="e">
        <f t="shared" si="661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08">E169+E176</f>
        <v>84944.8</v>
      </c>
      <c r="F168" s="255">
        <f t="shared" si="708"/>
        <v>36000</v>
      </c>
      <c r="G168" s="223">
        <f t="shared" si="655"/>
        <v>0</v>
      </c>
      <c r="H168" s="223">
        <f t="shared" si="656"/>
        <v>0</v>
      </c>
      <c r="I168" s="255">
        <f t="shared" ref="I168:O168" si="709">I169+I176</f>
        <v>0</v>
      </c>
      <c r="J168" s="255">
        <f t="shared" si="709"/>
        <v>250</v>
      </c>
      <c r="K168" s="255">
        <f t="shared" si="709"/>
        <v>0</v>
      </c>
      <c r="L168" s="255">
        <f t="shared" si="709"/>
        <v>0</v>
      </c>
      <c r="M168" s="255">
        <f t="shared" si="709"/>
        <v>0</v>
      </c>
      <c r="N168" s="255">
        <f t="shared" si="709"/>
        <v>250</v>
      </c>
      <c r="O168" s="255">
        <f t="shared" si="709"/>
        <v>0</v>
      </c>
      <c r="P168" s="255">
        <f t="shared" ref="P168:R168" si="710">IF(BI168=0,SUM(Y168+AB168+AE168+AH168+AK168+AN168+AQ168+AT168+AW168+AZ168+BC168+BF168),BI168)</f>
        <v>0</v>
      </c>
      <c r="Q168" s="255">
        <f t="shared" si="710"/>
        <v>250</v>
      </c>
      <c r="R168" s="255">
        <f t="shared" si="710"/>
        <v>0</v>
      </c>
      <c r="S168" s="255">
        <f t="shared" ref="S168:U168" si="711">S169+S176</f>
        <v>0</v>
      </c>
      <c r="T168" s="255">
        <f t="shared" si="711"/>
        <v>0</v>
      </c>
      <c r="U168" s="255">
        <f t="shared" si="711"/>
        <v>0</v>
      </c>
      <c r="V168" s="256" t="e">
        <f t="shared" ref="V168:W168" si="712">M168/I168</f>
        <v>#DIV/0!</v>
      </c>
      <c r="W168" s="256">
        <f t="shared" si="712"/>
        <v>1</v>
      </c>
      <c r="X168" s="256" t="e">
        <f t="shared" si="661"/>
        <v>#DIV/0!</v>
      </c>
      <c r="Y168" s="255">
        <f t="shared" ref="Y168:BK168" si="713">Y169+Y176</f>
        <v>0</v>
      </c>
      <c r="Z168" s="255">
        <f t="shared" si="713"/>
        <v>250</v>
      </c>
      <c r="AA168" s="255">
        <f t="shared" si="713"/>
        <v>0</v>
      </c>
      <c r="AB168" s="255">
        <f t="shared" si="713"/>
        <v>0</v>
      </c>
      <c r="AC168" s="255">
        <f t="shared" si="713"/>
        <v>0</v>
      </c>
      <c r="AD168" s="255">
        <f t="shared" si="713"/>
        <v>0</v>
      </c>
      <c r="AE168" s="255">
        <f t="shared" si="713"/>
        <v>0</v>
      </c>
      <c r="AF168" s="255">
        <f t="shared" si="713"/>
        <v>0</v>
      </c>
      <c r="AG168" s="255">
        <f t="shared" si="713"/>
        <v>0</v>
      </c>
      <c r="AH168" s="255">
        <f t="shared" si="713"/>
        <v>0</v>
      </c>
      <c r="AI168" s="255">
        <f t="shared" si="713"/>
        <v>0</v>
      </c>
      <c r="AJ168" s="255">
        <f t="shared" si="713"/>
        <v>0</v>
      </c>
      <c r="AK168" s="255">
        <f t="shared" si="713"/>
        <v>0</v>
      </c>
      <c r="AL168" s="255">
        <f t="shared" si="713"/>
        <v>0</v>
      </c>
      <c r="AM168" s="255">
        <f t="shared" si="713"/>
        <v>0</v>
      </c>
      <c r="AN168" s="255">
        <f t="shared" si="713"/>
        <v>0</v>
      </c>
      <c r="AO168" s="255">
        <f t="shared" si="713"/>
        <v>0</v>
      </c>
      <c r="AP168" s="255">
        <f t="shared" si="713"/>
        <v>0</v>
      </c>
      <c r="AQ168" s="255">
        <f t="shared" si="713"/>
        <v>0</v>
      </c>
      <c r="AR168" s="255">
        <f t="shared" si="713"/>
        <v>0</v>
      </c>
      <c r="AS168" s="255">
        <f t="shared" si="713"/>
        <v>0</v>
      </c>
      <c r="AT168" s="255">
        <f t="shared" si="713"/>
        <v>0</v>
      </c>
      <c r="AU168" s="255">
        <f t="shared" si="713"/>
        <v>0</v>
      </c>
      <c r="AV168" s="255">
        <f t="shared" si="713"/>
        <v>0</v>
      </c>
      <c r="AW168" s="255">
        <f t="shared" si="713"/>
        <v>0</v>
      </c>
      <c r="AX168" s="255">
        <f t="shared" si="713"/>
        <v>0</v>
      </c>
      <c r="AY168" s="255">
        <f t="shared" si="713"/>
        <v>0</v>
      </c>
      <c r="AZ168" s="255">
        <f t="shared" si="713"/>
        <v>0</v>
      </c>
      <c r="BA168" s="255">
        <f t="shared" si="713"/>
        <v>0</v>
      </c>
      <c r="BB168" s="255">
        <f t="shared" si="713"/>
        <v>0</v>
      </c>
      <c r="BC168" s="255">
        <f t="shared" si="713"/>
        <v>0</v>
      </c>
      <c r="BD168" s="255">
        <f t="shared" si="713"/>
        <v>0</v>
      </c>
      <c r="BE168" s="255">
        <f t="shared" si="713"/>
        <v>0</v>
      </c>
      <c r="BF168" s="255">
        <f t="shared" si="713"/>
        <v>0</v>
      </c>
      <c r="BG168" s="255">
        <f t="shared" si="713"/>
        <v>0</v>
      </c>
      <c r="BH168" s="255">
        <f t="shared" si="713"/>
        <v>0</v>
      </c>
      <c r="BI168" s="255">
        <f t="shared" si="713"/>
        <v>0</v>
      </c>
      <c r="BJ168" s="255">
        <f t="shared" si="713"/>
        <v>0</v>
      </c>
      <c r="BK168" s="255">
        <f t="shared" si="713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55"/>
        <v>0</v>
      </c>
      <c r="H169" s="188">
        <f t="shared" si="656"/>
        <v>0</v>
      </c>
      <c r="I169" s="231">
        <f t="shared" ref="I169:K169" si="714">SUM(I170:I175)</f>
        <v>0</v>
      </c>
      <c r="J169" s="231">
        <f t="shared" si="714"/>
        <v>250</v>
      </c>
      <c r="K169" s="231">
        <f t="shared" si="714"/>
        <v>0</v>
      </c>
      <c r="L169" s="231">
        <f t="shared" ref="L169:M169" si="715">SUM(L170:L174)</f>
        <v>0</v>
      </c>
      <c r="M169" s="231">
        <f t="shared" si="715"/>
        <v>0</v>
      </c>
      <c r="N169" s="231">
        <f>SUM(N170:N175)</f>
        <v>250</v>
      </c>
      <c r="O169" s="231">
        <f>SUM(O170:O174)</f>
        <v>0</v>
      </c>
      <c r="P169" s="232">
        <f t="shared" ref="P169:R169" si="716">IF(BI169=0,SUM(Y169+AB169+AE169+AH169+AK169+AN169+AQ169+AT169+AW169+AZ169+BC169+BF169),BI169)</f>
        <v>0</v>
      </c>
      <c r="Q169" s="232">
        <f t="shared" si="716"/>
        <v>250</v>
      </c>
      <c r="R169" s="232">
        <f t="shared" si="716"/>
        <v>0</v>
      </c>
      <c r="S169" s="231">
        <f t="shared" ref="S169:T169" si="717">SUM(S170:S175)</f>
        <v>0</v>
      </c>
      <c r="T169" s="231">
        <f t="shared" si="717"/>
        <v>0</v>
      </c>
      <c r="U169" s="231">
        <f>SUM(U170:U174)</f>
        <v>0</v>
      </c>
      <c r="V169" s="259" t="e">
        <f t="shared" ref="V169:W169" si="718">M169/I169</f>
        <v>#DIV/0!</v>
      </c>
      <c r="W169" s="259">
        <f t="shared" si="718"/>
        <v>1</v>
      </c>
      <c r="X169" s="259" t="e">
        <f t="shared" si="661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19">SUM(AA170:AA174)</f>
        <v>0</v>
      </c>
      <c r="AB169" s="231">
        <f t="shared" si="719"/>
        <v>0</v>
      </c>
      <c r="AC169" s="231">
        <f t="shared" si="719"/>
        <v>0</v>
      </c>
      <c r="AD169" s="231">
        <f t="shared" si="719"/>
        <v>0</v>
      </c>
      <c r="AE169" s="231">
        <f t="shared" si="719"/>
        <v>0</v>
      </c>
      <c r="AF169" s="231">
        <f>SUM(AF170:AF175)</f>
        <v>0</v>
      </c>
      <c r="AG169" s="231">
        <f t="shared" ref="AG169:BK169" si="720">SUM(AG170:AG174)</f>
        <v>0</v>
      </c>
      <c r="AH169" s="231">
        <f t="shared" si="720"/>
        <v>0</v>
      </c>
      <c r="AI169" s="231">
        <f t="shared" si="720"/>
        <v>0</v>
      </c>
      <c r="AJ169" s="231">
        <f t="shared" si="720"/>
        <v>0</v>
      </c>
      <c r="AK169" s="231">
        <f t="shared" si="720"/>
        <v>0</v>
      </c>
      <c r="AL169" s="231">
        <f t="shared" si="720"/>
        <v>0</v>
      </c>
      <c r="AM169" s="231">
        <f t="shared" si="720"/>
        <v>0</v>
      </c>
      <c r="AN169" s="231">
        <f t="shared" si="720"/>
        <v>0</v>
      </c>
      <c r="AO169" s="231">
        <f t="shared" si="720"/>
        <v>0</v>
      </c>
      <c r="AP169" s="231">
        <f t="shared" si="720"/>
        <v>0</v>
      </c>
      <c r="AQ169" s="231">
        <f t="shared" si="720"/>
        <v>0</v>
      </c>
      <c r="AR169" s="231">
        <f t="shared" si="720"/>
        <v>0</v>
      </c>
      <c r="AS169" s="231">
        <f t="shared" si="720"/>
        <v>0</v>
      </c>
      <c r="AT169" s="231">
        <f t="shared" si="720"/>
        <v>0</v>
      </c>
      <c r="AU169" s="231">
        <f t="shared" si="720"/>
        <v>0</v>
      </c>
      <c r="AV169" s="231">
        <f t="shared" si="720"/>
        <v>0</v>
      </c>
      <c r="AW169" s="231">
        <f t="shared" si="720"/>
        <v>0</v>
      </c>
      <c r="AX169" s="231">
        <f t="shared" si="720"/>
        <v>0</v>
      </c>
      <c r="AY169" s="231">
        <f t="shared" si="720"/>
        <v>0</v>
      </c>
      <c r="AZ169" s="231">
        <f t="shared" si="720"/>
        <v>0</v>
      </c>
      <c r="BA169" s="231">
        <f t="shared" si="720"/>
        <v>0</v>
      </c>
      <c r="BB169" s="231">
        <f t="shared" si="720"/>
        <v>0</v>
      </c>
      <c r="BC169" s="231">
        <f t="shared" si="720"/>
        <v>0</v>
      </c>
      <c r="BD169" s="231">
        <f t="shared" si="720"/>
        <v>0</v>
      </c>
      <c r="BE169" s="231">
        <f t="shared" si="720"/>
        <v>0</v>
      </c>
      <c r="BF169" s="231">
        <f t="shared" si="720"/>
        <v>0</v>
      </c>
      <c r="BG169" s="231">
        <f t="shared" si="720"/>
        <v>0</v>
      </c>
      <c r="BH169" s="231">
        <f t="shared" si="720"/>
        <v>0</v>
      </c>
      <c r="BI169" s="231">
        <f t="shared" si="720"/>
        <v>0</v>
      </c>
      <c r="BJ169" s="231">
        <f t="shared" si="720"/>
        <v>0</v>
      </c>
      <c r="BK169" s="231">
        <f t="shared" si="720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55"/>
        <v>0</v>
      </c>
      <c r="H170" s="94">
        <f t="shared" si="656"/>
        <v>0</v>
      </c>
      <c r="I170" s="95"/>
      <c r="J170" s="95"/>
      <c r="K170" s="95"/>
      <c r="L170" s="263"/>
      <c r="M170" s="97"/>
      <c r="N170" s="97">
        <f t="shared" ref="N170:N171" si="721">Z170+AC170+AF170+AI170+AL170+AO170+AR170+AU170+AX170+BA170+BD170+BG170</f>
        <v>0</v>
      </c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55"/>
        <v>0</v>
      </c>
      <c r="H171" s="94">
        <f t="shared" si="656"/>
        <v>0</v>
      </c>
      <c r="I171" s="95">
        <v>0</v>
      </c>
      <c r="J171" s="95"/>
      <c r="K171" s="95"/>
      <c r="L171" s="263"/>
      <c r="M171" s="97"/>
      <c r="N171" s="97">
        <f t="shared" si="721"/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55"/>
        <v>#DIV/0!</v>
      </c>
      <c r="H172" s="94" t="e">
        <f t="shared" si="656"/>
        <v>#DIV/0!</v>
      </c>
      <c r="I172" s="95"/>
      <c r="J172" s="95"/>
      <c r="K172" s="95"/>
      <c r="L172" s="202"/>
      <c r="M172" s="97">
        <f t="shared" ref="M172:O172" si="722">Y172+AB172+AE172+AH172+AK172+AN172+AQ172+AT172+AW172+AZ172+BC172+BF172</f>
        <v>0</v>
      </c>
      <c r="N172" s="97">
        <f t="shared" si="722"/>
        <v>0</v>
      </c>
      <c r="O172" s="97">
        <f t="shared" si="722"/>
        <v>0</v>
      </c>
      <c r="P172" s="97">
        <f t="shared" ref="P172:R172" si="723">IF(BI172=0,SUM(Y172+AB172+AE172+AH172+AK172+AN172+AQ172+AT172+AW172+AZ172+BC172+BF172),BI172)</f>
        <v>0</v>
      </c>
      <c r="Q172" s="97">
        <f t="shared" si="723"/>
        <v>0</v>
      </c>
      <c r="R172" s="97">
        <f t="shared" si="723"/>
        <v>0</v>
      </c>
      <c r="S172" s="97">
        <f t="shared" ref="S172:T172" si="724">I172-M172</f>
        <v>0</v>
      </c>
      <c r="T172" s="97">
        <f t="shared" si="724"/>
        <v>0</v>
      </c>
      <c r="U172" s="97">
        <f t="shared" ref="U172:U175" si="725">L172-O172</f>
        <v>0</v>
      </c>
      <c r="V172" s="98" t="e">
        <f t="shared" ref="V172:W172" si="726">M172/I172</f>
        <v>#DIV/0!</v>
      </c>
      <c r="W172" s="98" t="e">
        <f t="shared" si="726"/>
        <v>#DIV/0!</v>
      </c>
      <c r="X172" s="98" t="e">
        <f t="shared" ref="X172:X187" si="727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55"/>
        <v>0</v>
      </c>
      <c r="H173" s="94">
        <f t="shared" si="656"/>
        <v>0</v>
      </c>
      <c r="I173" s="139">
        <v>0</v>
      </c>
      <c r="J173" s="95"/>
      <c r="K173" s="95"/>
      <c r="L173" s="202"/>
      <c r="M173" s="97">
        <f t="shared" ref="M173:O173" si="728">Y173+AB173+AE173+AH173+AK173+AN173+AQ173+AT173+AW173+AZ173+BC173+BF173</f>
        <v>0</v>
      </c>
      <c r="N173" s="97">
        <f t="shared" si="728"/>
        <v>0</v>
      </c>
      <c r="O173" s="97">
        <f t="shared" si="728"/>
        <v>0</v>
      </c>
      <c r="P173" s="97">
        <f t="shared" ref="P173:R173" si="729">IF(BI173=0,SUM(Y173+AB173+AE173+AH173+AK173+AN173+AQ173+AT173+AW173+AZ173+BC173+BF173),BI173)</f>
        <v>0</v>
      </c>
      <c r="Q173" s="97">
        <f t="shared" si="729"/>
        <v>0</v>
      </c>
      <c r="R173" s="97">
        <f t="shared" si="729"/>
        <v>0</v>
      </c>
      <c r="S173" s="138">
        <f t="shared" ref="S173:T173" si="730">I173-M173</f>
        <v>0</v>
      </c>
      <c r="T173" s="97">
        <f t="shared" si="730"/>
        <v>0</v>
      </c>
      <c r="U173" s="97">
        <f t="shared" si="725"/>
        <v>0</v>
      </c>
      <c r="V173" s="98" t="e">
        <f t="shared" ref="V173:W173" si="731">M173/I173</f>
        <v>#DIV/0!</v>
      </c>
      <c r="W173" s="98" t="e">
        <f t="shared" si="731"/>
        <v>#DIV/0!</v>
      </c>
      <c r="X173" s="98" t="e">
        <f t="shared" si="727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55"/>
        <v>0</v>
      </c>
      <c r="H174" s="94">
        <f t="shared" si="656"/>
        <v>0</v>
      </c>
      <c r="I174" s="95">
        <v>0</v>
      </c>
      <c r="J174" s="95"/>
      <c r="K174" s="95"/>
      <c r="L174" s="202"/>
      <c r="M174" s="97">
        <f t="shared" ref="M174:O174" si="732">Y174+AB174+AE174+AH174+AK174+AN174+AQ174+AT174+AW174+AZ174+BC174+BF174</f>
        <v>0</v>
      </c>
      <c r="N174" s="97">
        <f t="shared" si="732"/>
        <v>0</v>
      </c>
      <c r="O174" s="97">
        <f t="shared" si="732"/>
        <v>0</v>
      </c>
      <c r="P174" s="97">
        <f t="shared" ref="P174:R174" si="733">IF(BI174=0,SUM(Y174+AB174+AE174+AH174+AK174+AN174+AQ174+AT174+AW174+AZ174+BC174+BF174),BI174)</f>
        <v>0</v>
      </c>
      <c r="Q174" s="97">
        <f t="shared" si="733"/>
        <v>0</v>
      </c>
      <c r="R174" s="97">
        <f t="shared" si="733"/>
        <v>0</v>
      </c>
      <c r="S174" s="97">
        <f t="shared" ref="S174:T174" si="734">I174-M174</f>
        <v>0</v>
      </c>
      <c r="T174" s="97">
        <f t="shared" si="734"/>
        <v>0</v>
      </c>
      <c r="U174" s="97">
        <f t="shared" si="725"/>
        <v>0</v>
      </c>
      <c r="V174" s="98" t="e">
        <f t="shared" ref="V174:W174" si="735">M174/I174</f>
        <v>#DIV/0!</v>
      </c>
      <c r="W174" s="98" t="e">
        <f t="shared" si="735"/>
        <v>#DIV/0!</v>
      </c>
      <c r="X174" s="98" t="e">
        <f t="shared" si="727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55"/>
        <v>#DIV/0!</v>
      </c>
      <c r="H175" s="94" t="e">
        <f t="shared" si="656"/>
        <v>#DIV/0!</v>
      </c>
      <c r="I175" s="95"/>
      <c r="J175" s="146">
        <v>250</v>
      </c>
      <c r="K175" s="146"/>
      <c r="L175" s="202"/>
      <c r="M175" s="97">
        <f t="shared" ref="M175:O175" si="736">Y175+AB175+AE175+AH175+AK175+AN175+AQ175+AT175+AW175+AZ175+BC175+BF175</f>
        <v>0</v>
      </c>
      <c r="N175" s="97">
        <f t="shared" si="736"/>
        <v>250</v>
      </c>
      <c r="O175" s="97">
        <f t="shared" si="736"/>
        <v>0</v>
      </c>
      <c r="P175" s="97">
        <f t="shared" ref="P175:R175" si="737">IF(BI175=0,SUM(Y175+AB175+AE175+AH175+AK175+AN175+AQ175+AT175+AW175+AZ175+BC175+BF175),BI175)</f>
        <v>0</v>
      </c>
      <c r="Q175" s="97">
        <f t="shared" si="737"/>
        <v>250</v>
      </c>
      <c r="R175" s="97">
        <f t="shared" si="737"/>
        <v>0</v>
      </c>
      <c r="S175" s="97">
        <f>I175-M175</f>
        <v>0</v>
      </c>
      <c r="T175" s="97">
        <f>J175-N175-K175</f>
        <v>0</v>
      </c>
      <c r="U175" s="97">
        <f t="shared" si="725"/>
        <v>0</v>
      </c>
      <c r="V175" s="98" t="e">
        <f t="shared" ref="V175:W175" si="738">M175/I175</f>
        <v>#DIV/0!</v>
      </c>
      <c r="W175" s="98">
        <f t="shared" si="738"/>
        <v>1</v>
      </c>
      <c r="X175" s="98" t="e">
        <f t="shared" si="727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39">SUM(E177:E182)</f>
        <v>0</v>
      </c>
      <c r="F176" s="231">
        <f t="shared" si="739"/>
        <v>36000</v>
      </c>
      <c r="G176" s="188" t="e">
        <f t="shared" si="655"/>
        <v>#DIV/0!</v>
      </c>
      <c r="H176" s="188" t="e">
        <f t="shared" si="656"/>
        <v>#DIV/0!</v>
      </c>
      <c r="I176" s="231">
        <f t="shared" ref="I176:O176" si="740">SUM(I177:I182)</f>
        <v>0</v>
      </c>
      <c r="J176" s="231">
        <f t="shared" si="740"/>
        <v>0</v>
      </c>
      <c r="K176" s="231">
        <f t="shared" si="740"/>
        <v>0</v>
      </c>
      <c r="L176" s="231">
        <f t="shared" si="740"/>
        <v>0</v>
      </c>
      <c r="M176" s="231">
        <f t="shared" si="740"/>
        <v>0</v>
      </c>
      <c r="N176" s="231">
        <f t="shared" si="740"/>
        <v>0</v>
      </c>
      <c r="O176" s="231">
        <f t="shared" si="740"/>
        <v>0</v>
      </c>
      <c r="P176" s="258">
        <f t="shared" ref="P176:R176" si="741">IF(BI176=0,SUM(Y176+AB176+AE176+AH176+AK176+AN176+AQ176+AT176+AW176+AZ176+BC176+BF176),BI176)</f>
        <v>0</v>
      </c>
      <c r="Q176" s="258">
        <f t="shared" si="741"/>
        <v>0</v>
      </c>
      <c r="R176" s="258">
        <f t="shared" si="741"/>
        <v>0</v>
      </c>
      <c r="S176" s="231">
        <f t="shared" ref="S176:U176" si="742">SUM(S177:S182)</f>
        <v>0</v>
      </c>
      <c r="T176" s="231">
        <f t="shared" si="742"/>
        <v>0</v>
      </c>
      <c r="U176" s="231">
        <f t="shared" si="742"/>
        <v>0</v>
      </c>
      <c r="V176" s="259" t="e">
        <f t="shared" ref="V176:W176" si="743">M176/I176</f>
        <v>#DIV/0!</v>
      </c>
      <c r="W176" s="259" t="e">
        <f t="shared" si="743"/>
        <v>#DIV/0!</v>
      </c>
      <c r="X176" s="259" t="e">
        <f t="shared" si="727"/>
        <v>#DIV/0!</v>
      </c>
      <c r="Y176" s="231">
        <f t="shared" ref="Y176:BK176" si="744">SUM(Y177:Y182)</f>
        <v>0</v>
      </c>
      <c r="Z176" s="231">
        <f t="shared" si="744"/>
        <v>0</v>
      </c>
      <c r="AA176" s="231">
        <f t="shared" si="744"/>
        <v>0</v>
      </c>
      <c r="AB176" s="231">
        <f t="shared" si="744"/>
        <v>0</v>
      </c>
      <c r="AC176" s="231">
        <f t="shared" si="744"/>
        <v>0</v>
      </c>
      <c r="AD176" s="231">
        <f t="shared" si="744"/>
        <v>0</v>
      </c>
      <c r="AE176" s="231">
        <f t="shared" si="744"/>
        <v>0</v>
      </c>
      <c r="AF176" s="231">
        <f t="shared" si="744"/>
        <v>0</v>
      </c>
      <c r="AG176" s="231">
        <f t="shared" si="744"/>
        <v>0</v>
      </c>
      <c r="AH176" s="231">
        <f t="shared" si="744"/>
        <v>0</v>
      </c>
      <c r="AI176" s="231">
        <f t="shared" si="744"/>
        <v>0</v>
      </c>
      <c r="AJ176" s="231">
        <f t="shared" si="744"/>
        <v>0</v>
      </c>
      <c r="AK176" s="231">
        <f t="shared" si="744"/>
        <v>0</v>
      </c>
      <c r="AL176" s="231">
        <f t="shared" si="744"/>
        <v>0</v>
      </c>
      <c r="AM176" s="231">
        <f t="shared" si="744"/>
        <v>0</v>
      </c>
      <c r="AN176" s="231">
        <f t="shared" si="744"/>
        <v>0</v>
      </c>
      <c r="AO176" s="231">
        <f t="shared" si="744"/>
        <v>0</v>
      </c>
      <c r="AP176" s="231">
        <f t="shared" si="744"/>
        <v>0</v>
      </c>
      <c r="AQ176" s="231">
        <f t="shared" si="744"/>
        <v>0</v>
      </c>
      <c r="AR176" s="231">
        <f t="shared" si="744"/>
        <v>0</v>
      </c>
      <c r="AS176" s="231">
        <f t="shared" si="744"/>
        <v>0</v>
      </c>
      <c r="AT176" s="231">
        <f t="shared" si="744"/>
        <v>0</v>
      </c>
      <c r="AU176" s="231">
        <f t="shared" si="744"/>
        <v>0</v>
      </c>
      <c r="AV176" s="231">
        <f t="shared" si="744"/>
        <v>0</v>
      </c>
      <c r="AW176" s="231">
        <f t="shared" si="744"/>
        <v>0</v>
      </c>
      <c r="AX176" s="231">
        <f t="shared" si="744"/>
        <v>0</v>
      </c>
      <c r="AY176" s="231">
        <f t="shared" si="744"/>
        <v>0</v>
      </c>
      <c r="AZ176" s="231">
        <f t="shared" si="744"/>
        <v>0</v>
      </c>
      <c r="BA176" s="231">
        <f t="shared" si="744"/>
        <v>0</v>
      </c>
      <c r="BB176" s="231">
        <f t="shared" si="744"/>
        <v>0</v>
      </c>
      <c r="BC176" s="231">
        <f t="shared" si="744"/>
        <v>0</v>
      </c>
      <c r="BD176" s="231">
        <f t="shared" si="744"/>
        <v>0</v>
      </c>
      <c r="BE176" s="231">
        <f t="shared" si="744"/>
        <v>0</v>
      </c>
      <c r="BF176" s="231">
        <f t="shared" si="744"/>
        <v>0</v>
      </c>
      <c r="BG176" s="231">
        <f t="shared" si="744"/>
        <v>0</v>
      </c>
      <c r="BH176" s="231">
        <f t="shared" si="744"/>
        <v>0</v>
      </c>
      <c r="BI176" s="231">
        <f t="shared" si="744"/>
        <v>0</v>
      </c>
      <c r="BJ176" s="231">
        <f t="shared" si="744"/>
        <v>0</v>
      </c>
      <c r="BK176" s="231">
        <f t="shared" si="744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55"/>
        <v>#DIV/0!</v>
      </c>
      <c r="H177" s="94" t="e">
        <f t="shared" si="656"/>
        <v>#DIV/0!</v>
      </c>
      <c r="I177" s="95"/>
      <c r="J177" s="146">
        <v>0</v>
      </c>
      <c r="K177" s="146"/>
      <c r="L177" s="202"/>
      <c r="M177" s="97">
        <f t="shared" ref="M177:O177" si="745">Y177+AB177+AE177+AH177+AK177+AN177+AQ177+AT177+AW177+AZ177+BC177+BF177</f>
        <v>0</v>
      </c>
      <c r="N177" s="97">
        <f t="shared" si="745"/>
        <v>0</v>
      </c>
      <c r="O177" s="97">
        <f t="shared" si="745"/>
        <v>0</v>
      </c>
      <c r="P177" s="97">
        <f t="shared" ref="P177:R177" si="746">IF(BI177=0,SUM(Y177+AB177+AE177+AH177+AK177+AN177+AQ177+AT177+AW177+AZ177+BC177+BF177),BI177)</f>
        <v>0</v>
      </c>
      <c r="Q177" s="97">
        <f t="shared" si="746"/>
        <v>0</v>
      </c>
      <c r="R177" s="97">
        <f t="shared" si="746"/>
        <v>0</v>
      </c>
      <c r="S177" s="97">
        <f t="shared" ref="S177:T177" si="747">I177-M177</f>
        <v>0</v>
      </c>
      <c r="T177" s="97">
        <f t="shared" si="747"/>
        <v>0</v>
      </c>
      <c r="U177" s="97">
        <f t="shared" ref="U177:U182" si="748">L177-O177</f>
        <v>0</v>
      </c>
      <c r="V177" s="98" t="e">
        <f t="shared" ref="V177:W177" si="749">M177/I177</f>
        <v>#DIV/0!</v>
      </c>
      <c r="W177" s="98" t="e">
        <f t="shared" si="749"/>
        <v>#DIV/0!</v>
      </c>
      <c r="X177" s="98" t="e">
        <f t="shared" si="727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55"/>
        <v>#DIV/0!</v>
      </c>
      <c r="H178" s="94" t="e">
        <f t="shared" si="656"/>
        <v>#DIV/0!</v>
      </c>
      <c r="I178" s="95"/>
      <c r="J178" s="95"/>
      <c r="K178" s="95"/>
      <c r="L178" s="202"/>
      <c r="M178" s="97">
        <f t="shared" ref="M178:O178" si="750">Y178+AB178+AE178+AH178+AK178+AN178+AQ178+AT178+AW178+AZ178+BC178+BF178</f>
        <v>0</v>
      </c>
      <c r="N178" s="97">
        <f t="shared" si="750"/>
        <v>0</v>
      </c>
      <c r="O178" s="97">
        <f t="shared" si="750"/>
        <v>0</v>
      </c>
      <c r="P178" s="97">
        <f t="shared" ref="P178:R178" si="751">IF(BI178=0,SUM(Y178+AB178+AE178+AH178+AK178+AN178+AQ178+AT178+AW178+AZ178+BC178+BF178),BI178)</f>
        <v>0</v>
      </c>
      <c r="Q178" s="97">
        <f t="shared" si="751"/>
        <v>0</v>
      </c>
      <c r="R178" s="97">
        <f t="shared" si="751"/>
        <v>0</v>
      </c>
      <c r="S178" s="97">
        <f t="shared" ref="S178:T178" si="752">I178-M178</f>
        <v>0</v>
      </c>
      <c r="T178" s="97">
        <f t="shared" si="752"/>
        <v>0</v>
      </c>
      <c r="U178" s="97">
        <f t="shared" si="748"/>
        <v>0</v>
      </c>
      <c r="V178" s="98" t="e">
        <f t="shared" ref="V178:W178" si="753">M178/I178</f>
        <v>#DIV/0!</v>
      </c>
      <c r="W178" s="98" t="e">
        <f t="shared" si="753"/>
        <v>#DIV/0!</v>
      </c>
      <c r="X178" s="98" t="e">
        <f t="shared" si="727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54">Y179+AB179+AE179+AH179+AK179+AN179+AQ179+AT179+AW179+AZ179+BC179+BF179</f>
        <v>0</v>
      </c>
      <c r="N179" s="97">
        <f t="shared" si="754"/>
        <v>0</v>
      </c>
      <c r="O179" s="97">
        <f t="shared" si="754"/>
        <v>0</v>
      </c>
      <c r="P179" s="97">
        <f t="shared" ref="P179:R179" si="755">IF(BI179=0,SUM(Y179+AB179+AE179+AH179+AK179+AN179+AQ179+AT179+AW179+AZ179+BC179+BF179),BI179)</f>
        <v>0</v>
      </c>
      <c r="Q179" s="97">
        <f t="shared" si="755"/>
        <v>0</v>
      </c>
      <c r="R179" s="97">
        <f t="shared" si="755"/>
        <v>0</v>
      </c>
      <c r="S179" s="97">
        <f t="shared" ref="S179:T179" si="756">I179-M179</f>
        <v>0</v>
      </c>
      <c r="T179" s="97">
        <f t="shared" si="756"/>
        <v>0</v>
      </c>
      <c r="U179" s="97">
        <f t="shared" si="748"/>
        <v>0</v>
      </c>
      <c r="V179" s="98" t="e">
        <f t="shared" ref="V179:W179" si="757">M179/I179</f>
        <v>#DIV/0!</v>
      </c>
      <c r="W179" s="98" t="e">
        <f t="shared" si="757"/>
        <v>#DIV/0!</v>
      </c>
      <c r="X179" s="98" t="e">
        <f t="shared" si="727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58">Y180+AB180+AE180+AH180+AK180+AN180+AQ180+AT180+AW180+AZ180+BC180+BF180</f>
        <v>0</v>
      </c>
      <c r="N180" s="97">
        <f t="shared" si="758"/>
        <v>0</v>
      </c>
      <c r="O180" s="97">
        <f t="shared" si="758"/>
        <v>0</v>
      </c>
      <c r="P180" s="97">
        <f t="shared" ref="P180:R180" si="759">IF(BI180=0,SUM(Y180+AB180+AE180+AH180+AK180+AN180+AQ180+AT180+AW180+AZ180+BC180+BF180),BI180)</f>
        <v>0</v>
      </c>
      <c r="Q180" s="97">
        <f t="shared" si="759"/>
        <v>0</v>
      </c>
      <c r="R180" s="97">
        <f t="shared" si="759"/>
        <v>0</v>
      </c>
      <c r="S180" s="97">
        <f t="shared" ref="S180:T180" si="760">I180-M180</f>
        <v>0</v>
      </c>
      <c r="T180" s="97">
        <f t="shared" si="760"/>
        <v>0</v>
      </c>
      <c r="U180" s="97">
        <f t="shared" si="748"/>
        <v>0</v>
      </c>
      <c r="V180" s="98" t="e">
        <f t="shared" ref="V180:W180" si="761">M180/I180</f>
        <v>#DIV/0!</v>
      </c>
      <c r="W180" s="98" t="e">
        <f t="shared" si="761"/>
        <v>#DIV/0!</v>
      </c>
      <c r="X180" s="98" t="e">
        <f t="shared" si="727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62">Y181+AB181+AE181+AH181+AK181+AN181+AQ181+AT181+AW181+AZ181+BC181+BF181</f>
        <v>0</v>
      </c>
      <c r="N181" s="97">
        <f t="shared" si="762"/>
        <v>0</v>
      </c>
      <c r="O181" s="97">
        <f t="shared" si="762"/>
        <v>0</v>
      </c>
      <c r="P181" s="97">
        <f t="shared" ref="P181:R181" si="763">IF(BI181=0,SUM(Y181+AB181+AE181+AH181+AK181+AN181+AQ181+AT181+AW181+AZ181+BC181+BF181),BI181)</f>
        <v>0</v>
      </c>
      <c r="Q181" s="97">
        <f t="shared" si="763"/>
        <v>0</v>
      </c>
      <c r="R181" s="97">
        <f t="shared" si="763"/>
        <v>0</v>
      </c>
      <c r="S181" s="97">
        <f t="shared" ref="S181:T181" si="764">I181-M181</f>
        <v>0</v>
      </c>
      <c r="T181" s="97">
        <f t="shared" si="764"/>
        <v>0</v>
      </c>
      <c r="U181" s="97">
        <f t="shared" si="748"/>
        <v>0</v>
      </c>
      <c r="V181" s="98" t="e">
        <f t="shared" ref="V181:W181" si="765">M181/I181</f>
        <v>#DIV/0!</v>
      </c>
      <c r="W181" s="98" t="e">
        <f t="shared" si="765"/>
        <v>#DIV/0!</v>
      </c>
      <c r="X181" s="98" t="e">
        <f t="shared" si="727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66">I182/E182</f>
        <v>#DIV/0!</v>
      </c>
      <c r="H182" s="94" t="e">
        <f t="shared" ref="H182:H184" si="767">M182/E182</f>
        <v>#DIV/0!</v>
      </c>
      <c r="I182" s="95"/>
      <c r="J182" s="95"/>
      <c r="K182" s="95"/>
      <c r="L182" s="266"/>
      <c r="M182" s="97">
        <f t="shared" ref="M182:O182" si="768">Y182+AB182+AE182+AH182+AK182+AN182+AQ182+AT182+AW182+AZ182+BC182+BF182</f>
        <v>0</v>
      </c>
      <c r="N182" s="97">
        <f t="shared" si="768"/>
        <v>0</v>
      </c>
      <c r="O182" s="97">
        <f t="shared" si="768"/>
        <v>0</v>
      </c>
      <c r="P182" s="97">
        <f t="shared" ref="P182:R182" si="769">IF(BI182=0,SUM(Y182+AB182+AE182+AH182+AK182+AN182+AQ182+AT182+AW182+AZ182+BC182+BF182),BI182)</f>
        <v>0</v>
      </c>
      <c r="Q182" s="97">
        <f t="shared" si="769"/>
        <v>0</v>
      </c>
      <c r="R182" s="97">
        <f t="shared" si="769"/>
        <v>0</v>
      </c>
      <c r="S182" s="97">
        <f t="shared" ref="S182:T182" si="770">I182-M182</f>
        <v>0</v>
      </c>
      <c r="T182" s="97">
        <f t="shared" si="770"/>
        <v>0</v>
      </c>
      <c r="U182" s="97">
        <f t="shared" si="748"/>
        <v>0</v>
      </c>
      <c r="V182" s="98" t="e">
        <f t="shared" ref="V182:W182" si="771">M182/I182</f>
        <v>#DIV/0!</v>
      </c>
      <c r="W182" s="98" t="e">
        <f t="shared" si="771"/>
        <v>#DIV/0!</v>
      </c>
      <c r="X182" s="98" t="e">
        <f t="shared" si="727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72">SUM(E184:E187)</f>
        <v>0</v>
      </c>
      <c r="F183" s="270">
        <f t="shared" si="772"/>
        <v>0</v>
      </c>
      <c r="G183" s="223" t="e">
        <f t="shared" si="766"/>
        <v>#DIV/0!</v>
      </c>
      <c r="H183" s="223" t="e">
        <f t="shared" si="767"/>
        <v>#DIV/0!</v>
      </c>
      <c r="I183" s="270">
        <f t="shared" ref="I183:O183" si="773">SUM(I184:I187)</f>
        <v>0</v>
      </c>
      <c r="J183" s="270">
        <f t="shared" si="773"/>
        <v>734.93000000000006</v>
      </c>
      <c r="K183" s="270">
        <f t="shared" si="773"/>
        <v>0</v>
      </c>
      <c r="L183" s="270">
        <f t="shared" si="773"/>
        <v>0</v>
      </c>
      <c r="M183" s="270">
        <f t="shared" si="773"/>
        <v>0</v>
      </c>
      <c r="N183" s="270">
        <f t="shared" si="773"/>
        <v>376.89</v>
      </c>
      <c r="O183" s="270">
        <f t="shared" si="773"/>
        <v>0</v>
      </c>
      <c r="P183" s="238">
        <f t="shared" ref="P183:R183" si="774">IF(BI183=0,SUM(Y183+AB183+AE183+AH183+AK183+AN183+AQ183+AT183+AW183+AZ183+BC183+BF183),BI183)</f>
        <v>0</v>
      </c>
      <c r="Q183" s="238">
        <f t="shared" si="774"/>
        <v>376.89</v>
      </c>
      <c r="R183" s="238">
        <f t="shared" si="774"/>
        <v>0</v>
      </c>
      <c r="S183" s="270">
        <f t="shared" ref="S183:U183" si="775">SUM(S184:S187)</f>
        <v>0</v>
      </c>
      <c r="T183" s="270">
        <f t="shared" si="775"/>
        <v>358.04</v>
      </c>
      <c r="U183" s="270">
        <f t="shared" si="775"/>
        <v>0</v>
      </c>
      <c r="V183" s="271" t="e">
        <f t="shared" ref="V183:W183" si="776">M183/I183</f>
        <v>#DIV/0!</v>
      </c>
      <c r="W183" s="271">
        <f t="shared" si="776"/>
        <v>0.51282435061842613</v>
      </c>
      <c r="X183" s="271" t="e">
        <f t="shared" si="727"/>
        <v>#DIV/0!</v>
      </c>
      <c r="Y183" s="270">
        <f t="shared" ref="Y183:BK183" si="777">SUM(Y184:Y187)</f>
        <v>0</v>
      </c>
      <c r="Z183" s="270">
        <f t="shared" si="777"/>
        <v>0</v>
      </c>
      <c r="AA183" s="270">
        <f t="shared" si="777"/>
        <v>0</v>
      </c>
      <c r="AB183" s="270">
        <f t="shared" si="777"/>
        <v>0</v>
      </c>
      <c r="AC183" s="270">
        <f t="shared" si="777"/>
        <v>0</v>
      </c>
      <c r="AD183" s="270">
        <f t="shared" si="777"/>
        <v>0</v>
      </c>
      <c r="AE183" s="270">
        <f t="shared" si="777"/>
        <v>0</v>
      </c>
      <c r="AF183" s="270">
        <f t="shared" si="777"/>
        <v>0</v>
      </c>
      <c r="AG183" s="270">
        <f t="shared" si="777"/>
        <v>0</v>
      </c>
      <c r="AH183" s="270">
        <f t="shared" si="777"/>
        <v>0</v>
      </c>
      <c r="AI183" s="270">
        <f t="shared" si="777"/>
        <v>376.89</v>
      </c>
      <c r="AJ183" s="270">
        <f t="shared" si="777"/>
        <v>0</v>
      </c>
      <c r="AK183" s="270">
        <f t="shared" si="777"/>
        <v>0</v>
      </c>
      <c r="AL183" s="270">
        <f t="shared" si="777"/>
        <v>0</v>
      </c>
      <c r="AM183" s="270">
        <f t="shared" si="777"/>
        <v>0</v>
      </c>
      <c r="AN183" s="270">
        <f t="shared" si="777"/>
        <v>0</v>
      </c>
      <c r="AO183" s="270">
        <f t="shared" si="777"/>
        <v>0</v>
      </c>
      <c r="AP183" s="270">
        <f t="shared" si="777"/>
        <v>0</v>
      </c>
      <c r="AQ183" s="270">
        <f t="shared" si="777"/>
        <v>0</v>
      </c>
      <c r="AR183" s="270">
        <f t="shared" si="777"/>
        <v>0</v>
      </c>
      <c r="AS183" s="270">
        <f t="shared" si="777"/>
        <v>0</v>
      </c>
      <c r="AT183" s="270">
        <f t="shared" si="777"/>
        <v>0</v>
      </c>
      <c r="AU183" s="270">
        <f t="shared" si="777"/>
        <v>0</v>
      </c>
      <c r="AV183" s="270">
        <f t="shared" si="777"/>
        <v>0</v>
      </c>
      <c r="AW183" s="270">
        <f t="shared" si="777"/>
        <v>0</v>
      </c>
      <c r="AX183" s="270">
        <f t="shared" si="777"/>
        <v>0</v>
      </c>
      <c r="AY183" s="270">
        <f t="shared" si="777"/>
        <v>0</v>
      </c>
      <c r="AZ183" s="270">
        <f t="shared" si="777"/>
        <v>0</v>
      </c>
      <c r="BA183" s="270">
        <f t="shared" si="777"/>
        <v>0</v>
      </c>
      <c r="BB183" s="270">
        <f t="shared" si="777"/>
        <v>0</v>
      </c>
      <c r="BC183" s="270">
        <f t="shared" si="777"/>
        <v>0</v>
      </c>
      <c r="BD183" s="270">
        <f t="shared" si="777"/>
        <v>0</v>
      </c>
      <c r="BE183" s="270">
        <f t="shared" si="777"/>
        <v>0</v>
      </c>
      <c r="BF183" s="270">
        <f t="shared" si="777"/>
        <v>0</v>
      </c>
      <c r="BG183" s="270">
        <f t="shared" si="777"/>
        <v>0</v>
      </c>
      <c r="BH183" s="270">
        <f t="shared" si="777"/>
        <v>0</v>
      </c>
      <c r="BI183" s="270">
        <f t="shared" si="777"/>
        <v>0</v>
      </c>
      <c r="BJ183" s="270">
        <f t="shared" si="777"/>
        <v>0</v>
      </c>
      <c r="BK183" s="270">
        <f t="shared" si="777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66"/>
        <v>#DIV/0!</v>
      </c>
      <c r="H184" s="94" t="e">
        <f t="shared" si="767"/>
        <v>#DIV/0!</v>
      </c>
      <c r="I184" s="95"/>
      <c r="J184" s="146">
        <v>376.89</v>
      </c>
      <c r="K184" s="146"/>
      <c r="L184" s="272"/>
      <c r="M184" s="97">
        <f t="shared" ref="M184:O184" si="778">Y184+AB184+AE184+AH184+AK184+AN184+AQ184+AT184+AW184+AZ184+BC184+BF184</f>
        <v>0</v>
      </c>
      <c r="N184" s="97">
        <f t="shared" si="778"/>
        <v>376.89</v>
      </c>
      <c r="O184" s="97">
        <f t="shared" si="778"/>
        <v>0</v>
      </c>
      <c r="P184" s="97">
        <f t="shared" ref="P184:R184" si="779">IF(BI184=0,SUM(Y184+AB184+AE184+AH184+AK184+AN184+AQ184+AT184+AW184+AZ184+BC184+BF184),BI184)</f>
        <v>0</v>
      </c>
      <c r="Q184" s="97">
        <f t="shared" si="779"/>
        <v>376.89</v>
      </c>
      <c r="R184" s="97">
        <f t="shared" si="779"/>
        <v>0</v>
      </c>
      <c r="S184" s="97">
        <f t="shared" ref="S184:T184" si="780">I184-M184</f>
        <v>0</v>
      </c>
      <c r="T184" s="97">
        <f t="shared" si="780"/>
        <v>0</v>
      </c>
      <c r="U184" s="97">
        <f t="shared" ref="U184:U187" si="781">L184-O184</f>
        <v>0</v>
      </c>
      <c r="V184" s="98" t="e">
        <f t="shared" ref="V184:W184" si="782">M184/I184</f>
        <v>#DIV/0!</v>
      </c>
      <c r="W184" s="98">
        <f t="shared" si="782"/>
        <v>1</v>
      </c>
      <c r="X184" s="98" t="e">
        <f t="shared" si="727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>
        <v>376.89</v>
      </c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83">Y185+AB185+AE185+AH185+AK185+AN185+AQ185+AT185+AW185+AZ185+BC185+BF185</f>
        <v>0</v>
      </c>
      <c r="N185" s="97">
        <f t="shared" si="783"/>
        <v>0</v>
      </c>
      <c r="O185" s="97">
        <f t="shared" si="783"/>
        <v>0</v>
      </c>
      <c r="P185" s="97">
        <f t="shared" ref="P185:R185" si="784">IF(BI185=0,SUM(Y185+AB185+AE185+AH185+AK185+AN185+AQ185+AT185+AW185+AZ185+BC185+BF185),BI185)</f>
        <v>0</v>
      </c>
      <c r="Q185" s="97">
        <f t="shared" si="784"/>
        <v>0</v>
      </c>
      <c r="R185" s="97">
        <f t="shared" si="784"/>
        <v>0</v>
      </c>
      <c r="S185" s="97">
        <f t="shared" ref="S185:T185" si="785">I185-M185</f>
        <v>0</v>
      </c>
      <c r="T185" s="97">
        <f t="shared" si="785"/>
        <v>358.04</v>
      </c>
      <c r="U185" s="97">
        <f t="shared" si="781"/>
        <v>0</v>
      </c>
      <c r="V185" s="98" t="e">
        <f t="shared" ref="V185:W185" si="786">M185/I185</f>
        <v>#DIV/0!</v>
      </c>
      <c r="W185" s="98">
        <f t="shared" si="786"/>
        <v>0</v>
      </c>
      <c r="X185" s="98" t="e">
        <f t="shared" si="727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787">I186/E186</f>
        <v>#DIV/0!</v>
      </c>
      <c r="H186" s="94" t="e">
        <f t="shared" ref="H186:H187" si="788">M186/E186</f>
        <v>#DIV/0!</v>
      </c>
      <c r="I186" s="95"/>
      <c r="J186" s="95"/>
      <c r="K186" s="95"/>
      <c r="L186" s="272"/>
      <c r="M186" s="97">
        <f t="shared" ref="M186:O186" si="789">Y186+AB186+AE186+AH186+AK186+AN186+AQ186+AT186+AW186+AZ186+BC186+BF186</f>
        <v>0</v>
      </c>
      <c r="N186" s="97">
        <f t="shared" si="789"/>
        <v>0</v>
      </c>
      <c r="O186" s="97">
        <f t="shared" si="789"/>
        <v>0</v>
      </c>
      <c r="P186" s="97">
        <f t="shared" ref="P186:R186" si="790">IF(BI186=0,SUM(Y186+AB186+AE186+AH186+AK186+AN186+AQ186+AT186+AW186+AZ186+BC186+BF186),BI186)</f>
        <v>0</v>
      </c>
      <c r="Q186" s="97">
        <f t="shared" si="790"/>
        <v>0</v>
      </c>
      <c r="R186" s="97">
        <f t="shared" si="790"/>
        <v>0</v>
      </c>
      <c r="S186" s="97">
        <f t="shared" ref="S186:T186" si="791">I186-M186</f>
        <v>0</v>
      </c>
      <c r="T186" s="97">
        <f t="shared" si="791"/>
        <v>0</v>
      </c>
      <c r="U186" s="97">
        <f t="shared" si="781"/>
        <v>0</v>
      </c>
      <c r="V186" s="98" t="e">
        <f t="shared" ref="V186:W186" si="792">M186/I186</f>
        <v>#DIV/0!</v>
      </c>
      <c r="W186" s="98" t="e">
        <f t="shared" si="792"/>
        <v>#DIV/0!</v>
      </c>
      <c r="X186" s="98" t="e">
        <f t="shared" si="727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787"/>
        <v>#DIV/0!</v>
      </c>
      <c r="H187" s="94" t="e">
        <f t="shared" si="788"/>
        <v>#DIV/0!</v>
      </c>
      <c r="I187" s="95"/>
      <c r="J187" s="95"/>
      <c r="K187" s="95"/>
      <c r="L187" s="276"/>
      <c r="M187" s="97">
        <f t="shared" ref="M187:O187" si="793">Y187+AB187+AE187+AH187+AK187+AN187+AQ187+AT187+AW187+AZ187+BC187+BF187</f>
        <v>0</v>
      </c>
      <c r="N187" s="97">
        <f t="shared" si="793"/>
        <v>0</v>
      </c>
      <c r="O187" s="97">
        <f t="shared" si="793"/>
        <v>0</v>
      </c>
      <c r="P187" s="97">
        <f t="shared" ref="P187:R187" si="794">IF(BI187=0,SUM(Y187+AB187+AE187+AH187+AK187+AN187+AQ187+AT187+AW187+AZ187+BC187+BF187),BI187)</f>
        <v>0</v>
      </c>
      <c r="Q187" s="97">
        <f t="shared" si="794"/>
        <v>0</v>
      </c>
      <c r="R187" s="97">
        <f t="shared" si="794"/>
        <v>0</v>
      </c>
      <c r="S187" s="97">
        <f t="shared" ref="S187:T187" si="795">I187-M187</f>
        <v>0</v>
      </c>
      <c r="T187" s="97">
        <f t="shared" si="795"/>
        <v>0</v>
      </c>
      <c r="U187" s="97">
        <f t="shared" si="781"/>
        <v>0</v>
      </c>
      <c r="V187" s="98" t="e">
        <f t="shared" ref="V187:W187" si="796">M187/I187</f>
        <v>#DIV/0!</v>
      </c>
      <c r="W187" s="98" t="e">
        <f t="shared" si="796"/>
        <v>#DIV/0!</v>
      </c>
      <c r="X187" s="98" t="e">
        <f t="shared" si="727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797">E4+E12+E67+E96+E159</f>
        <v>2379653.64</v>
      </c>
      <c r="F190" s="291">
        <f t="shared" si="797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1368131</v>
      </c>
      <c r="F191" s="299">
        <f>SUM(AE191:BB191)+SUM(AE193:BB193)</f>
        <v>667483.05000000005</v>
      </c>
      <c r="G191" s="300">
        <f t="shared" ref="G191:H191" si="798">E191/E190</f>
        <v>0.57492862700808844</v>
      </c>
      <c r="H191" s="300">
        <f t="shared" si="798"/>
        <v>0.14465242362437641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52">
        <v>971522</v>
      </c>
      <c r="AC191" s="303"/>
      <c r="AD191" s="303"/>
      <c r="AE191" s="301"/>
      <c r="AF191" s="351">
        <f>72000+53000</f>
        <v>125000</v>
      </c>
      <c r="AG191" s="302"/>
      <c r="AH191" s="352">
        <f>170859+151403</f>
        <v>322262</v>
      </c>
      <c r="AI191" s="352"/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52">
        <f>33207.88+10000</f>
        <v>43207.88</v>
      </c>
      <c r="BA191" s="352"/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230317.37</v>
      </c>
      <c r="F192" s="291">
        <f>L192</f>
        <v>0</v>
      </c>
      <c r="G192" s="300">
        <f t="shared" ref="G192:H192" si="799">E192/E191</f>
        <v>0.16834452987323581</v>
      </c>
      <c r="H192" s="300">
        <f t="shared" si="799"/>
        <v>0</v>
      </c>
      <c r="I192" s="304">
        <f t="shared" ref="I192:J192" si="800">I4+I12+I67+I96+I159</f>
        <v>230317.37</v>
      </c>
      <c r="J192" s="304">
        <f t="shared" si="800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20912.669999999998</v>
      </c>
      <c r="F193" s="291">
        <f>O193</f>
        <v>0</v>
      </c>
      <c r="G193" s="300">
        <f t="shared" ref="G193:H193" si="801">E193/E191</f>
        <v>1.5285575723377366E-2</v>
      </c>
      <c r="H193" s="300">
        <f t="shared" si="801"/>
        <v>0</v>
      </c>
      <c r="I193" s="308"/>
      <c r="J193" s="308"/>
      <c r="K193" s="308"/>
      <c r="L193" s="308"/>
      <c r="M193" s="299">
        <f t="shared" ref="M193:O193" si="802">M4+M12+M67+M96+M159</f>
        <v>20912.669999999998</v>
      </c>
      <c r="N193" s="299">
        <f t="shared" si="802"/>
        <v>986273.48999999987</v>
      </c>
      <c r="O193" s="299">
        <f t="shared" si="802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20912.669999999998</v>
      </c>
      <c r="F194" s="291">
        <f>R194</f>
        <v>0</v>
      </c>
      <c r="G194" s="300">
        <f t="shared" ref="G194:H194" si="803">E194/E191</f>
        <v>1.5285575723377366E-2</v>
      </c>
      <c r="H194" s="300">
        <f t="shared" si="803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04">P4+P12+P67+P96+P159</f>
        <v>20912.669999999998</v>
      </c>
      <c r="Q194" s="304">
        <f t="shared" si="804"/>
        <v>986273.48999999987</v>
      </c>
      <c r="R194" s="304">
        <f t="shared" si="804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05">E190-E191</f>
        <v>1011522.6400000001</v>
      </c>
      <c r="F195" s="313">
        <f t="shared" si="805"/>
        <v>3946909.3900000006</v>
      </c>
      <c r="G195" s="314">
        <f t="shared" ref="G195:H195" si="806">E195/E190</f>
        <v>0.42507137299191156</v>
      </c>
      <c r="H195" s="314">
        <f t="shared" si="806"/>
        <v>0.85534757637562364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1137813.6299999999</v>
      </c>
      <c r="F196" s="315">
        <f>F191-L192</f>
        <v>667483.05000000005</v>
      </c>
      <c r="G196" s="314">
        <f t="shared" ref="G196:H196" si="807">E196/E191</f>
        <v>0.83165547012676411</v>
      </c>
      <c r="H196" s="314">
        <f t="shared" si="807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209404.7</v>
      </c>
      <c r="F197" s="315">
        <f>L192-O193</f>
        <v>0</v>
      </c>
      <c r="G197" s="314">
        <f>E197/I192</f>
        <v>0.90920063910073312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0</v>
      </c>
      <c r="F198" s="315">
        <f>O193-R194</f>
        <v>0</v>
      </c>
      <c r="G198" s="314">
        <f>E198/M193</f>
        <v>0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>
        <f>J192-N193</f>
        <v>1479736.9800000004</v>
      </c>
      <c r="F199" s="321"/>
      <c r="G199" s="322">
        <f>E199/J192</f>
        <v>0.60005299977497673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4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4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4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4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45" priority="5" operator="greaterThanOrEqual">
      <formula>"100%"</formula>
    </cfRule>
  </conditionalFormatting>
  <conditionalFormatting sqref="V137:X139">
    <cfRule type="cellIs" dxfId="144" priority="6" operator="between">
      <formula>"0%"</formula>
      <formula>"25%"</formula>
    </cfRule>
  </conditionalFormatting>
  <conditionalFormatting sqref="V137:X139">
    <cfRule type="cellIs" dxfId="143" priority="7" operator="between">
      <formula>"25.01%"</formula>
      <formula>"50%"</formula>
    </cfRule>
  </conditionalFormatting>
  <conditionalFormatting sqref="V137:X139">
    <cfRule type="cellIs" dxfId="142" priority="8" operator="between">
      <formula>"50.01%"</formula>
      <formula>"75%"</formula>
    </cfRule>
  </conditionalFormatting>
  <conditionalFormatting sqref="V137:X139">
    <cfRule type="cellIs" dxfId="141" priority="9" operator="between">
      <formula>"75.01%"</formula>
      <formula>"99.99%"</formula>
    </cfRule>
  </conditionalFormatting>
  <conditionalFormatting sqref="V137:X139">
    <cfRule type="cellIs" dxfId="140" priority="10" operator="greaterThanOrEqual">
      <formula>"100%"</formula>
    </cfRule>
  </conditionalFormatting>
  <conditionalFormatting sqref="G90:H91 V90:X91">
    <cfRule type="cellIs" dxfId="139" priority="11" operator="between">
      <formula>"0%"</formula>
      <formula>"25%"</formula>
    </cfRule>
  </conditionalFormatting>
  <conditionalFormatting sqref="G90:H91 V90:X91">
    <cfRule type="cellIs" dxfId="138" priority="12" operator="between">
      <formula>"25.01%"</formula>
      <formula>"50%"</formula>
    </cfRule>
  </conditionalFormatting>
  <conditionalFormatting sqref="G90:H91 V90:X91">
    <cfRule type="cellIs" dxfId="137" priority="13" operator="between">
      <formula>"50.01%"</formula>
      <formula>"75%"</formula>
    </cfRule>
  </conditionalFormatting>
  <conditionalFormatting sqref="G90:H91 V90:X91">
    <cfRule type="cellIs" dxfId="136" priority="14" operator="between">
      <formula>"75.01%"</formula>
      <formula>"99.99%"</formula>
    </cfRule>
  </conditionalFormatting>
  <conditionalFormatting sqref="G90:H91 V90:X91">
    <cfRule type="cellIs" dxfId="135" priority="15" operator="greaterThanOrEqual">
      <formula>"100%"</formula>
    </cfRule>
  </conditionalFormatting>
  <conditionalFormatting sqref="G5:H5 V5:X5">
    <cfRule type="cellIs" dxfId="134" priority="16" operator="between">
      <formula>"0%"</formula>
      <formula>"25%"</formula>
    </cfRule>
  </conditionalFormatting>
  <conditionalFormatting sqref="G5:H5 V5:X5">
    <cfRule type="cellIs" dxfId="133" priority="17" operator="between">
      <formula>"25.01%"</formula>
      <formula>"50%"</formula>
    </cfRule>
  </conditionalFormatting>
  <conditionalFormatting sqref="G5:H5 V5:X5">
    <cfRule type="cellIs" dxfId="132" priority="18" operator="between">
      <formula>"50.01%"</formula>
      <formula>"75%"</formula>
    </cfRule>
  </conditionalFormatting>
  <conditionalFormatting sqref="G5:H5 V5:X5">
    <cfRule type="cellIs" dxfId="131" priority="19" operator="between">
      <formula>"75.01%"</formula>
      <formula>"99.99%"</formula>
    </cfRule>
  </conditionalFormatting>
  <conditionalFormatting sqref="G5:H5 V5:X5">
    <cfRule type="cellIs" dxfId="130" priority="20" operator="greaterThanOrEqual">
      <formula>"100%"</formula>
    </cfRule>
  </conditionalFormatting>
  <conditionalFormatting sqref="G69:H69 V69:X69">
    <cfRule type="cellIs" dxfId="129" priority="21" operator="between">
      <formula>"0%"</formula>
      <formula>"25%"</formula>
    </cfRule>
  </conditionalFormatting>
  <conditionalFormatting sqref="G69:H69 V69:X69">
    <cfRule type="cellIs" dxfId="128" priority="22" operator="between">
      <formula>"25.01%"</formula>
      <formula>"50%"</formula>
    </cfRule>
  </conditionalFormatting>
  <conditionalFormatting sqref="G69:H69 V69:X69">
    <cfRule type="cellIs" dxfId="127" priority="23" operator="between">
      <formula>"50.01%"</formula>
      <formula>"75%"</formula>
    </cfRule>
  </conditionalFormatting>
  <conditionalFormatting sqref="G69:H69 V69:X69">
    <cfRule type="cellIs" dxfId="126" priority="24" operator="between">
      <formula>"75.01%"</formula>
      <formula>"99.99%"</formula>
    </cfRule>
  </conditionalFormatting>
  <conditionalFormatting sqref="G69:H69 V69:X69">
    <cfRule type="cellIs" dxfId="12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47.42578125" customWidth="1"/>
    <col min="3" max="3" width="14.85546875" customWidth="1"/>
    <col min="4" max="4" width="66.1406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0.80104636992465861</v>
      </c>
      <c r="H3" s="79">
        <f t="shared" ref="H3:H4" si="2">M3/E3</f>
        <v>3.2430143909514493E-2</v>
      </c>
      <c r="I3" s="80">
        <f t="shared" ref="I3:O3" si="3">I4+I12+I67+I96+I159</f>
        <v>1906212.9100000004</v>
      </c>
      <c r="J3" s="80">
        <f t="shared" si="3"/>
        <v>2466010.4700000002</v>
      </c>
      <c r="K3" s="80">
        <f t="shared" si="3"/>
        <v>16426.96</v>
      </c>
      <c r="L3" s="80">
        <f t="shared" si="3"/>
        <v>0</v>
      </c>
      <c r="M3" s="81">
        <f t="shared" si="3"/>
        <v>77172.509999999995</v>
      </c>
      <c r="N3" s="81" t="e">
        <f t="shared" si="3"/>
        <v>#REF!</v>
      </c>
      <c r="O3" s="81">
        <f t="shared" si="3"/>
        <v>0</v>
      </c>
      <c r="P3" s="82">
        <f t="shared" ref="P3:R3" si="4">IF(BI3=0,SUM(Y3+AB3+AE3+AH3+AK3+AN3+AQ3+AT3+AW3+AZ3+BC3+BF3),BI3)</f>
        <v>81566.45</v>
      </c>
      <c r="Q3" s="82">
        <f t="shared" si="4"/>
        <v>1460272.9800000002</v>
      </c>
      <c r="R3" s="69">
        <f t="shared" si="4"/>
        <v>0</v>
      </c>
      <c r="S3" s="71">
        <f t="shared" ref="S3:U3" si="5">S4+S12+S67+S96+S159</f>
        <v>1828477.4000000001</v>
      </c>
      <c r="T3" s="71" t="e">
        <f t="shared" si="5"/>
        <v>#REF!</v>
      </c>
      <c r="U3" s="71">
        <f t="shared" si="5"/>
        <v>0</v>
      </c>
      <c r="V3" s="73">
        <f t="shared" ref="V3:W3" si="6">M3/I3</f>
        <v>4.0484727385462931E-2</v>
      </c>
      <c r="W3" s="73" t="e">
        <f t="shared" si="6"/>
        <v>#REF!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52862.33</v>
      </c>
      <c r="AL3" s="83">
        <f t="shared" si="8"/>
        <v>417193.15</v>
      </c>
      <c r="AM3" s="83">
        <f t="shared" si="8"/>
        <v>0</v>
      </c>
      <c r="AN3" s="83">
        <f t="shared" si="8"/>
        <v>6088.1100000000006</v>
      </c>
      <c r="AO3" s="83">
        <f t="shared" si="8"/>
        <v>56806.34</v>
      </c>
      <c r="AP3" s="83">
        <f t="shared" si="8"/>
        <v>0</v>
      </c>
      <c r="AQ3" s="83">
        <f t="shared" si="8"/>
        <v>1703.3400000000001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4.8305133737124202E-2</v>
      </c>
      <c r="H4" s="88">
        <f t="shared" si="2"/>
        <v>6.2541570085544113E-3</v>
      </c>
      <c r="I4" s="87">
        <f>SUM(I5:I11)</f>
        <v>2348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1950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1950</v>
      </c>
      <c r="R4" s="87">
        <f t="shared" si="10"/>
        <v>0</v>
      </c>
      <c r="S4" s="87">
        <f t="shared" ref="S4:U4" si="11">SUM(S5:S11)</f>
        <v>2044</v>
      </c>
      <c r="T4" s="87">
        <f t="shared" si="11"/>
        <v>15833.25</v>
      </c>
      <c r="U4" s="87">
        <f t="shared" si="11"/>
        <v>0</v>
      </c>
      <c r="V4" s="87">
        <f t="shared" ref="V4:W4" si="12">M4/I4</f>
        <v>0.12947189097103917</v>
      </c>
      <c r="W4" s="88">
        <f t="shared" si="12"/>
        <v>0.10965374720593818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>SUM(AI5:AI11)</f>
        <v>1950</v>
      </c>
      <c r="AJ4" s="87">
        <f t="shared" ref="AJ4:BK4" si="15">SUM(AJ14)</f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0</v>
      </c>
      <c r="AS4" s="87">
        <f t="shared" si="15"/>
        <v>0</v>
      </c>
      <c r="AT4" s="87">
        <f t="shared" si="15"/>
        <v>0</v>
      </c>
      <c r="AU4" s="87">
        <f t="shared" si="15"/>
        <v>0</v>
      </c>
      <c r="AV4" s="87">
        <f t="shared" si="15"/>
        <v>0</v>
      </c>
      <c r="AW4" s="87">
        <f t="shared" si="15"/>
        <v>0</v>
      </c>
      <c r="AX4" s="87">
        <f t="shared" si="15"/>
        <v>0</v>
      </c>
      <c r="AY4" s="87">
        <f t="shared" si="15"/>
        <v>0</v>
      </c>
      <c r="AZ4" s="87">
        <f t="shared" si="15"/>
        <v>0</v>
      </c>
      <c r="BA4" s="87">
        <f t="shared" si="15"/>
        <v>0</v>
      </c>
      <c r="BB4" s="87">
        <f t="shared" si="15"/>
        <v>0</v>
      </c>
      <c r="BC4" s="87">
        <f t="shared" si="15"/>
        <v>0</v>
      </c>
      <c r="BD4" s="87">
        <f t="shared" si="15"/>
        <v>0</v>
      </c>
      <c r="BE4" s="87">
        <f t="shared" si="15"/>
        <v>0</v>
      </c>
      <c r="BF4" s="87">
        <f t="shared" si="15"/>
        <v>0</v>
      </c>
      <c r="BG4" s="87">
        <f t="shared" si="15"/>
        <v>0</v>
      </c>
      <c r="BH4" s="87">
        <f t="shared" si="15"/>
        <v>0</v>
      </c>
      <c r="BI4" s="87">
        <f t="shared" si="15"/>
        <v>0</v>
      </c>
      <c r="BJ4" s="87">
        <f t="shared" si="15"/>
        <v>0</v>
      </c>
      <c r="BK4" s="87">
        <f t="shared" si="15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6">Y5+AB5+AE5+AH5+AK5+AN5+AQ5+AT5+AW5+AZ5+BC5+BF5</f>
        <v>0</v>
      </c>
      <c r="N5" s="97">
        <f t="shared" si="16"/>
        <v>0</v>
      </c>
      <c r="O5" s="97">
        <f t="shared" si="16"/>
        <v>0</v>
      </c>
      <c r="P5" s="82">
        <f t="shared" ref="P5:R5" si="17">IF(BI5=0,SUM(Y5+AB5+AE5+AH5+AK5+AN5+AQ5+AT5+AW5+AZ5+BC5+BF5),BI5)</f>
        <v>0</v>
      </c>
      <c r="Q5" s="82">
        <f t="shared" si="17"/>
        <v>0</v>
      </c>
      <c r="R5" s="82">
        <f t="shared" si="17"/>
        <v>0</v>
      </c>
      <c r="S5" s="97">
        <f t="shared" ref="S5:S11" si="18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9">I6/E6</f>
        <v>0</v>
      </c>
      <c r="H6" s="94">
        <f t="shared" ref="H6:H23" si="20">M6/E6</f>
        <v>0</v>
      </c>
      <c r="I6" s="95"/>
      <c r="J6" s="96"/>
      <c r="K6" s="96"/>
      <c r="L6" s="95"/>
      <c r="M6" s="97">
        <f t="shared" ref="M6:O6" si="21">Y6+AB6+AE6+AH6+AK6+AN6+AQ6+AT6+AW6+AZ6+BC6+BF6</f>
        <v>0</v>
      </c>
      <c r="N6" s="97">
        <f t="shared" si="21"/>
        <v>0</v>
      </c>
      <c r="O6" s="97">
        <f t="shared" si="21"/>
        <v>0</v>
      </c>
      <c r="P6" s="82">
        <f t="shared" ref="P6:R6" si="22">IF(BI6=0,SUM(Y6+AB6+AE6+AH6+AK6+AN6+AQ6+AT6+AW6+AZ6+BC6+BF6),BI6)</f>
        <v>0</v>
      </c>
      <c r="Q6" s="82">
        <f t="shared" si="22"/>
        <v>0</v>
      </c>
      <c r="R6" s="82">
        <f t="shared" si="22"/>
        <v>0</v>
      </c>
      <c r="S6" s="97">
        <f t="shared" si="18"/>
        <v>0</v>
      </c>
      <c r="T6" s="97">
        <f t="shared" ref="T6:T11" si="23">J6-N6</f>
        <v>0</v>
      </c>
      <c r="U6" s="97">
        <f t="shared" ref="U6:U11" si="24">L6-O6</f>
        <v>0</v>
      </c>
      <c r="V6" s="97" t="e">
        <f t="shared" ref="V6:W6" si="25">M6/I6</f>
        <v>#DIV/0!</v>
      </c>
      <c r="W6" s="98" t="e">
        <f t="shared" si="25"/>
        <v>#DIV/0!</v>
      </c>
      <c r="X6" s="98" t="e">
        <f t="shared" ref="X6:X89" si="26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9"/>
        <v>0</v>
      </c>
      <c r="H7" s="94">
        <f t="shared" si="20"/>
        <v>0</v>
      </c>
      <c r="I7" s="95"/>
      <c r="J7" s="96"/>
      <c r="K7" s="96"/>
      <c r="L7" s="95"/>
      <c r="M7" s="97">
        <f t="shared" ref="M7:O7" si="27">Y7+AB7+AE7+AH7+AK7+AN7+AQ7+AT7+AW7+AZ7+BC7+BF7</f>
        <v>0</v>
      </c>
      <c r="N7" s="97">
        <f t="shared" si="27"/>
        <v>0</v>
      </c>
      <c r="O7" s="97">
        <f t="shared" si="27"/>
        <v>0</v>
      </c>
      <c r="P7" s="82">
        <f t="shared" ref="P7:R7" si="28">IF(BI7=0,SUM(Y7+AB7+AE7+AH7+AK7+AN7+AQ7+AT7+AW7+AZ7+BC7+BF7),BI7)</f>
        <v>0</v>
      </c>
      <c r="Q7" s="82">
        <f t="shared" si="28"/>
        <v>0</v>
      </c>
      <c r="R7" s="82">
        <f t="shared" si="28"/>
        <v>0</v>
      </c>
      <c r="S7" s="97">
        <f t="shared" si="18"/>
        <v>0</v>
      </c>
      <c r="T7" s="97">
        <f t="shared" si="23"/>
        <v>0</v>
      </c>
      <c r="U7" s="97">
        <f t="shared" si="24"/>
        <v>0</v>
      </c>
      <c r="V7" s="97" t="e">
        <f t="shared" ref="V7:W7" si="29">M7/I7</f>
        <v>#DIV/0!</v>
      </c>
      <c r="W7" s="98" t="e">
        <f t="shared" si="29"/>
        <v>#DIV/0!</v>
      </c>
      <c r="X7" s="98" t="e">
        <f t="shared" si="26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622</v>
      </c>
      <c r="E8" s="92">
        <v>15127.2</v>
      </c>
      <c r="F8" s="93">
        <v>58483.53</v>
      </c>
      <c r="G8" s="94">
        <f t="shared" si="19"/>
        <v>0</v>
      </c>
      <c r="H8" s="94">
        <f t="shared" si="20"/>
        <v>0</v>
      </c>
      <c r="I8" s="95"/>
      <c r="J8" s="96">
        <v>15833.25</v>
      </c>
      <c r="K8" s="96"/>
      <c r="L8" s="95"/>
      <c r="M8" s="97">
        <f t="shared" ref="M8:O8" si="30">Y8+AB8+AE8+AH8+AK8+AN8+AQ8+AT8+AW8+AZ8+BC8+BF8</f>
        <v>0</v>
      </c>
      <c r="N8" s="97">
        <f t="shared" si="30"/>
        <v>0</v>
      </c>
      <c r="O8" s="97">
        <f t="shared" si="30"/>
        <v>0</v>
      </c>
      <c r="P8" s="82">
        <f t="shared" ref="P8:R8" si="31">IF(BI8=0,SUM(Y8+AB8+AE8+AH8+AK8+AN8+AQ8+AT8+AW8+AZ8+BC8+BF8),BI8)</f>
        <v>0</v>
      </c>
      <c r="Q8" s="82">
        <f t="shared" si="31"/>
        <v>0</v>
      </c>
      <c r="R8" s="82">
        <f t="shared" si="31"/>
        <v>0</v>
      </c>
      <c r="S8" s="97">
        <f t="shared" si="18"/>
        <v>0</v>
      </c>
      <c r="T8" s="97">
        <f t="shared" si="23"/>
        <v>15833.25</v>
      </c>
      <c r="U8" s="97">
        <f t="shared" si="24"/>
        <v>0</v>
      </c>
      <c r="V8" s="97" t="e">
        <f t="shared" ref="V8:W8" si="32">M8/I8</f>
        <v>#DIV/0!</v>
      </c>
      <c r="W8" s="98">
        <f t="shared" si="32"/>
        <v>0</v>
      </c>
      <c r="X8" s="98" t="e">
        <f t="shared" si="26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9"/>
        <v>0</v>
      </c>
      <c r="H9" s="94">
        <f t="shared" si="20"/>
        <v>0</v>
      </c>
      <c r="I9" s="95"/>
      <c r="J9" s="353">
        <v>1950</v>
      </c>
      <c r="K9" s="96"/>
      <c r="L9" s="95"/>
      <c r="M9" s="97">
        <f t="shared" ref="M9:O9" si="33">Y9+AB9+AE9+AH9+AK9+AN9+AQ9+AT9+AW9+AZ9+BC9+BF9</f>
        <v>0</v>
      </c>
      <c r="N9" s="97">
        <f t="shared" si="33"/>
        <v>1950</v>
      </c>
      <c r="O9" s="97">
        <f t="shared" si="33"/>
        <v>0</v>
      </c>
      <c r="P9" s="82">
        <f t="shared" ref="P9:R9" si="34">IF(BI9=0,SUM(Y9+AB9+AE9+AH9+AK9+AN9+AQ9+AT9+AW9+AZ9+BC9+BF9),BI9)</f>
        <v>0</v>
      </c>
      <c r="Q9" s="82">
        <f t="shared" si="34"/>
        <v>1950</v>
      </c>
      <c r="R9" s="82">
        <f t="shared" si="34"/>
        <v>0</v>
      </c>
      <c r="S9" s="97">
        <f t="shared" si="18"/>
        <v>0</v>
      </c>
      <c r="T9" s="97">
        <f t="shared" si="23"/>
        <v>0</v>
      </c>
      <c r="U9" s="97">
        <f t="shared" si="24"/>
        <v>0</v>
      </c>
      <c r="V9" s="97" t="e">
        <f t="shared" ref="V9:W9" si="35">M9/I9</f>
        <v>#DIV/0!</v>
      </c>
      <c r="W9" s="98">
        <f t="shared" si="35"/>
        <v>1</v>
      </c>
      <c r="X9" s="98" t="e">
        <f t="shared" si="26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9" t="s">
        <v>575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9"/>
        <v>6.1154140164135402E-2</v>
      </c>
      <c r="H10" s="94">
        <f t="shared" si="20"/>
        <v>2.1923182322991938E-2</v>
      </c>
      <c r="I10" s="95">
        <f>304+183+361</f>
        <v>848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si="18"/>
        <v>544</v>
      </c>
      <c r="T10" s="97">
        <f t="shared" si="23"/>
        <v>0</v>
      </c>
      <c r="U10" s="97">
        <f t="shared" si="24"/>
        <v>0</v>
      </c>
      <c r="V10" s="97">
        <f t="shared" ref="V10:W10" si="38">M10/I10</f>
        <v>0.35849056603773582</v>
      </c>
      <c r="W10" s="98" t="e">
        <f t="shared" si="38"/>
        <v>#DIV/0!</v>
      </c>
      <c r="X10" s="98" t="e">
        <f t="shared" si="26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9"/>
        <v>0</v>
      </c>
      <c r="H11" s="94">
        <f t="shared" si="20"/>
        <v>0</v>
      </c>
      <c r="I11" s="95"/>
      <c r="J11" s="96"/>
      <c r="K11" s="96"/>
      <c r="L11" s="95"/>
      <c r="M11" s="97">
        <f t="shared" ref="M11:O11" si="39">Y11+AB11+AE11+AH11+AK11+AN11+AQ11+AT11+AW11+AZ11+BC11+BF11</f>
        <v>0</v>
      </c>
      <c r="N11" s="97">
        <f t="shared" si="39"/>
        <v>0</v>
      </c>
      <c r="O11" s="97">
        <f t="shared" si="39"/>
        <v>0</v>
      </c>
      <c r="P11" s="82">
        <f t="shared" ref="P11:R11" si="40">IF(BI11=0,SUM(Y11+AB11+AE11+AH11+AK11+AN11+AQ11+AT11+AW11+AZ11+BC11+BF11),BI11)</f>
        <v>0</v>
      </c>
      <c r="Q11" s="82">
        <f t="shared" si="40"/>
        <v>0</v>
      </c>
      <c r="R11" s="82">
        <f t="shared" si="40"/>
        <v>0</v>
      </c>
      <c r="S11" s="97">
        <f t="shared" si="18"/>
        <v>0</v>
      </c>
      <c r="T11" s="97">
        <f t="shared" si="23"/>
        <v>0</v>
      </c>
      <c r="U11" s="97">
        <f t="shared" si="24"/>
        <v>0</v>
      </c>
      <c r="V11" s="97" t="e">
        <f t="shared" ref="V11:W11" si="41">M11/I11</f>
        <v>#DIV/0!</v>
      </c>
      <c r="W11" s="98" t="e">
        <f t="shared" si="41"/>
        <v>#DIV/0!</v>
      </c>
      <c r="X11" s="98" t="e">
        <f t="shared" si="26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2">SUM(E13:E66)</f>
        <v>1669164.1900000002</v>
      </c>
      <c r="F12" s="87">
        <f t="shared" si="42"/>
        <v>3250000</v>
      </c>
      <c r="G12" s="107">
        <f t="shared" si="19"/>
        <v>0.80042074830277798</v>
      </c>
      <c r="H12" s="107">
        <f t="shared" si="20"/>
        <v>4.2192913328676182E-2</v>
      </c>
      <c r="I12" s="87">
        <f>SUM(I13:I66)</f>
        <v>1336033.6500000004</v>
      </c>
      <c r="J12" s="87">
        <f t="shared" ref="J12:L12" si="43">SUM(J15:J66)</f>
        <v>1611770.46</v>
      </c>
      <c r="K12" s="87">
        <f t="shared" si="43"/>
        <v>16426.96</v>
      </c>
      <c r="L12" s="87">
        <f t="shared" si="43"/>
        <v>0</v>
      </c>
      <c r="M12" s="87">
        <f t="shared" ref="M12:N12" si="44">SUM(M13:M66)</f>
        <v>70426.899999999994</v>
      </c>
      <c r="N12" s="87" t="e">
        <f t="shared" si="44"/>
        <v>#REF!</v>
      </c>
      <c r="O12" s="108">
        <f>SUM(O13:O63)</f>
        <v>0</v>
      </c>
      <c r="P12" s="87">
        <f t="shared" ref="P12:R12" si="45">IF(BI12=0,SUM(Y12+AB12+AE12+AH12+AK12+AN12+AQ12+AT12+AW12+AZ12+BC12+BF12),BI12)</f>
        <v>74820.84</v>
      </c>
      <c r="Q12" s="87">
        <f t="shared" si="45"/>
        <v>980316.25</v>
      </c>
      <c r="R12" s="108">
        <f t="shared" si="45"/>
        <v>0</v>
      </c>
      <c r="S12" s="87">
        <f>SUM(S13:S66)</f>
        <v>1265606.7500000002</v>
      </c>
      <c r="T12" s="87" t="e">
        <f t="shared" ref="T12:U12" si="46">SUM(T15:T66)</f>
        <v>#REF!</v>
      </c>
      <c r="U12" s="108">
        <f t="shared" si="46"/>
        <v>0</v>
      </c>
      <c r="V12" s="88">
        <f t="shared" ref="V12:W12" si="47">M12/I12</f>
        <v>5.2713417809499015E-2</v>
      </c>
      <c r="W12" s="88" t="e">
        <f t="shared" si="47"/>
        <v>#REF!</v>
      </c>
      <c r="X12" s="88" t="e">
        <f t="shared" si="26"/>
        <v>#DIV/0!</v>
      </c>
      <c r="Y12" s="87">
        <f t="shared" ref="Y12:AC12" si="48">SUM(Y15:Y66)</f>
        <v>0</v>
      </c>
      <c r="Z12" s="87">
        <f t="shared" si="48"/>
        <v>162060.35</v>
      </c>
      <c r="AA12" s="87">
        <f t="shared" si="48"/>
        <v>0</v>
      </c>
      <c r="AB12" s="87">
        <f t="shared" si="48"/>
        <v>0</v>
      </c>
      <c r="AC12" s="87">
        <f t="shared" si="48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49">SUM(AH13:AH66)</f>
        <v>18883.349999999999</v>
      </c>
      <c r="AI12" s="87">
        <f t="shared" si="49"/>
        <v>93013.4</v>
      </c>
      <c r="AJ12" s="87">
        <f>SUM(AJ15:AJ63)</f>
        <v>0</v>
      </c>
      <c r="AK12" s="87">
        <f t="shared" ref="AK12:AL12" si="50">SUM(AK15:AK66)</f>
        <v>49634.33</v>
      </c>
      <c r="AL12" s="87">
        <f t="shared" si="50"/>
        <v>361930.45</v>
      </c>
      <c r="AM12" s="87">
        <f>SUM(AM15:AM63)</f>
        <v>0</v>
      </c>
      <c r="AN12" s="87">
        <f t="shared" ref="AN12:AO12" si="51">SUM(AN15:AN66)</f>
        <v>2874.5</v>
      </c>
      <c r="AO12" s="87">
        <f t="shared" si="51"/>
        <v>0</v>
      </c>
      <c r="AP12" s="87">
        <f>SUM(AP15:AP63)</f>
        <v>0</v>
      </c>
      <c r="AQ12" s="87">
        <f t="shared" ref="AQ12:AR12" si="52">SUM(AQ15:AQ66)</f>
        <v>1703.3400000000001</v>
      </c>
      <c r="AR12" s="87">
        <f t="shared" si="52"/>
        <v>0</v>
      </c>
      <c r="AS12" s="87">
        <f>SUM(AS15:AS63)</f>
        <v>0</v>
      </c>
      <c r="AT12" s="87">
        <f>SUM(AT15:AT66)</f>
        <v>0</v>
      </c>
      <c r="AU12" s="87">
        <f t="shared" ref="AU12:AV12" si="53">SUM(AU15:AU63)</f>
        <v>0</v>
      </c>
      <c r="AV12" s="87">
        <f t="shared" si="53"/>
        <v>0</v>
      </c>
      <c r="AW12" s="87">
        <f t="shared" ref="AW12:AX12" si="54">SUM(AW15:AW66)</f>
        <v>0</v>
      </c>
      <c r="AX12" s="87">
        <f t="shared" si="54"/>
        <v>0</v>
      </c>
      <c r="AY12" s="87">
        <f t="shared" ref="AY12:BK12" si="55">SUM(AY15:AY63)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9"/>
        <v>1</v>
      </c>
      <c r="H13" s="94">
        <f t="shared" si="20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T13" si="58">I13-M13</f>
        <v>1500</v>
      </c>
      <c r="T13" s="97">
        <f t="shared" si="58"/>
        <v>0</v>
      </c>
      <c r="U13" s="97">
        <f t="shared" ref="U13:U66" si="59">L13-O13</f>
        <v>0</v>
      </c>
      <c r="V13" s="112">
        <f t="shared" ref="V13:W13" si="60">M13/I13</f>
        <v>0</v>
      </c>
      <c r="W13" s="98" t="e">
        <f t="shared" si="60"/>
        <v>#DIV/0!</v>
      </c>
      <c r="X13" s="98" t="e">
        <f t="shared" si="26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>
        <v>0</v>
      </c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9"/>
        <v>0.10367</v>
      </c>
      <c r="H14" s="94">
        <f t="shared" si="20"/>
        <v>0</v>
      </c>
      <c r="I14" s="355">
        <v>207.34</v>
      </c>
      <c r="J14" s="96"/>
      <c r="K14" s="96"/>
      <c r="L14" s="95"/>
      <c r="M14" s="97">
        <f t="shared" ref="M14:O14" si="61">Y14+AB14+AE14+AH14+AK14+AN14+AQ14+AT14+AW14+AZ14+BC14+BF14</f>
        <v>0</v>
      </c>
      <c r="N14" s="97">
        <f t="shared" si="61"/>
        <v>0</v>
      </c>
      <c r="O14" s="97">
        <f t="shared" si="61"/>
        <v>0</v>
      </c>
      <c r="P14" s="82">
        <f t="shared" ref="P14:R14" si="62">IF(BI14=0,SUM(Y14+AB14+AE14+AH14+AK14+AN14+AQ14+AT14+AW14+AZ14+BC14+BF14),BI14)</f>
        <v>0</v>
      </c>
      <c r="Q14" s="82">
        <f t="shared" si="62"/>
        <v>0</v>
      </c>
      <c r="R14" s="82">
        <f t="shared" si="62"/>
        <v>0</v>
      </c>
      <c r="S14" s="97">
        <f t="shared" ref="S14:T14" si="63">I14-M14</f>
        <v>207.34</v>
      </c>
      <c r="T14" s="97">
        <f t="shared" si="63"/>
        <v>0</v>
      </c>
      <c r="U14" s="97">
        <f t="shared" si="59"/>
        <v>0</v>
      </c>
      <c r="V14" s="97">
        <f t="shared" ref="V14:W14" si="64">M14/I14</f>
        <v>0</v>
      </c>
      <c r="W14" s="98" t="e">
        <f t="shared" si="64"/>
        <v>#DIV/0!</v>
      </c>
      <c r="X14" s="98" t="e">
        <f t="shared" si="26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623</v>
      </c>
      <c r="E15" s="116">
        <v>280175</v>
      </c>
      <c r="F15" s="116"/>
      <c r="G15" s="94">
        <f t="shared" si="19"/>
        <v>1.0728104577496207</v>
      </c>
      <c r="H15" s="94">
        <f t="shared" si="20"/>
        <v>1.784598911394664E-2</v>
      </c>
      <c r="I15" s="96">
        <f>5000+295574.67</f>
        <v>300574.67</v>
      </c>
      <c r="J15" s="117">
        <v>194909.32</v>
      </c>
      <c r="K15" s="117"/>
      <c r="L15" s="118"/>
      <c r="M15" s="97">
        <f t="shared" ref="M15:O15" si="65">Y15+AB15+AE15+AH15+AK15+AN15+AQ15+AT15+AW15+AZ15+BC15+BF15</f>
        <v>5000</v>
      </c>
      <c r="N15" s="97">
        <f t="shared" si="65"/>
        <v>82382</v>
      </c>
      <c r="O15" s="97">
        <f t="shared" si="65"/>
        <v>0</v>
      </c>
      <c r="P15" s="82">
        <f t="shared" ref="P15:R15" si="66">IF(BI15=0,SUM(Y15+AB15+AE15+AH15+AK15+AN15+AQ15+AT15+AW15+AZ15+BC15+BF15),BI15)</f>
        <v>5000</v>
      </c>
      <c r="Q15" s="82">
        <f t="shared" si="66"/>
        <v>82382</v>
      </c>
      <c r="R15" s="82">
        <f t="shared" si="66"/>
        <v>0</v>
      </c>
      <c r="S15" s="97">
        <f t="shared" ref="S15:T15" si="67">I15-M15</f>
        <v>295574.67</v>
      </c>
      <c r="T15" s="97">
        <f t="shared" si="67"/>
        <v>112527.32</v>
      </c>
      <c r="U15" s="97">
        <f t="shared" si="59"/>
        <v>0</v>
      </c>
      <c r="V15" s="98">
        <f t="shared" ref="V15:W15" si="68">M15/I15</f>
        <v>1.6634801595224243E-2</v>
      </c>
      <c r="W15" s="98">
        <f t="shared" si="68"/>
        <v>0.4226683464905629</v>
      </c>
      <c r="X15" s="98" t="e">
        <f t="shared" si="26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624</v>
      </c>
      <c r="E16" s="92">
        <v>2000</v>
      </c>
      <c r="F16" s="116"/>
      <c r="G16" s="94">
        <f t="shared" si="19"/>
        <v>0</v>
      </c>
      <c r="H16" s="94">
        <f t="shared" si="20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49.62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49.62</v>
      </c>
      <c r="R16" s="82">
        <f t="shared" si="70"/>
        <v>0</v>
      </c>
      <c r="S16" s="97">
        <f t="shared" ref="S16:T16" si="71">I16-M16</f>
        <v>0</v>
      </c>
      <c r="T16" s="97">
        <f t="shared" si="71"/>
        <v>5262.96</v>
      </c>
      <c r="U16" s="97">
        <f t="shared" si="59"/>
        <v>0</v>
      </c>
      <c r="V16" s="98" t="e">
        <f t="shared" ref="V16:W16" si="72">M16/I16</f>
        <v>#DIV/0!</v>
      </c>
      <c r="W16" s="98">
        <f t="shared" si="72"/>
        <v>9.340094643280665E-3</v>
      </c>
      <c r="X16" s="98" t="e">
        <f t="shared" si="26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625</v>
      </c>
      <c r="E17" s="123">
        <v>0</v>
      </c>
      <c r="F17" s="124">
        <v>0</v>
      </c>
      <c r="G17" s="94" t="e">
        <f t="shared" si="19"/>
        <v>#DIV/0!</v>
      </c>
      <c r="H17" s="94" t="e">
        <f t="shared" si="20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3">Y17+AB17+AE17+AH17+AK17+AN17+AQ17+AT17+AW17+AZ17+BC17+BF17</f>
        <v>0</v>
      </c>
      <c r="N17" s="97">
        <f t="shared" si="73"/>
        <v>12487.09</v>
      </c>
      <c r="O17" s="97">
        <f t="shared" si="73"/>
        <v>0</v>
      </c>
      <c r="P17" s="82">
        <f t="shared" ref="P17:R17" si="74">IF(BI17=0,SUM(Y17+AB17+AE17+AH17+AK17+AN17+AQ17+AT17+AW17+AZ17+BC17+BF17),BI17)</f>
        <v>0</v>
      </c>
      <c r="Q17" s="82">
        <f t="shared" si="74"/>
        <v>12487.09</v>
      </c>
      <c r="R17" s="82">
        <f t="shared" si="74"/>
        <v>0</v>
      </c>
      <c r="S17" s="97">
        <f t="shared" ref="S17:T17" si="75">I17-M17</f>
        <v>0</v>
      </c>
      <c r="T17" s="97">
        <f t="shared" si="75"/>
        <v>0</v>
      </c>
      <c r="U17" s="97">
        <f t="shared" si="59"/>
        <v>0</v>
      </c>
      <c r="V17" s="98" t="e">
        <f t="shared" ref="V17:W17" si="76">M17/I17</f>
        <v>#DIV/0!</v>
      </c>
      <c r="W17" s="98">
        <f t="shared" si="76"/>
        <v>1</v>
      </c>
      <c r="X17" s="98" t="e">
        <f t="shared" si="26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627</v>
      </c>
      <c r="E18" s="92">
        <v>309000</v>
      </c>
      <c r="F18" s="116"/>
      <c r="G18" s="94">
        <f t="shared" si="19"/>
        <v>0.51844631067961167</v>
      </c>
      <c r="H18" s="94">
        <f t="shared" si="20"/>
        <v>0</v>
      </c>
      <c r="I18" s="103">
        <v>160199.91</v>
      </c>
      <c r="J18" s="117">
        <v>93746.62</v>
      </c>
      <c r="K18" s="117"/>
      <c r="L18" s="118"/>
      <c r="M18" s="97">
        <f t="shared" ref="M18:O18" si="77">Y18+AB18+AE18+AH18+AK18+AN18+AQ18+AT18+AW18+AZ18+BC18+BF18</f>
        <v>0</v>
      </c>
      <c r="N18" s="97">
        <f t="shared" si="77"/>
        <v>71199.960000000006</v>
      </c>
      <c r="O18" s="97">
        <f t="shared" si="77"/>
        <v>0</v>
      </c>
      <c r="P18" s="82">
        <f t="shared" ref="P18:R18" si="78">IF(BI18=0,SUM(Y18+AB18+AE18+AH18+AK18+AN18+AQ18+AT18+AW18+AZ18+BC18+BF18),BI18)</f>
        <v>0</v>
      </c>
      <c r="Q18" s="82">
        <f t="shared" si="78"/>
        <v>71199.960000000006</v>
      </c>
      <c r="R18" s="82">
        <f t="shared" si="78"/>
        <v>0</v>
      </c>
      <c r="S18" s="97">
        <f t="shared" ref="S18:T18" si="79">I18-M18</f>
        <v>160199.91</v>
      </c>
      <c r="T18" s="97">
        <f t="shared" si="79"/>
        <v>22546.659999999989</v>
      </c>
      <c r="U18" s="97">
        <f t="shared" si="59"/>
        <v>0</v>
      </c>
      <c r="V18" s="98">
        <f t="shared" ref="V18:W18" si="80">M18/I18</f>
        <v>0</v>
      </c>
      <c r="W18" s="98">
        <f t="shared" si="80"/>
        <v>0.75949362227672856</v>
      </c>
      <c r="X18" s="98" t="e">
        <f t="shared" si="26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629</v>
      </c>
      <c r="E19" s="92">
        <v>610000</v>
      </c>
      <c r="F19" s="116"/>
      <c r="G19" s="94">
        <f t="shared" si="19"/>
        <v>1.0842578032786885</v>
      </c>
      <c r="H19" s="94">
        <f t="shared" si="20"/>
        <v>2.4080967213114753E-2</v>
      </c>
      <c r="I19" s="103">
        <f>36673.86+499778.72+124944.68</f>
        <v>661397.26</v>
      </c>
      <c r="J19" s="117">
        <v>180180.54</v>
      </c>
      <c r="K19" s="117"/>
      <c r="L19" s="118"/>
      <c r="M19" s="97">
        <f t="shared" ref="M19:M21" si="81">Y19+AB19+AE19+AH19+AK19+AN19+AQ19+AT19+AW19+AZ19+BC19+BF19</f>
        <v>14689.39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82">IF(BI19=0,SUM(Y19+AB19+AE19+AH19+AK19+AN19+AQ19+AT19+AW19+AZ19+BC19+BF19),BI19)</f>
        <v>14689.39</v>
      </c>
      <c r="Q19" s="82">
        <f t="shared" si="82"/>
        <v>180180.53999999998</v>
      </c>
      <c r="R19" s="82">
        <f t="shared" si="82"/>
        <v>0</v>
      </c>
      <c r="S19" s="97">
        <f t="shared" ref="S19:T19" si="83">I19-M19</f>
        <v>646707.87</v>
      </c>
      <c r="T19" s="97">
        <f t="shared" si="83"/>
        <v>73248.510000000009</v>
      </c>
      <c r="U19" s="97">
        <f t="shared" si="59"/>
        <v>0</v>
      </c>
      <c r="V19" s="98">
        <f t="shared" ref="V19:W19" si="84">M19/I19</f>
        <v>2.2209632377370295E-2</v>
      </c>
      <c r="W19" s="98">
        <f t="shared" si="84"/>
        <v>0.59347158133725209</v>
      </c>
      <c r="X19" s="98" t="e">
        <f t="shared" si="26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120"/>
      <c r="B20" s="114" t="s">
        <v>228</v>
      </c>
      <c r="C20" s="101" t="s">
        <v>229</v>
      </c>
      <c r="D20" s="91" t="s">
        <v>630</v>
      </c>
      <c r="E20" s="92">
        <v>43000</v>
      </c>
      <c r="F20" s="92"/>
      <c r="G20" s="94">
        <f t="shared" si="19"/>
        <v>0</v>
      </c>
      <c r="H20" s="94">
        <f t="shared" si="20"/>
        <v>0</v>
      </c>
      <c r="I20" s="96"/>
      <c r="J20" s="117">
        <v>20565.900000000001</v>
      </c>
      <c r="K20" s="117"/>
      <c r="L20" s="118"/>
      <c r="M20" s="97">
        <f t="shared" si="81"/>
        <v>0</v>
      </c>
      <c r="N20" s="97">
        <f t="shared" ref="N20:O20" si="85">Z20+AC20+AF20+AI20+AL20+AO20+AR20+AU20+AX20+BA20+BD20+BG20</f>
        <v>17976.260000000002</v>
      </c>
      <c r="O20" s="97">
        <f t="shared" si="85"/>
        <v>0</v>
      </c>
      <c r="P20" s="82">
        <f t="shared" ref="P20:R20" si="86">IF(BI20=0,SUM(Y20+AB20+AE20+AH20+AK20+AN20+AQ20+AT20+AW20+AZ20+BC20+BF20),BI20)</f>
        <v>0</v>
      </c>
      <c r="Q20" s="82">
        <f t="shared" si="86"/>
        <v>17976.260000000002</v>
      </c>
      <c r="R20" s="82">
        <f t="shared" si="86"/>
        <v>0</v>
      </c>
      <c r="S20" s="97">
        <f t="shared" ref="S20:T20" si="87">I20-M20</f>
        <v>0</v>
      </c>
      <c r="T20" s="97">
        <f t="shared" si="87"/>
        <v>2589.6399999999994</v>
      </c>
      <c r="U20" s="97">
        <f t="shared" si="59"/>
        <v>0</v>
      </c>
      <c r="V20" s="98" t="e">
        <f t="shared" ref="V20:W20" si="88">M20/I20</f>
        <v>#DIV/0!</v>
      </c>
      <c r="W20" s="98">
        <f t="shared" si="88"/>
        <v>0.87408088145911444</v>
      </c>
      <c r="X20" s="98" t="e">
        <f t="shared" si="26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631</v>
      </c>
      <c r="E21" s="92">
        <v>2000</v>
      </c>
      <c r="F21" s="92"/>
      <c r="G21" s="94">
        <f t="shared" si="19"/>
        <v>0</v>
      </c>
      <c r="H21" s="94">
        <f t="shared" si="20"/>
        <v>0</v>
      </c>
      <c r="I21" s="96"/>
      <c r="J21" s="117">
        <v>1838.67</v>
      </c>
      <c r="K21" s="117"/>
      <c r="L21" s="118"/>
      <c r="M21" s="97">
        <f t="shared" si="81"/>
        <v>0</v>
      </c>
      <c r="N21" s="97">
        <f t="shared" ref="N21:O21" si="89">Z21+AC21+AF21+AI21+AL21+AO21+AR21+AU21+AX21+BA21+BD21+BG21</f>
        <v>1163.06</v>
      </c>
      <c r="O21" s="97">
        <f t="shared" si="89"/>
        <v>0</v>
      </c>
      <c r="P21" s="82">
        <f t="shared" ref="P21:R21" si="90">IF(BI21=0,SUM(Y21+AB21+AE21+AH21+AK21+AN21+AQ21+AT21+AW21+AZ21+BC21+BF21),BI21)</f>
        <v>0</v>
      </c>
      <c r="Q21" s="82">
        <f t="shared" si="90"/>
        <v>1163.06</v>
      </c>
      <c r="R21" s="82">
        <f t="shared" si="90"/>
        <v>0</v>
      </c>
      <c r="S21" s="97">
        <f t="shared" ref="S21:T21" si="91">I21-M21</f>
        <v>0</v>
      </c>
      <c r="T21" s="97">
        <f t="shared" si="91"/>
        <v>675.61000000000013</v>
      </c>
      <c r="U21" s="97">
        <f t="shared" si="59"/>
        <v>0</v>
      </c>
      <c r="V21" s="98" t="e">
        <f t="shared" ref="V21:W21" si="92">M21/I21</f>
        <v>#DIV/0!</v>
      </c>
      <c r="W21" s="98">
        <f t="shared" si="92"/>
        <v>0.6325550533809764</v>
      </c>
      <c r="X21" s="98" t="e">
        <f t="shared" si="26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632</v>
      </c>
      <c r="E22" s="92">
        <v>45000</v>
      </c>
      <c r="F22" s="116"/>
      <c r="G22" s="94">
        <f t="shared" si="19"/>
        <v>1.0740742222222224</v>
      </c>
      <c r="H22" s="94">
        <f t="shared" si="20"/>
        <v>0.1236811111111111</v>
      </c>
      <c r="I22" s="103">
        <f>4393.94+43939.4</f>
        <v>48333.340000000004</v>
      </c>
      <c r="J22" s="117">
        <v>16833.330000000002</v>
      </c>
      <c r="K22" s="117"/>
      <c r="L22" s="118"/>
      <c r="M22" s="97">
        <f>Y22+AB22+AE22+AH22+AL22+AN22+AQ22+AT22+AW22+AZ22+BC22+BF22</f>
        <v>5565.65</v>
      </c>
      <c r="N22" s="97" t="e">
        <f>Z22+AC22+AF22+AI22+#REF!+AO22+AR22+AU22+AX22+BA22+BD22+BG22</f>
        <v>#REF!</v>
      </c>
      <c r="O22" s="97">
        <f>AA22+AD22+AG22+AJ22+AM22+AP22+AS22+AV22+AY22+BB22+BE22+BH22</f>
        <v>0</v>
      </c>
      <c r="P22" s="82">
        <f>IF(BI22=0,SUM(Y22+AB22+AE22+AH22+AL22+AN22+AQ22+AT22+AW22+AZ22+BC22+BF22),BI22)</f>
        <v>5565.65</v>
      </c>
      <c r="Q22" s="82" t="e">
        <f>IF(BJ22=0,SUM(Z22+AC22+AF22+AI22+#REF!+AO22+AR22+AU22+AX22+BA22+BD22+BG22),BJ22)</f>
        <v>#REF!</v>
      </c>
      <c r="R22" s="82">
        <f>IF(BK22=0,SUM(AA22+AD22+AG22+AJ22+AM22+AP22+AS22+AV22+AY22+BB22+BE22+BH22),BK22)</f>
        <v>0</v>
      </c>
      <c r="S22" s="97">
        <f t="shared" ref="S22:T22" si="93">I22-M22</f>
        <v>42767.69</v>
      </c>
      <c r="T22" s="97" t="e">
        <f t="shared" si="93"/>
        <v>#REF!</v>
      </c>
      <c r="U22" s="97">
        <f t="shared" si="59"/>
        <v>0</v>
      </c>
      <c r="V22" s="98">
        <f t="shared" ref="V22:W22" si="94">M22/I22</f>
        <v>0.11515136342739814</v>
      </c>
      <c r="W22" s="98" t="e">
        <f t="shared" si="94"/>
        <v>#REF!</v>
      </c>
      <c r="X22" s="98" t="e">
        <f t="shared" si="26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120"/>
      <c r="B23" s="114" t="s">
        <v>236</v>
      </c>
      <c r="C23" s="101" t="s">
        <v>229</v>
      </c>
      <c r="D23" s="122" t="s">
        <v>633</v>
      </c>
      <c r="E23" s="92">
        <v>43000</v>
      </c>
      <c r="F23" s="116"/>
      <c r="G23" s="94">
        <f t="shared" si="19"/>
        <v>0</v>
      </c>
      <c r="H23" s="94">
        <f t="shared" si="20"/>
        <v>0</v>
      </c>
      <c r="I23" s="96"/>
      <c r="J23" s="117">
        <v>18798.599999999999</v>
      </c>
      <c r="K23" s="117"/>
      <c r="L23" s="118"/>
      <c r="M23" s="97">
        <f t="shared" ref="M23:O23" si="95">Y23+AB23+AE23+AH23+AK23+AN23+AQ23+AT23+AW23+AZ23+BC23+BF23</f>
        <v>0</v>
      </c>
      <c r="N23" s="97">
        <f t="shared" si="95"/>
        <v>16938.93</v>
      </c>
      <c r="O23" s="97">
        <f t="shared" si="95"/>
        <v>0</v>
      </c>
      <c r="P23" s="82">
        <f t="shared" ref="P23:R23" si="96">IF(BI23=0,SUM(Y23+AB23+AE23+AH23+AK23+AN23+AQ23+AT23+AW23+AZ23+BC23+BF23),BI23)</f>
        <v>0</v>
      </c>
      <c r="Q23" s="82">
        <f t="shared" si="96"/>
        <v>16938.93</v>
      </c>
      <c r="R23" s="82">
        <f t="shared" si="96"/>
        <v>0</v>
      </c>
      <c r="S23" s="97">
        <f t="shared" ref="S23:T23" si="97">I23-M23</f>
        <v>0</v>
      </c>
      <c r="T23" s="97">
        <f t="shared" si="97"/>
        <v>1859.6699999999983</v>
      </c>
      <c r="U23" s="97">
        <f t="shared" si="59"/>
        <v>0</v>
      </c>
      <c r="V23" s="98" t="e">
        <f t="shared" ref="V23:W23" si="98">M23/I23</f>
        <v>#DIV/0!</v>
      </c>
      <c r="W23" s="98">
        <f t="shared" si="98"/>
        <v>0.90107401615013893</v>
      </c>
      <c r="X23" s="98" t="e">
        <f t="shared" si="26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120"/>
      <c r="B24" s="114"/>
      <c r="C24" s="101" t="s">
        <v>229</v>
      </c>
      <c r="D24" s="122" t="s">
        <v>238</v>
      </c>
      <c r="E24" s="92">
        <v>44707.32</v>
      </c>
      <c r="F24" s="93">
        <v>50000</v>
      </c>
      <c r="G24" s="94">
        <f t="shared" si="19"/>
        <v>0</v>
      </c>
      <c r="H24" s="94"/>
      <c r="I24" s="96"/>
      <c r="J24" s="117"/>
      <c r="K24" s="117"/>
      <c r="L24" s="118"/>
      <c r="M24" s="97">
        <f t="shared" ref="M24:O24" si="99">Y24+AB24+AE24+AH24+AK24+AN24+AQ24+AT24+AW24+AZ24+BC24+BF24</f>
        <v>0</v>
      </c>
      <c r="N24" s="97">
        <f t="shared" si="99"/>
        <v>0</v>
      </c>
      <c r="O24" s="97">
        <f t="shared" si="99"/>
        <v>0</v>
      </c>
      <c r="P24" s="82">
        <f t="shared" ref="P24:R24" si="100">IF(BI24=0,SUM(Y24+AB24+AE24+AH24+AK24+AN24+AQ24+AT24+AW24+AZ24+BC24+BF24),BI24)</f>
        <v>0</v>
      </c>
      <c r="Q24" s="82">
        <f t="shared" si="100"/>
        <v>0</v>
      </c>
      <c r="R24" s="82">
        <f t="shared" si="100"/>
        <v>0</v>
      </c>
      <c r="S24" s="97">
        <f t="shared" ref="S24:T24" si="101">I24-M24</f>
        <v>0</v>
      </c>
      <c r="T24" s="97">
        <f t="shared" si="101"/>
        <v>0</v>
      </c>
      <c r="U24" s="97">
        <f t="shared" si="59"/>
        <v>0</v>
      </c>
      <c r="V24" s="98" t="e">
        <f t="shared" ref="V24:W24" si="102">M24/I24</f>
        <v>#DIV/0!</v>
      </c>
      <c r="W24" s="98" t="e">
        <f t="shared" si="102"/>
        <v>#DIV/0!</v>
      </c>
      <c r="X24" s="98" t="e">
        <f t="shared" si="26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634</v>
      </c>
      <c r="E25" s="92">
        <v>7000</v>
      </c>
      <c r="F25" s="92"/>
      <c r="G25" s="94">
        <f t="shared" si="19"/>
        <v>0</v>
      </c>
      <c r="H25" s="94">
        <f t="shared" ref="H25:H54" si="103">M25/E25</f>
        <v>0</v>
      </c>
      <c r="I25" s="96"/>
      <c r="J25" s="117">
        <v>5583.4</v>
      </c>
      <c r="K25" s="117"/>
      <c r="L25" s="118"/>
      <c r="M25" s="97">
        <f t="shared" ref="M25:O25" si="104">Y25+AB25+AE25+AH25+AK25+AN25+AQ25+AT25+AW25+AZ25+BC25+BF25</f>
        <v>0</v>
      </c>
      <c r="N25" s="97">
        <f t="shared" si="104"/>
        <v>5583.4</v>
      </c>
      <c r="O25" s="97">
        <f t="shared" si="104"/>
        <v>0</v>
      </c>
      <c r="P25" s="82">
        <f t="shared" ref="P25:R25" si="105">IF(BI25=0,SUM(Y25+AB25+AE25+AH25+AK25+AN25+AQ25+AT25+AW25+AZ25+BC25+BF25),BI25)</f>
        <v>0</v>
      </c>
      <c r="Q25" s="82">
        <f t="shared" si="105"/>
        <v>5583.4</v>
      </c>
      <c r="R25" s="82">
        <f t="shared" si="105"/>
        <v>0</v>
      </c>
      <c r="S25" s="97">
        <f t="shared" ref="S25:T25" si="106">I25-M25</f>
        <v>0</v>
      </c>
      <c r="T25" s="97">
        <f t="shared" si="106"/>
        <v>0</v>
      </c>
      <c r="U25" s="97">
        <f t="shared" si="59"/>
        <v>0</v>
      </c>
      <c r="V25" s="98" t="e">
        <f t="shared" ref="V25:W25" si="107">M25/I25</f>
        <v>#DIV/0!</v>
      </c>
      <c r="W25" s="98">
        <f t="shared" si="107"/>
        <v>1</v>
      </c>
      <c r="X25" s="98" t="e">
        <f t="shared" si="26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356" t="s">
        <v>635</v>
      </c>
      <c r="B26" s="114"/>
      <c r="C26" s="101" t="s">
        <v>242</v>
      </c>
      <c r="D26" s="122" t="s">
        <v>636</v>
      </c>
      <c r="E26" s="116">
        <v>8404</v>
      </c>
      <c r="F26" s="116"/>
      <c r="G26" s="94">
        <f t="shared" si="19"/>
        <v>0.3420395049976202</v>
      </c>
      <c r="H26" s="94">
        <f t="shared" si="103"/>
        <v>0.3420395049976202</v>
      </c>
      <c r="I26" s="103">
        <v>2874.5</v>
      </c>
      <c r="J26" s="117"/>
      <c r="K26" s="117"/>
      <c r="L26" s="118"/>
      <c r="M26" s="97">
        <f t="shared" ref="M26:O26" si="108">Y26+AB26+AE26+AH26+AK26+AN26+AQ26+AT26+AW26+AZ26+BC26+BF26</f>
        <v>2874.5</v>
      </c>
      <c r="N26" s="97">
        <f t="shared" si="108"/>
        <v>0</v>
      </c>
      <c r="O26" s="97">
        <f t="shared" si="108"/>
        <v>0</v>
      </c>
      <c r="P26" s="82">
        <f t="shared" ref="P26:R26" si="109">IF(BI26=0,SUM(Y26+AB26+AE26+AH26+AK26+AN26+AQ26+AT26+AW26+AZ26+BC26+BF26),BI26)</f>
        <v>2874.5</v>
      </c>
      <c r="Q26" s="82">
        <f t="shared" si="109"/>
        <v>0</v>
      </c>
      <c r="R26" s="82">
        <f t="shared" si="109"/>
        <v>0</v>
      </c>
      <c r="S26" s="97">
        <f t="shared" ref="S26:T26" si="110">I26-M26</f>
        <v>0</v>
      </c>
      <c r="T26" s="97">
        <f t="shared" si="110"/>
        <v>0</v>
      </c>
      <c r="U26" s="97">
        <f t="shared" si="59"/>
        <v>0</v>
      </c>
      <c r="V26" s="98">
        <f t="shared" ref="V26:W26" si="111">M26/I26</f>
        <v>1</v>
      </c>
      <c r="W26" s="98" t="e">
        <f t="shared" si="111"/>
        <v>#DIV/0!</v>
      </c>
      <c r="X26" s="98" t="e">
        <f t="shared" si="26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103">
        <v>2874.5</v>
      </c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9"/>
        <v>0</v>
      </c>
      <c r="H27" s="94">
        <f t="shared" si="103"/>
        <v>0</v>
      </c>
      <c r="I27" s="96"/>
      <c r="J27" s="117">
        <v>13095</v>
      </c>
      <c r="K27" s="117"/>
      <c r="L27" s="118"/>
      <c r="M27" s="97">
        <f t="shared" ref="M27:O27" si="112">Y27+AB27+AE27+AH27+AK27+AN27+AQ27+AT27+AW27+AZ27+BC27+BF27</f>
        <v>0</v>
      </c>
      <c r="N27" s="97">
        <f t="shared" si="112"/>
        <v>13095</v>
      </c>
      <c r="O27" s="97">
        <f t="shared" si="112"/>
        <v>0</v>
      </c>
      <c r="P27" s="82">
        <f t="shared" ref="P27:R27" si="113">IF(BI27=0,SUM(Y27+AB27+AE27+AH27+AK27+AN27+AQ27+AT27+AW27+AZ27+BC27+BF27),BI27)</f>
        <v>0</v>
      </c>
      <c r="Q27" s="82">
        <f t="shared" si="113"/>
        <v>13095</v>
      </c>
      <c r="R27" s="82">
        <f t="shared" si="113"/>
        <v>0</v>
      </c>
      <c r="S27" s="97">
        <f t="shared" ref="S27:T27" si="114">I27-M27</f>
        <v>0</v>
      </c>
      <c r="T27" s="97">
        <f t="shared" si="114"/>
        <v>0</v>
      </c>
      <c r="U27" s="97">
        <f t="shared" si="59"/>
        <v>0</v>
      </c>
      <c r="V27" s="98" t="e">
        <f t="shared" ref="V27:W27" si="115">M27/I27</f>
        <v>#DIV/0!</v>
      </c>
      <c r="W27" s="98">
        <f t="shared" si="115"/>
        <v>1</v>
      </c>
      <c r="X27" s="98" t="e">
        <f t="shared" si="26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9"/>
        <v>0</v>
      </c>
      <c r="H28" s="94">
        <f t="shared" si="103"/>
        <v>0</v>
      </c>
      <c r="I28" s="96"/>
      <c r="J28" s="117">
        <v>16850</v>
      </c>
      <c r="K28" s="117"/>
      <c r="L28" s="118"/>
      <c r="M28" s="97">
        <f t="shared" ref="M28:O28" si="116">Y28+AB28+AE28+AH28+AK28+AN28+AQ28+AT28+AW28+AZ28+BC28+BF28</f>
        <v>0</v>
      </c>
      <c r="N28" s="97">
        <f t="shared" si="116"/>
        <v>5229.5</v>
      </c>
      <c r="O28" s="97">
        <f t="shared" si="116"/>
        <v>0</v>
      </c>
      <c r="P28" s="82">
        <f t="shared" ref="P28:R28" si="117">IF(BI28=0,SUM(Y28+AB28+AE28+AH28+AK28+AN28+AQ28+AT28+AW28+AZ28+BC28+BF28),BI28)</f>
        <v>0</v>
      </c>
      <c r="Q28" s="82">
        <f t="shared" si="117"/>
        <v>5229.5</v>
      </c>
      <c r="R28" s="82">
        <f t="shared" si="117"/>
        <v>0</v>
      </c>
      <c r="S28" s="97">
        <f t="shared" ref="S28:T28" si="118">I28-M28</f>
        <v>0</v>
      </c>
      <c r="T28" s="97">
        <f t="shared" si="118"/>
        <v>11620.5</v>
      </c>
      <c r="U28" s="97">
        <f t="shared" si="59"/>
        <v>0</v>
      </c>
      <c r="V28" s="98" t="e">
        <f t="shared" ref="V28:W28" si="119">M28/I28</f>
        <v>#DIV/0!</v>
      </c>
      <c r="W28" s="98">
        <f t="shared" si="119"/>
        <v>0.31035608308605339</v>
      </c>
      <c r="X28" s="98" t="e">
        <f t="shared" si="26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20"/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9"/>
        <v>0</v>
      </c>
      <c r="H29" s="94">
        <f t="shared" si="103"/>
        <v>0</v>
      </c>
      <c r="I29" s="96"/>
      <c r="J29" s="117"/>
      <c r="K29" s="117"/>
      <c r="L29" s="118"/>
      <c r="M29" s="97">
        <f t="shared" ref="M29:O29" si="120">Y29+AB29+AE29+AH29+AK29+AN29+AQ29+AT29+AW29+AZ29+BC29+BF29</f>
        <v>0</v>
      </c>
      <c r="N29" s="97">
        <f t="shared" si="120"/>
        <v>0</v>
      </c>
      <c r="O29" s="97">
        <f t="shared" si="120"/>
        <v>0</v>
      </c>
      <c r="P29" s="82">
        <f t="shared" ref="P29:R29" si="121">IF(BI29=0,SUM(Y29+AB29+AE29+AH29+AK29+AN29+AQ29+AT29+AW29+AZ29+BC29+BF29),BI29)</f>
        <v>0</v>
      </c>
      <c r="Q29" s="82">
        <f t="shared" si="121"/>
        <v>0</v>
      </c>
      <c r="R29" s="82">
        <f t="shared" si="121"/>
        <v>0</v>
      </c>
      <c r="S29" s="97">
        <f t="shared" ref="S29:T29" si="122">I29-M29</f>
        <v>0</v>
      </c>
      <c r="T29" s="97">
        <f t="shared" si="122"/>
        <v>0</v>
      </c>
      <c r="U29" s="97">
        <f t="shared" si="59"/>
        <v>0</v>
      </c>
      <c r="V29" s="98" t="e">
        <f t="shared" ref="V29:W29" si="123">M29/I29</f>
        <v>#DIV/0!</v>
      </c>
      <c r="W29" s="98" t="e">
        <f t="shared" si="123"/>
        <v>#DIV/0!</v>
      </c>
      <c r="X29" s="98" t="e">
        <f t="shared" si="26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637</v>
      </c>
      <c r="E30" s="92">
        <v>18404</v>
      </c>
      <c r="F30" s="92"/>
      <c r="G30" s="94">
        <f t="shared" si="19"/>
        <v>0</v>
      </c>
      <c r="H30" s="94">
        <f t="shared" si="103"/>
        <v>0</v>
      </c>
      <c r="I30" s="96"/>
      <c r="J30" s="117">
        <f>2515+5718.85</f>
        <v>8233.85</v>
      </c>
      <c r="K30" s="117"/>
      <c r="L30" s="118"/>
      <c r="M30" s="97">
        <f t="shared" ref="M30:O30" si="124">Y30+AB30+AE30+AH30+AK30+AN30+AQ30+AT30+AW30+AZ30+BC30+BF30</f>
        <v>0</v>
      </c>
      <c r="N30" s="97">
        <f t="shared" si="124"/>
        <v>0</v>
      </c>
      <c r="O30" s="97">
        <f t="shared" si="124"/>
        <v>0</v>
      </c>
      <c r="P30" s="82">
        <f t="shared" ref="P30:R30" si="125">IF(BI30=0,SUM(Y30+AB30+AE30+AH30+AK30+AN30+AQ30+AT30+AW30+AZ30+BC30+BF30),BI30)</f>
        <v>0</v>
      </c>
      <c r="Q30" s="82">
        <f t="shared" si="125"/>
        <v>0</v>
      </c>
      <c r="R30" s="82">
        <f t="shared" si="125"/>
        <v>0</v>
      </c>
      <c r="S30" s="97">
        <f t="shared" ref="S30:T30" si="126">I30-M30</f>
        <v>0</v>
      </c>
      <c r="T30" s="97">
        <f t="shared" si="126"/>
        <v>8233.85</v>
      </c>
      <c r="U30" s="97">
        <f t="shared" si="59"/>
        <v>0</v>
      </c>
      <c r="V30" s="98" t="e">
        <f t="shared" ref="V30:W30" si="127">M30/I30</f>
        <v>#DIV/0!</v>
      </c>
      <c r="W30" s="98">
        <f t="shared" si="127"/>
        <v>0</v>
      </c>
      <c r="X30" s="98" t="e">
        <f t="shared" si="26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356" t="s">
        <v>638</v>
      </c>
      <c r="B31" s="121" t="s">
        <v>490</v>
      </c>
      <c r="C31" s="101" t="s">
        <v>240</v>
      </c>
      <c r="D31" s="130" t="s">
        <v>639</v>
      </c>
      <c r="E31" s="92"/>
      <c r="F31" s="92"/>
      <c r="G31" s="94" t="e">
        <f t="shared" si="19"/>
        <v>#DIV/0!</v>
      </c>
      <c r="H31" s="94" t="e">
        <f t="shared" si="103"/>
        <v>#DIV/0!</v>
      </c>
      <c r="I31" s="96">
        <f>431.95+943.55</f>
        <v>1375.5</v>
      </c>
      <c r="J31" s="117">
        <f>977.38+2861.28</f>
        <v>3838.6600000000003</v>
      </c>
      <c r="K31" s="117"/>
      <c r="L31" s="118"/>
      <c r="M31" s="97">
        <f t="shared" ref="M31:O31" si="128">Y31+AB31+AE31+AH31+AK31+AN31+AQ31+AT31+AW31+AZ31+BC31+BF31</f>
        <v>1375.5</v>
      </c>
      <c r="N31" s="97">
        <f t="shared" si="128"/>
        <v>3838.66</v>
      </c>
      <c r="O31" s="97">
        <f t="shared" si="128"/>
        <v>0</v>
      </c>
      <c r="P31" s="82">
        <f t="shared" ref="P31:R31" si="129">IF(BI31=0,SUM(Y31+AB31+AE31+AH31+AK31+AN31+AQ31+AT31+AW31+AZ31+BC31+BF31),BI31)</f>
        <v>1375.5</v>
      </c>
      <c r="Q31" s="82">
        <f t="shared" si="129"/>
        <v>3838.66</v>
      </c>
      <c r="R31" s="82">
        <f t="shared" si="129"/>
        <v>0</v>
      </c>
      <c r="S31" s="97">
        <f t="shared" ref="S31:T31" si="130">I31-M31</f>
        <v>0</v>
      </c>
      <c r="T31" s="97">
        <f t="shared" si="130"/>
        <v>0</v>
      </c>
      <c r="U31" s="97">
        <f t="shared" si="59"/>
        <v>0</v>
      </c>
      <c r="V31" s="98">
        <f t="shared" ref="V31:W31" si="131">M31/I31</f>
        <v>1</v>
      </c>
      <c r="W31" s="98">
        <f t="shared" si="131"/>
        <v>0.99999999999999989</v>
      </c>
      <c r="X31" s="98" t="e">
        <f t="shared" si="26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103">
        <v>3838.66</v>
      </c>
      <c r="AJ31" s="96"/>
      <c r="AK31" s="96"/>
      <c r="AL31" s="96"/>
      <c r="AM31" s="96"/>
      <c r="AN31" s="96"/>
      <c r="AO31" s="96"/>
      <c r="AP31" s="96"/>
      <c r="AQ31" s="96">
        <f>431.95+943.55</f>
        <v>1375.5</v>
      </c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640</v>
      </c>
      <c r="E32" s="92">
        <v>20000</v>
      </c>
      <c r="F32" s="92"/>
      <c r="G32" s="94">
        <f t="shared" si="19"/>
        <v>0</v>
      </c>
      <c r="H32" s="94">
        <f t="shared" si="103"/>
        <v>0</v>
      </c>
      <c r="I32" s="96"/>
      <c r="J32" s="117"/>
      <c r="K32" s="117"/>
      <c r="L32" s="118"/>
      <c r="M32" s="97">
        <f t="shared" ref="M32:O32" si="132">Y32+AB32+AE32+AH32+AK32+AN32+AQ32+AT32+AW32+AZ32+BC32+BF32</f>
        <v>0</v>
      </c>
      <c r="N32" s="97">
        <f t="shared" si="132"/>
        <v>0</v>
      </c>
      <c r="O32" s="97">
        <f t="shared" si="132"/>
        <v>0</v>
      </c>
      <c r="P32" s="82">
        <f t="shared" ref="P32:R32" si="133">IF(BI32=0,SUM(Y32+AB32+AE32+AH32+AK32+AN32+AQ32+AT32+AW32+AZ32+BC32+BF32),BI32)</f>
        <v>0</v>
      </c>
      <c r="Q32" s="82">
        <f t="shared" si="133"/>
        <v>0</v>
      </c>
      <c r="R32" s="82">
        <f t="shared" si="133"/>
        <v>0</v>
      </c>
      <c r="S32" s="97">
        <f t="shared" ref="S32:T32" si="134">I32-M32</f>
        <v>0</v>
      </c>
      <c r="T32" s="97">
        <f t="shared" si="134"/>
        <v>0</v>
      </c>
      <c r="U32" s="97">
        <f t="shared" si="59"/>
        <v>0</v>
      </c>
      <c r="V32" s="98" t="e">
        <f t="shared" ref="V32:W32" si="135">M32/I32</f>
        <v>#DIV/0!</v>
      </c>
      <c r="W32" s="98" t="e">
        <f t="shared" si="135"/>
        <v>#DIV/0!</v>
      </c>
      <c r="X32" s="98" t="e">
        <f t="shared" si="26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9"/>
        <v>0</v>
      </c>
      <c r="H33" s="94">
        <f t="shared" si="103"/>
        <v>0</v>
      </c>
      <c r="I33" s="96"/>
      <c r="J33" s="117">
        <v>3374.7</v>
      </c>
      <c r="K33" s="117"/>
      <c r="L33" s="118"/>
      <c r="M33" s="97">
        <f t="shared" ref="M33:O33" si="136">Y33+AB33+AE33+AH33+AK33+AN33+AQ33+AT33+AW33+AZ33+BC33+BF33</f>
        <v>0</v>
      </c>
      <c r="N33" s="97">
        <f t="shared" si="136"/>
        <v>3374.7</v>
      </c>
      <c r="O33" s="97">
        <f t="shared" si="136"/>
        <v>0</v>
      </c>
      <c r="P33" s="82">
        <f t="shared" ref="P33:R33" si="137">IF(BI33=0,SUM(Y33+AB33+AE33+AH33+AK33+AN33+AQ33+AT33+AW33+AZ33+BC33+BF33),BI33)</f>
        <v>0</v>
      </c>
      <c r="Q33" s="82">
        <f t="shared" si="137"/>
        <v>3374.7</v>
      </c>
      <c r="R33" s="82">
        <f t="shared" si="137"/>
        <v>0</v>
      </c>
      <c r="S33" s="97">
        <f t="shared" ref="S33:T33" si="138">I33-M33</f>
        <v>0</v>
      </c>
      <c r="T33" s="97">
        <f t="shared" si="138"/>
        <v>0</v>
      </c>
      <c r="U33" s="97">
        <f t="shared" si="59"/>
        <v>0</v>
      </c>
      <c r="V33" s="98" t="e">
        <f t="shared" ref="V33:W33" si="139">M33/I33</f>
        <v>#DIV/0!</v>
      </c>
      <c r="W33" s="98">
        <f t="shared" si="139"/>
        <v>1</v>
      </c>
      <c r="X33" s="98" t="e">
        <f t="shared" si="26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359" t="s">
        <v>641</v>
      </c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9"/>
        <v>0.45</v>
      </c>
      <c r="H34" s="94">
        <f t="shared" si="103"/>
        <v>0</v>
      </c>
      <c r="I34" s="361">
        <v>13500</v>
      </c>
      <c r="J34" s="117">
        <v>4100</v>
      </c>
      <c r="K34" s="117"/>
      <c r="L34" s="118"/>
      <c r="M34" s="97">
        <f t="shared" ref="M34:O34" si="140">Y34+AB34+AE34+AH34+AK34+AN34+AQ34+AT34+AW34+AZ34+BC34+BF34</f>
        <v>0</v>
      </c>
      <c r="N34" s="97">
        <f t="shared" si="140"/>
        <v>4100</v>
      </c>
      <c r="O34" s="97">
        <f t="shared" si="140"/>
        <v>0</v>
      </c>
      <c r="P34" s="82">
        <f t="shared" ref="P34:R34" si="141">IF(BI34=0,SUM(Y34+AB34+AE34+AH34+AK34+AN34+AQ34+AT34+AW34+AZ34+BC34+BF34),BI34)</f>
        <v>0</v>
      </c>
      <c r="Q34" s="82">
        <f t="shared" si="141"/>
        <v>4100</v>
      </c>
      <c r="R34" s="82">
        <f t="shared" si="141"/>
        <v>0</v>
      </c>
      <c r="S34" s="134">
        <f t="shared" ref="S34:T34" si="142">I34-M34</f>
        <v>13500</v>
      </c>
      <c r="T34" s="97">
        <f t="shared" si="142"/>
        <v>0</v>
      </c>
      <c r="U34" s="97">
        <f t="shared" si="59"/>
        <v>0</v>
      </c>
      <c r="V34" s="98">
        <f t="shared" ref="V34:W34" si="143">M34/I34</f>
        <v>0</v>
      </c>
      <c r="W34" s="98">
        <f t="shared" si="143"/>
        <v>1</v>
      </c>
      <c r="X34" s="98" t="e">
        <f t="shared" si="26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103">
        <v>4100</v>
      </c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591</v>
      </c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9"/>
        <v>0.17576</v>
      </c>
      <c r="H35" s="94">
        <f t="shared" si="103"/>
        <v>0</v>
      </c>
      <c r="I35" s="103">
        <v>1757.6</v>
      </c>
      <c r="J35" s="117">
        <f>19903.04+4541.3+16240</f>
        <v>40684.339999999997</v>
      </c>
      <c r="K35" s="135">
        <v>16240</v>
      </c>
      <c r="L35" s="118"/>
      <c r="M35" s="97">
        <f t="shared" ref="M35:O35" si="144">Y35+AB35+AE35+AH35+AK35+AN35+AQ35+AT35+AW35+AZ35+BC35+BF35</f>
        <v>0</v>
      </c>
      <c r="N35" s="97">
        <f t="shared" si="144"/>
        <v>24444.34</v>
      </c>
      <c r="O35" s="97">
        <f t="shared" si="144"/>
        <v>0</v>
      </c>
      <c r="P35" s="82">
        <f t="shared" ref="P35:R35" si="145">IF(BI35=0,SUM(Y35+AB35+AE35+AH35+AK35+AN35+AQ35+AT35+AW35+AZ35+BC35+BF35),BI35)</f>
        <v>0</v>
      </c>
      <c r="Q35" s="82">
        <f t="shared" si="145"/>
        <v>24444.34</v>
      </c>
      <c r="R35" s="82">
        <f t="shared" si="145"/>
        <v>0</v>
      </c>
      <c r="S35" s="97">
        <f t="shared" ref="S35:S66" si="146">I35-M35</f>
        <v>1757.6</v>
      </c>
      <c r="T35" s="97">
        <f>J35-N35-K35</f>
        <v>0</v>
      </c>
      <c r="U35" s="97">
        <f t="shared" si="59"/>
        <v>0</v>
      </c>
      <c r="V35" s="98">
        <f t="shared" ref="V35:W35" si="147">M35/I35</f>
        <v>0</v>
      </c>
      <c r="W35" s="98">
        <f t="shared" si="147"/>
        <v>0.60082921340250328</v>
      </c>
      <c r="X35" s="98" t="e">
        <f t="shared" si="26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103">
        <v>4541.3</v>
      </c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9"/>
        <v>#DIV/0!</v>
      </c>
      <c r="H36" s="94" t="e">
        <f t="shared" si="103"/>
        <v>#DIV/0!</v>
      </c>
      <c r="I36" s="96"/>
      <c r="J36" s="117">
        <v>949.5</v>
      </c>
      <c r="K36" s="117"/>
      <c r="L36" s="118"/>
      <c r="M36" s="97">
        <f t="shared" ref="M36:O36" si="148">Y36+AB36+AE36+AH36+AK36+AN36+AQ36+AT36+AW36+AZ36+BC36+BF36</f>
        <v>0</v>
      </c>
      <c r="N36" s="97">
        <f t="shared" si="148"/>
        <v>949.5</v>
      </c>
      <c r="O36" s="97">
        <f t="shared" si="148"/>
        <v>0</v>
      </c>
      <c r="P36" s="82">
        <f t="shared" ref="P36:R36" si="149">IF(BI36=0,SUM(Y36+AB36+AE36+AH36+AK36+AN36+AQ36+AT36+AW36+AZ36+BC36+BF36),BI36)</f>
        <v>0</v>
      </c>
      <c r="Q36" s="82">
        <f t="shared" si="149"/>
        <v>949.5</v>
      </c>
      <c r="R36" s="82">
        <f t="shared" si="149"/>
        <v>0</v>
      </c>
      <c r="S36" s="97">
        <f t="shared" si="146"/>
        <v>0</v>
      </c>
      <c r="T36" s="97">
        <f t="shared" ref="T36:T42" si="150">J36-N36</f>
        <v>0</v>
      </c>
      <c r="U36" s="97">
        <f t="shared" si="59"/>
        <v>0</v>
      </c>
      <c r="V36" s="98" t="e">
        <f t="shared" ref="V36:W36" si="151">M36/I36</f>
        <v>#DIV/0!</v>
      </c>
      <c r="W36" s="98">
        <f t="shared" si="151"/>
        <v>1</v>
      </c>
      <c r="X36" s="98" t="e">
        <f t="shared" si="26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9"/>
        <v>0</v>
      </c>
      <c r="H37" s="94">
        <f t="shared" si="103"/>
        <v>0</v>
      </c>
      <c r="I37" s="96"/>
      <c r="J37" s="358">
        <v>50813</v>
      </c>
      <c r="K37" s="117"/>
      <c r="L37" s="118"/>
      <c r="M37" s="97">
        <f t="shared" ref="M37:O37" si="152">Y37+AB37+AE37+AH37+AK37+AN37+AQ37+AT37+AW37+AZ37+BC37+BF37</f>
        <v>0</v>
      </c>
      <c r="N37" s="97">
        <f t="shared" si="152"/>
        <v>0</v>
      </c>
      <c r="O37" s="97">
        <f t="shared" si="152"/>
        <v>0</v>
      </c>
      <c r="P37" s="82">
        <f t="shared" ref="P37:R37" si="153">IF(BI37=0,SUM(Y37+AB37+AE37+AH37+AK37+AN37+AQ37+AT37+AW37+AZ37+BC37+BF37),BI37)</f>
        <v>0</v>
      </c>
      <c r="Q37" s="82">
        <f t="shared" si="153"/>
        <v>0</v>
      </c>
      <c r="R37" s="82">
        <f t="shared" si="153"/>
        <v>0</v>
      </c>
      <c r="S37" s="97">
        <f t="shared" si="146"/>
        <v>0</v>
      </c>
      <c r="T37" s="363">
        <f t="shared" si="150"/>
        <v>50813</v>
      </c>
      <c r="U37" s="97">
        <f t="shared" si="59"/>
        <v>0</v>
      </c>
      <c r="V37" s="98" t="e">
        <f t="shared" ref="V37:W37" si="154">M37/I37</f>
        <v>#DIV/0!</v>
      </c>
      <c r="W37" s="98">
        <f t="shared" si="154"/>
        <v>0</v>
      </c>
      <c r="X37" s="98" t="e">
        <f t="shared" si="26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9"/>
        <v>0</v>
      </c>
      <c r="H38" s="94">
        <f t="shared" si="103"/>
        <v>0</v>
      </c>
      <c r="I38" s="96"/>
      <c r="J38" s="117"/>
      <c r="K38" s="117"/>
      <c r="L38" s="118"/>
      <c r="M38" s="97">
        <f t="shared" ref="M38:O38" si="155">Y38+AB38+AE38+AH38+AK38+AN38+AQ38+AT38+AW38+AZ38+BC38+BF38</f>
        <v>0</v>
      </c>
      <c r="N38" s="97">
        <f t="shared" si="155"/>
        <v>0</v>
      </c>
      <c r="O38" s="97">
        <f t="shared" si="155"/>
        <v>0</v>
      </c>
      <c r="P38" s="82">
        <f t="shared" ref="P38:R38" si="156">IF(BI38=0,SUM(Y38+AB38+AE38+AH38+AK38+AN38+AQ38+AT38+AW38+AZ38+BC38+BF38),BI38)</f>
        <v>0</v>
      </c>
      <c r="Q38" s="82">
        <f t="shared" si="156"/>
        <v>0</v>
      </c>
      <c r="R38" s="82">
        <f t="shared" si="156"/>
        <v>0</v>
      </c>
      <c r="S38" s="97">
        <f t="shared" si="146"/>
        <v>0</v>
      </c>
      <c r="T38" s="97">
        <f t="shared" si="150"/>
        <v>0</v>
      </c>
      <c r="U38" s="97">
        <f t="shared" si="59"/>
        <v>0</v>
      </c>
      <c r="V38" s="98" t="e">
        <f t="shared" ref="V38:W38" si="157">M38/I38</f>
        <v>#DIV/0!</v>
      </c>
      <c r="W38" s="98" t="e">
        <f t="shared" si="157"/>
        <v>#DIV/0!</v>
      </c>
      <c r="X38" s="98" t="e">
        <f t="shared" si="26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642</v>
      </c>
      <c r="E39" s="116">
        <v>2344.5</v>
      </c>
      <c r="F39" s="92"/>
      <c r="G39" s="94">
        <f t="shared" si="19"/>
        <v>0</v>
      </c>
      <c r="H39" s="94">
        <f t="shared" si="103"/>
        <v>0.13983365323096611</v>
      </c>
      <c r="I39" s="96"/>
      <c r="J39" s="117">
        <v>1424.02</v>
      </c>
      <c r="K39" s="117"/>
      <c r="L39" s="118"/>
      <c r="M39" s="97">
        <f t="shared" ref="M39:O39" si="158">Y39+AB39+AE39+AH39+AK39+AN39+AQ39+AT39+AW39+AZ39+BC39+BF39</f>
        <v>327.84000000000003</v>
      </c>
      <c r="N39" s="97">
        <f t="shared" si="158"/>
        <v>0</v>
      </c>
      <c r="O39" s="97">
        <f t="shared" si="158"/>
        <v>0</v>
      </c>
      <c r="P39" s="82">
        <f t="shared" ref="P39:R39" si="159">IF(BI39=0,SUM(Y39+AB39+AE39+AH39+AK39+AN39+AQ39+AT39+AW39+AZ39+BC39+BF39),BI39)</f>
        <v>327.84000000000003</v>
      </c>
      <c r="Q39" s="82">
        <f t="shared" si="159"/>
        <v>0</v>
      </c>
      <c r="R39" s="82">
        <f t="shared" si="159"/>
        <v>0</v>
      </c>
      <c r="S39" s="97">
        <f t="shared" si="146"/>
        <v>-327.84000000000003</v>
      </c>
      <c r="T39" s="97">
        <f t="shared" si="150"/>
        <v>1424.02</v>
      </c>
      <c r="U39" s="97">
        <f t="shared" si="59"/>
        <v>0</v>
      </c>
      <c r="V39" s="98" t="e">
        <f t="shared" ref="V39:W39" si="160">M39/I39</f>
        <v>#DIV/0!</v>
      </c>
      <c r="W39" s="98">
        <f t="shared" si="160"/>
        <v>0</v>
      </c>
      <c r="X39" s="98" t="e">
        <f t="shared" si="26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>
        <f>191.24+136.6</f>
        <v>327.84000000000003</v>
      </c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 t="s">
        <v>494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9"/>
        <v>1.7454999999999998E-2</v>
      </c>
      <c r="H40" s="94">
        <f t="shared" si="103"/>
        <v>1.805E-3</v>
      </c>
      <c r="I40" s="96">
        <v>34.909999999999997</v>
      </c>
      <c r="J40" s="117">
        <v>576.45000000000005</v>
      </c>
      <c r="K40" s="117"/>
      <c r="L40" s="118"/>
      <c r="M40" s="97">
        <f t="shared" ref="M40:O40" si="161">Y40+AB40+AE40+AH40+AK40+AN40+AQ40+AT40+AW40+AZ40+BC40+BF40</f>
        <v>3.61</v>
      </c>
      <c r="N40" s="97">
        <f t="shared" si="161"/>
        <v>0</v>
      </c>
      <c r="O40" s="97">
        <f t="shared" si="161"/>
        <v>0</v>
      </c>
      <c r="P40" s="82">
        <f t="shared" ref="P40:R40" si="162">IF(BI40=0,SUM(Y40+AB40+AE40+AH40+AK40+AN40+AQ40+AT40+AW40+AZ40+BC40+BF40),BI40)</f>
        <v>3.61</v>
      </c>
      <c r="Q40" s="82">
        <f t="shared" si="162"/>
        <v>0</v>
      </c>
      <c r="R40" s="82">
        <f t="shared" si="162"/>
        <v>0</v>
      </c>
      <c r="S40" s="97">
        <f t="shared" si="146"/>
        <v>31.299999999999997</v>
      </c>
      <c r="T40" s="97">
        <f t="shared" si="150"/>
        <v>576.45000000000005</v>
      </c>
      <c r="U40" s="97">
        <f t="shared" si="59"/>
        <v>0</v>
      </c>
      <c r="V40" s="98">
        <f t="shared" ref="V40:W40" si="163">M40/I40</f>
        <v>0.10340876539673446</v>
      </c>
      <c r="W40" s="98">
        <f t="shared" si="163"/>
        <v>0</v>
      </c>
      <c r="X40" s="98" t="e">
        <f t="shared" si="26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547</v>
      </c>
      <c r="B41" s="114"/>
      <c r="C41" s="101" t="s">
        <v>268</v>
      </c>
      <c r="D41" s="91" t="s">
        <v>643</v>
      </c>
      <c r="E41" s="116">
        <f>5000+1000</f>
        <v>6000</v>
      </c>
      <c r="F41" s="92"/>
      <c r="G41" s="94">
        <f t="shared" si="19"/>
        <v>9.166666666666666E-2</v>
      </c>
      <c r="H41" s="94">
        <f t="shared" si="103"/>
        <v>9.166666666666666E-2</v>
      </c>
      <c r="I41" s="103">
        <v>550</v>
      </c>
      <c r="J41" s="117"/>
      <c r="K41" s="117"/>
      <c r="L41" s="118"/>
      <c r="M41" s="97">
        <f t="shared" ref="M41:O41" si="164">Y41+AB41+AE41+AH41+AK41+AN41+AQ41+AT41+AW41+AZ41+BC41+BF41</f>
        <v>550</v>
      </c>
      <c r="N41" s="97">
        <f t="shared" si="164"/>
        <v>0</v>
      </c>
      <c r="O41" s="97">
        <f t="shared" si="164"/>
        <v>0</v>
      </c>
      <c r="P41" s="82">
        <f t="shared" ref="P41:R41" si="165">IF(BI41=0,SUM(Y41+AB41+AE41+AH41+AK41+AN41+AQ41+AT41+AW41+AZ41+BC41+BF41),BI41)</f>
        <v>550</v>
      </c>
      <c r="Q41" s="82">
        <f t="shared" si="165"/>
        <v>0</v>
      </c>
      <c r="R41" s="82">
        <f t="shared" si="165"/>
        <v>0</v>
      </c>
      <c r="S41" s="97">
        <f t="shared" si="146"/>
        <v>0</v>
      </c>
      <c r="T41" s="97">
        <f t="shared" si="150"/>
        <v>0</v>
      </c>
      <c r="U41" s="97">
        <f t="shared" si="59"/>
        <v>0</v>
      </c>
      <c r="V41" s="98">
        <f t="shared" ref="V41:W41" si="166">M41/I41</f>
        <v>1</v>
      </c>
      <c r="W41" s="98" t="e">
        <f t="shared" si="166"/>
        <v>#DIV/0!</v>
      </c>
      <c r="X41" s="98" t="e">
        <f t="shared" si="26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89" t="s">
        <v>496</v>
      </c>
      <c r="B42" s="136" t="s">
        <v>270</v>
      </c>
      <c r="C42" s="101" t="s">
        <v>271</v>
      </c>
      <c r="D42" s="91" t="s">
        <v>644</v>
      </c>
      <c r="E42" s="116">
        <v>30000</v>
      </c>
      <c r="F42" s="92"/>
      <c r="G42" s="94">
        <f t="shared" si="19"/>
        <v>0.58333333333333337</v>
      </c>
      <c r="H42" s="94">
        <f t="shared" si="103"/>
        <v>0</v>
      </c>
      <c r="I42" s="96">
        <f>17500</f>
        <v>17500</v>
      </c>
      <c r="J42" s="135">
        <v>362.4</v>
      </c>
      <c r="K42" s="117"/>
      <c r="L42" s="118"/>
      <c r="M42" s="97">
        <f t="shared" ref="M42:O42" si="167">Y42+AB42+AE42+AH42+AK42+AN42+AQ42+AT42+AW42+AZ42+BC42+BF42</f>
        <v>0</v>
      </c>
      <c r="N42" s="97">
        <f t="shared" si="167"/>
        <v>0</v>
      </c>
      <c r="O42" s="97">
        <f t="shared" si="167"/>
        <v>0</v>
      </c>
      <c r="P42" s="82">
        <f t="shared" ref="P42:R42" si="168">IF(BI42=0,SUM(Y42+AB42+AE42+AH42+AK42+AN42+AQ42+AT42+AW42+AZ42+BC42+BF42),BI42)</f>
        <v>0</v>
      </c>
      <c r="Q42" s="82">
        <f t="shared" si="168"/>
        <v>0</v>
      </c>
      <c r="R42" s="82">
        <f t="shared" si="168"/>
        <v>0</v>
      </c>
      <c r="S42" s="97">
        <f t="shared" si="146"/>
        <v>17500</v>
      </c>
      <c r="T42" s="97">
        <f t="shared" si="150"/>
        <v>362.4</v>
      </c>
      <c r="U42" s="97">
        <f t="shared" si="59"/>
        <v>0</v>
      </c>
      <c r="V42" s="98">
        <f t="shared" ref="V42:W42" si="169">M42/I42</f>
        <v>0</v>
      </c>
      <c r="W42" s="98">
        <f t="shared" si="169"/>
        <v>0</v>
      </c>
      <c r="X42" s="98" t="e">
        <f t="shared" si="26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645</v>
      </c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9"/>
        <v>0.13292999999999999</v>
      </c>
      <c r="H43" s="94">
        <f t="shared" si="103"/>
        <v>0</v>
      </c>
      <c r="I43" s="103">
        <v>2658.6</v>
      </c>
      <c r="J43" s="117">
        <f>1256.9+740+1407.15+678.68+610.54+4654.38+742.72+1006.2+186.96</f>
        <v>11283.53</v>
      </c>
      <c r="K43" s="135">
        <v>186.96</v>
      </c>
      <c r="L43" s="118"/>
      <c r="M43" s="97">
        <f t="shared" ref="M43:O43" si="170">Y43+AB43+AE43+AH43+AK43+AN43+AQ43+AT43+AW43+AZ43+BC43+BF43</f>
        <v>0</v>
      </c>
      <c r="N43" s="97">
        <f t="shared" si="170"/>
        <v>3702.5699999999997</v>
      </c>
      <c r="O43" s="97">
        <f t="shared" si="170"/>
        <v>0</v>
      </c>
      <c r="P43" s="82">
        <f t="shared" ref="P43:R43" si="171">IF(BI43=0,SUM(Y43+AB43+AE43+AH43+AK43+AN43+AQ43+AT43+AW43+AZ43+BC43+BF43),BI43)</f>
        <v>0</v>
      </c>
      <c r="Q43" s="82">
        <f t="shared" si="171"/>
        <v>3702.5699999999997</v>
      </c>
      <c r="R43" s="82">
        <f t="shared" si="171"/>
        <v>0</v>
      </c>
      <c r="S43" s="97">
        <f t="shared" si="146"/>
        <v>2658.6</v>
      </c>
      <c r="T43" s="97">
        <f>J43-N43-K43</f>
        <v>7394.0000000000009</v>
      </c>
      <c r="U43" s="97">
        <f t="shared" si="59"/>
        <v>0</v>
      </c>
      <c r="V43" s="98">
        <f t="shared" ref="V43:W43" si="172">M43/I43</f>
        <v>0</v>
      </c>
      <c r="W43" s="98">
        <f t="shared" si="172"/>
        <v>0.32813933228342546</v>
      </c>
      <c r="X43" s="98" t="e">
        <f t="shared" si="26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595</v>
      </c>
      <c r="B44" s="141" t="s">
        <v>646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9"/>
        <v>0.33301866666666663</v>
      </c>
      <c r="H44" s="94">
        <f t="shared" si="103"/>
        <v>0.15071366666666666</v>
      </c>
      <c r="I44" s="142">
        <f>1890+2443+727.8+5511.95+3821.32+104.82+319.96+1524+3081+145.33+303.98+107.96</f>
        <v>19981.12</v>
      </c>
      <c r="J44" s="117">
        <f>4740+413+1266+3806.39</f>
        <v>10225.39</v>
      </c>
      <c r="K44" s="117"/>
      <c r="L44" s="118"/>
      <c r="M44" s="97">
        <f t="shared" ref="M44:O44" si="173">Y44+AB44+AE44+AH44+AK44+AN44+AQ44+AT44+AW44+AZ44+BC44+BF44</f>
        <v>9042.82</v>
      </c>
      <c r="N44" s="97">
        <f t="shared" si="173"/>
        <v>4740</v>
      </c>
      <c r="O44" s="97">
        <f t="shared" si="173"/>
        <v>0</v>
      </c>
      <c r="P44" s="82">
        <f t="shared" ref="P44:R44" si="174">IF(BI44=0,SUM(Y44+AB44+AE44+AH44+AK44+AN44+AQ44+AT44+AW44+AZ44+BC44+BF44),BI44)</f>
        <v>9042.82</v>
      </c>
      <c r="Q44" s="82">
        <f t="shared" si="174"/>
        <v>4740</v>
      </c>
      <c r="R44" s="82">
        <f t="shared" si="174"/>
        <v>0</v>
      </c>
      <c r="S44" s="97">
        <f t="shared" si="146"/>
        <v>10938.3</v>
      </c>
      <c r="T44" s="97">
        <f t="shared" ref="T44:T66" si="175">J44-N44</f>
        <v>5485.3899999999994</v>
      </c>
      <c r="U44" s="97">
        <f t="shared" si="59"/>
        <v>0</v>
      </c>
      <c r="V44" s="98">
        <f t="shared" ref="V44:W44" si="176">M44/I44</f>
        <v>0.4525682244038372</v>
      </c>
      <c r="W44" s="98">
        <f t="shared" si="176"/>
        <v>0.46355200143955394</v>
      </c>
      <c r="X44" s="98" t="e">
        <f t="shared" si="26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260">
        <f>1890+2443+104.82</f>
        <v>4437.82</v>
      </c>
      <c r="AI44" s="129"/>
      <c r="AJ44" s="129"/>
      <c r="AK44" s="260">
        <f>3081+1524</f>
        <v>4605</v>
      </c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364" t="s">
        <v>647</v>
      </c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9"/>
        <v>0.22306538461538464</v>
      </c>
      <c r="H45" s="94">
        <f t="shared" si="103"/>
        <v>7.3073076923076921E-2</v>
      </c>
      <c r="I45" s="103">
        <f>1949.9+949.95</f>
        <v>2899.8500000000004</v>
      </c>
      <c r="J45" s="358">
        <v>30000</v>
      </c>
      <c r="K45" s="117"/>
      <c r="L45" s="118"/>
      <c r="M45" s="97">
        <f t="shared" ref="M45:M66" si="177">Y45+AB45+AE45+AH45+AK45+AN45+AQ45+AT45+AW45+AZ45+BC45+BF45</f>
        <v>949.95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78">IF(BI45=0,SUM(Y45+AB45+AE45+AH45+AK45+AN45+AQ45+AT45+AW45+AZ45+BC45+BF45),BI45)</f>
        <v>949.95</v>
      </c>
      <c r="Q45" s="82">
        <f t="shared" si="178"/>
        <v>0</v>
      </c>
      <c r="R45" s="82">
        <f t="shared" si="178"/>
        <v>0</v>
      </c>
      <c r="S45" s="97">
        <f t="shared" si="146"/>
        <v>1949.9000000000003</v>
      </c>
      <c r="T45" s="363">
        <f t="shared" si="175"/>
        <v>30000</v>
      </c>
      <c r="U45" s="97">
        <f t="shared" si="59"/>
        <v>0</v>
      </c>
      <c r="V45" s="98">
        <f t="shared" ref="V45:W45" si="179">M45/I45</f>
        <v>0.32758590961601458</v>
      </c>
      <c r="W45" s="98">
        <f t="shared" si="179"/>
        <v>0</v>
      </c>
      <c r="X45" s="98" t="e">
        <f t="shared" si="26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260">
        <v>949.95</v>
      </c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648</v>
      </c>
      <c r="E46" s="116"/>
      <c r="F46" s="93"/>
      <c r="G46" s="94" t="e">
        <f t="shared" si="19"/>
        <v>#DIV/0!</v>
      </c>
      <c r="H46" s="94" t="e">
        <f t="shared" si="103"/>
        <v>#DIV/0!</v>
      </c>
      <c r="I46" s="96"/>
      <c r="J46" s="117">
        <v>22098.39</v>
      </c>
      <c r="K46" s="117"/>
      <c r="L46" s="118"/>
      <c r="M46" s="97">
        <f t="shared" si="177"/>
        <v>0</v>
      </c>
      <c r="N46" s="97">
        <f t="shared" ref="N46:O46" si="180">Z46+AC46+AF46+AI46+AL46+AO46+AR46+AU46+AX46+BA46+BD46+BG46</f>
        <v>8451.33</v>
      </c>
      <c r="O46" s="97">
        <f t="shared" si="180"/>
        <v>0</v>
      </c>
      <c r="P46" s="82">
        <f t="shared" ref="P46:R46" si="181">IF(BI46=0,SUM(Y46+AB46+AE46+AH46+AK46+AN46+AQ46+AT46+AW46+AZ46+BC46+BF46),BI46)</f>
        <v>0</v>
      </c>
      <c r="Q46" s="82">
        <f t="shared" si="181"/>
        <v>8451.33</v>
      </c>
      <c r="R46" s="82">
        <f t="shared" si="181"/>
        <v>0</v>
      </c>
      <c r="S46" s="97">
        <f t="shared" si="146"/>
        <v>0</v>
      </c>
      <c r="T46" s="97">
        <f t="shared" si="175"/>
        <v>13647.06</v>
      </c>
      <c r="U46" s="97">
        <f t="shared" si="59"/>
        <v>0</v>
      </c>
      <c r="V46" s="98" t="e">
        <f t="shared" ref="V46:W46" si="182">M46/I46</f>
        <v>#DIV/0!</v>
      </c>
      <c r="W46" s="98">
        <f t="shared" si="182"/>
        <v>0.38244098325715131</v>
      </c>
      <c r="X46" s="98" t="e">
        <f t="shared" si="26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260">
        <v>83.68</v>
      </c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360" t="s">
        <v>649</v>
      </c>
      <c r="B47" s="143" t="s">
        <v>650</v>
      </c>
      <c r="C47" s="101" t="s">
        <v>278</v>
      </c>
      <c r="D47" s="91" t="s">
        <v>651</v>
      </c>
      <c r="E47" s="116"/>
      <c r="F47" s="92"/>
      <c r="G47" s="94" t="e">
        <f t="shared" si="19"/>
        <v>#DIV/0!</v>
      </c>
      <c r="H47" s="94" t="e">
        <f t="shared" si="103"/>
        <v>#DIV/0!</v>
      </c>
      <c r="I47" s="103">
        <v>33207.879999999997</v>
      </c>
      <c r="J47" s="117">
        <f>50068.66+42203.34</f>
        <v>92272</v>
      </c>
      <c r="K47" s="117"/>
      <c r="L47" s="96"/>
      <c r="M47" s="97">
        <f t="shared" si="177"/>
        <v>19996.05</v>
      </c>
      <c r="N47" s="97">
        <f t="shared" ref="N47:O47" si="183">Z47+AC47+AF47+AI47+AL47+AO47+AR47+AU47+AX47+BA47+BD47+BG47</f>
        <v>92272</v>
      </c>
      <c r="O47" s="97">
        <f t="shared" si="183"/>
        <v>0</v>
      </c>
      <c r="P47" s="82">
        <f t="shared" ref="P47:R47" si="184">IF(BI47=0,SUM(Y47+AB47+AE47+AH47+AK47+AN47+AQ47+AT47+AW47+AZ47+BC47+BF47),BI47)</f>
        <v>19996.05</v>
      </c>
      <c r="Q47" s="82">
        <f t="shared" si="184"/>
        <v>92272</v>
      </c>
      <c r="R47" s="82">
        <f t="shared" si="184"/>
        <v>0</v>
      </c>
      <c r="S47" s="97">
        <f t="shared" si="146"/>
        <v>13211.829999999998</v>
      </c>
      <c r="T47" s="97">
        <f t="shared" si="175"/>
        <v>0</v>
      </c>
      <c r="U47" s="97">
        <f t="shared" si="59"/>
        <v>0</v>
      </c>
      <c r="V47" s="98">
        <f t="shared" ref="V47:W47" si="185">M47/I47</f>
        <v>0.60214774324648246</v>
      </c>
      <c r="W47" s="98">
        <f t="shared" si="185"/>
        <v>1</v>
      </c>
      <c r="X47" s="98" t="e">
        <f t="shared" si="26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260">
        <v>19996.05</v>
      </c>
      <c r="AL47" s="260">
        <f>12474.51+13211.83</f>
        <v>25686.34</v>
      </c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652</v>
      </c>
      <c r="E48" s="116"/>
      <c r="F48" s="92"/>
      <c r="G48" s="94" t="e">
        <f t="shared" si="19"/>
        <v>#DIV/0!</v>
      </c>
      <c r="H48" s="94" t="e">
        <f t="shared" si="103"/>
        <v>#DIV/0!</v>
      </c>
      <c r="I48" s="96"/>
      <c r="J48" s="117">
        <v>6782.31</v>
      </c>
      <c r="K48" s="117"/>
      <c r="L48" s="96"/>
      <c r="M48" s="97">
        <f t="shared" si="177"/>
        <v>0</v>
      </c>
      <c r="N48" s="97">
        <f t="shared" ref="N48:O48" si="186">Z48+AC48+AF48+AI48+AL48+AO48+AR48+AU48+AX48+BA48+BD48+BG48</f>
        <v>6782.31</v>
      </c>
      <c r="O48" s="97">
        <f t="shared" si="186"/>
        <v>0</v>
      </c>
      <c r="P48" s="82">
        <f t="shared" ref="P48:R48" si="187">IF(BI48=0,SUM(Y48+AB48+AE48+AH48+AK48+AN48+AQ48+AT48+AW48+AZ48+BC48+BF48),BI48)</f>
        <v>0</v>
      </c>
      <c r="Q48" s="82">
        <f t="shared" si="187"/>
        <v>6782.31</v>
      </c>
      <c r="R48" s="82">
        <f t="shared" si="187"/>
        <v>0</v>
      </c>
      <c r="S48" s="97">
        <f t="shared" si="146"/>
        <v>0</v>
      </c>
      <c r="T48" s="97">
        <f t="shared" si="175"/>
        <v>0</v>
      </c>
      <c r="U48" s="97">
        <f t="shared" si="59"/>
        <v>0</v>
      </c>
      <c r="V48" s="98" t="e">
        <f t="shared" ref="V48:W48" si="188">M48/I48</f>
        <v>#DIV/0!</v>
      </c>
      <c r="W48" s="98">
        <f t="shared" si="188"/>
        <v>1</v>
      </c>
      <c r="X48" s="98" t="e">
        <f t="shared" si="26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653</v>
      </c>
      <c r="E49" s="116"/>
      <c r="F49" s="92"/>
      <c r="G49" s="94" t="e">
        <f t="shared" si="19"/>
        <v>#DIV/0!</v>
      </c>
      <c r="H49" s="94" t="e">
        <f t="shared" si="103"/>
        <v>#DIV/0!</v>
      </c>
      <c r="I49" s="133"/>
      <c r="J49" s="117">
        <f>51880+30383</f>
        <v>82263</v>
      </c>
      <c r="K49" s="117"/>
      <c r="L49" s="96"/>
      <c r="M49" s="97">
        <f t="shared" si="177"/>
        <v>0</v>
      </c>
      <c r="N49" s="97">
        <f t="shared" ref="N49:O49" si="189">Z49+AC49+AF49+AI49+AL49+AO49+AR49+AU49+AX49+BA49+BD49+BG49</f>
        <v>82263</v>
      </c>
      <c r="O49" s="97">
        <f t="shared" si="189"/>
        <v>0</v>
      </c>
      <c r="P49" s="82">
        <f t="shared" ref="P49:R49" si="190">IF(BI49=0,SUM(Y49+AB49+AE49+AH49+AK49+AN49+AQ49+AT49+AW49+AZ49+BC49+BF49),BI49)</f>
        <v>0</v>
      </c>
      <c r="Q49" s="82">
        <f t="shared" si="190"/>
        <v>82263</v>
      </c>
      <c r="R49" s="82">
        <f t="shared" si="190"/>
        <v>0</v>
      </c>
      <c r="S49" s="97">
        <f t="shared" si="146"/>
        <v>0</v>
      </c>
      <c r="T49" s="97">
        <f t="shared" si="175"/>
        <v>0</v>
      </c>
      <c r="U49" s="97">
        <f t="shared" si="59"/>
        <v>0</v>
      </c>
      <c r="V49" s="98" t="e">
        <f t="shared" ref="V49:W49" si="191">M49/I49</f>
        <v>#DIV/0!</v>
      </c>
      <c r="W49" s="98">
        <f t="shared" si="191"/>
        <v>1</v>
      </c>
      <c r="X49" s="98" t="e">
        <f t="shared" si="26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56" t="s">
        <v>603</v>
      </c>
      <c r="B50" s="140" t="s">
        <v>286</v>
      </c>
      <c r="C50" s="101" t="s">
        <v>278</v>
      </c>
      <c r="D50" s="144" t="s">
        <v>654</v>
      </c>
      <c r="E50" s="116"/>
      <c r="F50" s="92"/>
      <c r="G50" s="94" t="e">
        <f t="shared" si="19"/>
        <v>#DIV/0!</v>
      </c>
      <c r="H50" s="94" t="e">
        <f t="shared" si="103"/>
        <v>#DIV/0!</v>
      </c>
      <c r="I50" s="361">
        <f>67481.17</f>
        <v>67481.17</v>
      </c>
      <c r="J50" s="117">
        <f>572638.78+46434.84</f>
        <v>619073.62</v>
      </c>
      <c r="K50" s="117"/>
      <c r="L50" s="118"/>
      <c r="M50" s="97">
        <f t="shared" si="177"/>
        <v>10051.59</v>
      </c>
      <c r="N50" s="97">
        <f t="shared" ref="N50:O50" si="192">Z50+AC50+AF50+AI50+AL50+AO50+AR50+AU50+AX50+BA50+BD50+BG50</f>
        <v>282042</v>
      </c>
      <c r="O50" s="97">
        <f t="shared" si="192"/>
        <v>0</v>
      </c>
      <c r="P50" s="82">
        <f t="shared" ref="P50:R50" si="193">IF(BI50=0,SUM(Y50+AB50+AE50+AH50+AK50+AN50+AQ50+AT50+AW50+AZ50+BC50+BF50),BI50)</f>
        <v>10051.59</v>
      </c>
      <c r="Q50" s="82">
        <f t="shared" si="193"/>
        <v>282042</v>
      </c>
      <c r="R50" s="82">
        <f t="shared" si="193"/>
        <v>0</v>
      </c>
      <c r="S50" s="97">
        <f t="shared" si="146"/>
        <v>57429.58</v>
      </c>
      <c r="T50" s="97">
        <f t="shared" si="175"/>
        <v>337031.62</v>
      </c>
      <c r="U50" s="97">
        <f t="shared" si="59"/>
        <v>0</v>
      </c>
      <c r="V50" s="98">
        <f t="shared" ref="V50:W50" si="194">M50/I50</f>
        <v>0.14895399709281865</v>
      </c>
      <c r="W50" s="98">
        <f t="shared" si="194"/>
        <v>0.45558717233016649</v>
      </c>
      <c r="X50" s="98" t="e">
        <f t="shared" si="26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260">
        <v>10051.59</v>
      </c>
      <c r="AI50" s="260">
        <v>18924.84</v>
      </c>
      <c r="AJ50" s="129"/>
      <c r="AK50" s="260"/>
      <c r="AL50" s="260">
        <v>239930.92</v>
      </c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9"/>
        <v>#DIV/0!</v>
      </c>
      <c r="H51" s="94" t="e">
        <f t="shared" si="103"/>
        <v>#DIV/0!</v>
      </c>
      <c r="I51" s="133"/>
      <c r="J51" s="117">
        <f>5855+6447</f>
        <v>12302</v>
      </c>
      <c r="K51" s="117"/>
      <c r="L51" s="96"/>
      <c r="M51" s="97">
        <f t="shared" si="177"/>
        <v>0</v>
      </c>
      <c r="N51" s="97">
        <f t="shared" ref="N51:O51" si="195">Z51+AC51+AF51+AI51+AL51+AO51+AR51+AU51+AX51+BA51+BD51+BG51</f>
        <v>12302</v>
      </c>
      <c r="O51" s="97">
        <f t="shared" si="195"/>
        <v>0</v>
      </c>
      <c r="P51" s="82">
        <f t="shared" ref="P51:R51" si="196">IF(BI51=0,SUM(Y51+AB51+AE51+AH51+AK51+AN51+AQ51+AT51+AW51+AZ51+BC51+BF51),BI51)</f>
        <v>0</v>
      </c>
      <c r="Q51" s="82">
        <f t="shared" si="196"/>
        <v>12302</v>
      </c>
      <c r="R51" s="82">
        <f t="shared" si="196"/>
        <v>0</v>
      </c>
      <c r="S51" s="97">
        <f t="shared" si="146"/>
        <v>0</v>
      </c>
      <c r="T51" s="97">
        <f t="shared" si="175"/>
        <v>0</v>
      </c>
      <c r="U51" s="97">
        <f t="shared" si="59"/>
        <v>0</v>
      </c>
      <c r="V51" s="98" t="e">
        <f t="shared" ref="V51:W51" si="197">M51/I51</f>
        <v>#DIV/0!</v>
      </c>
      <c r="W51" s="98">
        <f t="shared" si="197"/>
        <v>1</v>
      </c>
      <c r="X51" s="98" t="e">
        <f t="shared" si="26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655</v>
      </c>
      <c r="E52" s="116"/>
      <c r="F52" s="92"/>
      <c r="G52" s="94" t="e">
        <f t="shared" si="19"/>
        <v>#DIV/0!</v>
      </c>
      <c r="H52" s="94" t="e">
        <f t="shared" si="103"/>
        <v>#DIV/0!</v>
      </c>
      <c r="I52" s="133"/>
      <c r="J52" s="117">
        <f>2874.45+8500+15300+2420</f>
        <v>29094.45</v>
      </c>
      <c r="K52" s="117"/>
      <c r="L52" s="145"/>
      <c r="M52" s="97">
        <f t="shared" si="177"/>
        <v>0</v>
      </c>
      <c r="N52" s="97">
        <f t="shared" ref="N52:O52" si="198">Z52+AC52+AF52+AI52+AL52+AO52+AR52+AU52+AX52+BA52+BD52+BG52</f>
        <v>29094.45</v>
      </c>
      <c r="O52" s="97">
        <f t="shared" si="198"/>
        <v>0</v>
      </c>
      <c r="P52" s="82">
        <f t="shared" ref="P52:R52" si="199">IF(BI52=0,SUM(Y52+AB52+AE52+AH52+AK52+AN52+AQ52+AT52+AW52+AZ52+BC52+BF52),BI52)</f>
        <v>0</v>
      </c>
      <c r="Q52" s="82">
        <f t="shared" si="199"/>
        <v>29094.45</v>
      </c>
      <c r="R52" s="82">
        <f t="shared" si="199"/>
        <v>0</v>
      </c>
      <c r="S52" s="97">
        <f t="shared" si="146"/>
        <v>0</v>
      </c>
      <c r="T52" s="97">
        <f t="shared" si="175"/>
        <v>0</v>
      </c>
      <c r="U52" s="97">
        <f t="shared" si="59"/>
        <v>0</v>
      </c>
      <c r="V52" s="98" t="e">
        <f t="shared" ref="V52:W52" si="200">M52/I52</f>
        <v>#DIV/0!</v>
      </c>
      <c r="W52" s="98">
        <f t="shared" si="200"/>
        <v>1</v>
      </c>
      <c r="X52" s="98" t="e">
        <f t="shared" si="26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260">
        <v>2874.45</v>
      </c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9"/>
        <v>#DIV/0!</v>
      </c>
      <c r="H53" s="94" t="e">
        <f t="shared" si="103"/>
        <v>#DIV/0!</v>
      </c>
      <c r="I53" s="133"/>
      <c r="J53" s="117"/>
      <c r="K53" s="117"/>
      <c r="L53" s="145"/>
      <c r="M53" s="97">
        <f t="shared" si="177"/>
        <v>0</v>
      </c>
      <c r="N53" s="97">
        <f t="shared" ref="N53:O53" si="201">Z53+AC53+AF53+AI53+AL53+AO53+AR53+AU53+AX53+BA53+BD53+BG53</f>
        <v>0</v>
      </c>
      <c r="O53" s="97">
        <f t="shared" si="201"/>
        <v>0</v>
      </c>
      <c r="P53" s="82">
        <f t="shared" ref="P53:R53" si="202">IF(BI53=0,SUM(Y53+AB53+AE53+AH53+AK53+AN53+AQ53+AT53+AW53+AZ53+BC53+BF53),BI53)</f>
        <v>0</v>
      </c>
      <c r="Q53" s="82">
        <f t="shared" si="202"/>
        <v>0</v>
      </c>
      <c r="R53" s="82">
        <f t="shared" si="202"/>
        <v>0</v>
      </c>
      <c r="S53" s="97">
        <f t="shared" si="146"/>
        <v>0</v>
      </c>
      <c r="T53" s="97">
        <f t="shared" si="175"/>
        <v>0</v>
      </c>
      <c r="U53" s="97">
        <f t="shared" si="59"/>
        <v>0</v>
      </c>
      <c r="V53" s="98" t="e">
        <f t="shared" ref="V53:W53" si="203">M53/I53</f>
        <v>#DIV/0!</v>
      </c>
      <c r="W53" s="98" t="e">
        <f t="shared" si="203"/>
        <v>#DIV/0!</v>
      </c>
      <c r="X53" s="98" t="e">
        <f t="shared" si="26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9"/>
        <v>#DIV/0!</v>
      </c>
      <c r="H54" s="94" t="e">
        <f t="shared" si="103"/>
        <v>#DIV/0!</v>
      </c>
      <c r="I54" s="133"/>
      <c r="J54" s="117"/>
      <c r="K54" s="117"/>
      <c r="L54" s="145"/>
      <c r="M54" s="97">
        <f t="shared" si="177"/>
        <v>0</v>
      </c>
      <c r="N54" s="97">
        <f t="shared" ref="N54:O54" si="204">Z54+AC54+AF54+AI54+AL54+AO54+AR54+AU54+AX54+BA54+BD54+BG54</f>
        <v>0</v>
      </c>
      <c r="O54" s="97">
        <f t="shared" si="204"/>
        <v>0</v>
      </c>
      <c r="P54" s="82">
        <f t="shared" ref="P54:R54" si="205">IF(BI54=0,SUM(Y54+AB54+AE54+AH54+AK54+AN54+AQ54+AT54+AW54+AZ54+BC54+BF54),BI54)</f>
        <v>0</v>
      </c>
      <c r="Q54" s="82">
        <f t="shared" si="205"/>
        <v>0</v>
      </c>
      <c r="R54" s="82">
        <f t="shared" si="205"/>
        <v>0</v>
      </c>
      <c r="S54" s="97">
        <f t="shared" si="146"/>
        <v>0</v>
      </c>
      <c r="T54" s="97">
        <f t="shared" si="175"/>
        <v>0</v>
      </c>
      <c r="U54" s="97">
        <f t="shared" si="59"/>
        <v>0</v>
      </c>
      <c r="V54" s="98" t="e">
        <f t="shared" ref="V54:W54" si="206">M54/I54</f>
        <v>#DIV/0!</v>
      </c>
      <c r="W54" s="98" t="e">
        <f t="shared" si="206"/>
        <v>#DIV/0!</v>
      </c>
      <c r="X54" s="98" t="e">
        <f t="shared" si="26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9"/>
        <v>#DIV/0!</v>
      </c>
      <c r="H55" s="94">
        <f t="shared" ref="H55:H60" si="207">M55/F55</f>
        <v>0</v>
      </c>
      <c r="I55" s="96"/>
      <c r="J55" s="117"/>
      <c r="K55" s="117"/>
      <c r="L55" s="118"/>
      <c r="M55" s="97">
        <f t="shared" si="177"/>
        <v>0</v>
      </c>
      <c r="N55" s="97">
        <f t="shared" ref="N55:O55" si="208">Z55+AC55+AF55+AI55+AL55+AO55+AR55+AU55+AX55+BA55+BD55+BG55</f>
        <v>0</v>
      </c>
      <c r="O55" s="97">
        <f t="shared" si="208"/>
        <v>0</v>
      </c>
      <c r="P55" s="82">
        <f t="shared" ref="P55:R55" si="209">IF(BI55=0,SUM(Y55+AB55+AE55+AH55+AK55+AN55+AQ55+AT55+AW55+AZ55+BC55+BF55),BI55)</f>
        <v>0</v>
      </c>
      <c r="Q55" s="82">
        <f t="shared" si="209"/>
        <v>0</v>
      </c>
      <c r="R55" s="82">
        <f t="shared" si="209"/>
        <v>0</v>
      </c>
      <c r="S55" s="97">
        <f t="shared" si="146"/>
        <v>0</v>
      </c>
      <c r="T55" s="97">
        <f t="shared" si="175"/>
        <v>0</v>
      </c>
      <c r="U55" s="97">
        <f t="shared" si="59"/>
        <v>0</v>
      </c>
      <c r="V55" s="98" t="e">
        <f t="shared" ref="V55:W55" si="210">M55/I55</f>
        <v>#DIV/0!</v>
      </c>
      <c r="W55" s="98" t="e">
        <f t="shared" si="210"/>
        <v>#DIV/0!</v>
      </c>
      <c r="X55" s="98" t="e">
        <f t="shared" si="26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9"/>
        <v>#DIV/0!</v>
      </c>
      <c r="H56" s="94">
        <f t="shared" si="207"/>
        <v>0</v>
      </c>
      <c r="I56" s="96"/>
      <c r="J56" s="117">
        <v>1817.8</v>
      </c>
      <c r="K56" s="117"/>
      <c r="L56" s="118"/>
      <c r="M56" s="97">
        <f t="shared" si="177"/>
        <v>0</v>
      </c>
      <c r="N56" s="97">
        <f t="shared" ref="N56:O56" si="211">Z56+AC56+AF56+AI56+AL56+AO56+AR56+AU56+AX56+BA56+BD56+BG56</f>
        <v>1817.8</v>
      </c>
      <c r="O56" s="97">
        <f t="shared" si="211"/>
        <v>0</v>
      </c>
      <c r="P56" s="82">
        <f t="shared" ref="P56:R56" si="212">IF(BI56=0,SUM(Y56+AB56+AE56+AH56+AK56+AN56+AQ56+AT56+AW56+AZ56+BC56+BF56),BI56)</f>
        <v>0</v>
      </c>
      <c r="Q56" s="82">
        <f t="shared" si="212"/>
        <v>1817.8</v>
      </c>
      <c r="R56" s="82">
        <f t="shared" si="212"/>
        <v>0</v>
      </c>
      <c r="S56" s="97">
        <f t="shared" si="146"/>
        <v>0</v>
      </c>
      <c r="T56" s="97">
        <f t="shared" si="175"/>
        <v>0</v>
      </c>
      <c r="U56" s="97">
        <f t="shared" si="59"/>
        <v>0</v>
      </c>
      <c r="V56" s="98" t="e">
        <f t="shared" ref="V56:W56" si="213">M56/I56</f>
        <v>#DIV/0!</v>
      </c>
      <c r="W56" s="98">
        <f t="shared" si="213"/>
        <v>1</v>
      </c>
      <c r="X56" s="98" t="e">
        <f t="shared" si="26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14">I57/F57</f>
        <v>0</v>
      </c>
      <c r="H57" s="94">
        <f t="shared" si="207"/>
        <v>0</v>
      </c>
      <c r="I57" s="96"/>
      <c r="J57" s="117"/>
      <c r="K57" s="117"/>
      <c r="L57" s="118"/>
      <c r="M57" s="97">
        <f t="shared" si="177"/>
        <v>0</v>
      </c>
      <c r="N57" s="97">
        <f t="shared" ref="N57:O57" si="215">Z57+AC57+AF57+AI57+AL57+AO57+AR57+AU57+AX57+BA57+BD57+BG57</f>
        <v>0</v>
      </c>
      <c r="O57" s="97">
        <f t="shared" si="215"/>
        <v>0</v>
      </c>
      <c r="P57" s="82">
        <f t="shared" ref="P57:R57" si="216">IF(BI57=0,SUM(Y57+AB57+AE57+AH57+AK57+AN57+AQ57+AT57+AW57+AZ57+BC57+BF57),BI57)</f>
        <v>0</v>
      </c>
      <c r="Q57" s="82">
        <f t="shared" si="216"/>
        <v>0</v>
      </c>
      <c r="R57" s="82">
        <f t="shared" si="216"/>
        <v>0</v>
      </c>
      <c r="S57" s="97">
        <f t="shared" si="146"/>
        <v>0</v>
      </c>
      <c r="T57" s="97">
        <f t="shared" si="175"/>
        <v>0</v>
      </c>
      <c r="U57" s="97">
        <f t="shared" si="59"/>
        <v>0</v>
      </c>
      <c r="V57" s="98" t="e">
        <f t="shared" ref="V57:W57" si="217">M57/I57</f>
        <v>#DIV/0!</v>
      </c>
      <c r="W57" s="98" t="e">
        <f t="shared" si="217"/>
        <v>#DIV/0!</v>
      </c>
      <c r="X57" s="98" t="e">
        <f t="shared" si="26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14"/>
        <v>0</v>
      </c>
      <c r="H58" s="94">
        <f t="shared" si="207"/>
        <v>0</v>
      </c>
      <c r="I58" s="142"/>
      <c r="J58" s="117"/>
      <c r="K58" s="117"/>
      <c r="L58" s="118"/>
      <c r="M58" s="97">
        <f t="shared" si="177"/>
        <v>0</v>
      </c>
      <c r="N58" s="97">
        <f t="shared" ref="N58:O58" si="218">Z58+AC58+AF58+AI58+AL58+AO58+AR58+AU58+AX58+BA58+BD58+BG58</f>
        <v>0</v>
      </c>
      <c r="O58" s="97">
        <f t="shared" si="218"/>
        <v>0</v>
      </c>
      <c r="P58" s="82">
        <f t="shared" ref="P58:R58" si="219">IF(BI58=0,SUM(Y58+AB58+AE58+AH58+AK58+AN58+AQ58+AT58+AW58+AZ58+BC58+BF58),BI58)</f>
        <v>0</v>
      </c>
      <c r="Q58" s="82">
        <f t="shared" si="219"/>
        <v>0</v>
      </c>
      <c r="R58" s="82">
        <f t="shared" si="219"/>
        <v>0</v>
      </c>
      <c r="S58" s="97">
        <f t="shared" si="146"/>
        <v>0</v>
      </c>
      <c r="T58" s="97">
        <f t="shared" si="175"/>
        <v>0</v>
      </c>
      <c r="U58" s="97">
        <f t="shared" si="59"/>
        <v>0</v>
      </c>
      <c r="V58" s="98" t="e">
        <f t="shared" ref="V58:W58" si="220">M58/I58</f>
        <v>#DIV/0!</v>
      </c>
      <c r="W58" s="98" t="e">
        <f t="shared" si="220"/>
        <v>#DIV/0!</v>
      </c>
      <c r="X58" s="98" t="e">
        <f t="shared" si="26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14"/>
        <v>0</v>
      </c>
      <c r="H59" s="94">
        <f t="shared" si="207"/>
        <v>0</v>
      </c>
      <c r="I59" s="96"/>
      <c r="J59" s="117"/>
      <c r="K59" s="117"/>
      <c r="L59" s="118"/>
      <c r="M59" s="97">
        <f t="shared" si="177"/>
        <v>0</v>
      </c>
      <c r="N59" s="97">
        <f t="shared" ref="N59:O59" si="221">Z59+AC59+AF59+AI59+AL59+AO59+AR59+AU59+AX59+BA59+BD59+BG59</f>
        <v>0</v>
      </c>
      <c r="O59" s="97">
        <f t="shared" si="221"/>
        <v>0</v>
      </c>
      <c r="P59" s="82">
        <f t="shared" ref="P59:R59" si="222">IF(BI59=0,SUM(Y59+AB59+AE59+AH59+AK59+AN59+AQ59+AT59+AW59+AZ59+BC59+BF59),BI59)</f>
        <v>0</v>
      </c>
      <c r="Q59" s="82">
        <f t="shared" si="222"/>
        <v>0</v>
      </c>
      <c r="R59" s="82">
        <f t="shared" si="222"/>
        <v>0</v>
      </c>
      <c r="S59" s="97">
        <f t="shared" si="146"/>
        <v>0</v>
      </c>
      <c r="T59" s="97">
        <f t="shared" si="175"/>
        <v>0</v>
      </c>
      <c r="U59" s="97">
        <f t="shared" si="59"/>
        <v>0</v>
      </c>
      <c r="V59" s="98" t="e">
        <f t="shared" ref="V59:W59" si="223">M59/I59</f>
        <v>#DIV/0!</v>
      </c>
      <c r="W59" s="98" t="e">
        <f t="shared" si="223"/>
        <v>#DIV/0!</v>
      </c>
      <c r="X59" s="98" t="e">
        <f t="shared" si="26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14"/>
        <v>0</v>
      </c>
      <c r="H60" s="94">
        <f t="shared" si="207"/>
        <v>0</v>
      </c>
      <c r="I60" s="96"/>
      <c r="J60" s="146"/>
      <c r="K60" s="146"/>
      <c r="L60" s="118"/>
      <c r="M60" s="97">
        <f t="shared" si="177"/>
        <v>0</v>
      </c>
      <c r="N60" s="97">
        <f t="shared" ref="N60:O60" si="224">Z60+AC60+AF60+AI60+AL60+AO60+AR60+AU60+AX60+BA60+BD60+BG60</f>
        <v>0</v>
      </c>
      <c r="O60" s="97">
        <f t="shared" si="224"/>
        <v>0</v>
      </c>
      <c r="P60" s="82">
        <f t="shared" ref="P60:R60" si="225">IF(BI60=0,SUM(Y60+AB60+AE60+AH60+AK60+AN60+AQ60+AT60+AW60+AZ60+BC60+BF60),BI60)</f>
        <v>0</v>
      </c>
      <c r="Q60" s="82">
        <f t="shared" si="225"/>
        <v>0</v>
      </c>
      <c r="R60" s="82">
        <f t="shared" si="225"/>
        <v>0</v>
      </c>
      <c r="S60" s="97">
        <f t="shared" si="146"/>
        <v>0</v>
      </c>
      <c r="T60" s="97">
        <f t="shared" si="175"/>
        <v>0</v>
      </c>
      <c r="U60" s="97">
        <f t="shared" si="59"/>
        <v>0</v>
      </c>
      <c r="V60" s="98" t="e">
        <f t="shared" ref="V60:W60" si="226">M60/I60</f>
        <v>#DIV/0!</v>
      </c>
      <c r="W60" s="98" t="e">
        <f t="shared" si="226"/>
        <v>#DIV/0!</v>
      </c>
      <c r="X60" s="98" t="e">
        <f t="shared" si="26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14"/>
        <v>0</v>
      </c>
      <c r="H61" s="94"/>
      <c r="I61" s="96"/>
      <c r="J61" s="146"/>
      <c r="K61" s="146"/>
      <c r="L61" s="118"/>
      <c r="M61" s="97">
        <f t="shared" si="177"/>
        <v>0</v>
      </c>
      <c r="N61" s="97">
        <f t="shared" ref="N61:O61" si="227">Z61+AC61+AF61+AI61+AL61+AO61+AR61+AU61+AX61+BA61+BD61+BG61</f>
        <v>0</v>
      </c>
      <c r="O61" s="97">
        <f t="shared" si="227"/>
        <v>0</v>
      </c>
      <c r="P61" s="82">
        <f t="shared" ref="P61:R61" si="228">IF(BI61=0,SUM(Y61+AB61+AE61+AH61+AK61+AN61+AQ61+AT61+AW61+AZ61+BC61+BF61),BI61)</f>
        <v>0</v>
      </c>
      <c r="Q61" s="82">
        <f t="shared" si="228"/>
        <v>0</v>
      </c>
      <c r="R61" s="82">
        <f t="shared" si="228"/>
        <v>0</v>
      </c>
      <c r="S61" s="97">
        <f t="shared" si="146"/>
        <v>0</v>
      </c>
      <c r="T61" s="97">
        <f t="shared" si="175"/>
        <v>0</v>
      </c>
      <c r="U61" s="97">
        <f t="shared" si="59"/>
        <v>0</v>
      </c>
      <c r="V61" s="98" t="e">
        <f t="shared" ref="V61:W61" si="229">M61/I61</f>
        <v>#DIV/0!</v>
      </c>
      <c r="W61" s="98" t="e">
        <f t="shared" si="229"/>
        <v>#DIV/0!</v>
      </c>
      <c r="X61" s="98" t="e">
        <f t="shared" si="26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14"/>
        <v>0</v>
      </c>
      <c r="H62" s="94"/>
      <c r="I62" s="96"/>
      <c r="J62" s="146"/>
      <c r="K62" s="146"/>
      <c r="L62" s="118"/>
      <c r="M62" s="97">
        <f t="shared" si="177"/>
        <v>0</v>
      </c>
      <c r="N62" s="97">
        <f t="shared" ref="N62:O62" si="230">Z62+AC62+AF62+AI62+AL62+AO62+AR62+AU62+AX62+BA62+BD62+BG62</f>
        <v>0</v>
      </c>
      <c r="O62" s="97">
        <f t="shared" si="230"/>
        <v>0</v>
      </c>
      <c r="P62" s="82">
        <f t="shared" ref="P62:R62" si="231">IF(BI62=0,SUM(Y62+AB62+AE62+AH62+AK62+AN62+AQ62+AT62+AW62+AZ62+BC62+BF62),BI62)</f>
        <v>0</v>
      </c>
      <c r="Q62" s="82">
        <f t="shared" si="231"/>
        <v>0</v>
      </c>
      <c r="R62" s="82">
        <f t="shared" si="231"/>
        <v>0</v>
      </c>
      <c r="S62" s="97">
        <f t="shared" si="146"/>
        <v>0</v>
      </c>
      <c r="T62" s="97">
        <f t="shared" si="175"/>
        <v>0</v>
      </c>
      <c r="U62" s="97">
        <f t="shared" si="59"/>
        <v>0</v>
      </c>
      <c r="V62" s="98" t="e">
        <f t="shared" ref="V62:W62" si="232">M62/I62</f>
        <v>#DIV/0!</v>
      </c>
      <c r="W62" s="98" t="e">
        <f t="shared" si="232"/>
        <v>#DIV/0!</v>
      </c>
      <c r="X62" s="98" t="e">
        <f t="shared" si="26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33">I63/E63</f>
        <v>#DIV/0!</v>
      </c>
      <c r="H63" s="94" t="e">
        <f t="shared" ref="H63:H80" si="234">M63/E63</f>
        <v>#DIV/0!</v>
      </c>
      <c r="I63" s="96"/>
      <c r="J63" s="146"/>
      <c r="K63" s="146"/>
      <c r="L63" s="118"/>
      <c r="M63" s="97">
        <f t="shared" si="177"/>
        <v>0</v>
      </c>
      <c r="N63" s="97">
        <f t="shared" ref="N63:O63" si="235">Z63+AC63+AF63+AI63+AL63+AO63+AR63+AU63+AX63+BA63+BD63+BG63</f>
        <v>0</v>
      </c>
      <c r="O63" s="97">
        <f t="shared" si="235"/>
        <v>0</v>
      </c>
      <c r="P63" s="82">
        <f t="shared" ref="P63:R63" si="236">IF(BI63=0,SUM(Y63+AB63+AE63+AH63+AK63+AN63+AQ63+AT63+AW63+AZ63+BC63+BF63),BI63)</f>
        <v>0</v>
      </c>
      <c r="Q63" s="82">
        <f t="shared" si="236"/>
        <v>0</v>
      </c>
      <c r="R63" s="82">
        <f t="shared" si="236"/>
        <v>0</v>
      </c>
      <c r="S63" s="97">
        <f t="shared" si="146"/>
        <v>0</v>
      </c>
      <c r="T63" s="97">
        <f t="shared" si="175"/>
        <v>0</v>
      </c>
      <c r="U63" s="97">
        <f t="shared" si="59"/>
        <v>0</v>
      </c>
      <c r="V63" s="98" t="e">
        <f t="shared" ref="V63:W63" si="237">M63/I63</f>
        <v>#DIV/0!</v>
      </c>
      <c r="W63" s="98" t="e">
        <f t="shared" si="237"/>
        <v>#DIV/0!</v>
      </c>
      <c r="X63" s="98" t="e">
        <f t="shared" si="26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33"/>
        <v>#DIV/0!</v>
      </c>
      <c r="H64" s="94" t="e">
        <f t="shared" si="234"/>
        <v>#DIV/0!</v>
      </c>
      <c r="I64" s="96"/>
      <c r="J64" s="146"/>
      <c r="K64" s="146"/>
      <c r="L64" s="118"/>
      <c r="M64" s="97">
        <f t="shared" si="177"/>
        <v>0</v>
      </c>
      <c r="N64" s="97">
        <f t="shared" ref="N64:O64" si="238">Z64+AC64+AF64+AI64+AL64+AO64+AR64+AU64+AX64+BA64+BD64+BG64</f>
        <v>0</v>
      </c>
      <c r="O64" s="97">
        <f t="shared" si="238"/>
        <v>0</v>
      </c>
      <c r="P64" s="82">
        <f t="shared" ref="P64:R64" si="239">IF(BI64=0,SUM(Y64+AB64+AE64+AH64+AK64+AN64+AQ64+AT64+AW64+AZ64+BC64+BF64),BI64)</f>
        <v>0</v>
      </c>
      <c r="Q64" s="82">
        <f t="shared" si="239"/>
        <v>0</v>
      </c>
      <c r="R64" s="82">
        <f t="shared" si="239"/>
        <v>0</v>
      </c>
      <c r="S64" s="97">
        <f t="shared" si="146"/>
        <v>0</v>
      </c>
      <c r="T64" s="97">
        <f t="shared" si="175"/>
        <v>0</v>
      </c>
      <c r="U64" s="97">
        <f t="shared" si="59"/>
        <v>0</v>
      </c>
      <c r="V64" s="98" t="e">
        <f t="shared" ref="V64:W64" si="240">M64/I64</f>
        <v>#DIV/0!</v>
      </c>
      <c r="W64" s="98" t="e">
        <f t="shared" si="240"/>
        <v>#DIV/0!</v>
      </c>
      <c r="X64" s="98" t="e">
        <f t="shared" si="26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33"/>
        <v>#DIV/0!</v>
      </c>
      <c r="H65" s="94" t="e">
        <f t="shared" si="234"/>
        <v>#DIV/0!</v>
      </c>
      <c r="I65" s="96"/>
      <c r="J65" s="126"/>
      <c r="K65" s="126"/>
      <c r="L65" s="118"/>
      <c r="M65" s="97">
        <f t="shared" si="177"/>
        <v>0</v>
      </c>
      <c r="N65" s="97">
        <f t="shared" ref="N65:O65" si="241">Z65+AC65+AF65+AI65+AL65+AO65+AR65+AU65+AX65+BA65+BD65+BG65</f>
        <v>0</v>
      </c>
      <c r="O65" s="97">
        <f t="shared" si="241"/>
        <v>0</v>
      </c>
      <c r="P65" s="82">
        <f t="shared" ref="P65:R65" si="242">IF(BI65=0,SUM(Y65+AB65+AE65+AH65+AK65+AN65+AQ65+AT65+AW65+AZ65+BC65+BF65),BI65)</f>
        <v>0</v>
      </c>
      <c r="Q65" s="82">
        <f t="shared" si="242"/>
        <v>0</v>
      </c>
      <c r="R65" s="82">
        <f t="shared" si="242"/>
        <v>0</v>
      </c>
      <c r="S65" s="97">
        <f t="shared" si="146"/>
        <v>0</v>
      </c>
      <c r="T65" s="97">
        <f t="shared" si="175"/>
        <v>0</v>
      </c>
      <c r="U65" s="97">
        <f t="shared" si="59"/>
        <v>0</v>
      </c>
      <c r="V65" s="98" t="e">
        <f t="shared" ref="V65:W65" si="243">M65/I65</f>
        <v>#DIV/0!</v>
      </c>
      <c r="W65" s="98" t="e">
        <f t="shared" si="243"/>
        <v>#DIV/0!</v>
      </c>
      <c r="X65" s="98" t="e">
        <f t="shared" si="26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33"/>
        <v>#DIV/0!</v>
      </c>
      <c r="H66" s="94" t="e">
        <f t="shared" si="234"/>
        <v>#DIV/0!</v>
      </c>
      <c r="I66" s="96"/>
      <c r="J66" s="146"/>
      <c r="K66" s="146"/>
      <c r="L66" s="95"/>
      <c r="M66" s="97">
        <f t="shared" si="177"/>
        <v>0</v>
      </c>
      <c r="N66" s="97">
        <f t="shared" ref="N66:O66" si="244">Z66+AC66+AF66+AI66+AL66+AO66+AR66+AU66+AX66+BA66+BD66+BG66</f>
        <v>0</v>
      </c>
      <c r="O66" s="97">
        <f t="shared" si="244"/>
        <v>0</v>
      </c>
      <c r="P66" s="82">
        <f t="shared" ref="P66:R66" si="245">IF(BI66=0,SUM(Y66+AB66+AE66+AH66+AK66+AN66+AQ66+AT66+AW66+AZ66+BC66+BF66),BI66)</f>
        <v>0</v>
      </c>
      <c r="Q66" s="82">
        <f t="shared" si="245"/>
        <v>0</v>
      </c>
      <c r="R66" s="82">
        <f t="shared" si="245"/>
        <v>0</v>
      </c>
      <c r="S66" s="97">
        <f t="shared" si="146"/>
        <v>0</v>
      </c>
      <c r="T66" s="97">
        <f t="shared" si="175"/>
        <v>0</v>
      </c>
      <c r="U66" s="97">
        <f t="shared" si="59"/>
        <v>0</v>
      </c>
      <c r="V66" s="98" t="e">
        <f t="shared" ref="V66:W66" si="246">M66/I66</f>
        <v>#DIV/0!</v>
      </c>
      <c r="W66" s="98" t="e">
        <f t="shared" si="246"/>
        <v>#DIV/0!</v>
      </c>
      <c r="X66" s="98" t="e">
        <f t="shared" si="26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33"/>
        <v>0.14318263399463568</v>
      </c>
      <c r="H67" s="107">
        <f t="shared" si="234"/>
        <v>2.4106183501899719E-2</v>
      </c>
      <c r="I67" s="87">
        <f t="shared" ref="I67:Q67" si="247">I68+I75+I76+I77+I80+I84+I89</f>
        <v>38261</v>
      </c>
      <c r="J67" s="87">
        <f t="shared" si="247"/>
        <v>84340.34</v>
      </c>
      <c r="K67" s="87">
        <f t="shared" si="247"/>
        <v>0</v>
      </c>
      <c r="L67" s="87">
        <f t="shared" si="247"/>
        <v>0</v>
      </c>
      <c r="M67" s="87">
        <f t="shared" si="247"/>
        <v>6441.6100000000006</v>
      </c>
      <c r="N67" s="87">
        <f t="shared" si="247"/>
        <v>21769.4</v>
      </c>
      <c r="O67" s="87">
        <f t="shared" si="247"/>
        <v>0</v>
      </c>
      <c r="P67" s="87">
        <f t="shared" si="247"/>
        <v>6441.6100000000006</v>
      </c>
      <c r="Q67" s="87">
        <f t="shared" si="247"/>
        <v>21769.4</v>
      </c>
      <c r="R67" s="87">
        <f>IF(BK67=0,SUM(AA67+AD67+AG67+AJ67+AM67+AP67+AS67+AV67+AY67+BB67+BE67+BH67),BK67)</f>
        <v>0</v>
      </c>
      <c r="S67" s="87">
        <f>S68+S75+S76+S77+S80+S84+S89</f>
        <v>31256.39</v>
      </c>
      <c r="T67" s="87">
        <f>T68+T84</f>
        <v>62570.939999999995</v>
      </c>
      <c r="U67" s="87">
        <f>U68+U75+U76+U77+U80+U84+U89</f>
        <v>0</v>
      </c>
      <c r="V67" s="88">
        <f t="shared" ref="V67:W67" si="248">M67/I67</f>
        <v>0.16835968741015658</v>
      </c>
      <c r="W67" s="88">
        <f t="shared" si="248"/>
        <v>0.25811373300131352</v>
      </c>
      <c r="X67" s="88" t="e">
        <f t="shared" si="26"/>
        <v>#DIV/0!</v>
      </c>
      <c r="Y67" s="87">
        <f t="shared" ref="Y67:BK67" si="249">Y68+Y75+Y76+Y77+Y80+Y84+Y89</f>
        <v>0</v>
      </c>
      <c r="Z67" s="87">
        <f t="shared" si="249"/>
        <v>4595.8899999999994</v>
      </c>
      <c r="AA67" s="87">
        <f t="shared" si="249"/>
        <v>0</v>
      </c>
      <c r="AB67" s="87">
        <f t="shared" si="249"/>
        <v>0</v>
      </c>
      <c r="AC67" s="87">
        <f t="shared" si="249"/>
        <v>7931.1</v>
      </c>
      <c r="AD67" s="87">
        <f t="shared" si="249"/>
        <v>0</v>
      </c>
      <c r="AE67" s="87">
        <f t="shared" si="249"/>
        <v>0</v>
      </c>
      <c r="AF67" s="87">
        <f t="shared" si="249"/>
        <v>5181.2700000000004</v>
      </c>
      <c r="AG67" s="87">
        <f t="shared" si="249"/>
        <v>0</v>
      </c>
      <c r="AH67" s="87">
        <f t="shared" si="249"/>
        <v>0</v>
      </c>
      <c r="AI67" s="87">
        <f t="shared" si="249"/>
        <v>3205.84</v>
      </c>
      <c r="AJ67" s="87">
        <f t="shared" si="249"/>
        <v>0</v>
      </c>
      <c r="AK67" s="87">
        <f t="shared" si="249"/>
        <v>3228</v>
      </c>
      <c r="AL67" s="87">
        <f t="shared" si="249"/>
        <v>855.3</v>
      </c>
      <c r="AM67" s="87">
        <f t="shared" si="249"/>
        <v>0</v>
      </c>
      <c r="AN67" s="87">
        <f t="shared" si="249"/>
        <v>3213.61</v>
      </c>
      <c r="AO67" s="87">
        <f t="shared" si="249"/>
        <v>0</v>
      </c>
      <c r="AP67" s="87">
        <f t="shared" si="249"/>
        <v>0</v>
      </c>
      <c r="AQ67" s="87">
        <f t="shared" si="249"/>
        <v>0</v>
      </c>
      <c r="AR67" s="87">
        <f t="shared" si="249"/>
        <v>0</v>
      </c>
      <c r="AS67" s="87">
        <f t="shared" si="249"/>
        <v>0</v>
      </c>
      <c r="AT67" s="87">
        <f t="shared" si="249"/>
        <v>0</v>
      </c>
      <c r="AU67" s="87">
        <f t="shared" si="249"/>
        <v>0</v>
      </c>
      <c r="AV67" s="87">
        <f t="shared" si="249"/>
        <v>0</v>
      </c>
      <c r="AW67" s="87">
        <f t="shared" si="249"/>
        <v>0</v>
      </c>
      <c r="AX67" s="87">
        <f t="shared" si="249"/>
        <v>0</v>
      </c>
      <c r="AY67" s="87">
        <f t="shared" si="249"/>
        <v>0</v>
      </c>
      <c r="AZ67" s="87">
        <f t="shared" si="249"/>
        <v>0</v>
      </c>
      <c r="BA67" s="87">
        <f t="shared" si="249"/>
        <v>0</v>
      </c>
      <c r="BB67" s="87">
        <f t="shared" si="249"/>
        <v>0</v>
      </c>
      <c r="BC67" s="87">
        <f t="shared" si="249"/>
        <v>0</v>
      </c>
      <c r="BD67" s="87">
        <f t="shared" si="249"/>
        <v>0</v>
      </c>
      <c r="BE67" s="87">
        <f t="shared" si="249"/>
        <v>0</v>
      </c>
      <c r="BF67" s="87">
        <f t="shared" si="249"/>
        <v>0</v>
      </c>
      <c r="BG67" s="87">
        <f t="shared" si="249"/>
        <v>0</v>
      </c>
      <c r="BH67" s="87">
        <f t="shared" si="249"/>
        <v>0</v>
      </c>
      <c r="BI67" s="87">
        <f t="shared" si="249"/>
        <v>0</v>
      </c>
      <c r="BJ67" s="87">
        <f t="shared" si="249"/>
        <v>0</v>
      </c>
      <c r="BK67" s="87">
        <f t="shared" si="249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33"/>
        <v>0.20870822157875979</v>
      </c>
      <c r="H68" s="155">
        <f t="shared" si="234"/>
        <v>4.2493740666412379E-2</v>
      </c>
      <c r="I68" s="154">
        <f>SUM(I69:I74)</f>
        <v>31638</v>
      </c>
      <c r="J68" s="154">
        <f t="shared" ref="J68:K68" si="250">SUM(J70:J74)</f>
        <v>10402.67</v>
      </c>
      <c r="K68" s="154">
        <f t="shared" si="250"/>
        <v>0</v>
      </c>
      <c r="L68" s="154">
        <f>SUM(L70:L71)</f>
        <v>0</v>
      </c>
      <c r="M68" s="154">
        <f>SUM(M69:M74)</f>
        <v>6441.6100000000006</v>
      </c>
      <c r="N68" s="154">
        <f>SUM(N70:N74)</f>
        <v>5836.0000000000009</v>
      </c>
      <c r="O68" s="154">
        <f>SUM(O69:O74)</f>
        <v>0</v>
      </c>
      <c r="P68" s="81">
        <f t="shared" ref="P68:R68" si="251">IF(BI68=0,SUM(Y68+AB68+AE68+AH68+AK68+AN68+AQ68+AT68+AW68+AZ68+BC68+BF68),BI68)</f>
        <v>6441.6100000000006</v>
      </c>
      <c r="Q68" s="81">
        <f t="shared" si="251"/>
        <v>5836</v>
      </c>
      <c r="R68" s="81">
        <f t="shared" si="251"/>
        <v>0</v>
      </c>
      <c r="S68" s="154">
        <f t="shared" ref="S68:T68" si="252">SUM(S69:S74)</f>
        <v>25196.39</v>
      </c>
      <c r="T68" s="154">
        <f t="shared" si="252"/>
        <v>4566.67</v>
      </c>
      <c r="U68" s="154">
        <f>SUM(U70:U74)</f>
        <v>0</v>
      </c>
      <c r="V68" s="156">
        <f t="shared" ref="V68:W68" si="253">M68/I68</f>
        <v>0.20360357797585185</v>
      </c>
      <c r="W68" s="156">
        <f t="shared" si="253"/>
        <v>0.56100981767180935</v>
      </c>
      <c r="X68" s="156" t="e">
        <f t="shared" si="26"/>
        <v>#DIV/0!</v>
      </c>
      <c r="Y68" s="154">
        <f>SUM(Y70:Y71)</f>
        <v>0</v>
      </c>
      <c r="Z68" s="154">
        <f>SUM(Z70:Z74)</f>
        <v>324.49</v>
      </c>
      <c r="AA68" s="154">
        <f t="shared" ref="AA68:AB68" si="254">SUM(AA70:AA71)</f>
        <v>0</v>
      </c>
      <c r="AB68" s="154">
        <f t="shared" si="254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55">SUM(AE70:AE74)</f>
        <v>0</v>
      </c>
      <c r="AF68" s="154">
        <f t="shared" si="255"/>
        <v>2089.27</v>
      </c>
      <c r="AG68" s="154">
        <f>SUM(AG70:AG71)</f>
        <v>0</v>
      </c>
      <c r="AH68" s="154">
        <f t="shared" ref="AH68:AI68" si="256">SUM(AH70:AH74)</f>
        <v>0</v>
      </c>
      <c r="AI68" s="154">
        <f t="shared" si="256"/>
        <v>1265.8399999999999</v>
      </c>
      <c r="AJ68" s="154">
        <f>SUM(AJ70:AJ71)</f>
        <v>0</v>
      </c>
      <c r="AK68" s="154">
        <f t="shared" ref="AK68:AL68" si="257">SUM(AK70:AK74)</f>
        <v>3228</v>
      </c>
      <c r="AL68" s="154">
        <f t="shared" si="257"/>
        <v>855.3</v>
      </c>
      <c r="AM68" s="154">
        <f>SUM(AM70:AM71)</f>
        <v>0</v>
      </c>
      <c r="AN68" s="154">
        <f t="shared" ref="AN68:AO68" si="258">SUM(AN70:AN74)</f>
        <v>3213.61</v>
      </c>
      <c r="AO68" s="154">
        <f t="shared" si="258"/>
        <v>0</v>
      </c>
      <c r="AP68" s="154">
        <f>SUM(AP70:AP71)</f>
        <v>0</v>
      </c>
      <c r="AQ68" s="154">
        <f>SUM(AQ70:AQ74)</f>
        <v>0</v>
      </c>
      <c r="AR68" s="154">
        <f t="shared" ref="AR68:AS68" si="259">SUM(AR70:AR71)</f>
        <v>0</v>
      </c>
      <c r="AS68" s="154">
        <f t="shared" si="259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60">SUM(AW70:AW74)</f>
        <v>0</v>
      </c>
      <c r="AX68" s="154">
        <f t="shared" si="260"/>
        <v>0</v>
      </c>
      <c r="AY68" s="154">
        <f t="shared" ref="AY68:AZ68" si="261">SUM(AY70:AY71)</f>
        <v>0</v>
      </c>
      <c r="AZ68" s="154">
        <f t="shared" si="261"/>
        <v>0</v>
      </c>
      <c r="BA68" s="154">
        <f>SUM(BA70:BA76)</f>
        <v>0</v>
      </c>
      <c r="BB68" s="154">
        <f t="shared" ref="BB68:BH68" si="262">SUM(BB70:BB71)</f>
        <v>0</v>
      </c>
      <c r="BC68" s="154">
        <f t="shared" si="262"/>
        <v>0</v>
      </c>
      <c r="BD68" s="154">
        <f t="shared" si="262"/>
        <v>0</v>
      </c>
      <c r="BE68" s="154">
        <f t="shared" si="262"/>
        <v>0</v>
      </c>
      <c r="BF68" s="154">
        <f t="shared" si="262"/>
        <v>0</v>
      </c>
      <c r="BG68" s="154">
        <f t="shared" si="262"/>
        <v>0</v>
      </c>
      <c r="BH68" s="154">
        <f t="shared" si="262"/>
        <v>0</v>
      </c>
      <c r="BI68" s="154">
        <f t="shared" ref="BI68:BK68" si="263">SUM(BI69:BI74)</f>
        <v>0</v>
      </c>
      <c r="BJ68" s="154">
        <f t="shared" si="263"/>
        <v>0</v>
      </c>
      <c r="BK68" s="154">
        <f t="shared" si="263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33"/>
        <v>1</v>
      </c>
      <c r="H69" s="94">
        <f t="shared" si="234"/>
        <v>0</v>
      </c>
      <c r="I69" s="142">
        <v>1500</v>
      </c>
      <c r="J69" s="117"/>
      <c r="K69" s="117"/>
      <c r="L69" s="118"/>
      <c r="M69" s="97">
        <f t="shared" ref="M69:O69" si="264">Y69+AB69+AE69+AH69+AK69+AN69+AQ69+AT69+AW69+AZ69+BC69+BF69</f>
        <v>0</v>
      </c>
      <c r="N69" s="97">
        <f t="shared" si="264"/>
        <v>0</v>
      </c>
      <c r="O69" s="97">
        <f t="shared" si="264"/>
        <v>0</v>
      </c>
      <c r="P69" s="82">
        <f t="shared" ref="P69:R69" si="265">IF(BI69=0,SUM(Y69+AB69+AE69+AH69+AK69+AN69+AQ69+AT69+AW69+AZ69+BC69+BF69),BI69)</f>
        <v>0</v>
      </c>
      <c r="Q69" s="82">
        <f t="shared" si="265"/>
        <v>0</v>
      </c>
      <c r="R69" s="82">
        <f t="shared" si="265"/>
        <v>0</v>
      </c>
      <c r="S69" s="97">
        <f t="shared" ref="S69:T69" si="266">I69-M69</f>
        <v>1500</v>
      </c>
      <c r="T69" s="97">
        <f t="shared" si="266"/>
        <v>0</v>
      </c>
      <c r="U69" s="97">
        <f t="shared" ref="U69:U76" si="267">L69-O69</f>
        <v>0</v>
      </c>
      <c r="V69" s="98">
        <f t="shared" ref="V69:W69" si="268">M69/I69</f>
        <v>0</v>
      </c>
      <c r="W69" s="98" t="e">
        <f t="shared" si="268"/>
        <v>#DIV/0!</v>
      </c>
      <c r="X69" s="98" t="e">
        <f t="shared" si="26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165"/>
      <c r="B70" s="159" t="s">
        <v>303</v>
      </c>
      <c r="C70" s="160" t="s">
        <v>304</v>
      </c>
      <c r="D70" s="161" t="s">
        <v>656</v>
      </c>
      <c r="E70" s="162">
        <v>10000</v>
      </c>
      <c r="F70" s="142"/>
      <c r="G70" s="94">
        <f t="shared" si="233"/>
        <v>0</v>
      </c>
      <c r="H70" s="94">
        <f t="shared" si="234"/>
        <v>0</v>
      </c>
      <c r="I70" s="142"/>
      <c r="J70" s="117">
        <v>5435.51</v>
      </c>
      <c r="K70" s="117"/>
      <c r="L70" s="118"/>
      <c r="M70" s="97">
        <f t="shared" ref="M70:O70" si="269">Y70+AB70+AE70+AH70+AK70+AN70+AQ70+AT70+AW70+AZ70+BC70+BF70</f>
        <v>0</v>
      </c>
      <c r="N70" s="97">
        <f t="shared" si="269"/>
        <v>1848.13</v>
      </c>
      <c r="O70" s="97">
        <f t="shared" si="269"/>
        <v>0</v>
      </c>
      <c r="P70" s="82">
        <f t="shared" ref="P70:R70" si="270">IF(BI70=0,SUM(Y70+AB70+AE70+AH70+AK70+AN70+AQ70+AT70+AW70+AZ70+BC70+BF70),BI70)</f>
        <v>0</v>
      </c>
      <c r="Q70" s="82">
        <f t="shared" si="270"/>
        <v>1848.13</v>
      </c>
      <c r="R70" s="82">
        <f t="shared" si="270"/>
        <v>0</v>
      </c>
      <c r="S70" s="97">
        <f t="shared" ref="S70:T70" si="271">I70-M70</f>
        <v>0</v>
      </c>
      <c r="T70" s="97">
        <f t="shared" si="271"/>
        <v>3587.38</v>
      </c>
      <c r="U70" s="97">
        <f t="shared" si="267"/>
        <v>0</v>
      </c>
      <c r="V70" s="98" t="e">
        <f t="shared" ref="V70:W70" si="272">M70/I70</f>
        <v>#DIV/0!</v>
      </c>
      <c r="W70" s="98">
        <f t="shared" si="272"/>
        <v>0.34001041300632323</v>
      </c>
      <c r="X70" s="98" t="e">
        <f t="shared" si="26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f>362.01+425.9</f>
        <v>787.91</v>
      </c>
      <c r="AJ70" s="96"/>
      <c r="AK70" s="96"/>
      <c r="AL70" s="103">
        <v>377.37</v>
      </c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54" t="s">
        <v>607</v>
      </c>
      <c r="B71" s="136"/>
      <c r="C71" s="101" t="s">
        <v>306</v>
      </c>
      <c r="D71" s="236" t="s">
        <v>657</v>
      </c>
      <c r="E71" s="92">
        <v>30000</v>
      </c>
      <c r="F71" s="166"/>
      <c r="G71" s="94">
        <f t="shared" si="233"/>
        <v>0.90180000000000005</v>
      </c>
      <c r="H71" s="94">
        <f t="shared" si="234"/>
        <v>6.6799999999999998E-2</v>
      </c>
      <c r="I71" s="103">
        <f>3006+24048</f>
        <v>27054</v>
      </c>
      <c r="J71" s="117"/>
      <c r="K71" s="117"/>
      <c r="L71" s="118"/>
      <c r="M71" s="97">
        <f t="shared" ref="M71:O71" si="273">Y71+AB71+AE71+AH71+AK71+AN71+AQ71+AT71+AW71+AZ71+BC71+BF71</f>
        <v>2004</v>
      </c>
      <c r="N71" s="97">
        <f t="shared" si="273"/>
        <v>0</v>
      </c>
      <c r="O71" s="97">
        <f t="shared" si="273"/>
        <v>0</v>
      </c>
      <c r="P71" s="82">
        <f t="shared" ref="P71:R71" si="274">IF(BI71=0,SUM(Y71+AB71+AE71+AH71+AK71+AN71+AQ71+AT71+AW71+AZ71+BC71+BF71),BI71)</f>
        <v>2004</v>
      </c>
      <c r="Q71" s="82">
        <f t="shared" si="274"/>
        <v>0</v>
      </c>
      <c r="R71" s="82">
        <f t="shared" si="274"/>
        <v>0</v>
      </c>
      <c r="S71" s="97">
        <f t="shared" ref="S71:T71" si="275">I71-M71</f>
        <v>25050</v>
      </c>
      <c r="T71" s="97">
        <f t="shared" si="275"/>
        <v>0</v>
      </c>
      <c r="U71" s="97">
        <f t="shared" si="267"/>
        <v>0</v>
      </c>
      <c r="V71" s="98">
        <f t="shared" ref="V71:W71" si="276">M71/I71</f>
        <v>7.407407407407407E-2</v>
      </c>
      <c r="W71" s="98" t="e">
        <f t="shared" si="276"/>
        <v>#DIV/0!</v>
      </c>
      <c r="X71" s="98" t="e">
        <f t="shared" si="26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2004</v>
      </c>
      <c r="AL71" s="103"/>
      <c r="AM71" s="96"/>
      <c r="AN71" s="103">
        <v>0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89"/>
      <c r="B72" s="136" t="s">
        <v>308</v>
      </c>
      <c r="C72" s="101" t="s">
        <v>240</v>
      </c>
      <c r="D72" s="91" t="s">
        <v>658</v>
      </c>
      <c r="E72" s="92">
        <v>5200</v>
      </c>
      <c r="F72" s="166"/>
      <c r="G72" s="94">
        <f t="shared" si="233"/>
        <v>0</v>
      </c>
      <c r="H72" s="94">
        <f t="shared" si="234"/>
        <v>0</v>
      </c>
      <c r="I72" s="96"/>
      <c r="J72" s="117">
        <v>2723.27</v>
      </c>
      <c r="K72" s="117"/>
      <c r="L72" s="118"/>
      <c r="M72" s="97">
        <f t="shared" ref="M72:O72" si="277">Y72+AB72+AE72+AH72+AK72+AN72+AQ72+AT72+AW72+AZ72+BC72+BF72</f>
        <v>0</v>
      </c>
      <c r="N72" s="97">
        <f t="shared" si="277"/>
        <v>2389.65</v>
      </c>
      <c r="O72" s="97">
        <f t="shared" si="277"/>
        <v>0</v>
      </c>
      <c r="P72" s="82">
        <f t="shared" ref="P72:P87" si="278">IF(BI72=0,SUM(Y72+AB72+AE72+AH72+AK72+AN72+AQ72+AT72+AW72+AZ72+BC72+BF72),BI72)</f>
        <v>0</v>
      </c>
      <c r="Q72" s="82">
        <f>IF(BJ72=0,SUM(Z72+AC72+AF72+AI72+AL72+AO72+AR72+AT72+AX72+BA72+BD72+BG72),BJ72)</f>
        <v>2389.65</v>
      </c>
      <c r="R72" s="82">
        <f>IF(BK72=0,SUM(AA72+AD72+AG72+AJ72+AM72+AP72+AS72+AV72+AY72+BB72+BE72+BH72),BK72)</f>
        <v>0</v>
      </c>
      <c r="S72" s="97">
        <f t="shared" ref="S72:T72" si="279">I72-M72</f>
        <v>0</v>
      </c>
      <c r="T72" s="97">
        <f t="shared" si="279"/>
        <v>333.61999999999989</v>
      </c>
      <c r="U72" s="97">
        <f t="shared" si="267"/>
        <v>0</v>
      </c>
      <c r="V72" s="98" t="e">
        <f t="shared" ref="V72:W72" si="280">M72/I72</f>
        <v>#DIV/0!</v>
      </c>
      <c r="W72" s="98">
        <f t="shared" si="280"/>
        <v>0.87749286703117946</v>
      </c>
      <c r="X72" s="98" t="e">
        <f t="shared" si="26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/>
      <c r="AI72" s="103">
        <v>477.93</v>
      </c>
      <c r="AJ72" s="96"/>
      <c r="AK72" s="103">
        <v>0</v>
      </c>
      <c r="AL72" s="103">
        <v>477.93</v>
      </c>
      <c r="AM72" s="96"/>
      <c r="AN72" s="103">
        <v>0</v>
      </c>
      <c r="AO72" s="96"/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33"/>
        <v>0</v>
      </c>
      <c r="H73" s="94">
        <f t="shared" si="234"/>
        <v>0</v>
      </c>
      <c r="I73" s="96"/>
      <c r="J73" s="117"/>
      <c r="K73" s="117"/>
      <c r="L73" s="118"/>
      <c r="M73" s="97">
        <f t="shared" ref="M73:O73" si="281">Y73+AB73+AE73+AH73+AK73+AN73+AQ73+AT73+AW73+AZ73+BC73+BF73</f>
        <v>0</v>
      </c>
      <c r="N73" s="97">
        <f t="shared" si="281"/>
        <v>0</v>
      </c>
      <c r="O73" s="97">
        <f t="shared" si="281"/>
        <v>0</v>
      </c>
      <c r="P73" s="82">
        <f t="shared" si="278"/>
        <v>0</v>
      </c>
      <c r="Q73" s="82">
        <f t="shared" ref="Q73:R73" si="282">IF(BJ73=0,SUM(Z73+AC73+AF73+AI73+AL73+AO73+AR73+AU73+AX73+BA73+BD73+BG73),BJ73)</f>
        <v>0</v>
      </c>
      <c r="R73" s="82">
        <f t="shared" si="282"/>
        <v>0</v>
      </c>
      <c r="S73" s="97">
        <f t="shared" ref="S73:T73" si="283">I73-M73</f>
        <v>0</v>
      </c>
      <c r="T73" s="97">
        <f t="shared" si="283"/>
        <v>0</v>
      </c>
      <c r="U73" s="97">
        <f t="shared" si="267"/>
        <v>0</v>
      </c>
      <c r="V73" s="98" t="e">
        <f t="shared" ref="V73:W73" si="284">M73/I73</f>
        <v>#DIV/0!</v>
      </c>
      <c r="W73" s="98" t="e">
        <f t="shared" si="284"/>
        <v>#DIV/0!</v>
      </c>
      <c r="X73" s="98" t="e">
        <f t="shared" si="26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354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33"/>
        <v>0.1028</v>
      </c>
      <c r="H74" s="94">
        <f t="shared" si="234"/>
        <v>0.14792033333333335</v>
      </c>
      <c r="I74" s="96">
        <v>3084</v>
      </c>
      <c r="J74" s="167">
        <v>2243.89</v>
      </c>
      <c r="K74" s="117"/>
      <c r="L74" s="118"/>
      <c r="M74" s="97">
        <f t="shared" ref="M74:O74" si="285">Y74+AB74+AE74+AH74+AK74+AN74+AQ74+AT74+AW74+AZ74+BC74+BF74</f>
        <v>4437.6100000000006</v>
      </c>
      <c r="N74" s="97">
        <f t="shared" si="285"/>
        <v>1598.22</v>
      </c>
      <c r="O74" s="97">
        <f t="shared" si="285"/>
        <v>0</v>
      </c>
      <c r="P74" s="82">
        <f t="shared" si="278"/>
        <v>4437.6100000000006</v>
      </c>
      <c r="Q74" s="82">
        <f t="shared" ref="Q74:R74" si="286">IF(BJ74=0,SUM(Z74+AC74+AF74+AI74+AL74+AO74+AR74+AU74+AX74+BA74+BD74+BG74),BJ74)</f>
        <v>1598.22</v>
      </c>
      <c r="R74" s="82">
        <f t="shared" si="286"/>
        <v>0</v>
      </c>
      <c r="S74" s="97">
        <f t="shared" ref="S74:T74" si="287">I74-M74</f>
        <v>-1353.6100000000006</v>
      </c>
      <c r="T74" s="97">
        <f t="shared" si="287"/>
        <v>645.66999999999985</v>
      </c>
      <c r="U74" s="97">
        <f t="shared" si="267"/>
        <v>0</v>
      </c>
      <c r="V74" s="98">
        <f t="shared" ref="V74:W74" si="288">M74/I74</f>
        <v>1.4389137483787291</v>
      </c>
      <c r="W74" s="98">
        <f t="shared" si="288"/>
        <v>0.71225416575678846</v>
      </c>
      <c r="X74" s="98" t="e">
        <f t="shared" si="26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103">
        <v>1224</v>
      </c>
      <c r="AL74" s="103">
        <v>0</v>
      </c>
      <c r="AM74" s="96"/>
      <c r="AN74" s="103">
        <v>3213.61</v>
      </c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33"/>
        <v>0</v>
      </c>
      <c r="H75" s="94">
        <f t="shared" si="234"/>
        <v>0</v>
      </c>
      <c r="I75" s="173"/>
      <c r="J75" s="174"/>
      <c r="K75" s="174"/>
      <c r="L75" s="174"/>
      <c r="M75" s="97">
        <f t="shared" ref="M75:O75" si="289">Y75+AB75+AE75+AH75+AK75+AN75+AQ75+AT75+AW75+AZ75+BC75+BF75</f>
        <v>0</v>
      </c>
      <c r="N75" s="97">
        <f t="shared" si="289"/>
        <v>0</v>
      </c>
      <c r="O75" s="175">
        <f t="shared" si="289"/>
        <v>0</v>
      </c>
      <c r="P75" s="82">
        <f t="shared" si="278"/>
        <v>0</v>
      </c>
      <c r="Q75" s="82">
        <f t="shared" ref="Q75:R75" si="290">IF(BJ75=0,SUM(Z75+AC75+AF75+AI75+AL75+AO75+AR75+AU75+AX75+BA75+BD75+BG75),BJ75)</f>
        <v>0</v>
      </c>
      <c r="R75" s="82">
        <f t="shared" si="290"/>
        <v>0</v>
      </c>
      <c r="S75" s="175">
        <f t="shared" ref="S75:T75" si="291">I75-M75</f>
        <v>0</v>
      </c>
      <c r="T75" s="97">
        <f t="shared" si="291"/>
        <v>0</v>
      </c>
      <c r="U75" s="175">
        <f t="shared" si="267"/>
        <v>0</v>
      </c>
      <c r="V75" s="176" t="e">
        <f t="shared" ref="V75:W75" si="292">M75/I75</f>
        <v>#DIV/0!</v>
      </c>
      <c r="W75" s="176" t="e">
        <f t="shared" si="292"/>
        <v>#DIV/0!</v>
      </c>
      <c r="X75" s="176" t="e">
        <f t="shared" si="26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33"/>
        <v>0</v>
      </c>
      <c r="H76" s="94">
        <f t="shared" si="234"/>
        <v>0</v>
      </c>
      <c r="I76" s="174"/>
      <c r="J76" s="174"/>
      <c r="K76" s="174"/>
      <c r="L76" s="174"/>
      <c r="M76" s="175">
        <f t="shared" ref="M76:O76" si="293">Y76+AB76+AE76+AH76+AK76+AN76+AQ76+AT76+AW76+AZ76+BC76+BF76</f>
        <v>0</v>
      </c>
      <c r="N76" s="175">
        <f t="shared" si="293"/>
        <v>0</v>
      </c>
      <c r="O76" s="175">
        <f t="shared" si="293"/>
        <v>0</v>
      </c>
      <c r="P76" s="82">
        <f t="shared" si="278"/>
        <v>0</v>
      </c>
      <c r="Q76" s="82">
        <f t="shared" ref="Q76:R76" si="294">IF(BJ76=0,SUM(Z76+AC76+AF76+AI76+AL76+AO76+AR76+AU76+AX76+BA76+BD76+BG76),BJ76)</f>
        <v>0</v>
      </c>
      <c r="R76" s="82">
        <f t="shared" si="294"/>
        <v>0</v>
      </c>
      <c r="S76" s="175">
        <f t="shared" ref="S76:T76" si="295">I76-M76</f>
        <v>0</v>
      </c>
      <c r="T76" s="175">
        <f t="shared" si="295"/>
        <v>0</v>
      </c>
      <c r="U76" s="175">
        <f t="shared" si="267"/>
        <v>0</v>
      </c>
      <c r="V76" s="176" t="e">
        <f t="shared" ref="V76:W76" si="296">M76/I76</f>
        <v>#DIV/0!</v>
      </c>
      <c r="W76" s="176" t="e">
        <f t="shared" si="296"/>
        <v>#DIV/0!</v>
      </c>
      <c r="X76" s="176" t="e">
        <f t="shared" si="26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33"/>
        <v>0</v>
      </c>
      <c r="H77" s="188">
        <f t="shared" si="234"/>
        <v>0</v>
      </c>
      <c r="I77" s="186">
        <f t="shared" ref="I77:O77" si="297">SUM(I78:I79)</f>
        <v>0</v>
      </c>
      <c r="J77" s="186">
        <f t="shared" si="297"/>
        <v>0</v>
      </c>
      <c r="K77" s="186">
        <f t="shared" si="297"/>
        <v>0</v>
      </c>
      <c r="L77" s="186">
        <f t="shared" si="297"/>
        <v>0</v>
      </c>
      <c r="M77" s="186">
        <f t="shared" si="297"/>
        <v>0</v>
      </c>
      <c r="N77" s="186">
        <f t="shared" si="297"/>
        <v>0</v>
      </c>
      <c r="O77" s="186">
        <f t="shared" si="297"/>
        <v>0</v>
      </c>
      <c r="P77" s="81">
        <f t="shared" si="278"/>
        <v>0</v>
      </c>
      <c r="Q77" s="81">
        <f t="shared" ref="Q77:R77" si="298">IF(BJ77=0,SUM(Z77+AC77+AF77+AI77+AL77+AO77+AR77+AU77+AX77+BA77+BD77+BG77),BJ77)</f>
        <v>0</v>
      </c>
      <c r="R77" s="81">
        <f t="shared" si="298"/>
        <v>0</v>
      </c>
      <c r="S77" s="186">
        <f t="shared" ref="S77:U77" si="299">SUM(S78:S79)</f>
        <v>0</v>
      </c>
      <c r="T77" s="186">
        <f t="shared" si="299"/>
        <v>0</v>
      </c>
      <c r="U77" s="186">
        <f t="shared" si="299"/>
        <v>0</v>
      </c>
      <c r="V77" s="189" t="e">
        <f t="shared" ref="V77:W77" si="300">M77/I77</f>
        <v>#DIV/0!</v>
      </c>
      <c r="W77" s="189" t="e">
        <f t="shared" si="300"/>
        <v>#DIV/0!</v>
      </c>
      <c r="X77" s="189" t="e">
        <f t="shared" si="26"/>
        <v>#DIV/0!</v>
      </c>
      <c r="Y77" s="186">
        <f t="shared" ref="Y77:BK77" si="301">SUM(Y78:Y79)</f>
        <v>0</v>
      </c>
      <c r="Z77" s="186">
        <f t="shared" si="301"/>
        <v>0</v>
      </c>
      <c r="AA77" s="186">
        <f t="shared" si="301"/>
        <v>0</v>
      </c>
      <c r="AB77" s="186">
        <f t="shared" si="301"/>
        <v>0</v>
      </c>
      <c r="AC77" s="186">
        <f t="shared" si="301"/>
        <v>0</v>
      </c>
      <c r="AD77" s="186">
        <f t="shared" si="301"/>
        <v>0</v>
      </c>
      <c r="AE77" s="186">
        <f t="shared" si="301"/>
        <v>0</v>
      </c>
      <c r="AF77" s="186">
        <f t="shared" si="301"/>
        <v>0</v>
      </c>
      <c r="AG77" s="186">
        <f t="shared" si="301"/>
        <v>0</v>
      </c>
      <c r="AH77" s="186">
        <f t="shared" si="301"/>
        <v>0</v>
      </c>
      <c r="AI77" s="186">
        <f t="shared" si="301"/>
        <v>0</v>
      </c>
      <c r="AJ77" s="186">
        <f t="shared" si="301"/>
        <v>0</v>
      </c>
      <c r="AK77" s="186">
        <f t="shared" si="301"/>
        <v>0</v>
      </c>
      <c r="AL77" s="186">
        <f t="shared" si="301"/>
        <v>0</v>
      </c>
      <c r="AM77" s="186">
        <f t="shared" si="301"/>
        <v>0</v>
      </c>
      <c r="AN77" s="186">
        <f t="shared" si="301"/>
        <v>0</v>
      </c>
      <c r="AO77" s="186">
        <f t="shared" si="301"/>
        <v>0</v>
      </c>
      <c r="AP77" s="186">
        <f t="shared" si="301"/>
        <v>0</v>
      </c>
      <c r="AQ77" s="186">
        <f t="shared" si="301"/>
        <v>0</v>
      </c>
      <c r="AR77" s="186">
        <f t="shared" si="301"/>
        <v>0</v>
      </c>
      <c r="AS77" s="186">
        <f t="shared" si="301"/>
        <v>0</v>
      </c>
      <c r="AT77" s="186">
        <f t="shared" si="301"/>
        <v>0</v>
      </c>
      <c r="AU77" s="186">
        <f t="shared" si="301"/>
        <v>0</v>
      </c>
      <c r="AV77" s="186">
        <f t="shared" si="301"/>
        <v>0</v>
      </c>
      <c r="AW77" s="186">
        <f t="shared" si="301"/>
        <v>0</v>
      </c>
      <c r="AX77" s="186">
        <f t="shared" si="301"/>
        <v>0</v>
      </c>
      <c r="AY77" s="186">
        <f t="shared" si="301"/>
        <v>0</v>
      </c>
      <c r="AZ77" s="186">
        <f t="shared" si="301"/>
        <v>0</v>
      </c>
      <c r="BA77" s="186">
        <f t="shared" si="301"/>
        <v>0</v>
      </c>
      <c r="BB77" s="186">
        <f t="shared" si="301"/>
        <v>0</v>
      </c>
      <c r="BC77" s="186">
        <f t="shared" si="301"/>
        <v>0</v>
      </c>
      <c r="BD77" s="186">
        <f t="shared" si="301"/>
        <v>0</v>
      </c>
      <c r="BE77" s="186">
        <f t="shared" si="301"/>
        <v>0</v>
      </c>
      <c r="BF77" s="186">
        <f t="shared" si="301"/>
        <v>0</v>
      </c>
      <c r="BG77" s="186">
        <f t="shared" si="301"/>
        <v>0</v>
      </c>
      <c r="BH77" s="186">
        <f t="shared" si="301"/>
        <v>0</v>
      </c>
      <c r="BI77" s="186">
        <f t="shared" si="301"/>
        <v>0</v>
      </c>
      <c r="BJ77" s="186">
        <f t="shared" si="301"/>
        <v>0</v>
      </c>
      <c r="BK77" s="186">
        <f t="shared" si="301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33"/>
        <v>#DIV/0!</v>
      </c>
      <c r="H78" s="94" t="e">
        <f t="shared" si="234"/>
        <v>#DIV/0!</v>
      </c>
      <c r="I78" s="96"/>
      <c r="J78" s="190"/>
      <c r="K78" s="190"/>
      <c r="L78" s="190"/>
      <c r="M78" s="97">
        <f t="shared" ref="M78:O78" si="302">Y78+AB78+AE78+AH78+AK78+AN78+AQ78+AT78+AW78+AZ78+BC78+BF78</f>
        <v>0</v>
      </c>
      <c r="N78" s="97">
        <f t="shared" si="302"/>
        <v>0</v>
      </c>
      <c r="O78" s="97">
        <f t="shared" si="302"/>
        <v>0</v>
      </c>
      <c r="P78" s="82">
        <f t="shared" si="278"/>
        <v>0</v>
      </c>
      <c r="Q78" s="82">
        <f t="shared" ref="Q78:R78" si="303">IF(BJ78=0,SUM(Z78+AC78+AF78+AI78+AL78+AO78+AR78+AU78+AX78+BA78+BD78+BG78),BJ78)</f>
        <v>0</v>
      </c>
      <c r="R78" s="82">
        <f t="shared" si="303"/>
        <v>0</v>
      </c>
      <c r="S78" s="97">
        <f t="shared" ref="S78:T78" si="304">I78-M78</f>
        <v>0</v>
      </c>
      <c r="T78" s="97">
        <f t="shared" si="304"/>
        <v>0</v>
      </c>
      <c r="U78" s="97">
        <f t="shared" ref="U78:U79" si="305">L78-O78</f>
        <v>0</v>
      </c>
      <c r="V78" s="98" t="e">
        <f t="shared" ref="V78:W78" si="306">M78/I78</f>
        <v>#DIV/0!</v>
      </c>
      <c r="W78" s="98" t="e">
        <f t="shared" si="306"/>
        <v>#DIV/0!</v>
      </c>
      <c r="X78" s="98" t="e">
        <f t="shared" si="26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33"/>
        <v>#DIV/0!</v>
      </c>
      <c r="H79" s="94" t="e">
        <f t="shared" si="234"/>
        <v>#DIV/0!</v>
      </c>
      <c r="I79" s="96"/>
      <c r="J79" s="190"/>
      <c r="K79" s="190"/>
      <c r="L79" s="190"/>
      <c r="M79" s="97">
        <f t="shared" ref="M79:O79" si="307">Y79+AB79+AE79+AH79+AK79+AN79+AQ79+AT79+AW79+AZ79+BC79+BF79</f>
        <v>0</v>
      </c>
      <c r="N79" s="97">
        <f t="shared" si="307"/>
        <v>0</v>
      </c>
      <c r="O79" s="97">
        <f t="shared" si="307"/>
        <v>0</v>
      </c>
      <c r="P79" s="82">
        <f t="shared" si="278"/>
        <v>0</v>
      </c>
      <c r="Q79" s="82">
        <f t="shared" ref="Q79:R79" si="308">IF(BJ79=0,SUM(Z79+AC79+AF79+AI79+AL79+AO79+AR79+AU79+AX79+BA79+BD79+BG79),BJ79)</f>
        <v>0</v>
      </c>
      <c r="R79" s="82">
        <f t="shared" si="308"/>
        <v>0</v>
      </c>
      <c r="S79" s="97">
        <f t="shared" ref="S79:T79" si="309">I79-M79</f>
        <v>0</v>
      </c>
      <c r="T79" s="97">
        <f t="shared" si="309"/>
        <v>0</v>
      </c>
      <c r="U79" s="97">
        <f t="shared" si="305"/>
        <v>0</v>
      </c>
      <c r="V79" s="98" t="e">
        <f t="shared" ref="V79:W79" si="310">M79/I79</f>
        <v>#DIV/0!</v>
      </c>
      <c r="W79" s="98" t="e">
        <f t="shared" si="310"/>
        <v>#DIV/0!</v>
      </c>
      <c r="X79" s="98" t="e">
        <f t="shared" si="26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11">SUM(E81:E83)</f>
        <v>13808</v>
      </c>
      <c r="F80" s="154">
        <f t="shared" si="311"/>
        <v>0</v>
      </c>
      <c r="G80" s="192">
        <f t="shared" si="233"/>
        <v>0.27578215527230593</v>
      </c>
      <c r="H80" s="192">
        <f t="shared" si="234"/>
        <v>0</v>
      </c>
      <c r="I80" s="154">
        <f t="shared" ref="I80:O80" si="312">SUM(I81:I83)</f>
        <v>3808</v>
      </c>
      <c r="J80" s="154">
        <f t="shared" si="312"/>
        <v>0</v>
      </c>
      <c r="K80" s="154">
        <f t="shared" si="312"/>
        <v>0</v>
      </c>
      <c r="L80" s="154">
        <f t="shared" si="312"/>
        <v>0</v>
      </c>
      <c r="M80" s="154">
        <f t="shared" si="312"/>
        <v>0</v>
      </c>
      <c r="N80" s="154">
        <f t="shared" si="312"/>
        <v>0</v>
      </c>
      <c r="O80" s="154">
        <f t="shared" si="312"/>
        <v>0</v>
      </c>
      <c r="P80" s="81">
        <f t="shared" si="278"/>
        <v>0</v>
      </c>
      <c r="Q80" s="81">
        <f t="shared" ref="Q80:R80" si="313">IF(BJ80=0,SUM(Z80+AC80+AF80+AI80+AL80+AO80+AR80+AU80+AX80+BA80+BD80+BG80),BJ80)</f>
        <v>0</v>
      </c>
      <c r="R80" s="81">
        <f t="shared" si="313"/>
        <v>0</v>
      </c>
      <c r="S80" s="154">
        <f t="shared" ref="S80:U80" si="314">SUM(S81:S83)</f>
        <v>3808</v>
      </c>
      <c r="T80" s="154">
        <f t="shared" si="314"/>
        <v>0</v>
      </c>
      <c r="U80" s="154">
        <f t="shared" si="314"/>
        <v>0</v>
      </c>
      <c r="V80" s="193">
        <f t="shared" ref="V80:W80" si="315">M80/I80</f>
        <v>0</v>
      </c>
      <c r="W80" s="193" t="e">
        <f t="shared" si="315"/>
        <v>#DIV/0!</v>
      </c>
      <c r="X80" s="193" t="e">
        <f t="shared" si="26"/>
        <v>#DIV/0!</v>
      </c>
      <c r="Y80" s="154">
        <f t="shared" ref="Y80:BK80" si="316">SUM(Y81:Y83)</f>
        <v>0</v>
      </c>
      <c r="Z80" s="154">
        <f t="shared" si="316"/>
        <v>0</v>
      </c>
      <c r="AA80" s="154">
        <f t="shared" si="316"/>
        <v>0</v>
      </c>
      <c r="AB80" s="154">
        <f t="shared" si="316"/>
        <v>0</v>
      </c>
      <c r="AC80" s="154">
        <f t="shared" si="316"/>
        <v>0</v>
      </c>
      <c r="AD80" s="154">
        <f t="shared" si="316"/>
        <v>0</v>
      </c>
      <c r="AE80" s="154">
        <f t="shared" si="316"/>
        <v>0</v>
      </c>
      <c r="AF80" s="154">
        <f t="shared" si="316"/>
        <v>0</v>
      </c>
      <c r="AG80" s="154">
        <f t="shared" si="316"/>
        <v>0</v>
      </c>
      <c r="AH80" s="154">
        <f t="shared" si="316"/>
        <v>0</v>
      </c>
      <c r="AI80" s="154">
        <f t="shared" si="316"/>
        <v>0</v>
      </c>
      <c r="AJ80" s="154">
        <f t="shared" si="316"/>
        <v>0</v>
      </c>
      <c r="AK80" s="154">
        <f t="shared" si="316"/>
        <v>0</v>
      </c>
      <c r="AL80" s="154">
        <f t="shared" si="316"/>
        <v>0</v>
      </c>
      <c r="AM80" s="154">
        <f t="shared" si="316"/>
        <v>0</v>
      </c>
      <c r="AN80" s="154">
        <f t="shared" si="316"/>
        <v>0</v>
      </c>
      <c r="AO80" s="154">
        <f t="shared" si="316"/>
        <v>0</v>
      </c>
      <c r="AP80" s="154">
        <f t="shared" si="316"/>
        <v>0</v>
      </c>
      <c r="AQ80" s="154">
        <f t="shared" si="316"/>
        <v>0</v>
      </c>
      <c r="AR80" s="154">
        <f t="shared" si="316"/>
        <v>0</v>
      </c>
      <c r="AS80" s="154">
        <f t="shared" si="316"/>
        <v>0</v>
      </c>
      <c r="AT80" s="154">
        <f t="shared" si="316"/>
        <v>0</v>
      </c>
      <c r="AU80" s="154">
        <f t="shared" si="316"/>
        <v>0</v>
      </c>
      <c r="AV80" s="154">
        <f t="shared" si="316"/>
        <v>0</v>
      </c>
      <c r="AW80" s="154">
        <f t="shared" si="316"/>
        <v>0</v>
      </c>
      <c r="AX80" s="154">
        <f t="shared" si="316"/>
        <v>0</v>
      </c>
      <c r="AY80" s="154">
        <f t="shared" si="316"/>
        <v>0</v>
      </c>
      <c r="AZ80" s="154">
        <f t="shared" si="316"/>
        <v>0</v>
      </c>
      <c r="BA80" s="154">
        <f t="shared" si="316"/>
        <v>0</v>
      </c>
      <c r="BB80" s="154">
        <f t="shared" si="316"/>
        <v>0</v>
      </c>
      <c r="BC80" s="154">
        <f t="shared" si="316"/>
        <v>0</v>
      </c>
      <c r="BD80" s="154">
        <f t="shared" si="316"/>
        <v>0</v>
      </c>
      <c r="BE80" s="154">
        <f t="shared" si="316"/>
        <v>0</v>
      </c>
      <c r="BF80" s="154">
        <f t="shared" si="316"/>
        <v>0</v>
      </c>
      <c r="BG80" s="154">
        <f t="shared" si="316"/>
        <v>0</v>
      </c>
      <c r="BH80" s="154">
        <f t="shared" si="316"/>
        <v>0</v>
      </c>
      <c r="BI80" s="154">
        <f t="shared" si="316"/>
        <v>0</v>
      </c>
      <c r="BJ80" s="154">
        <f t="shared" si="316"/>
        <v>0</v>
      </c>
      <c r="BK80" s="154">
        <f t="shared" si="316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17">Y81+AB81+AE81+AH81+AK81+AN81+AQ81+AT81+AW81+AZ81+BC81+BF81</f>
        <v>0</v>
      </c>
      <c r="N81" s="97">
        <f t="shared" si="317"/>
        <v>0</v>
      </c>
      <c r="O81" s="97">
        <f t="shared" si="317"/>
        <v>0</v>
      </c>
      <c r="P81" s="82">
        <f t="shared" si="278"/>
        <v>0</v>
      </c>
      <c r="Q81" s="82">
        <f t="shared" ref="Q81:R81" si="318">IF(BJ81=0,SUM(Z81+AC81+AF81+AI81+AL81+AO81+AR81+AU81+AX81+BA81+BD81+BG81),BJ81)</f>
        <v>0</v>
      </c>
      <c r="R81" s="82">
        <f t="shared" si="318"/>
        <v>0</v>
      </c>
      <c r="S81" s="97">
        <f t="shared" ref="S81:T81" si="319">I81-M81</f>
        <v>3808</v>
      </c>
      <c r="T81" s="97">
        <f t="shared" si="319"/>
        <v>0</v>
      </c>
      <c r="U81" s="97">
        <f t="shared" ref="U81:U83" si="320">L81-O81</f>
        <v>0</v>
      </c>
      <c r="V81" s="98">
        <f t="shared" ref="V81:W81" si="321">M81/I81</f>
        <v>0</v>
      </c>
      <c r="W81" s="98" t="e">
        <f t="shared" si="321"/>
        <v>#DIV/0!</v>
      </c>
      <c r="X81" s="98" t="e">
        <f t="shared" si="26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22">I82/E82</f>
        <v>#DIV/0!</v>
      </c>
      <c r="H82" s="94" t="e">
        <f t="shared" ref="H82:H89" si="323">M82/E82</f>
        <v>#DIV/0!</v>
      </c>
      <c r="I82" s="96"/>
      <c r="J82" s="96"/>
      <c r="K82" s="96"/>
      <c r="L82" s="95"/>
      <c r="M82" s="97">
        <f t="shared" ref="M82:O82" si="324">Y82+AB82+AE82+AH82+AK82+AN82+AQ82+AT82+AW82+AZ82+BC82+BF82</f>
        <v>0</v>
      </c>
      <c r="N82" s="97">
        <f t="shared" si="324"/>
        <v>0</v>
      </c>
      <c r="O82" s="97">
        <f t="shared" si="324"/>
        <v>0</v>
      </c>
      <c r="P82" s="82">
        <f t="shared" si="278"/>
        <v>0</v>
      </c>
      <c r="Q82" s="82">
        <f t="shared" ref="Q82:R82" si="325">IF(BJ82=0,SUM(Z82+AC82+AF82+AI82+AL82+AO82+AR82+AU82+AX82+BA82+BD82+BG82),BJ82)</f>
        <v>0</v>
      </c>
      <c r="R82" s="82">
        <f t="shared" si="325"/>
        <v>0</v>
      </c>
      <c r="S82" s="97">
        <f t="shared" ref="S82:T82" si="326">I82-M82</f>
        <v>0</v>
      </c>
      <c r="T82" s="97">
        <f t="shared" si="326"/>
        <v>0</v>
      </c>
      <c r="U82" s="97">
        <f t="shared" si="320"/>
        <v>0</v>
      </c>
      <c r="V82" s="98" t="e">
        <f t="shared" ref="V82:W82" si="327">M82/I82</f>
        <v>#DIV/0!</v>
      </c>
      <c r="W82" s="98" t="e">
        <f t="shared" si="327"/>
        <v>#DIV/0!</v>
      </c>
      <c r="X82" s="98" t="e">
        <f t="shared" si="26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22"/>
        <v>0</v>
      </c>
      <c r="H83" s="94">
        <f t="shared" si="323"/>
        <v>0</v>
      </c>
      <c r="I83" s="142"/>
      <c r="J83" s="96"/>
      <c r="K83" s="96"/>
      <c r="L83" s="95"/>
      <c r="M83" s="97">
        <f t="shared" ref="M83:O83" si="328">Y83+AB83+AE83+AH83+AK83+AN83+AQ83+AT83+AW83+AZ83+BC83+BF83</f>
        <v>0</v>
      </c>
      <c r="N83" s="97">
        <f t="shared" si="328"/>
        <v>0</v>
      </c>
      <c r="O83" s="97">
        <f t="shared" si="328"/>
        <v>0</v>
      </c>
      <c r="P83" s="82">
        <f t="shared" si="278"/>
        <v>0</v>
      </c>
      <c r="Q83" s="82">
        <f t="shared" ref="Q83:R83" si="329">IF(BJ83=0,SUM(Z83+AC83+AF83+AI83+AL83+AO83+AR83+AU83+AX83+BA83+BD83+BG83),BJ83)</f>
        <v>0</v>
      </c>
      <c r="R83" s="82">
        <f t="shared" si="329"/>
        <v>0</v>
      </c>
      <c r="S83" s="97">
        <f t="shared" ref="S83:T83" si="330">I83-M83</f>
        <v>0</v>
      </c>
      <c r="T83" s="97">
        <f t="shared" si="330"/>
        <v>0</v>
      </c>
      <c r="U83" s="97">
        <f t="shared" si="320"/>
        <v>0</v>
      </c>
      <c r="V83" s="98" t="e">
        <f t="shared" ref="V83:W83" si="331">M83/I83</f>
        <v>#DIV/0!</v>
      </c>
      <c r="W83" s="98" t="e">
        <f t="shared" si="331"/>
        <v>#DIV/0!</v>
      </c>
      <c r="X83" s="98" t="e">
        <f t="shared" si="26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22"/>
        <v>0</v>
      </c>
      <c r="H84" s="192">
        <f t="shared" si="323"/>
        <v>0</v>
      </c>
      <c r="I84" s="154">
        <f t="shared" ref="I84:K84" si="332">SUM(I85:I88)</f>
        <v>0</v>
      </c>
      <c r="J84" s="154">
        <f t="shared" si="332"/>
        <v>73937.67</v>
      </c>
      <c r="K84" s="154">
        <f t="shared" si="332"/>
        <v>0</v>
      </c>
      <c r="L84" s="154">
        <f t="shared" ref="L84:M84" si="333">SUM(L85:L87)</f>
        <v>0</v>
      </c>
      <c r="M84" s="154">
        <f t="shared" si="333"/>
        <v>0</v>
      </c>
      <c r="N84" s="154">
        <f>SUM(N85:N88)</f>
        <v>15933.4</v>
      </c>
      <c r="O84" s="154">
        <f>SUM(O85:O87)</f>
        <v>0</v>
      </c>
      <c r="P84" s="81">
        <f t="shared" si="278"/>
        <v>0</v>
      </c>
      <c r="Q84" s="81">
        <f t="shared" ref="Q84:R84" si="334">IF(BJ84=0,SUM(Z84+AC84+AF84+AI84+AL84+AO84+AR84+AU84+AX84+BA84+BD84+BG84),BJ84)</f>
        <v>15933.4</v>
      </c>
      <c r="R84" s="81">
        <f t="shared" si="334"/>
        <v>0</v>
      </c>
      <c r="S84" s="154">
        <f t="shared" ref="S84:T84" si="335">SUM(S85:S88)</f>
        <v>0</v>
      </c>
      <c r="T84" s="154">
        <f t="shared" si="335"/>
        <v>58004.27</v>
      </c>
      <c r="U84" s="154">
        <f>SUM(U85:U87)</f>
        <v>0</v>
      </c>
      <c r="V84" s="193" t="e">
        <f t="shared" ref="V84:W84" si="336">M84/I84</f>
        <v>#DIV/0!</v>
      </c>
      <c r="W84" s="193">
        <f t="shared" si="336"/>
        <v>0.21549772937123932</v>
      </c>
      <c r="X84" s="193" t="e">
        <f t="shared" si="26"/>
        <v>#DIV/0!</v>
      </c>
      <c r="Y84" s="154">
        <f t="shared" ref="Y84:AH84" si="337">SUM(Y85:Y87)</f>
        <v>0</v>
      </c>
      <c r="Z84" s="154">
        <f t="shared" si="337"/>
        <v>4271.3999999999996</v>
      </c>
      <c r="AA84" s="154">
        <f t="shared" si="337"/>
        <v>0</v>
      </c>
      <c r="AB84" s="154">
        <f t="shared" si="337"/>
        <v>0</v>
      </c>
      <c r="AC84" s="154">
        <f t="shared" si="337"/>
        <v>6630</v>
      </c>
      <c r="AD84" s="154">
        <f t="shared" si="337"/>
        <v>0</v>
      </c>
      <c r="AE84" s="154">
        <f t="shared" si="337"/>
        <v>0</v>
      </c>
      <c r="AF84" s="154">
        <f t="shared" si="337"/>
        <v>3092</v>
      </c>
      <c r="AG84" s="154">
        <f t="shared" si="337"/>
        <v>0</v>
      </c>
      <c r="AH84" s="154">
        <f t="shared" si="337"/>
        <v>0</v>
      </c>
      <c r="AI84" s="154">
        <f>SUM(AI85:AI88)</f>
        <v>1940</v>
      </c>
      <c r="AJ84" s="154">
        <f t="shared" ref="AJ84:BK84" si="338">SUM(AJ85:AJ87)</f>
        <v>0</v>
      </c>
      <c r="AK84" s="154">
        <f t="shared" si="338"/>
        <v>0</v>
      </c>
      <c r="AL84" s="154">
        <f t="shared" si="338"/>
        <v>0</v>
      </c>
      <c r="AM84" s="154">
        <f t="shared" si="338"/>
        <v>0</v>
      </c>
      <c r="AN84" s="154">
        <f t="shared" si="338"/>
        <v>0</v>
      </c>
      <c r="AO84" s="154">
        <f t="shared" si="338"/>
        <v>0</v>
      </c>
      <c r="AP84" s="154">
        <f t="shared" si="338"/>
        <v>0</v>
      </c>
      <c r="AQ84" s="154">
        <f t="shared" si="338"/>
        <v>0</v>
      </c>
      <c r="AR84" s="154">
        <f t="shared" si="338"/>
        <v>0</v>
      </c>
      <c r="AS84" s="154">
        <f t="shared" si="338"/>
        <v>0</v>
      </c>
      <c r="AT84" s="154">
        <f t="shared" si="338"/>
        <v>0</v>
      </c>
      <c r="AU84" s="154">
        <f t="shared" si="338"/>
        <v>0</v>
      </c>
      <c r="AV84" s="154">
        <f t="shared" si="338"/>
        <v>0</v>
      </c>
      <c r="AW84" s="154">
        <f t="shared" si="338"/>
        <v>0</v>
      </c>
      <c r="AX84" s="154">
        <f t="shared" si="338"/>
        <v>0</v>
      </c>
      <c r="AY84" s="154">
        <f t="shared" si="338"/>
        <v>0</v>
      </c>
      <c r="AZ84" s="154">
        <f t="shared" si="338"/>
        <v>0</v>
      </c>
      <c r="BA84" s="154">
        <f t="shared" si="338"/>
        <v>0</v>
      </c>
      <c r="BB84" s="154">
        <f t="shared" si="338"/>
        <v>0</v>
      </c>
      <c r="BC84" s="154">
        <f t="shared" si="338"/>
        <v>0</v>
      </c>
      <c r="BD84" s="154">
        <f t="shared" si="338"/>
        <v>0</v>
      </c>
      <c r="BE84" s="154">
        <f t="shared" si="338"/>
        <v>0</v>
      </c>
      <c r="BF84" s="154">
        <f t="shared" si="338"/>
        <v>0</v>
      </c>
      <c r="BG84" s="154">
        <f t="shared" si="338"/>
        <v>0</v>
      </c>
      <c r="BH84" s="154">
        <f t="shared" si="338"/>
        <v>0</v>
      </c>
      <c r="BI84" s="154">
        <f t="shared" si="338"/>
        <v>0</v>
      </c>
      <c r="BJ84" s="154">
        <f t="shared" si="338"/>
        <v>0</v>
      </c>
      <c r="BK84" s="154">
        <f t="shared" si="338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22"/>
        <v>0</v>
      </c>
      <c r="H85" s="94">
        <f t="shared" si="323"/>
        <v>0</v>
      </c>
      <c r="I85" s="142"/>
      <c r="J85" s="96"/>
      <c r="K85" s="96"/>
      <c r="L85" s="95"/>
      <c r="M85" s="97">
        <f t="shared" ref="M85:O85" si="339">Y85+AB85+AE85+AH85+AK85+AN85+AQ85+AT85+AW85+AZ85+BC85+BF85</f>
        <v>0</v>
      </c>
      <c r="N85" s="97">
        <f t="shared" si="339"/>
        <v>0</v>
      </c>
      <c r="O85" s="97">
        <f t="shared" si="339"/>
        <v>0</v>
      </c>
      <c r="P85" s="82">
        <f t="shared" si="278"/>
        <v>0</v>
      </c>
      <c r="Q85" s="82">
        <f t="shared" ref="Q85:R85" si="340">IF(BJ85=0,SUM(Z85+AC85+AF85+AI85+AL85+AO85+AR85+AU85+AX85+BA85+BD85+BG85),BJ85)</f>
        <v>0</v>
      </c>
      <c r="R85" s="82">
        <f t="shared" si="340"/>
        <v>0</v>
      </c>
      <c r="S85" s="97">
        <f t="shared" ref="S85:T85" si="341">I85-M85</f>
        <v>0</v>
      </c>
      <c r="T85" s="97">
        <f t="shared" si="341"/>
        <v>0</v>
      </c>
      <c r="U85" s="97">
        <f t="shared" ref="U85:U88" si="342">L85-O85</f>
        <v>0</v>
      </c>
      <c r="V85" s="98" t="e">
        <f t="shared" ref="V85:W85" si="343">M85/I85</f>
        <v>#DIV/0!</v>
      </c>
      <c r="W85" s="98" t="e">
        <f t="shared" si="343"/>
        <v>#DIV/0!</v>
      </c>
      <c r="X85" s="98" t="e">
        <f t="shared" si="26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22"/>
        <v>0</v>
      </c>
      <c r="H86" s="94">
        <f t="shared" si="323"/>
        <v>0</v>
      </c>
      <c r="I86" s="95"/>
      <c r="J86" s="119"/>
      <c r="K86" s="119"/>
      <c r="L86" s="95"/>
      <c r="M86" s="97">
        <f t="shared" ref="M86:O86" si="344">Y86+AB86+AE86+AH86+AK86+AN86+AQ86+AT86+AW86+AZ86+BC86+BF86</f>
        <v>0</v>
      </c>
      <c r="N86" s="97">
        <f t="shared" si="344"/>
        <v>0</v>
      </c>
      <c r="O86" s="97">
        <f t="shared" si="344"/>
        <v>0</v>
      </c>
      <c r="P86" s="82">
        <f t="shared" si="278"/>
        <v>0</v>
      </c>
      <c r="Q86" s="82">
        <f t="shared" ref="Q86:R86" si="345">IF(BJ86=0,SUM(Z86+AC86+AF86+AI86+AL86+AO86+AR86+AU86+AX86+BA86+BD86+BG86),BJ86)</f>
        <v>0</v>
      </c>
      <c r="R86" s="82">
        <f t="shared" si="345"/>
        <v>0</v>
      </c>
      <c r="S86" s="97">
        <f t="shared" ref="S86:T86" si="346">I86-M86</f>
        <v>0</v>
      </c>
      <c r="T86" s="97">
        <f t="shared" si="346"/>
        <v>0</v>
      </c>
      <c r="U86" s="97">
        <f t="shared" si="342"/>
        <v>0</v>
      </c>
      <c r="V86" s="98" t="e">
        <f t="shared" ref="V86:W86" si="347">M86/I86</f>
        <v>#DIV/0!</v>
      </c>
      <c r="W86" s="98" t="e">
        <f t="shared" si="347"/>
        <v>#DIV/0!</v>
      </c>
      <c r="X86" s="98" t="e">
        <f t="shared" si="26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22"/>
        <v>0</v>
      </c>
      <c r="H87" s="94">
        <f t="shared" si="323"/>
        <v>0</v>
      </c>
      <c r="I87" s="96"/>
      <c r="J87" s="117">
        <v>73937.67</v>
      </c>
      <c r="K87" s="117"/>
      <c r="L87" s="95"/>
      <c r="M87" s="97">
        <f t="shared" ref="M87:O87" si="348">Y87+AB87+AE87+AH87+AK87+AN87+AQ87+AT87+AW87+AZ87+BC87+BF87</f>
        <v>0</v>
      </c>
      <c r="N87" s="97">
        <f t="shared" si="348"/>
        <v>13993.4</v>
      </c>
      <c r="O87" s="97">
        <f t="shared" si="348"/>
        <v>0</v>
      </c>
      <c r="P87" s="82">
        <f t="shared" si="278"/>
        <v>0</v>
      </c>
      <c r="Q87" s="82">
        <f t="shared" ref="Q87:R87" si="349">IF(BJ87=0,SUM(Z87+AC87+AF87+AI87+AL87+AO87+AR87+AU87+AX87+BA87+BD87+BG87),BJ87)</f>
        <v>13993.4</v>
      </c>
      <c r="R87" s="82">
        <f t="shared" si="349"/>
        <v>0</v>
      </c>
      <c r="S87" s="97">
        <f t="shared" ref="S87:T87" si="350">I87-M87</f>
        <v>0</v>
      </c>
      <c r="T87" s="97">
        <f t="shared" si="350"/>
        <v>59944.27</v>
      </c>
      <c r="U87" s="97">
        <f t="shared" si="342"/>
        <v>0</v>
      </c>
      <c r="V87" s="98" t="e">
        <f t="shared" ref="V87:W87" si="351">M87/I87</f>
        <v>#DIV/0!</v>
      </c>
      <c r="W87" s="98">
        <f t="shared" si="351"/>
        <v>0.18925941269179838</v>
      </c>
      <c r="X87" s="98" t="e">
        <f t="shared" si="26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>
        <v>0</v>
      </c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22"/>
        <v>0</v>
      </c>
      <c r="H88" s="94">
        <f t="shared" si="323"/>
        <v>0</v>
      </c>
      <c r="I88" s="126"/>
      <c r="J88" s="126"/>
      <c r="K88" s="117"/>
      <c r="L88" s="95"/>
      <c r="M88" s="196">
        <f t="shared" ref="M88:N88" si="352">Y88+AE88+AH88+AK88+AN88+AQ88+AT88+AW88+AZ88+BC88+BF88</f>
        <v>0</v>
      </c>
      <c r="N88" s="97">
        <f t="shared" si="352"/>
        <v>1940</v>
      </c>
      <c r="O88" s="97">
        <f>AA88+AD88+AG88+AJ88+AM88+AP88+AS88+AV88+AY88+BB88+BE88+BH88</f>
        <v>0</v>
      </c>
      <c r="P88" s="82">
        <f t="shared" ref="P88:Q88" si="353">IF(BI88=0,SUM(Y88+AE88+AH88+AK88+AN88+AQ88+AT88+AW88+AZ88+BC88+BF88),BI88)</f>
        <v>0</v>
      </c>
      <c r="Q88" s="82">
        <f t="shared" si="353"/>
        <v>1940</v>
      </c>
      <c r="R88" s="82">
        <f>IF(BK88=0,SUM(AA88+AD88+AG88+AJ88+AM88+AP88+AS88+AV88+AY88+BB88+BE88+BH88),BK88)</f>
        <v>0</v>
      </c>
      <c r="S88" s="97">
        <f t="shared" ref="S88:T88" si="354">I88-M88</f>
        <v>0</v>
      </c>
      <c r="T88" s="97">
        <f t="shared" si="354"/>
        <v>-1940</v>
      </c>
      <c r="U88" s="97">
        <f t="shared" si="342"/>
        <v>0</v>
      </c>
      <c r="V88" s="98" t="e">
        <f t="shared" ref="V88:W88" si="355">M88/I39</f>
        <v>#DIV/0!</v>
      </c>
      <c r="W88" s="98">
        <f t="shared" si="355"/>
        <v>1.3623404165671831</v>
      </c>
      <c r="X88" s="98" t="e">
        <f t="shared" si="26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103">
        <f>500+1440</f>
        <v>1940</v>
      </c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56">SUM(E90:E95)</f>
        <v>69491.34</v>
      </c>
      <c r="F89" s="154">
        <f t="shared" si="356"/>
        <v>21041.95</v>
      </c>
      <c r="G89" s="192">
        <f t="shared" si="322"/>
        <v>4.0508644674286033E-2</v>
      </c>
      <c r="H89" s="192">
        <f t="shared" si="323"/>
        <v>0</v>
      </c>
      <c r="I89" s="154">
        <f t="shared" ref="I89:O89" si="357">SUM(I91:I95)</f>
        <v>2815</v>
      </c>
      <c r="J89" s="154">
        <f t="shared" si="357"/>
        <v>0</v>
      </c>
      <c r="K89" s="154">
        <f t="shared" si="357"/>
        <v>0</v>
      </c>
      <c r="L89" s="154">
        <f t="shared" si="357"/>
        <v>0</v>
      </c>
      <c r="M89" s="154">
        <f t="shared" si="357"/>
        <v>0</v>
      </c>
      <c r="N89" s="154">
        <f t="shared" si="357"/>
        <v>0</v>
      </c>
      <c r="O89" s="154">
        <f t="shared" si="357"/>
        <v>0</v>
      </c>
      <c r="P89" s="81">
        <f t="shared" ref="P89:R89" si="358">IF(BI89=0,SUM(Y89+AB89+AE89+AH89+AK89+AN89+AQ89+AT89+AW89+AZ89+BC89+BF89),BI89)</f>
        <v>0</v>
      </c>
      <c r="Q89" s="81">
        <f t="shared" si="358"/>
        <v>0</v>
      </c>
      <c r="R89" s="81">
        <f t="shared" si="358"/>
        <v>0</v>
      </c>
      <c r="S89" s="154">
        <f t="shared" ref="S89:U89" si="359">SUM(S91:S95)</f>
        <v>2252</v>
      </c>
      <c r="T89" s="154">
        <f t="shared" si="359"/>
        <v>0</v>
      </c>
      <c r="U89" s="154">
        <f t="shared" si="359"/>
        <v>0</v>
      </c>
      <c r="V89" s="193">
        <f t="shared" ref="V89:W89" si="360">M89/I89</f>
        <v>0</v>
      </c>
      <c r="W89" s="193" t="e">
        <f t="shared" si="360"/>
        <v>#DIV/0!</v>
      </c>
      <c r="X89" s="193" t="e">
        <f t="shared" si="26"/>
        <v>#DIV/0!</v>
      </c>
      <c r="Y89" s="154">
        <f t="shared" ref="Y89:BK89" si="361">SUM(Y91:Y95)</f>
        <v>0</v>
      </c>
      <c r="Z89" s="154">
        <f t="shared" si="361"/>
        <v>0</v>
      </c>
      <c r="AA89" s="154">
        <f t="shared" si="361"/>
        <v>0</v>
      </c>
      <c r="AB89" s="154">
        <f t="shared" si="361"/>
        <v>0</v>
      </c>
      <c r="AC89" s="154">
        <f t="shared" si="361"/>
        <v>0</v>
      </c>
      <c r="AD89" s="154">
        <f t="shared" si="361"/>
        <v>0</v>
      </c>
      <c r="AE89" s="154">
        <f t="shared" si="361"/>
        <v>0</v>
      </c>
      <c r="AF89" s="154">
        <f t="shared" si="361"/>
        <v>0</v>
      </c>
      <c r="AG89" s="154">
        <f t="shared" si="361"/>
        <v>0</v>
      </c>
      <c r="AH89" s="154">
        <f t="shared" si="361"/>
        <v>0</v>
      </c>
      <c r="AI89" s="154">
        <f t="shared" si="361"/>
        <v>0</v>
      </c>
      <c r="AJ89" s="154">
        <f t="shared" si="361"/>
        <v>0</v>
      </c>
      <c r="AK89" s="154">
        <f t="shared" si="361"/>
        <v>0</v>
      </c>
      <c r="AL89" s="154">
        <f t="shared" si="361"/>
        <v>0</v>
      </c>
      <c r="AM89" s="154">
        <f t="shared" si="361"/>
        <v>0</v>
      </c>
      <c r="AN89" s="154">
        <f t="shared" si="361"/>
        <v>0</v>
      </c>
      <c r="AO89" s="154">
        <f t="shared" si="361"/>
        <v>0</v>
      </c>
      <c r="AP89" s="154">
        <f t="shared" si="361"/>
        <v>0</v>
      </c>
      <c r="AQ89" s="154">
        <f t="shared" si="361"/>
        <v>0</v>
      </c>
      <c r="AR89" s="154">
        <f t="shared" si="361"/>
        <v>0</v>
      </c>
      <c r="AS89" s="154">
        <f t="shared" si="361"/>
        <v>0</v>
      </c>
      <c r="AT89" s="154">
        <f t="shared" si="361"/>
        <v>0</v>
      </c>
      <c r="AU89" s="154">
        <f t="shared" si="361"/>
        <v>0</v>
      </c>
      <c r="AV89" s="154">
        <f t="shared" si="361"/>
        <v>0</v>
      </c>
      <c r="AW89" s="154">
        <f t="shared" si="361"/>
        <v>0</v>
      </c>
      <c r="AX89" s="154">
        <f t="shared" si="361"/>
        <v>0</v>
      </c>
      <c r="AY89" s="154">
        <f t="shared" si="361"/>
        <v>0</v>
      </c>
      <c r="AZ89" s="154">
        <f t="shared" si="361"/>
        <v>0</v>
      </c>
      <c r="BA89" s="154">
        <f t="shared" si="361"/>
        <v>0</v>
      </c>
      <c r="BB89" s="154">
        <f t="shared" si="361"/>
        <v>0</v>
      </c>
      <c r="BC89" s="154">
        <f t="shared" si="361"/>
        <v>0</v>
      </c>
      <c r="BD89" s="154">
        <f t="shared" si="361"/>
        <v>0</v>
      </c>
      <c r="BE89" s="154">
        <f t="shared" si="361"/>
        <v>0</v>
      </c>
      <c r="BF89" s="154">
        <f t="shared" si="361"/>
        <v>0</v>
      </c>
      <c r="BG89" s="154">
        <f t="shared" si="361"/>
        <v>0</v>
      </c>
      <c r="BH89" s="154">
        <f t="shared" si="361"/>
        <v>0</v>
      </c>
      <c r="BI89" s="154">
        <f t="shared" si="361"/>
        <v>0</v>
      </c>
      <c r="BJ89" s="154">
        <f t="shared" si="361"/>
        <v>0</v>
      </c>
      <c r="BK89" s="154">
        <f t="shared" si="361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365" t="s">
        <v>659</v>
      </c>
      <c r="B91" s="197"/>
      <c r="C91" s="198" t="s">
        <v>165</v>
      </c>
      <c r="D91" s="199" t="s">
        <v>660</v>
      </c>
      <c r="E91" s="200">
        <v>10000</v>
      </c>
      <c r="F91" s="172"/>
      <c r="G91" s="94">
        <f>I91/E91</f>
        <v>0.22520000000000001</v>
      </c>
      <c r="H91" s="94">
        <f>M91/E91</f>
        <v>0</v>
      </c>
      <c r="I91" s="366">
        <f>2252</f>
        <v>2252</v>
      </c>
      <c r="J91" s="174"/>
      <c r="K91" s="174"/>
      <c r="L91" s="174"/>
      <c r="M91" s="175">
        <f t="shared" ref="M91:O91" si="362">Y91+AB91+AE91+AH91+AK91+AN91+AQ91+AT91+AW91+AZ91+BC91+BF91</f>
        <v>0</v>
      </c>
      <c r="N91" s="175">
        <f t="shared" si="362"/>
        <v>0</v>
      </c>
      <c r="O91" s="175">
        <f t="shared" si="362"/>
        <v>0</v>
      </c>
      <c r="P91" s="82">
        <f t="shared" ref="P91:R91" si="363">IF(BI91=0,SUM(Y91+AB91+AE91+AH91+AK91+AN91+AQ91+AT91+AW91+AZ91+BC91+BF91),BI91)</f>
        <v>0</v>
      </c>
      <c r="Q91" s="82">
        <f t="shared" si="363"/>
        <v>0</v>
      </c>
      <c r="R91" s="82">
        <f t="shared" si="363"/>
        <v>0</v>
      </c>
      <c r="S91" s="175">
        <f t="shared" ref="S91:T91" si="364">I91-M91</f>
        <v>2252</v>
      </c>
      <c r="T91" s="175">
        <f t="shared" si="364"/>
        <v>0</v>
      </c>
      <c r="U91" s="175">
        <f>L91-O91</f>
        <v>0</v>
      </c>
      <c r="V91" s="176">
        <f t="shared" ref="V91:W91" si="365">M91/I91</f>
        <v>0</v>
      </c>
      <c r="W91" s="176" t="e">
        <f t="shared" si="365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/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66">IF(BI92=0,SUM(Y92+AB92+AE92+AH92+AK92+AN92+AQ92+AT92+AW92+AZ92+BC92+BF92),BI92)</f>
        <v>0</v>
      </c>
      <c r="Q92" s="82">
        <f t="shared" si="366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89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67">IF(BI93=0,SUM(Y93+AB93+AE93+AH93+AK93+AN93+AQ93+AT93+AW93+AZ93+BC93+BF93),BI93)</f>
        <v>0</v>
      </c>
      <c r="Q93" s="82">
        <f t="shared" si="367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68">I94/E94</f>
        <v>#DIV/0!</v>
      </c>
      <c r="H94" s="94" t="e">
        <f t="shared" ref="H94:H116" si="369">M94/E94</f>
        <v>#DIV/0!</v>
      </c>
      <c r="I94" s="96"/>
      <c r="J94" s="96"/>
      <c r="K94" s="96"/>
      <c r="L94" s="96"/>
      <c r="M94" s="97">
        <f t="shared" ref="M94:O94" si="370">Y94+AB94+AE94+AH94+AK94+AN94+AQ94+AT94+AW94+AZ94+BC94+BF94</f>
        <v>0</v>
      </c>
      <c r="N94" s="97">
        <f t="shared" si="370"/>
        <v>0</v>
      </c>
      <c r="O94" s="97">
        <f t="shared" si="370"/>
        <v>0</v>
      </c>
      <c r="P94" s="82">
        <f t="shared" ref="P94:R94" si="371">IF(BI94=0,SUM(Y94+AB94+AE94+AH94+AK94+AN94+AQ94+AT94+AW94+AZ94+BC94+BF94),BI94)</f>
        <v>0</v>
      </c>
      <c r="Q94" s="82">
        <f t="shared" si="371"/>
        <v>0</v>
      </c>
      <c r="R94" s="82">
        <f t="shared" si="371"/>
        <v>0</v>
      </c>
      <c r="S94" s="97">
        <f t="shared" ref="S94:T94" si="372">I94-M94</f>
        <v>0</v>
      </c>
      <c r="T94" s="97">
        <f t="shared" si="372"/>
        <v>0</v>
      </c>
      <c r="U94" s="97">
        <f t="shared" ref="U94:U95" si="373">L94-O94</f>
        <v>0</v>
      </c>
      <c r="V94" s="98" t="e">
        <f t="shared" ref="V94:W94" si="374">M94/I94</f>
        <v>#DIV/0!</v>
      </c>
      <c r="W94" s="98" t="e">
        <f t="shared" si="374"/>
        <v>#DIV/0!</v>
      </c>
      <c r="X94" s="98" t="e">
        <f t="shared" ref="X94:X102" si="37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68"/>
        <v>#DIV/0!</v>
      </c>
      <c r="H95" s="94" t="e">
        <f t="shared" si="369"/>
        <v>#DIV/0!</v>
      </c>
      <c r="I95" s="96"/>
      <c r="J95" s="96"/>
      <c r="K95" s="96"/>
      <c r="L95" s="96"/>
      <c r="M95" s="97">
        <f t="shared" ref="M95:O95" si="376">Y95+AB95+AE95+AH95+AK95+AN95+AQ95+AT95+AW95+AZ95+BC95+BF95</f>
        <v>0</v>
      </c>
      <c r="N95" s="97">
        <f t="shared" si="376"/>
        <v>0</v>
      </c>
      <c r="O95" s="97">
        <f t="shared" si="376"/>
        <v>0</v>
      </c>
      <c r="P95" s="82">
        <f t="shared" ref="P95:R95" si="377">IF(BI95=0,SUM(Y95+AB95+AE95+AH95+AK95+AN95+AQ95+AT95+AW95+AZ95+BC95+BF95),BI95)</f>
        <v>0</v>
      </c>
      <c r="Q95" s="82">
        <f t="shared" si="377"/>
        <v>0</v>
      </c>
      <c r="R95" s="82">
        <f t="shared" si="377"/>
        <v>0</v>
      </c>
      <c r="S95" s="97">
        <f t="shared" ref="S95:T95" si="378">I95-M95</f>
        <v>0</v>
      </c>
      <c r="T95" s="97">
        <f t="shared" si="378"/>
        <v>0</v>
      </c>
      <c r="U95" s="97">
        <f t="shared" si="373"/>
        <v>0</v>
      </c>
      <c r="V95" s="98" t="e">
        <f t="shared" ref="V95:W95" si="379">M95/I95</f>
        <v>#DIV/0!</v>
      </c>
      <c r="W95" s="98" t="e">
        <f t="shared" si="379"/>
        <v>#DIV/0!</v>
      </c>
      <c r="X95" s="98" t="e">
        <f t="shared" si="37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380">E97+E114+E119+E145+E150+E154</f>
        <v>273274.02</v>
      </c>
      <c r="F96" s="87">
        <f t="shared" si="380"/>
        <v>1183964.47</v>
      </c>
      <c r="G96" s="107">
        <f t="shared" si="368"/>
        <v>1.9323836931150644</v>
      </c>
      <c r="H96" s="107">
        <f t="shared" si="369"/>
        <v>0</v>
      </c>
      <c r="I96" s="87">
        <f t="shared" ref="I96:O96" si="381">I97+I114+I119+I145+I150+I154</f>
        <v>528070.26</v>
      </c>
      <c r="J96" s="87">
        <f t="shared" si="381"/>
        <v>751131.49</v>
      </c>
      <c r="K96" s="87">
        <f t="shared" si="381"/>
        <v>0</v>
      </c>
      <c r="L96" s="87">
        <f t="shared" si="381"/>
        <v>0</v>
      </c>
      <c r="M96" s="87">
        <f t="shared" si="381"/>
        <v>0</v>
      </c>
      <c r="N96" s="87">
        <f t="shared" si="381"/>
        <v>455610.44</v>
      </c>
      <c r="O96" s="87">
        <f t="shared" si="381"/>
        <v>0</v>
      </c>
      <c r="P96" s="87">
        <f t="shared" ref="P96:R96" si="382">IF(BI96=0,SUM(Y96+AB96+AE96+AH96+AK96+AN96+AQ96+AT96+AW96+AZ96+BC96+BF96),BI96)</f>
        <v>0</v>
      </c>
      <c r="Q96" s="87">
        <f t="shared" si="382"/>
        <v>455610.44000000006</v>
      </c>
      <c r="R96" s="87">
        <f t="shared" si="382"/>
        <v>0</v>
      </c>
      <c r="S96" s="87">
        <f t="shared" ref="S96:U96" si="383">S97+S114+S119+S145+S150+S154</f>
        <v>528070.26</v>
      </c>
      <c r="T96" s="87">
        <f t="shared" si="383"/>
        <v>295521.05</v>
      </c>
      <c r="U96" s="87">
        <f t="shared" si="383"/>
        <v>0</v>
      </c>
      <c r="V96" s="88">
        <f t="shared" ref="V96:W96" si="384">M96/I96</f>
        <v>0</v>
      </c>
      <c r="W96" s="88">
        <f t="shared" si="384"/>
        <v>0.60656548961886825</v>
      </c>
      <c r="X96" s="88" t="e">
        <f t="shared" si="375"/>
        <v>#DIV/0!</v>
      </c>
      <c r="Y96" s="87">
        <f t="shared" ref="Y96:BK96" si="385">Y97+Y114+Y119+Y145+Y150+Y154</f>
        <v>0</v>
      </c>
      <c r="Z96" s="87">
        <f t="shared" si="385"/>
        <v>53060</v>
      </c>
      <c r="AA96" s="87">
        <f t="shared" si="385"/>
        <v>0</v>
      </c>
      <c r="AB96" s="87">
        <f t="shared" si="385"/>
        <v>0</v>
      </c>
      <c r="AC96" s="87">
        <f t="shared" si="385"/>
        <v>61206.74</v>
      </c>
      <c r="AD96" s="87">
        <f t="shared" si="385"/>
        <v>0</v>
      </c>
      <c r="AE96" s="87">
        <f t="shared" si="385"/>
        <v>0</v>
      </c>
      <c r="AF96" s="87">
        <f t="shared" si="385"/>
        <v>63661.509999999995</v>
      </c>
      <c r="AG96" s="87">
        <f t="shared" si="385"/>
        <v>0</v>
      </c>
      <c r="AH96" s="87">
        <f t="shared" si="385"/>
        <v>0</v>
      </c>
      <c r="AI96" s="87">
        <f t="shared" si="385"/>
        <v>166468.45000000001</v>
      </c>
      <c r="AJ96" s="87">
        <f t="shared" si="385"/>
        <v>0</v>
      </c>
      <c r="AK96" s="87">
        <f t="shared" si="385"/>
        <v>0</v>
      </c>
      <c r="AL96" s="87">
        <f t="shared" si="385"/>
        <v>54407.4</v>
      </c>
      <c r="AM96" s="87">
        <f t="shared" si="385"/>
        <v>0</v>
      </c>
      <c r="AN96" s="87">
        <f t="shared" si="385"/>
        <v>0</v>
      </c>
      <c r="AO96" s="87">
        <f t="shared" si="385"/>
        <v>56806.34</v>
      </c>
      <c r="AP96" s="87">
        <f t="shared" si="385"/>
        <v>0</v>
      </c>
      <c r="AQ96" s="87">
        <f t="shared" si="385"/>
        <v>0</v>
      </c>
      <c r="AR96" s="87">
        <f t="shared" si="385"/>
        <v>0</v>
      </c>
      <c r="AS96" s="87">
        <f t="shared" si="385"/>
        <v>0</v>
      </c>
      <c r="AT96" s="87">
        <f t="shared" si="385"/>
        <v>0</v>
      </c>
      <c r="AU96" s="87">
        <f t="shared" si="385"/>
        <v>0</v>
      </c>
      <c r="AV96" s="87">
        <f t="shared" si="385"/>
        <v>0</v>
      </c>
      <c r="AW96" s="87">
        <f t="shared" si="385"/>
        <v>0</v>
      </c>
      <c r="AX96" s="87">
        <f t="shared" si="385"/>
        <v>0</v>
      </c>
      <c r="AY96" s="87">
        <f t="shared" si="385"/>
        <v>0</v>
      </c>
      <c r="AZ96" s="87">
        <f t="shared" si="385"/>
        <v>0</v>
      </c>
      <c r="BA96" s="87">
        <f t="shared" si="385"/>
        <v>0</v>
      </c>
      <c r="BB96" s="87">
        <f t="shared" si="385"/>
        <v>0</v>
      </c>
      <c r="BC96" s="87">
        <f t="shared" si="385"/>
        <v>0</v>
      </c>
      <c r="BD96" s="87">
        <f t="shared" si="385"/>
        <v>0</v>
      </c>
      <c r="BE96" s="87">
        <f t="shared" si="385"/>
        <v>0</v>
      </c>
      <c r="BF96" s="87">
        <f t="shared" si="385"/>
        <v>0</v>
      </c>
      <c r="BG96" s="87">
        <f t="shared" si="385"/>
        <v>0</v>
      </c>
      <c r="BH96" s="87">
        <f t="shared" si="385"/>
        <v>0</v>
      </c>
      <c r="BI96" s="87">
        <f t="shared" si="385"/>
        <v>0</v>
      </c>
      <c r="BJ96" s="87">
        <f t="shared" si="385"/>
        <v>0</v>
      </c>
      <c r="BK96" s="87">
        <f t="shared" si="38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386">SUM(E98:E113)</f>
        <v>97800</v>
      </c>
      <c r="F97" s="154">
        <f t="shared" si="386"/>
        <v>10000</v>
      </c>
      <c r="G97" s="192">
        <f t="shared" si="368"/>
        <v>9.7157464212678943E-2</v>
      </c>
      <c r="H97" s="192">
        <f t="shared" si="369"/>
        <v>0</v>
      </c>
      <c r="I97" s="154">
        <f t="shared" ref="I97:O97" si="387">SUM(I98:I113)</f>
        <v>9502</v>
      </c>
      <c r="J97" s="154">
        <f t="shared" si="387"/>
        <v>75763.899999999994</v>
      </c>
      <c r="K97" s="154">
        <f t="shared" si="387"/>
        <v>0</v>
      </c>
      <c r="L97" s="154">
        <f t="shared" si="387"/>
        <v>0</v>
      </c>
      <c r="M97" s="154">
        <f t="shared" si="387"/>
        <v>0</v>
      </c>
      <c r="N97" s="154">
        <f t="shared" si="387"/>
        <v>55767</v>
      </c>
      <c r="O97" s="154">
        <f t="shared" si="387"/>
        <v>0</v>
      </c>
      <c r="P97" s="81">
        <f t="shared" ref="P97:R97" si="388">IF(BI97=0,SUM(Y97+AB97+AE97+AH97+AK97+AN97+AQ97+AT97+AW97+AZ97+BC97+BF97),BI97)</f>
        <v>0</v>
      </c>
      <c r="Q97" s="81">
        <f t="shared" si="388"/>
        <v>55767</v>
      </c>
      <c r="R97" s="81">
        <f t="shared" si="388"/>
        <v>0</v>
      </c>
      <c r="S97" s="154">
        <f t="shared" ref="S97:U97" si="389">SUM(S98:S113)</f>
        <v>9502</v>
      </c>
      <c r="T97" s="154">
        <f t="shared" si="389"/>
        <v>19996.900000000001</v>
      </c>
      <c r="U97" s="154">
        <f t="shared" si="389"/>
        <v>0</v>
      </c>
      <c r="V97" s="193">
        <f t="shared" ref="V97:W97" si="390">M97/I97</f>
        <v>0</v>
      </c>
      <c r="W97" s="193">
        <f t="shared" si="390"/>
        <v>0.73606295346464479</v>
      </c>
      <c r="X97" s="193" t="e">
        <f t="shared" si="375"/>
        <v>#DIV/0!</v>
      </c>
      <c r="Y97" s="154">
        <f t="shared" ref="Y97:BK97" si="391">SUM(Y98:Y113)</f>
        <v>0</v>
      </c>
      <c r="Z97" s="154">
        <f t="shared" si="391"/>
        <v>52560</v>
      </c>
      <c r="AA97" s="154">
        <f t="shared" si="391"/>
        <v>0</v>
      </c>
      <c r="AB97" s="154">
        <f t="shared" si="391"/>
        <v>0</v>
      </c>
      <c r="AC97" s="154">
        <f t="shared" si="391"/>
        <v>0</v>
      </c>
      <c r="AD97" s="154">
        <f t="shared" si="391"/>
        <v>0</v>
      </c>
      <c r="AE97" s="154">
        <f t="shared" si="391"/>
        <v>0</v>
      </c>
      <c r="AF97" s="154">
        <f t="shared" si="391"/>
        <v>0</v>
      </c>
      <c r="AG97" s="154">
        <f t="shared" si="391"/>
        <v>0</v>
      </c>
      <c r="AH97" s="154">
        <f t="shared" si="391"/>
        <v>0</v>
      </c>
      <c r="AI97" s="154">
        <f t="shared" si="391"/>
        <v>0</v>
      </c>
      <c r="AJ97" s="154">
        <f t="shared" si="391"/>
        <v>0</v>
      </c>
      <c r="AK97" s="154">
        <f t="shared" si="391"/>
        <v>0</v>
      </c>
      <c r="AL97" s="154">
        <f t="shared" si="391"/>
        <v>3207</v>
      </c>
      <c r="AM97" s="154">
        <f t="shared" si="391"/>
        <v>0</v>
      </c>
      <c r="AN97" s="154">
        <f t="shared" si="391"/>
        <v>0</v>
      </c>
      <c r="AO97" s="154">
        <f t="shared" si="391"/>
        <v>0</v>
      </c>
      <c r="AP97" s="154">
        <f t="shared" si="391"/>
        <v>0</v>
      </c>
      <c r="AQ97" s="154">
        <f t="shared" si="391"/>
        <v>0</v>
      </c>
      <c r="AR97" s="154">
        <f t="shared" si="391"/>
        <v>0</v>
      </c>
      <c r="AS97" s="154">
        <f t="shared" si="391"/>
        <v>0</v>
      </c>
      <c r="AT97" s="154">
        <f t="shared" si="391"/>
        <v>0</v>
      </c>
      <c r="AU97" s="154">
        <f t="shared" si="391"/>
        <v>0</v>
      </c>
      <c r="AV97" s="154">
        <f t="shared" si="391"/>
        <v>0</v>
      </c>
      <c r="AW97" s="154">
        <f t="shared" si="391"/>
        <v>0</v>
      </c>
      <c r="AX97" s="154">
        <f t="shared" si="391"/>
        <v>0</v>
      </c>
      <c r="AY97" s="154">
        <f t="shared" si="391"/>
        <v>0</v>
      </c>
      <c r="AZ97" s="154">
        <f t="shared" si="391"/>
        <v>0</v>
      </c>
      <c r="BA97" s="154">
        <f t="shared" si="391"/>
        <v>0</v>
      </c>
      <c r="BB97" s="154">
        <f t="shared" si="391"/>
        <v>0</v>
      </c>
      <c r="BC97" s="154">
        <f t="shared" si="391"/>
        <v>0</v>
      </c>
      <c r="BD97" s="154">
        <f t="shared" si="391"/>
        <v>0</v>
      </c>
      <c r="BE97" s="154">
        <f t="shared" si="391"/>
        <v>0</v>
      </c>
      <c r="BF97" s="154">
        <f t="shared" si="391"/>
        <v>0</v>
      </c>
      <c r="BG97" s="154">
        <f t="shared" si="391"/>
        <v>0</v>
      </c>
      <c r="BH97" s="154">
        <f t="shared" si="391"/>
        <v>0</v>
      </c>
      <c r="BI97" s="154">
        <f t="shared" si="391"/>
        <v>0</v>
      </c>
      <c r="BJ97" s="154">
        <f t="shared" si="391"/>
        <v>0</v>
      </c>
      <c r="BK97" s="154">
        <f t="shared" si="391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68"/>
        <v>1</v>
      </c>
      <c r="H98" s="94">
        <f t="shared" si="369"/>
        <v>0</v>
      </c>
      <c r="I98" s="96">
        <v>4500</v>
      </c>
      <c r="J98" s="96"/>
      <c r="K98" s="96"/>
      <c r="L98" s="96"/>
      <c r="M98" s="97">
        <f t="shared" ref="M98:O98" si="392">Y98+AB98+AE98+AH98+AK98+AN98+AQ98+AT98+AW98+AZ98+BC98+BF98</f>
        <v>0</v>
      </c>
      <c r="N98" s="97">
        <f t="shared" si="392"/>
        <v>0</v>
      </c>
      <c r="O98" s="97">
        <f t="shared" si="392"/>
        <v>0</v>
      </c>
      <c r="P98" s="97">
        <f t="shared" ref="P98:R98" si="393">IF(BI98=0,SUM(Y98+AB98+AE98+AH98+AK98+AN98+AQ98+AT98+AW98+AZ98+BC98+BF98),BI98)</f>
        <v>0</v>
      </c>
      <c r="Q98" s="97">
        <f t="shared" si="393"/>
        <v>0</v>
      </c>
      <c r="R98" s="97">
        <f t="shared" si="393"/>
        <v>0</v>
      </c>
      <c r="S98" s="97">
        <f t="shared" ref="S98:T98" si="394">I98-M98</f>
        <v>4500</v>
      </c>
      <c r="T98" s="97">
        <f t="shared" si="394"/>
        <v>0</v>
      </c>
      <c r="U98" s="97">
        <f t="shared" ref="U98:U113" si="395">L98-O98</f>
        <v>0</v>
      </c>
      <c r="V98" s="98">
        <f t="shared" ref="V98:W98" si="396">M98/I98</f>
        <v>0</v>
      </c>
      <c r="W98" s="98" t="e">
        <f t="shared" si="396"/>
        <v>#DIV/0!</v>
      </c>
      <c r="X98" s="98" t="e">
        <f t="shared" si="37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68"/>
        <v>1</v>
      </c>
      <c r="H99" s="94">
        <f t="shared" si="369"/>
        <v>0</v>
      </c>
      <c r="I99" s="96">
        <v>2500</v>
      </c>
      <c r="J99" s="96"/>
      <c r="K99" s="96"/>
      <c r="L99" s="96"/>
      <c r="M99" s="97">
        <f t="shared" ref="M99:O99" si="397">Y99+AB99+AE99+AH99+AK99+AN99+AQ99+AT99+AW99+AZ99+BC99+BF99</f>
        <v>0</v>
      </c>
      <c r="N99" s="97">
        <f t="shared" si="397"/>
        <v>0</v>
      </c>
      <c r="O99" s="97">
        <f t="shared" si="397"/>
        <v>0</v>
      </c>
      <c r="P99" s="97">
        <f t="shared" ref="P99:R99" si="398">IF(BI99=0,SUM(Y99+AB99+AE99+AH99+AK99+AN99+AQ99+AT99+AW99+AZ99+BC99+BF99),BI99)</f>
        <v>0</v>
      </c>
      <c r="Q99" s="97">
        <f t="shared" si="398"/>
        <v>0</v>
      </c>
      <c r="R99" s="97">
        <f t="shared" si="398"/>
        <v>0</v>
      </c>
      <c r="S99" s="97">
        <f t="shared" ref="S99:T99" si="399">I99-M99</f>
        <v>2500</v>
      </c>
      <c r="T99" s="97">
        <f t="shared" si="399"/>
        <v>0</v>
      </c>
      <c r="U99" s="97">
        <f t="shared" si="395"/>
        <v>0</v>
      </c>
      <c r="V99" s="98">
        <f t="shared" ref="V99:W99" si="400">M99/I99</f>
        <v>0</v>
      </c>
      <c r="W99" s="98" t="e">
        <f t="shared" si="400"/>
        <v>#DIV/0!</v>
      </c>
      <c r="X99" s="98" t="e">
        <f t="shared" si="37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68"/>
        <v>#DIV/0!</v>
      </c>
      <c r="H100" s="94" t="e">
        <f t="shared" si="369"/>
        <v>#DIV/0!</v>
      </c>
      <c r="I100" s="96"/>
      <c r="J100" s="96"/>
      <c r="K100" s="96"/>
      <c r="L100" s="96"/>
      <c r="M100" s="97">
        <f t="shared" ref="M100:O100" si="401">Y100+AB100+AE100+AH100+AK100+AN100+AQ100+AT100+AW100+AZ100+BC100+BF100</f>
        <v>0</v>
      </c>
      <c r="N100" s="97">
        <f t="shared" si="401"/>
        <v>0</v>
      </c>
      <c r="O100" s="97">
        <f t="shared" si="401"/>
        <v>0</v>
      </c>
      <c r="P100" s="97">
        <f t="shared" ref="P100:R100" si="402">IF(BI100=0,SUM(Y100+AB100+AE100+AH100+AK100+AN100+AQ100+AT100+AW100+AZ100+BC100+BF100),BI100)</f>
        <v>0</v>
      </c>
      <c r="Q100" s="97">
        <f t="shared" si="402"/>
        <v>0</v>
      </c>
      <c r="R100" s="97">
        <f t="shared" si="402"/>
        <v>0</v>
      </c>
      <c r="S100" s="97">
        <f t="shared" ref="S100:T100" si="403">I100-M100</f>
        <v>0</v>
      </c>
      <c r="T100" s="97">
        <f t="shared" si="403"/>
        <v>0</v>
      </c>
      <c r="U100" s="97">
        <f t="shared" si="395"/>
        <v>0</v>
      </c>
      <c r="V100" s="98" t="e">
        <f t="shared" ref="V100:W100" si="404">M100/I100</f>
        <v>#DIV/0!</v>
      </c>
      <c r="W100" s="98" t="e">
        <f t="shared" si="404"/>
        <v>#DIV/0!</v>
      </c>
      <c r="X100" s="98" t="e">
        <f t="shared" si="37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661</v>
      </c>
      <c r="E101" s="208"/>
      <c r="F101" s="208"/>
      <c r="G101" s="94" t="e">
        <f t="shared" si="368"/>
        <v>#DIV/0!</v>
      </c>
      <c r="H101" s="94" t="e">
        <f t="shared" si="369"/>
        <v>#DIV/0!</v>
      </c>
      <c r="I101" s="202"/>
      <c r="J101" s="204"/>
      <c r="K101" s="204"/>
      <c r="L101" s="202"/>
      <c r="M101" s="97">
        <f t="shared" ref="M101:O101" si="405">Y101+AB101+AE101+AH101+AK101+AN101+AQ101+AT101+AW101+AZ101+BC101+BF101</f>
        <v>0</v>
      </c>
      <c r="N101" s="97">
        <f t="shared" si="405"/>
        <v>0</v>
      </c>
      <c r="O101" s="97">
        <f t="shared" si="405"/>
        <v>0</v>
      </c>
      <c r="P101" s="97">
        <f t="shared" ref="P101:R101" si="406">IF(BI101=0,SUM(Y101+AB101+AE101+AH101+AK101+AN101+AQ101+AT101+AW101+AZ101+BC101+BF101),BI101)</f>
        <v>0</v>
      </c>
      <c r="Q101" s="97">
        <f t="shared" si="406"/>
        <v>0</v>
      </c>
      <c r="R101" s="97">
        <f t="shared" si="406"/>
        <v>0</v>
      </c>
      <c r="S101" s="97">
        <f t="shared" ref="S101:T101" si="407">I101-M101</f>
        <v>0</v>
      </c>
      <c r="T101" s="97">
        <f t="shared" si="407"/>
        <v>0</v>
      </c>
      <c r="U101" s="97">
        <f t="shared" si="395"/>
        <v>0</v>
      </c>
      <c r="V101" s="98" t="e">
        <f t="shared" ref="V101:W101" si="408">M101/I101</f>
        <v>#DIV/0!</v>
      </c>
      <c r="W101" s="98" t="e">
        <f t="shared" si="408"/>
        <v>#DIV/0!</v>
      </c>
      <c r="X101" s="98" t="e">
        <f t="shared" si="37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662</v>
      </c>
      <c r="E102" s="166"/>
      <c r="F102" s="147"/>
      <c r="G102" s="94" t="e">
        <f t="shared" si="368"/>
        <v>#DIV/0!</v>
      </c>
      <c r="H102" s="94" t="e">
        <f t="shared" si="369"/>
        <v>#DIV/0!</v>
      </c>
      <c r="I102" s="96"/>
      <c r="J102" s="96"/>
      <c r="K102" s="96"/>
      <c r="L102" s="96"/>
      <c r="M102" s="97">
        <f t="shared" ref="M102:O102" si="409">Y102+AB102+AE102+AH102+AK102+AN102+AQ102+AT102+AW102+AZ102+BC102+BF102</f>
        <v>0</v>
      </c>
      <c r="N102" s="97">
        <f t="shared" si="409"/>
        <v>0</v>
      </c>
      <c r="O102" s="97">
        <f t="shared" si="409"/>
        <v>0</v>
      </c>
      <c r="P102" s="97">
        <f t="shared" ref="P102:R102" si="410">IF(BI102=0,SUM(Y102+AB102+AE102+AH102+AK102+AN102+AQ102+AT102+AW102+AZ102+BC102+BF102),BI102)</f>
        <v>0</v>
      </c>
      <c r="Q102" s="97">
        <f t="shared" si="410"/>
        <v>0</v>
      </c>
      <c r="R102" s="97">
        <f t="shared" si="410"/>
        <v>0</v>
      </c>
      <c r="S102" s="97">
        <f t="shared" ref="S102:T102" si="411">I102-M102</f>
        <v>0</v>
      </c>
      <c r="T102" s="97">
        <f t="shared" si="411"/>
        <v>0</v>
      </c>
      <c r="U102" s="97">
        <f t="shared" si="395"/>
        <v>0</v>
      </c>
      <c r="V102" s="98" t="e">
        <f t="shared" ref="V102:W102" si="412">M102/I102</f>
        <v>#DIV/0!</v>
      </c>
      <c r="W102" s="98" t="e">
        <f t="shared" si="412"/>
        <v>#DIV/0!</v>
      </c>
      <c r="X102" s="98" t="e">
        <f t="shared" si="37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68"/>
        <v>0</v>
      </c>
      <c r="H103" s="94">
        <f t="shared" si="369"/>
        <v>0</v>
      </c>
      <c r="I103" s="96"/>
      <c r="J103" s="96"/>
      <c r="K103" s="96"/>
      <c r="L103" s="96"/>
      <c r="M103" s="97">
        <f t="shared" ref="M103:O103" si="413">Y103+AB103+AE103+AH103+AK103+AN103+AQ103+AT103+AW103+AZ103+BC103+BF103</f>
        <v>0</v>
      </c>
      <c r="N103" s="97">
        <f t="shared" si="413"/>
        <v>0</v>
      </c>
      <c r="O103" s="97">
        <f t="shared" si="413"/>
        <v>0</v>
      </c>
      <c r="P103" s="97">
        <f t="shared" ref="P103:R103" si="414">IF(BI103=0,SUM(Y103+AB103+AE103+AH103+AK103+AN103+AQ103+AT103+AW103+AZ103+BC103+BF103),BI103)</f>
        <v>0</v>
      </c>
      <c r="Q103" s="97">
        <f t="shared" si="414"/>
        <v>0</v>
      </c>
      <c r="R103" s="97">
        <f t="shared" si="414"/>
        <v>0</v>
      </c>
      <c r="S103" s="97">
        <f t="shared" ref="S103:T103" si="415">I103-M103</f>
        <v>0</v>
      </c>
      <c r="T103" s="97">
        <f t="shared" si="415"/>
        <v>0</v>
      </c>
      <c r="U103" s="97">
        <f t="shared" si="395"/>
        <v>0</v>
      </c>
      <c r="V103" s="98" t="e">
        <f t="shared" ref="V103:W103" si="416">M103/I103</f>
        <v>#DIV/0!</v>
      </c>
      <c r="W103" s="98" t="e">
        <f t="shared" si="41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68"/>
        <v>#DIV/0!</v>
      </c>
      <c r="H104" s="94" t="e">
        <f t="shared" si="369"/>
        <v>#DIV/0!</v>
      </c>
      <c r="I104" s="96"/>
      <c r="J104" s="96"/>
      <c r="K104" s="96"/>
      <c r="L104" s="96"/>
      <c r="M104" s="97">
        <f t="shared" ref="M104:O104" si="417">Y104+AB104+AE104+AH104+AK104+AN104+AQ104+AT104+AW104+AZ104+BC104+BF104</f>
        <v>0</v>
      </c>
      <c r="N104" s="97">
        <f t="shared" si="417"/>
        <v>0</v>
      </c>
      <c r="O104" s="97">
        <f t="shared" si="417"/>
        <v>0</v>
      </c>
      <c r="P104" s="97">
        <f t="shared" ref="P104:R104" si="418">IF(BI104=0,SUM(Y104+AB104+AE104+AH104+AK104+AN104+AQ104+AT104+AW104+AZ104+BC104+BF104),BI104)</f>
        <v>0</v>
      </c>
      <c r="Q104" s="97">
        <f t="shared" si="418"/>
        <v>0</v>
      </c>
      <c r="R104" s="97">
        <f t="shared" si="418"/>
        <v>0</v>
      </c>
      <c r="S104" s="97">
        <f t="shared" ref="S104:T104" si="419">I104-M104</f>
        <v>0</v>
      </c>
      <c r="T104" s="97">
        <f t="shared" si="419"/>
        <v>0</v>
      </c>
      <c r="U104" s="97">
        <f t="shared" si="395"/>
        <v>0</v>
      </c>
      <c r="V104" s="98" t="e">
        <f t="shared" ref="V104:W104" si="420">M104/I104</f>
        <v>#DIV/0!</v>
      </c>
      <c r="W104" s="98" t="e">
        <f t="shared" si="420"/>
        <v>#DIV/0!</v>
      </c>
      <c r="X104" s="98" t="e">
        <f t="shared" ref="X104:X116" si="42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68"/>
        <v>0</v>
      </c>
      <c r="H105" s="94">
        <f t="shared" si="369"/>
        <v>0</v>
      </c>
      <c r="I105" s="96"/>
      <c r="J105" s="96"/>
      <c r="K105" s="96"/>
      <c r="L105" s="96"/>
      <c r="M105" s="97">
        <f t="shared" ref="M105:O105" si="422">Y105+AB105+AE105+AH105+AK105+AN105+AQ105+AT105+AW105+AZ105+BC105+BF105</f>
        <v>0</v>
      </c>
      <c r="N105" s="97">
        <f t="shared" si="422"/>
        <v>0</v>
      </c>
      <c r="O105" s="97">
        <f t="shared" si="422"/>
        <v>0</v>
      </c>
      <c r="P105" s="97">
        <f t="shared" ref="P105:R105" si="423">IF(BI105=0,SUM(Y105+AB105+AE105+AH105+AK105+AN105+AQ105+AT105+AW105+AZ105+BC105+BF105),BI105)</f>
        <v>0</v>
      </c>
      <c r="Q105" s="97">
        <f t="shared" si="423"/>
        <v>0</v>
      </c>
      <c r="R105" s="97">
        <f t="shared" si="423"/>
        <v>0</v>
      </c>
      <c r="S105" s="97">
        <f t="shared" ref="S105:T105" si="424">I105-M105</f>
        <v>0</v>
      </c>
      <c r="T105" s="97">
        <f t="shared" si="424"/>
        <v>0</v>
      </c>
      <c r="U105" s="97">
        <f t="shared" si="395"/>
        <v>0</v>
      </c>
      <c r="V105" s="98" t="e">
        <f t="shared" ref="V105:W105" si="425">M105/I105</f>
        <v>#DIV/0!</v>
      </c>
      <c r="W105" s="98" t="e">
        <f t="shared" si="425"/>
        <v>#DIV/0!</v>
      </c>
      <c r="X105" s="98" t="e">
        <f t="shared" si="42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354" t="s">
        <v>614</v>
      </c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68"/>
        <v>3.5742857142857146E-2</v>
      </c>
      <c r="H106" s="94">
        <f t="shared" si="369"/>
        <v>0</v>
      </c>
      <c r="I106" s="103">
        <v>2502</v>
      </c>
      <c r="J106" s="96"/>
      <c r="K106" s="96"/>
      <c r="L106" s="96"/>
      <c r="M106" s="97">
        <f t="shared" ref="M106:O106" si="426">Y106+AB106+AE106+AH106+AK106+AN106+AQ106+AT106+AW106+AZ106+BC106+BF106</f>
        <v>0</v>
      </c>
      <c r="N106" s="97">
        <f t="shared" si="426"/>
        <v>0</v>
      </c>
      <c r="O106" s="97">
        <f t="shared" si="426"/>
        <v>0</v>
      </c>
      <c r="P106" s="97">
        <f t="shared" ref="P106:R106" si="427">IF(BI106=0,SUM(Y106+AB106+AE106+AH106+AK106+AN106+AQ106+AT106+AW106+AZ106+BC106+BF106),BI106)</f>
        <v>0</v>
      </c>
      <c r="Q106" s="97">
        <f t="shared" si="427"/>
        <v>0</v>
      </c>
      <c r="R106" s="97">
        <f t="shared" si="427"/>
        <v>0</v>
      </c>
      <c r="S106" s="97">
        <f t="shared" ref="S106:S113" si="428">I106-M106</f>
        <v>2502</v>
      </c>
      <c r="T106" s="97">
        <f>J106-N106-K106</f>
        <v>0</v>
      </c>
      <c r="U106" s="97">
        <f t="shared" si="395"/>
        <v>0</v>
      </c>
      <c r="V106" s="98">
        <f t="shared" ref="V106:W106" si="429">M106/I106</f>
        <v>0</v>
      </c>
      <c r="W106" s="98" t="e">
        <f t="shared" si="429"/>
        <v>#DIV/0!</v>
      </c>
      <c r="X106" s="98" t="e">
        <f t="shared" si="42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68"/>
        <v>0</v>
      </c>
      <c r="H107" s="94">
        <f t="shared" si="369"/>
        <v>0</v>
      </c>
      <c r="I107" s="96"/>
      <c r="J107" s="96"/>
      <c r="K107" s="96"/>
      <c r="L107" s="96"/>
      <c r="M107" s="97">
        <f t="shared" ref="M107:O107" si="430">Y107+AB107+AE107+AH107+AK107+AN107+AQ107+AT107+AW107+AZ107+BC107+BF107</f>
        <v>0</v>
      </c>
      <c r="N107" s="97">
        <f t="shared" si="430"/>
        <v>0</v>
      </c>
      <c r="O107" s="97">
        <f t="shared" si="430"/>
        <v>0</v>
      </c>
      <c r="P107" s="97">
        <f t="shared" ref="P107:R107" si="431">IF(BI107=0,SUM(Y107+AB107+AE107+AH107+AK107+AN107+AQ107+AT107+AW107+AZ107+BC107+BF107),BI107)</f>
        <v>0</v>
      </c>
      <c r="Q107" s="97">
        <f t="shared" si="431"/>
        <v>0</v>
      </c>
      <c r="R107" s="97">
        <f t="shared" si="431"/>
        <v>0</v>
      </c>
      <c r="S107" s="97">
        <f t="shared" si="428"/>
        <v>0</v>
      </c>
      <c r="T107" s="97">
        <f t="shared" ref="T107:T113" si="432">J107-N107</f>
        <v>0</v>
      </c>
      <c r="U107" s="97">
        <f t="shared" si="395"/>
        <v>0</v>
      </c>
      <c r="V107" s="98" t="e">
        <f t="shared" ref="V107:W107" si="433">M107/I107</f>
        <v>#DIV/0!</v>
      </c>
      <c r="W107" s="98" t="e">
        <f t="shared" si="433"/>
        <v>#DIV/0!</v>
      </c>
      <c r="X107" s="98" t="e">
        <f t="shared" si="42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663</v>
      </c>
      <c r="E108" s="92">
        <v>3000</v>
      </c>
      <c r="F108" s="93">
        <v>10000</v>
      </c>
      <c r="G108" s="94">
        <f t="shared" si="368"/>
        <v>0</v>
      </c>
      <c r="H108" s="94">
        <f t="shared" si="369"/>
        <v>0</v>
      </c>
      <c r="I108" s="96"/>
      <c r="J108" s="96">
        <v>19996.900000000001</v>
      </c>
      <c r="K108" s="96"/>
      <c r="L108" s="96"/>
      <c r="M108" s="97">
        <f t="shared" ref="M108:O108" si="434">Y108+AB108+AE108+AH108+AK108+AN108+AQ108+AT108+AW108+AZ108+BC108+BF108</f>
        <v>0</v>
      </c>
      <c r="N108" s="97">
        <f t="shared" si="434"/>
        <v>0</v>
      </c>
      <c r="O108" s="97">
        <f t="shared" si="434"/>
        <v>0</v>
      </c>
      <c r="P108" s="97">
        <f t="shared" ref="P108:R108" si="435">IF(BI108=0,SUM(Y108+AB108+AE108+AH108+AK108+AN108+AQ108+AT108+AW108+AZ108+BC108+BF108),BI108)</f>
        <v>0</v>
      </c>
      <c r="Q108" s="97">
        <f t="shared" si="435"/>
        <v>0</v>
      </c>
      <c r="R108" s="97">
        <f t="shared" si="435"/>
        <v>0</v>
      </c>
      <c r="S108" s="97">
        <f t="shared" si="428"/>
        <v>0</v>
      </c>
      <c r="T108" s="97">
        <f t="shared" si="432"/>
        <v>19996.900000000001</v>
      </c>
      <c r="U108" s="97">
        <f t="shared" si="395"/>
        <v>0</v>
      </c>
      <c r="V108" s="98" t="e">
        <f t="shared" ref="V108:W108" si="436">M108/I108</f>
        <v>#DIV/0!</v>
      </c>
      <c r="W108" s="98">
        <f t="shared" si="436"/>
        <v>0</v>
      </c>
      <c r="X108" s="98" t="e">
        <f t="shared" si="42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664</v>
      </c>
      <c r="E109" s="92"/>
      <c r="F109" s="93"/>
      <c r="G109" s="94" t="e">
        <f t="shared" si="368"/>
        <v>#DIV/0!</v>
      </c>
      <c r="H109" s="94" t="e">
        <f t="shared" si="369"/>
        <v>#DIV/0!</v>
      </c>
      <c r="I109" s="96"/>
      <c r="J109" s="117">
        <v>52560</v>
      </c>
      <c r="K109" s="117"/>
      <c r="L109" s="96"/>
      <c r="M109" s="97">
        <f t="shared" ref="M109:O109" si="437">Y109+AB109+AE109+AH109+AK109+AN109+AQ109+AT109+AW109+AZ109+BC109+BF109</f>
        <v>0</v>
      </c>
      <c r="N109" s="97">
        <f t="shared" si="437"/>
        <v>52560</v>
      </c>
      <c r="O109" s="97">
        <f t="shared" si="437"/>
        <v>0</v>
      </c>
      <c r="P109" s="97">
        <f t="shared" ref="P109:R109" si="438">IF(BI109=0,SUM(Y109+AB109+AE109+AH109+AK109+AN109+AQ109+AT109+AW109+AZ109+BC109+BF109),BI109)</f>
        <v>0</v>
      </c>
      <c r="Q109" s="97">
        <f t="shared" si="438"/>
        <v>52560</v>
      </c>
      <c r="R109" s="97">
        <f t="shared" si="438"/>
        <v>0</v>
      </c>
      <c r="S109" s="97">
        <f t="shared" si="428"/>
        <v>0</v>
      </c>
      <c r="T109" s="97">
        <f t="shared" si="432"/>
        <v>0</v>
      </c>
      <c r="U109" s="97">
        <f t="shared" si="395"/>
        <v>0</v>
      </c>
      <c r="V109" s="98" t="e">
        <f t="shared" ref="V109:W109" si="439">M109/I109</f>
        <v>#DIV/0!</v>
      </c>
      <c r="W109" s="98">
        <f t="shared" si="439"/>
        <v>1</v>
      </c>
      <c r="X109" s="98" t="e">
        <f t="shared" si="42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665</v>
      </c>
      <c r="E110" s="166"/>
      <c r="F110" s="147"/>
      <c r="G110" s="94" t="e">
        <f t="shared" si="368"/>
        <v>#DIV/0!</v>
      </c>
      <c r="H110" s="94" t="e">
        <f t="shared" si="369"/>
        <v>#DIV/0!</v>
      </c>
      <c r="I110" s="96"/>
      <c r="J110" s="96"/>
      <c r="K110" s="96"/>
      <c r="L110" s="96"/>
      <c r="M110" s="97">
        <f t="shared" ref="M110:O110" si="440">Y110+AB110+AE110+AH110+AK110+AN110+AQ110+AT110+AW110+AZ110+BC110+BF110</f>
        <v>0</v>
      </c>
      <c r="N110" s="97">
        <f t="shared" si="440"/>
        <v>0</v>
      </c>
      <c r="O110" s="97">
        <f t="shared" si="440"/>
        <v>0</v>
      </c>
      <c r="P110" s="97">
        <f t="shared" ref="P110:R110" si="441">IF(BI110=0,SUM(Y110+AB110+AE110+AH110+AK110+AN110+AQ110+AT110+AW110+AZ110+BC110+BF110),BI110)</f>
        <v>0</v>
      </c>
      <c r="Q110" s="97">
        <f t="shared" si="441"/>
        <v>0</v>
      </c>
      <c r="R110" s="97">
        <f t="shared" si="441"/>
        <v>0</v>
      </c>
      <c r="S110" s="97">
        <f t="shared" si="428"/>
        <v>0</v>
      </c>
      <c r="T110" s="97">
        <f t="shared" si="432"/>
        <v>0</v>
      </c>
      <c r="U110" s="97">
        <f t="shared" si="395"/>
        <v>0</v>
      </c>
      <c r="V110" s="98" t="e">
        <f t="shared" ref="V110:W110" si="442">M110/I110</f>
        <v>#DIV/0!</v>
      </c>
      <c r="W110" s="98" t="e">
        <f t="shared" si="442"/>
        <v>#DIV/0!</v>
      </c>
      <c r="X110" s="98" t="e">
        <f t="shared" si="42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666</v>
      </c>
      <c r="E111" s="166"/>
      <c r="F111" s="213"/>
      <c r="G111" s="94" t="e">
        <f t="shared" si="368"/>
        <v>#DIV/0!</v>
      </c>
      <c r="H111" s="94" t="e">
        <f t="shared" si="369"/>
        <v>#DIV/0!</v>
      </c>
      <c r="I111" s="96"/>
      <c r="J111" s="96"/>
      <c r="K111" s="96"/>
      <c r="L111" s="96"/>
      <c r="M111" s="97">
        <f t="shared" ref="M111:O111" si="443">Y111+AB111+AE111+AH111+AK111+AN111+AQ111+AT111+AW111+AZ111+BC111+BF111</f>
        <v>0</v>
      </c>
      <c r="N111" s="97">
        <f t="shared" si="443"/>
        <v>0</v>
      </c>
      <c r="O111" s="97">
        <f t="shared" si="443"/>
        <v>0</v>
      </c>
      <c r="P111" s="97">
        <f t="shared" ref="P111:R111" si="444">IF(BI111=0,SUM(Y111+AB111+AE111+AH111+AK111+AN111+AQ111+AT111+AW111+AZ111+BC111+BF111),BI111)</f>
        <v>0</v>
      </c>
      <c r="Q111" s="97">
        <f t="shared" si="444"/>
        <v>0</v>
      </c>
      <c r="R111" s="97">
        <f t="shared" si="444"/>
        <v>0</v>
      </c>
      <c r="S111" s="97">
        <f t="shared" si="428"/>
        <v>0</v>
      </c>
      <c r="T111" s="97">
        <f t="shared" si="432"/>
        <v>0</v>
      </c>
      <c r="U111" s="97">
        <f t="shared" si="395"/>
        <v>0</v>
      </c>
      <c r="V111" s="98" t="e">
        <f t="shared" ref="V111:W111" si="445">M111/I111</f>
        <v>#DIV/0!</v>
      </c>
      <c r="W111" s="98" t="e">
        <f t="shared" si="445"/>
        <v>#DIV/0!</v>
      </c>
      <c r="X111" s="98" t="e">
        <f t="shared" si="42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68"/>
        <v>#DIV/0!</v>
      </c>
      <c r="H112" s="94" t="e">
        <f t="shared" si="369"/>
        <v>#DIV/0!</v>
      </c>
      <c r="I112" s="96"/>
      <c r="J112" s="96">
        <v>3207</v>
      </c>
      <c r="K112" s="96"/>
      <c r="L112" s="214"/>
      <c r="M112" s="97">
        <f t="shared" ref="M112:O112" si="446">Y112+AB112+AE112+AH112+AK112+AN112+AQ112+AT112+AW112+AZ112+BC112+BF112</f>
        <v>0</v>
      </c>
      <c r="N112" s="97">
        <f t="shared" si="446"/>
        <v>3207</v>
      </c>
      <c r="O112" s="97">
        <f t="shared" si="446"/>
        <v>0</v>
      </c>
      <c r="P112" s="97">
        <f t="shared" ref="P112:R112" si="447">IF(BI112=0,SUM(Y112+AB112+AE112+AH112+AK112+AN112+AQ112+AT112+AW112+AZ112+BC112+BF112),BI112)</f>
        <v>0</v>
      </c>
      <c r="Q112" s="97">
        <f t="shared" si="447"/>
        <v>3207</v>
      </c>
      <c r="R112" s="97">
        <f t="shared" si="447"/>
        <v>0</v>
      </c>
      <c r="S112" s="97">
        <f t="shared" si="428"/>
        <v>0</v>
      </c>
      <c r="T112" s="97">
        <f t="shared" si="432"/>
        <v>0</v>
      </c>
      <c r="U112" s="97">
        <f t="shared" si="395"/>
        <v>0</v>
      </c>
      <c r="V112" s="98" t="e">
        <f t="shared" ref="V112:W112" si="448">M112/I112</f>
        <v>#DIV/0!</v>
      </c>
      <c r="W112" s="98">
        <f t="shared" si="448"/>
        <v>1</v>
      </c>
      <c r="X112" s="98" t="e">
        <f t="shared" si="42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103">
        <v>3207</v>
      </c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68"/>
        <v>#DIV/0!</v>
      </c>
      <c r="H113" s="155" t="e">
        <f t="shared" si="369"/>
        <v>#DIV/0!</v>
      </c>
      <c r="I113" s="218"/>
      <c r="J113" s="219"/>
      <c r="K113" s="219"/>
      <c r="L113" s="219"/>
      <c r="M113" s="82">
        <f t="shared" ref="M113:O113" si="449">Y113+AB113+AE113+AH113+AK113+AN113+AQ113+AT113+AW113+AZ113+BC113+BF113</f>
        <v>0</v>
      </c>
      <c r="N113" s="82">
        <f t="shared" si="449"/>
        <v>0</v>
      </c>
      <c r="O113" s="82">
        <f t="shared" si="449"/>
        <v>0</v>
      </c>
      <c r="P113" s="97">
        <f t="shared" ref="P113:R113" si="450">IF(BI113=0,SUM(Y113+AB113+AE113+AH113+AK113+AN113+AQ113+AT113+AW113+AZ113+BC113+BF113),BI113)</f>
        <v>0</v>
      </c>
      <c r="Q113" s="97">
        <f t="shared" si="450"/>
        <v>0</v>
      </c>
      <c r="R113" s="97">
        <f t="shared" si="450"/>
        <v>0</v>
      </c>
      <c r="S113" s="97">
        <f t="shared" si="428"/>
        <v>0</v>
      </c>
      <c r="T113" s="97">
        <f t="shared" si="432"/>
        <v>0</v>
      </c>
      <c r="U113" s="97">
        <f t="shared" si="395"/>
        <v>0</v>
      </c>
      <c r="V113" s="79" t="e">
        <f t="shared" ref="V113:W113" si="451">M113/I113</f>
        <v>#DIV/0!</v>
      </c>
      <c r="W113" s="79" t="e">
        <f t="shared" si="451"/>
        <v>#DIV/0!</v>
      </c>
      <c r="X113" s="79" t="e">
        <f t="shared" si="42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52">SUM(E115:E118)</f>
        <v>23296.54</v>
      </c>
      <c r="F114" s="186">
        <f t="shared" si="452"/>
        <v>0</v>
      </c>
      <c r="G114" s="223">
        <f t="shared" si="368"/>
        <v>1.133215490368956</v>
      </c>
      <c r="H114" s="223">
        <f t="shared" si="369"/>
        <v>0</v>
      </c>
      <c r="I114" s="186">
        <f t="shared" ref="I114:J114" si="453">SUM(I115:I118)</f>
        <v>26400</v>
      </c>
      <c r="J114" s="186">
        <f t="shared" si="453"/>
        <v>0</v>
      </c>
      <c r="K114" s="186"/>
      <c r="L114" s="186">
        <f t="shared" ref="L114:O114" si="454">SUM(L115:L118)</f>
        <v>0</v>
      </c>
      <c r="M114" s="186">
        <f t="shared" si="454"/>
        <v>0</v>
      </c>
      <c r="N114" s="186">
        <f t="shared" si="454"/>
        <v>0</v>
      </c>
      <c r="O114" s="186">
        <f t="shared" si="454"/>
        <v>0</v>
      </c>
      <c r="P114" s="186">
        <f t="shared" ref="P114:R114" si="455">IF(BI114=0,SUM(Y114+AB114+AE114+AH114+AK114+AN114+AQ114+AT114+AW114+AZ114+BC114+BF114),BI114)</f>
        <v>0</v>
      </c>
      <c r="Q114" s="186">
        <f t="shared" si="455"/>
        <v>0</v>
      </c>
      <c r="R114" s="186">
        <f t="shared" si="455"/>
        <v>0</v>
      </c>
      <c r="S114" s="186">
        <f t="shared" ref="S114:U114" si="456">SUM(S115:S118)</f>
        <v>26400</v>
      </c>
      <c r="T114" s="186">
        <f t="shared" si="456"/>
        <v>0</v>
      </c>
      <c r="U114" s="186">
        <f t="shared" si="456"/>
        <v>0</v>
      </c>
      <c r="V114" s="189">
        <f t="shared" ref="V114:W114" si="457">M114/I114</f>
        <v>0</v>
      </c>
      <c r="W114" s="189" t="e">
        <f t="shared" si="457"/>
        <v>#DIV/0!</v>
      </c>
      <c r="X114" s="189" t="e">
        <f t="shared" si="421"/>
        <v>#DIV/0!</v>
      </c>
      <c r="Y114" s="186">
        <f t="shared" ref="Y114:BK114" si="458">SUM(Y115:Y118)</f>
        <v>0</v>
      </c>
      <c r="Z114" s="186">
        <f t="shared" si="458"/>
        <v>0</v>
      </c>
      <c r="AA114" s="186">
        <f t="shared" si="458"/>
        <v>0</v>
      </c>
      <c r="AB114" s="186">
        <f t="shared" si="458"/>
        <v>0</v>
      </c>
      <c r="AC114" s="186">
        <f t="shared" si="458"/>
        <v>0</v>
      </c>
      <c r="AD114" s="186">
        <f t="shared" si="458"/>
        <v>0</v>
      </c>
      <c r="AE114" s="186">
        <f t="shared" si="458"/>
        <v>0</v>
      </c>
      <c r="AF114" s="186">
        <f t="shared" si="458"/>
        <v>0</v>
      </c>
      <c r="AG114" s="186">
        <f t="shared" si="458"/>
        <v>0</v>
      </c>
      <c r="AH114" s="186">
        <f t="shared" si="458"/>
        <v>0</v>
      </c>
      <c r="AI114" s="186">
        <f t="shared" si="458"/>
        <v>0</v>
      </c>
      <c r="AJ114" s="186">
        <f t="shared" si="458"/>
        <v>0</v>
      </c>
      <c r="AK114" s="186">
        <f t="shared" si="458"/>
        <v>0</v>
      </c>
      <c r="AL114" s="186">
        <f t="shared" si="458"/>
        <v>0</v>
      </c>
      <c r="AM114" s="186">
        <f t="shared" si="458"/>
        <v>0</v>
      </c>
      <c r="AN114" s="186">
        <f t="shared" si="458"/>
        <v>0</v>
      </c>
      <c r="AO114" s="186">
        <f t="shared" si="458"/>
        <v>0</v>
      </c>
      <c r="AP114" s="186">
        <f t="shared" si="458"/>
        <v>0</v>
      </c>
      <c r="AQ114" s="186">
        <f t="shared" si="458"/>
        <v>0</v>
      </c>
      <c r="AR114" s="186">
        <f t="shared" si="458"/>
        <v>0</v>
      </c>
      <c r="AS114" s="186">
        <f t="shared" si="458"/>
        <v>0</v>
      </c>
      <c r="AT114" s="186">
        <f t="shared" si="458"/>
        <v>0</v>
      </c>
      <c r="AU114" s="186">
        <f t="shared" si="458"/>
        <v>0</v>
      </c>
      <c r="AV114" s="186">
        <f t="shared" si="458"/>
        <v>0</v>
      </c>
      <c r="AW114" s="186">
        <f t="shared" si="458"/>
        <v>0</v>
      </c>
      <c r="AX114" s="186">
        <f t="shared" si="458"/>
        <v>0</v>
      </c>
      <c r="AY114" s="186">
        <f t="shared" si="458"/>
        <v>0</v>
      </c>
      <c r="AZ114" s="186">
        <f t="shared" si="458"/>
        <v>0</v>
      </c>
      <c r="BA114" s="186">
        <f t="shared" si="458"/>
        <v>0</v>
      </c>
      <c r="BB114" s="186">
        <f t="shared" si="458"/>
        <v>0</v>
      </c>
      <c r="BC114" s="186">
        <f t="shared" si="458"/>
        <v>0</v>
      </c>
      <c r="BD114" s="186">
        <f t="shared" si="458"/>
        <v>0</v>
      </c>
      <c r="BE114" s="186">
        <f t="shared" si="458"/>
        <v>0</v>
      </c>
      <c r="BF114" s="186">
        <f t="shared" si="458"/>
        <v>0</v>
      </c>
      <c r="BG114" s="186">
        <f t="shared" si="458"/>
        <v>0</v>
      </c>
      <c r="BH114" s="186">
        <f t="shared" si="458"/>
        <v>0</v>
      </c>
      <c r="BI114" s="186">
        <f t="shared" si="458"/>
        <v>0</v>
      </c>
      <c r="BJ114" s="186">
        <f t="shared" si="458"/>
        <v>0</v>
      </c>
      <c r="BK114" s="186">
        <f t="shared" si="458"/>
        <v>0</v>
      </c>
      <c r="BL114" s="157"/>
      <c r="BM114" s="158"/>
      <c r="BN114" s="158"/>
      <c r="BO114" s="158"/>
      <c r="BP114" s="158"/>
    </row>
    <row r="115" spans="1:68" ht="15.75" customHeight="1">
      <c r="A115" s="354" t="s">
        <v>667</v>
      </c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68"/>
        <v>1.4666666666666666</v>
      </c>
      <c r="H115" s="94">
        <f t="shared" si="369"/>
        <v>0</v>
      </c>
      <c r="I115" s="367">
        <v>26400</v>
      </c>
      <c r="J115" s="96"/>
      <c r="K115" s="96"/>
      <c r="L115" s="95"/>
      <c r="M115" s="97">
        <f t="shared" ref="M115:O115" si="459">Y115+AB115+AE115+AH115+AK115+AN115+AQ115+AT115+AW115+AZ115+BC115+BF115</f>
        <v>0</v>
      </c>
      <c r="N115" s="97">
        <f t="shared" si="459"/>
        <v>0</v>
      </c>
      <c r="O115" s="97">
        <f t="shared" si="459"/>
        <v>0</v>
      </c>
      <c r="P115" s="97">
        <f t="shared" ref="P115:R115" si="460">IF(BI115=0,SUM(Y115+AB115+AE115+AH115+AK115+AN115+AQ115+AT115+AW115+AZ115+BC115+BF115),BI115)</f>
        <v>0</v>
      </c>
      <c r="Q115" s="97">
        <f t="shared" si="460"/>
        <v>0</v>
      </c>
      <c r="R115" s="97">
        <f t="shared" si="460"/>
        <v>0</v>
      </c>
      <c r="S115" s="97">
        <f t="shared" ref="S115:T115" si="461">I115-M115</f>
        <v>26400</v>
      </c>
      <c r="T115" s="97">
        <f t="shared" si="461"/>
        <v>0</v>
      </c>
      <c r="U115" s="97">
        <f t="shared" ref="U115:U118" si="462">L115-O115</f>
        <v>0</v>
      </c>
      <c r="V115" s="98">
        <f t="shared" ref="V115:W115" si="463">M115/I115</f>
        <v>0</v>
      </c>
      <c r="W115" s="98" t="e">
        <f t="shared" si="463"/>
        <v>#DIV/0!</v>
      </c>
      <c r="X115" s="98" t="e">
        <f t="shared" si="42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68"/>
        <v>0</v>
      </c>
      <c r="H116" s="94">
        <f t="shared" si="369"/>
        <v>0</v>
      </c>
      <c r="I116" s="96"/>
      <c r="J116" s="96"/>
      <c r="K116" s="96"/>
      <c r="L116" s="95"/>
      <c r="M116" s="97">
        <f t="shared" ref="M116:O116" si="464">Y116+AB116+AE116+AH116+AK116+AN116+AQ116+AT116+AW116+AZ116+BC116+BF116</f>
        <v>0</v>
      </c>
      <c r="N116" s="97">
        <f t="shared" si="464"/>
        <v>0</v>
      </c>
      <c r="O116" s="97">
        <f t="shared" si="464"/>
        <v>0</v>
      </c>
      <c r="P116" s="97">
        <f t="shared" ref="P116:R116" si="465">IF(BI116=0,SUM(Y116+AB116+AE116+AH116+AK116+AN116+AQ116+AT116+AW116+AZ116+BC116+BF116),BI116)</f>
        <v>0</v>
      </c>
      <c r="Q116" s="97">
        <f t="shared" si="465"/>
        <v>0</v>
      </c>
      <c r="R116" s="97">
        <f t="shared" si="465"/>
        <v>0</v>
      </c>
      <c r="S116" s="97">
        <f t="shared" ref="S116:T116" si="466">I116-M116</f>
        <v>0</v>
      </c>
      <c r="T116" s="97">
        <f t="shared" si="466"/>
        <v>0</v>
      </c>
      <c r="U116" s="97">
        <f t="shared" si="462"/>
        <v>0</v>
      </c>
      <c r="V116" s="98" t="e">
        <f t="shared" ref="V116:W116" si="467">M116/I116</f>
        <v>#DIV/0!</v>
      </c>
      <c r="W116" s="98" t="e">
        <f t="shared" si="467"/>
        <v>#DIV/0!</v>
      </c>
      <c r="X116" s="98" t="e">
        <f t="shared" si="42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68">Y117+AB117+AE117+AH117+AK117+AN117+AQ117+AT117+AW117+AZ117+BC117+BF117</f>
        <v>0</v>
      </c>
      <c r="N117" s="97">
        <f t="shared" si="468"/>
        <v>0</v>
      </c>
      <c r="O117" s="97">
        <f t="shared" si="468"/>
        <v>0</v>
      </c>
      <c r="P117" s="97">
        <f t="shared" ref="P117:R117" si="469">IF(BI117=0,SUM(Y117+AB117+AE117+AH117+AK117+AN117+AQ117+AT117+AW117+AZ117+BC117+BF117),BI117)</f>
        <v>0</v>
      </c>
      <c r="Q117" s="97">
        <f t="shared" si="469"/>
        <v>0</v>
      </c>
      <c r="R117" s="97">
        <f t="shared" si="469"/>
        <v>0</v>
      </c>
      <c r="S117" s="97">
        <f t="shared" ref="S117:T117" si="470">I117-M117</f>
        <v>0</v>
      </c>
      <c r="T117" s="97">
        <f t="shared" si="470"/>
        <v>0</v>
      </c>
      <c r="U117" s="97">
        <f t="shared" si="462"/>
        <v>0</v>
      </c>
      <c r="V117" s="98" t="e">
        <f t="shared" ref="V117:V127" si="471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472">M118/E118</f>
        <v>#DIV/0!</v>
      </c>
      <c r="I118" s="96"/>
      <c r="J118" s="96"/>
      <c r="K118" s="96"/>
      <c r="L118" s="95"/>
      <c r="M118" s="97">
        <f t="shared" ref="M118:O118" si="473">Y118+AB118+AE118+AH118+AK118+AN118+AQ118+AT118+AW118+AZ118+BC118+BF118</f>
        <v>0</v>
      </c>
      <c r="N118" s="97">
        <f t="shared" si="473"/>
        <v>0</v>
      </c>
      <c r="O118" s="97">
        <f t="shared" si="473"/>
        <v>0</v>
      </c>
      <c r="P118" s="97">
        <f t="shared" ref="P118:R118" si="474">IF(BI118=0,SUM(Y118+AB118+AE118+AH118+AK118+AN118+AQ118+AT118+AW118+AZ118+BC118+BF118),BI118)</f>
        <v>0</v>
      </c>
      <c r="Q118" s="97">
        <f t="shared" si="474"/>
        <v>0</v>
      </c>
      <c r="R118" s="97">
        <f t="shared" si="474"/>
        <v>0</v>
      </c>
      <c r="S118" s="97">
        <f t="shared" ref="S118:T118" si="475">I118-M118</f>
        <v>0</v>
      </c>
      <c r="T118" s="97">
        <f t="shared" si="475"/>
        <v>0</v>
      </c>
      <c r="U118" s="97">
        <f t="shared" si="462"/>
        <v>0</v>
      </c>
      <c r="V118" s="98" t="e">
        <f t="shared" si="471"/>
        <v>#DIV/0!</v>
      </c>
      <c r="W118" s="98" t="e">
        <f t="shared" ref="W118:W127" si="476">N118/J118</f>
        <v>#DIV/0!</v>
      </c>
      <c r="X118" s="98" t="e">
        <f t="shared" ref="X118:X127" si="477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478">E120+E130+E136+E140</f>
        <v>152177.47999999998</v>
      </c>
      <c r="F119" s="186">
        <f t="shared" si="478"/>
        <v>1173964.47</v>
      </c>
      <c r="G119" s="225" t="e">
        <f t="shared" si="478"/>
        <v>#DIV/0!</v>
      </c>
      <c r="H119" s="223">
        <f t="shared" si="472"/>
        <v>0</v>
      </c>
      <c r="I119" s="186">
        <f t="shared" ref="I119:U119" si="479">I120+I130+I136+I140</f>
        <v>487261.72</v>
      </c>
      <c r="J119" s="186">
        <f t="shared" si="479"/>
        <v>665873.97</v>
      </c>
      <c r="K119" s="186">
        <f t="shared" si="479"/>
        <v>0</v>
      </c>
      <c r="L119" s="186">
        <f t="shared" si="479"/>
        <v>0</v>
      </c>
      <c r="M119" s="186">
        <f t="shared" si="479"/>
        <v>0</v>
      </c>
      <c r="N119" s="186">
        <f t="shared" si="479"/>
        <v>399343.44</v>
      </c>
      <c r="O119" s="186">
        <f t="shared" si="479"/>
        <v>0</v>
      </c>
      <c r="P119" s="186">
        <f t="shared" si="479"/>
        <v>0</v>
      </c>
      <c r="Q119" s="186">
        <f t="shared" si="479"/>
        <v>399343.44</v>
      </c>
      <c r="R119" s="186">
        <f t="shared" si="479"/>
        <v>0</v>
      </c>
      <c r="S119" s="186">
        <f t="shared" si="479"/>
        <v>487261.72</v>
      </c>
      <c r="T119" s="186">
        <f t="shared" si="479"/>
        <v>266530.52999999997</v>
      </c>
      <c r="U119" s="186">
        <f t="shared" si="479"/>
        <v>0</v>
      </c>
      <c r="V119" s="189">
        <f t="shared" si="471"/>
        <v>0</v>
      </c>
      <c r="W119" s="189">
        <f t="shared" si="476"/>
        <v>0.59972826389354128</v>
      </c>
      <c r="X119" s="189" t="e">
        <f t="shared" si="477"/>
        <v>#DIV/0!</v>
      </c>
      <c r="Y119" s="186">
        <f t="shared" ref="Y119:BK119" si="480">Y120+Y130+Y136+Y140</f>
        <v>0</v>
      </c>
      <c r="Z119" s="186">
        <f t="shared" si="480"/>
        <v>0</v>
      </c>
      <c r="AA119" s="186">
        <f t="shared" si="480"/>
        <v>0</v>
      </c>
      <c r="AB119" s="186">
        <f t="shared" si="480"/>
        <v>0</v>
      </c>
      <c r="AC119" s="186">
        <f t="shared" si="480"/>
        <v>61206.74</v>
      </c>
      <c r="AD119" s="186">
        <f t="shared" si="480"/>
        <v>0</v>
      </c>
      <c r="AE119" s="186">
        <f t="shared" si="480"/>
        <v>0</v>
      </c>
      <c r="AF119" s="186">
        <f t="shared" si="480"/>
        <v>63661.509999999995</v>
      </c>
      <c r="AG119" s="186">
        <f t="shared" si="480"/>
        <v>0</v>
      </c>
      <c r="AH119" s="186">
        <f t="shared" si="480"/>
        <v>0</v>
      </c>
      <c r="AI119" s="186">
        <f t="shared" si="480"/>
        <v>166468.45000000001</v>
      </c>
      <c r="AJ119" s="186">
        <f t="shared" si="480"/>
        <v>0</v>
      </c>
      <c r="AK119" s="186">
        <f t="shared" si="480"/>
        <v>0</v>
      </c>
      <c r="AL119" s="186">
        <f t="shared" si="480"/>
        <v>51200.4</v>
      </c>
      <c r="AM119" s="186">
        <f t="shared" si="480"/>
        <v>0</v>
      </c>
      <c r="AN119" s="186">
        <f t="shared" si="480"/>
        <v>0</v>
      </c>
      <c r="AO119" s="186">
        <f t="shared" si="480"/>
        <v>56806.34</v>
      </c>
      <c r="AP119" s="186">
        <f t="shared" si="480"/>
        <v>0</v>
      </c>
      <c r="AQ119" s="186">
        <f t="shared" si="480"/>
        <v>0</v>
      </c>
      <c r="AR119" s="186">
        <f t="shared" si="480"/>
        <v>0</v>
      </c>
      <c r="AS119" s="186">
        <f t="shared" si="480"/>
        <v>0</v>
      </c>
      <c r="AT119" s="186">
        <f t="shared" si="480"/>
        <v>0</v>
      </c>
      <c r="AU119" s="186">
        <f t="shared" si="480"/>
        <v>0</v>
      </c>
      <c r="AV119" s="186">
        <f t="shared" si="480"/>
        <v>0</v>
      </c>
      <c r="AW119" s="186">
        <f t="shared" si="480"/>
        <v>0</v>
      </c>
      <c r="AX119" s="186">
        <f t="shared" si="480"/>
        <v>0</v>
      </c>
      <c r="AY119" s="186">
        <f t="shared" si="480"/>
        <v>0</v>
      </c>
      <c r="AZ119" s="186">
        <f t="shared" si="480"/>
        <v>0</v>
      </c>
      <c r="BA119" s="186">
        <f t="shared" si="480"/>
        <v>0</v>
      </c>
      <c r="BB119" s="186">
        <f t="shared" si="480"/>
        <v>0</v>
      </c>
      <c r="BC119" s="186">
        <f t="shared" si="480"/>
        <v>0</v>
      </c>
      <c r="BD119" s="186">
        <f t="shared" si="480"/>
        <v>0</v>
      </c>
      <c r="BE119" s="186">
        <f t="shared" si="480"/>
        <v>0</v>
      </c>
      <c r="BF119" s="186">
        <f t="shared" si="480"/>
        <v>0</v>
      </c>
      <c r="BG119" s="186">
        <f t="shared" si="480"/>
        <v>0</v>
      </c>
      <c r="BH119" s="186">
        <f t="shared" si="480"/>
        <v>0</v>
      </c>
      <c r="BI119" s="186">
        <f t="shared" si="480"/>
        <v>0</v>
      </c>
      <c r="BJ119" s="186">
        <f t="shared" si="480"/>
        <v>0</v>
      </c>
      <c r="BK119" s="186">
        <f t="shared" si="480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481">SUM(E121:E129)</f>
        <v>152177.47999999998</v>
      </c>
      <c r="F120" s="231">
        <f t="shared" si="481"/>
        <v>0</v>
      </c>
      <c r="G120" s="187">
        <f t="shared" ref="G120:G127" si="482">I120/E120</f>
        <v>0</v>
      </c>
      <c r="H120" s="187">
        <f t="shared" si="472"/>
        <v>0</v>
      </c>
      <c r="I120" s="231">
        <f t="shared" ref="I120:O120" si="483">SUM(I121:I129)</f>
        <v>0</v>
      </c>
      <c r="J120" s="231">
        <f t="shared" si="483"/>
        <v>457969.89</v>
      </c>
      <c r="K120" s="231">
        <f t="shared" si="483"/>
        <v>0</v>
      </c>
      <c r="L120" s="231">
        <f t="shared" si="483"/>
        <v>0</v>
      </c>
      <c r="M120" s="231">
        <f t="shared" si="483"/>
        <v>0</v>
      </c>
      <c r="N120" s="231">
        <f t="shared" si="483"/>
        <v>234915.99</v>
      </c>
      <c r="O120" s="231">
        <f t="shared" si="483"/>
        <v>0</v>
      </c>
      <c r="P120" s="232">
        <f t="shared" ref="P120:R120" si="484">IF(BI120=0,SUM(Y120+AB120+AE120+AH120+AK120+AN120+AQ120+AT120+AW120+AZ120+BC120+BF120),BI120)</f>
        <v>0</v>
      </c>
      <c r="Q120" s="232">
        <f t="shared" si="484"/>
        <v>234915.99</v>
      </c>
      <c r="R120" s="232">
        <f t="shared" si="484"/>
        <v>0</v>
      </c>
      <c r="S120" s="231">
        <f t="shared" ref="S120:U120" si="485">SUM(S121:S129)</f>
        <v>0</v>
      </c>
      <c r="T120" s="231">
        <f t="shared" si="485"/>
        <v>223053.9</v>
      </c>
      <c r="U120" s="231">
        <f t="shared" si="485"/>
        <v>0</v>
      </c>
      <c r="V120" s="188" t="e">
        <f t="shared" si="471"/>
        <v>#DIV/0!</v>
      </c>
      <c r="W120" s="188">
        <f t="shared" si="476"/>
        <v>0.51295073132427982</v>
      </c>
      <c r="X120" s="188" t="e">
        <f t="shared" si="477"/>
        <v>#DIV/0!</v>
      </c>
      <c r="Y120" s="231">
        <f t="shared" ref="Y120:BK120" si="486">SUM(Y121:Y129)</f>
        <v>0</v>
      </c>
      <c r="Z120" s="231">
        <f t="shared" si="486"/>
        <v>0</v>
      </c>
      <c r="AA120" s="231">
        <f t="shared" si="486"/>
        <v>0</v>
      </c>
      <c r="AB120" s="231">
        <f t="shared" si="486"/>
        <v>0</v>
      </c>
      <c r="AC120" s="231">
        <f t="shared" si="486"/>
        <v>61206.74</v>
      </c>
      <c r="AD120" s="231">
        <f t="shared" si="486"/>
        <v>0</v>
      </c>
      <c r="AE120" s="231">
        <f t="shared" si="486"/>
        <v>0</v>
      </c>
      <c r="AF120" s="231">
        <f t="shared" si="486"/>
        <v>0</v>
      </c>
      <c r="AG120" s="231">
        <f t="shared" si="486"/>
        <v>0</v>
      </c>
      <c r="AH120" s="231">
        <f t="shared" si="486"/>
        <v>0</v>
      </c>
      <c r="AI120" s="231">
        <f t="shared" si="486"/>
        <v>95054.76</v>
      </c>
      <c r="AJ120" s="231">
        <f t="shared" si="486"/>
        <v>0</v>
      </c>
      <c r="AK120" s="231">
        <f t="shared" si="486"/>
        <v>0</v>
      </c>
      <c r="AL120" s="231">
        <f t="shared" si="486"/>
        <v>21848.15</v>
      </c>
      <c r="AM120" s="231">
        <f t="shared" si="486"/>
        <v>0</v>
      </c>
      <c r="AN120" s="231">
        <f t="shared" si="486"/>
        <v>0</v>
      </c>
      <c r="AO120" s="231">
        <f t="shared" si="486"/>
        <v>56806.34</v>
      </c>
      <c r="AP120" s="231">
        <f t="shared" si="486"/>
        <v>0</v>
      </c>
      <c r="AQ120" s="231">
        <f t="shared" si="486"/>
        <v>0</v>
      </c>
      <c r="AR120" s="231">
        <f t="shared" si="486"/>
        <v>0</v>
      </c>
      <c r="AS120" s="231">
        <f t="shared" si="486"/>
        <v>0</v>
      </c>
      <c r="AT120" s="231">
        <f t="shared" si="486"/>
        <v>0</v>
      </c>
      <c r="AU120" s="231">
        <f t="shared" si="486"/>
        <v>0</v>
      </c>
      <c r="AV120" s="231">
        <f t="shared" si="486"/>
        <v>0</v>
      </c>
      <c r="AW120" s="231">
        <f t="shared" si="486"/>
        <v>0</v>
      </c>
      <c r="AX120" s="231">
        <f t="shared" si="486"/>
        <v>0</v>
      </c>
      <c r="AY120" s="231">
        <f t="shared" si="486"/>
        <v>0</v>
      </c>
      <c r="AZ120" s="231">
        <f t="shared" si="486"/>
        <v>0</v>
      </c>
      <c r="BA120" s="231">
        <f t="shared" si="486"/>
        <v>0</v>
      </c>
      <c r="BB120" s="231">
        <f t="shared" si="486"/>
        <v>0</v>
      </c>
      <c r="BC120" s="231">
        <f t="shared" si="486"/>
        <v>0</v>
      </c>
      <c r="BD120" s="231">
        <f t="shared" si="486"/>
        <v>0</v>
      </c>
      <c r="BE120" s="231">
        <f t="shared" si="486"/>
        <v>0</v>
      </c>
      <c r="BF120" s="231">
        <f t="shared" si="486"/>
        <v>0</v>
      </c>
      <c r="BG120" s="231">
        <f t="shared" si="486"/>
        <v>0</v>
      </c>
      <c r="BH120" s="231">
        <f t="shared" si="486"/>
        <v>0</v>
      </c>
      <c r="BI120" s="231">
        <f t="shared" si="486"/>
        <v>0</v>
      </c>
      <c r="BJ120" s="231">
        <f t="shared" si="486"/>
        <v>0</v>
      </c>
      <c r="BK120" s="231">
        <f t="shared" si="486"/>
        <v>0</v>
      </c>
      <c r="BL120" s="233"/>
      <c r="BM120" s="234"/>
      <c r="BN120" s="234"/>
      <c r="BO120" s="234"/>
      <c r="BP120" s="234"/>
    </row>
    <row r="121" spans="1:68" ht="15.75" customHeight="1">
      <c r="A121" s="111"/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482"/>
        <v>0</v>
      </c>
      <c r="H121" s="94">
        <f t="shared" si="472"/>
        <v>0</v>
      </c>
      <c r="I121" s="96"/>
      <c r="J121" s="96"/>
      <c r="K121" s="96"/>
      <c r="L121" s="96"/>
      <c r="M121" s="97">
        <f t="shared" ref="M121:O121" si="487">Y121+AB121+AE121+AH121+AK121+AN121+AQ121+AT121+AW121+AZ121+BC121+BF121</f>
        <v>0</v>
      </c>
      <c r="N121" s="97">
        <f t="shared" si="487"/>
        <v>0</v>
      </c>
      <c r="O121" s="97">
        <f t="shared" si="487"/>
        <v>0</v>
      </c>
      <c r="P121" s="97">
        <f t="shared" ref="P121:R121" si="488">IF(BI121=0,SUM(Y121+AB121+AE121+AH121+AK121+AN121+AQ121+AT121+AW121+AZ121+BC121+BF121),BI121)</f>
        <v>0</v>
      </c>
      <c r="Q121" s="97">
        <f t="shared" si="488"/>
        <v>0</v>
      </c>
      <c r="R121" s="97">
        <f t="shared" si="488"/>
        <v>0</v>
      </c>
      <c r="S121" s="97">
        <f t="shared" ref="S121:T121" si="489">I121-M121</f>
        <v>0</v>
      </c>
      <c r="T121" s="97">
        <f t="shared" si="489"/>
        <v>0</v>
      </c>
      <c r="U121" s="97">
        <f t="shared" ref="U121:U129" si="490">L121-O121</f>
        <v>0</v>
      </c>
      <c r="V121" s="94" t="e">
        <f t="shared" si="471"/>
        <v>#DIV/0!</v>
      </c>
      <c r="W121" s="94" t="e">
        <f t="shared" si="476"/>
        <v>#DIV/0!</v>
      </c>
      <c r="X121" s="94" t="e">
        <f t="shared" si="477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482"/>
        <v>#DIV/0!</v>
      </c>
      <c r="H122" s="94" t="e">
        <f t="shared" si="472"/>
        <v>#DIV/0!</v>
      </c>
      <c r="I122" s="96"/>
      <c r="J122" s="96"/>
      <c r="K122" s="96"/>
      <c r="L122" s="96"/>
      <c r="M122" s="97">
        <f t="shared" ref="M122:O122" si="491">Y122+AB122+AE122+AH122+AK122+AN122+AQ122+AT122+AW122+AZ122+BC122+BF122</f>
        <v>0</v>
      </c>
      <c r="N122" s="97">
        <f t="shared" si="491"/>
        <v>0</v>
      </c>
      <c r="O122" s="97">
        <f t="shared" si="491"/>
        <v>0</v>
      </c>
      <c r="P122" s="97">
        <f t="shared" ref="P122:R122" si="492">IF(BI122=0,SUM(Y122+AB122+AE122+AH122+AK122+AN122+AQ122+AT122+AW122+AZ122+BC122+BF122),BI122)</f>
        <v>0</v>
      </c>
      <c r="Q122" s="97">
        <f t="shared" si="492"/>
        <v>0</v>
      </c>
      <c r="R122" s="97">
        <f t="shared" si="492"/>
        <v>0</v>
      </c>
      <c r="S122" s="97">
        <f t="shared" ref="S122:T122" si="493">I122-M122</f>
        <v>0</v>
      </c>
      <c r="T122" s="97">
        <f t="shared" si="493"/>
        <v>0</v>
      </c>
      <c r="U122" s="97">
        <f t="shared" si="490"/>
        <v>0</v>
      </c>
      <c r="V122" s="94" t="e">
        <f t="shared" si="471"/>
        <v>#DIV/0!</v>
      </c>
      <c r="W122" s="94" t="e">
        <f t="shared" si="476"/>
        <v>#DIV/0!</v>
      </c>
      <c r="X122" s="94" t="e">
        <f t="shared" si="477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482"/>
        <v>#DIV/0!</v>
      </c>
      <c r="H123" s="94" t="e">
        <f t="shared" si="472"/>
        <v>#DIV/0!</v>
      </c>
      <c r="I123" s="96"/>
      <c r="J123" s="96"/>
      <c r="K123" s="96"/>
      <c r="L123" s="96"/>
      <c r="M123" s="97">
        <f t="shared" ref="M123:O123" si="494">Y123+AB123+AE123+AH123+AK123+AN123+AQ123+AT123+AW123+AZ123+BC123+BF123</f>
        <v>0</v>
      </c>
      <c r="N123" s="97">
        <f t="shared" si="494"/>
        <v>0</v>
      </c>
      <c r="O123" s="97">
        <f t="shared" si="494"/>
        <v>0</v>
      </c>
      <c r="P123" s="97">
        <f t="shared" ref="P123:R123" si="495">IF(BI123=0,SUM(Y123+AB123+AE123+AH123+AK123+AN123+AQ123+AT123+AW123+AZ123+BC123+BF123),BI123)</f>
        <v>0</v>
      </c>
      <c r="Q123" s="97">
        <f t="shared" si="495"/>
        <v>0</v>
      </c>
      <c r="R123" s="97">
        <f t="shared" si="495"/>
        <v>0</v>
      </c>
      <c r="S123" s="97">
        <f t="shared" ref="S123:T123" si="496">I123-M123</f>
        <v>0</v>
      </c>
      <c r="T123" s="97">
        <f t="shared" si="496"/>
        <v>0</v>
      </c>
      <c r="U123" s="97">
        <f t="shared" si="490"/>
        <v>0</v>
      </c>
      <c r="V123" s="94" t="e">
        <f t="shared" si="471"/>
        <v>#DIV/0!</v>
      </c>
      <c r="W123" s="94" t="e">
        <f t="shared" si="476"/>
        <v>#DIV/0!</v>
      </c>
      <c r="X123" s="94" t="e">
        <f t="shared" si="477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482"/>
        <v>#DIV/0!</v>
      </c>
      <c r="H124" s="94" t="e">
        <f t="shared" si="472"/>
        <v>#DIV/0!</v>
      </c>
      <c r="I124" s="96"/>
      <c r="J124" s="96"/>
      <c r="K124" s="96"/>
      <c r="L124" s="96"/>
      <c r="M124" s="97">
        <f t="shared" ref="M124:O124" si="497">Y124+AB124+AE124+AH124+AK124+AN124+AQ124+AT124+AW124+AZ124+BC124+BF124</f>
        <v>0</v>
      </c>
      <c r="N124" s="97">
        <f t="shared" si="497"/>
        <v>0</v>
      </c>
      <c r="O124" s="97">
        <f t="shared" si="497"/>
        <v>0</v>
      </c>
      <c r="P124" s="97">
        <f t="shared" ref="P124:R124" si="498">IF(BI124=0,SUM(Y124+AB124+AE124+AH124+AK124+AN124+AQ124+AT124+AW124+AZ124+BC124+BF124),BI124)</f>
        <v>0</v>
      </c>
      <c r="Q124" s="97">
        <f t="shared" si="498"/>
        <v>0</v>
      </c>
      <c r="R124" s="97">
        <f t="shared" si="498"/>
        <v>0</v>
      </c>
      <c r="S124" s="97">
        <f t="shared" ref="S124:T124" si="499">I124-M124</f>
        <v>0</v>
      </c>
      <c r="T124" s="97">
        <f t="shared" si="499"/>
        <v>0</v>
      </c>
      <c r="U124" s="97">
        <f t="shared" si="490"/>
        <v>0</v>
      </c>
      <c r="V124" s="94" t="e">
        <f t="shared" si="471"/>
        <v>#DIV/0!</v>
      </c>
      <c r="W124" s="94" t="e">
        <f t="shared" si="476"/>
        <v>#DIV/0!</v>
      </c>
      <c r="X124" s="94" t="e">
        <f t="shared" si="477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668</v>
      </c>
      <c r="E125" s="166"/>
      <c r="F125" s="166"/>
      <c r="G125" s="94" t="e">
        <f t="shared" si="482"/>
        <v>#DIV/0!</v>
      </c>
      <c r="H125" s="94" t="e">
        <f t="shared" si="472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00">Y125+AB125+AE125+AH125+AK125+AN125+AQ125+AT125+AW125+AZ125+BC125+BF125</f>
        <v>0</v>
      </c>
      <c r="N125" s="97">
        <f t="shared" si="500"/>
        <v>0</v>
      </c>
      <c r="O125" s="97">
        <f t="shared" si="500"/>
        <v>0</v>
      </c>
      <c r="P125" s="97">
        <f t="shared" ref="P125:R125" si="501">IF(BI125=0,SUM(Y125+AB125+AE125+AH125+AK125+AN125+AQ125+AT125+AW125+AZ125+BC125+BF125),BI125)</f>
        <v>0</v>
      </c>
      <c r="Q125" s="97">
        <f t="shared" si="501"/>
        <v>0</v>
      </c>
      <c r="R125" s="97">
        <f t="shared" si="501"/>
        <v>0</v>
      </c>
      <c r="S125" s="97">
        <f t="shared" ref="S125:T125" si="502">I125-M125</f>
        <v>0</v>
      </c>
      <c r="T125" s="97">
        <f t="shared" si="502"/>
        <v>5199.4000000000005</v>
      </c>
      <c r="U125" s="97">
        <f t="shared" si="490"/>
        <v>0</v>
      </c>
      <c r="V125" s="94" t="e">
        <f t="shared" si="471"/>
        <v>#DIV/0!</v>
      </c>
      <c r="W125" s="94">
        <f t="shared" si="476"/>
        <v>0</v>
      </c>
      <c r="X125" s="94" t="e">
        <f t="shared" si="477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482"/>
        <v>0</v>
      </c>
      <c r="H126" s="94">
        <f t="shared" si="472"/>
        <v>0</v>
      </c>
      <c r="I126" s="96"/>
      <c r="J126" s="96"/>
      <c r="K126" s="96"/>
      <c r="L126" s="96"/>
      <c r="M126" s="97">
        <f t="shared" ref="M126:O126" si="503">Y126+AB126+AE126+AH126+AK126+AN126+AQ126+AT126+AW126+AZ126+BC126+BF126</f>
        <v>0</v>
      </c>
      <c r="N126" s="97">
        <f t="shared" si="503"/>
        <v>0</v>
      </c>
      <c r="O126" s="97">
        <f t="shared" si="503"/>
        <v>0</v>
      </c>
      <c r="P126" s="97">
        <f t="shared" ref="P126:R126" si="504">IF(BI126=0,SUM(Y126+AB126+AE126+AH126+AK126+AN126+AQ126+AT126+AW126+AZ126+BC126+BF126),BI126)</f>
        <v>0</v>
      </c>
      <c r="Q126" s="97">
        <f t="shared" si="504"/>
        <v>0</v>
      </c>
      <c r="R126" s="97">
        <f t="shared" si="504"/>
        <v>0</v>
      </c>
      <c r="S126" s="97">
        <f t="shared" ref="S126:T126" si="505">I126-M126</f>
        <v>0</v>
      </c>
      <c r="T126" s="97">
        <f t="shared" si="505"/>
        <v>0</v>
      </c>
      <c r="U126" s="97">
        <f t="shared" si="490"/>
        <v>0</v>
      </c>
      <c r="V126" s="94" t="e">
        <f t="shared" si="471"/>
        <v>#DIV/0!</v>
      </c>
      <c r="W126" s="94" t="e">
        <f t="shared" si="476"/>
        <v>#DIV/0!</v>
      </c>
      <c r="X126" s="94" t="e">
        <f t="shared" si="477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482"/>
        <v>#DIV/0!</v>
      </c>
      <c r="H127" s="94" t="e">
        <f t="shared" si="472"/>
        <v>#DIV/0!</v>
      </c>
      <c r="I127" s="96"/>
      <c r="J127" s="96"/>
      <c r="K127" s="96"/>
      <c r="L127" s="96"/>
      <c r="M127" s="97">
        <f t="shared" ref="M127:O127" si="506">Y127+AB127+AE127+AH127+AK127+AN127+AQ127+AT127+AW127+AZ127+BC127+BF127</f>
        <v>0</v>
      </c>
      <c r="N127" s="97">
        <f t="shared" si="506"/>
        <v>0</v>
      </c>
      <c r="O127" s="97">
        <f t="shared" si="506"/>
        <v>0</v>
      </c>
      <c r="P127" s="97">
        <f t="shared" ref="P127:R127" si="507">IF(BI127=0,SUM(Y127+AB127+AE127+AH127+AK127+AN127+AQ127+AT127+AW127+AZ127+BC127+BF127),BI127)</f>
        <v>0</v>
      </c>
      <c r="Q127" s="97">
        <f t="shared" si="507"/>
        <v>0</v>
      </c>
      <c r="R127" s="97">
        <f t="shared" si="507"/>
        <v>0</v>
      </c>
      <c r="S127" s="97">
        <f t="shared" ref="S127:T127" si="508">I127-M127</f>
        <v>0</v>
      </c>
      <c r="T127" s="97">
        <f t="shared" si="508"/>
        <v>0</v>
      </c>
      <c r="U127" s="97">
        <f t="shared" si="490"/>
        <v>0</v>
      </c>
      <c r="V127" s="94" t="e">
        <f t="shared" si="471"/>
        <v>#DIV/0!</v>
      </c>
      <c r="W127" s="94" t="e">
        <f t="shared" si="476"/>
        <v>#DIV/0!</v>
      </c>
      <c r="X127" s="94" t="e">
        <f t="shared" si="477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669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09">Y128+AB128+AE128+AH128+AK128+AN128+AQ128+AT128+AW128+AZ128+BC128+BF128</f>
        <v>0</v>
      </c>
      <c r="N128" s="97">
        <f t="shared" si="509"/>
        <v>234915.99</v>
      </c>
      <c r="O128" s="97">
        <f t="shared" si="509"/>
        <v>0</v>
      </c>
      <c r="P128" s="97">
        <f t="shared" ref="P128:R128" si="510">IF(BI128=0,SUM(Y128+AB128+AE128+AH128+AK128+AN128+AQ128+AT128+AW128+AZ128+BC128+BF128),BI128)</f>
        <v>0</v>
      </c>
      <c r="Q128" s="97">
        <f t="shared" si="510"/>
        <v>234915.99</v>
      </c>
      <c r="R128" s="97">
        <f t="shared" si="510"/>
        <v>0</v>
      </c>
      <c r="S128" s="97">
        <f t="shared" ref="S128:T128" si="511">I128-M128</f>
        <v>0</v>
      </c>
      <c r="T128" s="97">
        <f t="shared" si="511"/>
        <v>217854.5</v>
      </c>
      <c r="U128" s="97">
        <f t="shared" si="490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103">
        <f>95054.76</f>
        <v>95054.76</v>
      </c>
      <c r="AJ128" s="96"/>
      <c r="AK128" s="96"/>
      <c r="AL128" s="103">
        <v>21848.15</v>
      </c>
      <c r="AM128" s="96"/>
      <c r="AN128" s="96"/>
      <c r="AO128" s="103">
        <v>56806.34</v>
      </c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12">I129/E129</f>
        <v>#DIV/0!</v>
      </c>
      <c r="H129" s="94" t="e">
        <f t="shared" ref="H129:H136" si="513">M129/E129</f>
        <v>#DIV/0!</v>
      </c>
      <c r="I129" s="96"/>
      <c r="J129" s="96"/>
      <c r="K129" s="96"/>
      <c r="L129" s="237"/>
      <c r="M129" s="97">
        <f t="shared" ref="M129:O129" si="514">Y129+AB129+AE129+AH129+AK129+AN129+AQ129+AT129+AW129+AZ129+BC129+BF129</f>
        <v>0</v>
      </c>
      <c r="N129" s="97">
        <f t="shared" si="514"/>
        <v>0</v>
      </c>
      <c r="O129" s="97">
        <f t="shared" si="514"/>
        <v>0</v>
      </c>
      <c r="P129" s="97">
        <f t="shared" ref="P129:R129" si="515">IF(BI129=0,SUM(Y129+AB129+AE129+AH129+AK129+AN129+AQ129+AT129+AW129+AZ129+BC129+BF129),BI129)</f>
        <v>0</v>
      </c>
      <c r="Q129" s="97">
        <f t="shared" si="515"/>
        <v>0</v>
      </c>
      <c r="R129" s="97">
        <f t="shared" si="515"/>
        <v>0</v>
      </c>
      <c r="S129" s="97">
        <f t="shared" ref="S129:T129" si="516">I129-M129</f>
        <v>0</v>
      </c>
      <c r="T129" s="97">
        <f t="shared" si="516"/>
        <v>0</v>
      </c>
      <c r="U129" s="97">
        <f t="shared" si="490"/>
        <v>0</v>
      </c>
      <c r="V129" s="94" t="e">
        <f t="shared" ref="V129:W129" si="517">M129/I129</f>
        <v>#DIV/0!</v>
      </c>
      <c r="W129" s="94" t="e">
        <f t="shared" si="517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18">SUM(E131:E135)</f>
        <v>0</v>
      </c>
      <c r="F130" s="231">
        <f t="shared" si="518"/>
        <v>216000</v>
      </c>
      <c r="G130" s="187" t="e">
        <f t="shared" si="512"/>
        <v>#DIV/0!</v>
      </c>
      <c r="H130" s="187" t="e">
        <f t="shared" si="513"/>
        <v>#DIV/0!</v>
      </c>
      <c r="I130" s="231">
        <f t="shared" ref="I130:O130" si="519">SUM(I131:I135)</f>
        <v>204403</v>
      </c>
      <c r="J130" s="231">
        <f t="shared" si="519"/>
        <v>0</v>
      </c>
      <c r="K130" s="231">
        <f t="shared" si="519"/>
        <v>0</v>
      </c>
      <c r="L130" s="231">
        <f t="shared" si="519"/>
        <v>0</v>
      </c>
      <c r="M130" s="231">
        <f t="shared" si="519"/>
        <v>0</v>
      </c>
      <c r="N130" s="238">
        <f t="shared" si="519"/>
        <v>0</v>
      </c>
      <c r="O130" s="238">
        <f t="shared" si="519"/>
        <v>0</v>
      </c>
      <c r="P130" s="238">
        <f t="shared" ref="P130:R130" si="520">IF(BI130=0,SUM(Y130+AB130+AE130+AH130+AK130+AN130+AQ130+AT130+AW130+AZ130+BC130+BF130),BI130)</f>
        <v>0</v>
      </c>
      <c r="Q130" s="238">
        <f t="shared" si="520"/>
        <v>0</v>
      </c>
      <c r="R130" s="238">
        <f t="shared" si="520"/>
        <v>0</v>
      </c>
      <c r="S130" s="238">
        <f t="shared" ref="S130:BK130" si="521">SUM(S131:S135)</f>
        <v>204403</v>
      </c>
      <c r="T130" s="238">
        <f t="shared" si="521"/>
        <v>0</v>
      </c>
      <c r="U130" s="238">
        <f t="shared" si="521"/>
        <v>0</v>
      </c>
      <c r="V130" s="238" t="e">
        <f t="shared" si="521"/>
        <v>#DIV/0!</v>
      </c>
      <c r="W130" s="238" t="e">
        <f t="shared" si="521"/>
        <v>#DIV/0!</v>
      </c>
      <c r="X130" s="238" t="e">
        <f t="shared" si="521"/>
        <v>#DIV/0!</v>
      </c>
      <c r="Y130" s="231">
        <f t="shared" si="521"/>
        <v>0</v>
      </c>
      <c r="Z130" s="231">
        <f t="shared" si="521"/>
        <v>0</v>
      </c>
      <c r="AA130" s="231">
        <f t="shared" si="521"/>
        <v>0</v>
      </c>
      <c r="AB130" s="231">
        <f t="shared" si="521"/>
        <v>0</v>
      </c>
      <c r="AC130" s="231">
        <f t="shared" si="521"/>
        <v>0</v>
      </c>
      <c r="AD130" s="231">
        <f t="shared" si="521"/>
        <v>0</v>
      </c>
      <c r="AE130" s="231">
        <f t="shared" si="521"/>
        <v>0</v>
      </c>
      <c r="AF130" s="231">
        <f t="shared" si="521"/>
        <v>0</v>
      </c>
      <c r="AG130" s="231">
        <f t="shared" si="521"/>
        <v>0</v>
      </c>
      <c r="AH130" s="231">
        <f t="shared" si="521"/>
        <v>0</v>
      </c>
      <c r="AI130" s="231">
        <f t="shared" si="521"/>
        <v>0</v>
      </c>
      <c r="AJ130" s="231">
        <f t="shared" si="521"/>
        <v>0</v>
      </c>
      <c r="AK130" s="231">
        <f t="shared" si="521"/>
        <v>0</v>
      </c>
      <c r="AL130" s="231">
        <f t="shared" si="521"/>
        <v>0</v>
      </c>
      <c r="AM130" s="231">
        <f t="shared" si="521"/>
        <v>0</v>
      </c>
      <c r="AN130" s="231">
        <f t="shared" si="521"/>
        <v>0</v>
      </c>
      <c r="AO130" s="231">
        <f t="shared" si="521"/>
        <v>0</v>
      </c>
      <c r="AP130" s="231">
        <f t="shared" si="521"/>
        <v>0</v>
      </c>
      <c r="AQ130" s="231">
        <f t="shared" si="521"/>
        <v>0</v>
      </c>
      <c r="AR130" s="231">
        <f t="shared" si="521"/>
        <v>0</v>
      </c>
      <c r="AS130" s="231">
        <f t="shared" si="521"/>
        <v>0</v>
      </c>
      <c r="AT130" s="231">
        <f t="shared" si="521"/>
        <v>0</v>
      </c>
      <c r="AU130" s="231">
        <f t="shared" si="521"/>
        <v>0</v>
      </c>
      <c r="AV130" s="231">
        <f t="shared" si="521"/>
        <v>0</v>
      </c>
      <c r="AW130" s="231">
        <f t="shared" si="521"/>
        <v>0</v>
      </c>
      <c r="AX130" s="231">
        <f t="shared" si="521"/>
        <v>0</v>
      </c>
      <c r="AY130" s="231">
        <f t="shared" si="521"/>
        <v>0</v>
      </c>
      <c r="AZ130" s="231">
        <f t="shared" si="521"/>
        <v>0</v>
      </c>
      <c r="BA130" s="231">
        <f t="shared" si="521"/>
        <v>0</v>
      </c>
      <c r="BB130" s="231">
        <f t="shared" si="521"/>
        <v>0</v>
      </c>
      <c r="BC130" s="231">
        <f t="shared" si="521"/>
        <v>0</v>
      </c>
      <c r="BD130" s="231">
        <f t="shared" si="521"/>
        <v>0</v>
      </c>
      <c r="BE130" s="231">
        <f t="shared" si="521"/>
        <v>0</v>
      </c>
      <c r="BF130" s="231">
        <f t="shared" si="521"/>
        <v>0</v>
      </c>
      <c r="BG130" s="231">
        <f t="shared" si="521"/>
        <v>0</v>
      </c>
      <c r="BH130" s="231">
        <f t="shared" si="521"/>
        <v>0</v>
      </c>
      <c r="BI130" s="231">
        <f t="shared" si="521"/>
        <v>0</v>
      </c>
      <c r="BJ130" s="231">
        <f t="shared" si="521"/>
        <v>0</v>
      </c>
      <c r="BK130" s="231">
        <f t="shared" si="521"/>
        <v>0</v>
      </c>
      <c r="BL130" s="233"/>
      <c r="BM130" s="234"/>
      <c r="BN130" s="234"/>
      <c r="BO130" s="234"/>
      <c r="BP130" s="234"/>
    </row>
    <row r="131" spans="1:68" ht="15.75" customHeight="1">
      <c r="A131" s="360" t="s">
        <v>670</v>
      </c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12"/>
        <v>#DIV/0!</v>
      </c>
      <c r="H131" s="94" t="e">
        <f t="shared" si="513"/>
        <v>#DIV/0!</v>
      </c>
      <c r="I131" s="103">
        <f>12000+192403</f>
        <v>204403</v>
      </c>
      <c r="J131" s="96"/>
      <c r="K131" s="96"/>
      <c r="L131" s="96"/>
      <c r="M131" s="97">
        <f t="shared" ref="M131:O131" si="522">Y131+AB131+AE131+AH131+AK131+AN131+AQ131+AT131+AW131+AZ131+BC131+BF131</f>
        <v>0</v>
      </c>
      <c r="N131" s="97">
        <f t="shared" si="522"/>
        <v>0</v>
      </c>
      <c r="O131" s="97">
        <f t="shared" si="522"/>
        <v>0</v>
      </c>
      <c r="P131" s="97">
        <f t="shared" ref="P131:R131" si="523">IF(BI131=0,SUM(Y131+AB131+AE131+AH131+AK131+AN131+AQ131+AT131+AW131+AZ131+BC131+BF131),BI131)</f>
        <v>0</v>
      </c>
      <c r="Q131" s="97">
        <f t="shared" si="523"/>
        <v>0</v>
      </c>
      <c r="R131" s="97">
        <f t="shared" si="523"/>
        <v>0</v>
      </c>
      <c r="S131" s="97">
        <f t="shared" ref="S131:T131" si="524">I131-M131</f>
        <v>204403</v>
      </c>
      <c r="T131" s="97">
        <f t="shared" si="524"/>
        <v>0</v>
      </c>
      <c r="U131" s="97">
        <f t="shared" ref="U131:U135" si="525">L131-O131</f>
        <v>0</v>
      </c>
      <c r="V131" s="98">
        <f t="shared" ref="V131:W131" si="526">M131/I131</f>
        <v>0</v>
      </c>
      <c r="W131" s="98" t="e">
        <f t="shared" si="526"/>
        <v>#DIV/0!</v>
      </c>
      <c r="X131" s="98" t="e">
        <f t="shared" ref="X131:X135" si="527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12"/>
        <v>#DIV/0!</v>
      </c>
      <c r="H132" s="94" t="e">
        <f t="shared" si="513"/>
        <v>#DIV/0!</v>
      </c>
      <c r="I132" s="96"/>
      <c r="J132" s="96"/>
      <c r="K132" s="96"/>
      <c r="L132" s="83"/>
      <c r="M132" s="97">
        <f t="shared" ref="M132:O132" si="528">Y132+AB132+AE132+AH132+AK132+AN132+AQ132+AT132+AW132+AZ132+BC132+BF132</f>
        <v>0</v>
      </c>
      <c r="N132" s="97">
        <f t="shared" si="528"/>
        <v>0</v>
      </c>
      <c r="O132" s="97">
        <f t="shared" si="528"/>
        <v>0</v>
      </c>
      <c r="P132" s="97">
        <f t="shared" ref="P132:R132" si="529">IF(BI132=0,SUM(Y132+AB132+AE132+AH132+AK132+AN132+AQ132+AT132+AW132+AZ132+BC132+BF132),BI132)</f>
        <v>0</v>
      </c>
      <c r="Q132" s="97">
        <f t="shared" si="529"/>
        <v>0</v>
      </c>
      <c r="R132" s="97">
        <f t="shared" si="529"/>
        <v>0</v>
      </c>
      <c r="S132" s="97">
        <f t="shared" ref="S132:T132" si="530">I132-M132</f>
        <v>0</v>
      </c>
      <c r="T132" s="97">
        <f t="shared" si="530"/>
        <v>0</v>
      </c>
      <c r="U132" s="97">
        <f t="shared" si="525"/>
        <v>0</v>
      </c>
      <c r="V132" s="98" t="e">
        <f t="shared" ref="V132:W132" si="531">M132/I132</f>
        <v>#DIV/0!</v>
      </c>
      <c r="W132" s="98" t="e">
        <f t="shared" si="531"/>
        <v>#DIV/0!</v>
      </c>
      <c r="X132" s="98" t="e">
        <f t="shared" si="527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12"/>
        <v>#DIV/0!</v>
      </c>
      <c r="H133" s="94" t="e">
        <f t="shared" si="513"/>
        <v>#DIV/0!</v>
      </c>
      <c r="I133" s="96"/>
      <c r="J133" s="96"/>
      <c r="K133" s="96"/>
      <c r="L133" s="96"/>
      <c r="M133" s="97">
        <f t="shared" ref="M133:O133" si="532">Y133+AB133+AE133+AH133+AK133+AN133+AQ133+AT133+AW133+AZ133+BC133+BF133</f>
        <v>0</v>
      </c>
      <c r="N133" s="97">
        <f t="shared" si="532"/>
        <v>0</v>
      </c>
      <c r="O133" s="97">
        <f t="shared" si="532"/>
        <v>0</v>
      </c>
      <c r="P133" s="97">
        <f t="shared" ref="P133:R133" si="533">IF(BI133=0,SUM(Y133+AB133+AE133+AH133+AK133+AN133+AQ133+AT133+AW133+AZ133+BC133+BF133),BI133)</f>
        <v>0</v>
      </c>
      <c r="Q133" s="97">
        <f t="shared" si="533"/>
        <v>0</v>
      </c>
      <c r="R133" s="97">
        <f t="shared" si="533"/>
        <v>0</v>
      </c>
      <c r="S133" s="97">
        <f t="shared" ref="S133:T133" si="534">I133-M133</f>
        <v>0</v>
      </c>
      <c r="T133" s="97">
        <f t="shared" si="534"/>
        <v>0</v>
      </c>
      <c r="U133" s="97">
        <f t="shared" si="525"/>
        <v>0</v>
      </c>
      <c r="V133" s="98" t="e">
        <f t="shared" ref="V133:W133" si="535">M133/I133</f>
        <v>#DIV/0!</v>
      </c>
      <c r="W133" s="98" t="e">
        <f t="shared" si="535"/>
        <v>#DIV/0!</v>
      </c>
      <c r="X133" s="98" t="e">
        <f t="shared" si="527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12"/>
        <v>#DIV/0!</v>
      </c>
      <c r="H134" s="94" t="e">
        <f t="shared" si="513"/>
        <v>#DIV/0!</v>
      </c>
      <c r="I134" s="96"/>
      <c r="J134" s="96"/>
      <c r="K134" s="96"/>
      <c r="L134" s="96"/>
      <c r="M134" s="97">
        <f t="shared" ref="M134:O134" si="536">Y134+AB134+AE134+AH134+AK134+AN134+AQ134+AT134+AW134+AZ134+BC134+BF134</f>
        <v>0</v>
      </c>
      <c r="N134" s="97">
        <f t="shared" si="536"/>
        <v>0</v>
      </c>
      <c r="O134" s="97">
        <f t="shared" si="536"/>
        <v>0</v>
      </c>
      <c r="P134" s="97">
        <f t="shared" ref="P134:R134" si="537">IF(BI134=0,SUM(Y134+AB134+AE134+AH134+AK134+AN134+AQ134+AT134+AW134+AZ134+BC134+BF134),BI134)</f>
        <v>0</v>
      </c>
      <c r="Q134" s="97">
        <f t="shared" si="537"/>
        <v>0</v>
      </c>
      <c r="R134" s="97">
        <f t="shared" si="537"/>
        <v>0</v>
      </c>
      <c r="S134" s="97">
        <f t="shared" ref="S134:T134" si="538">I134-M134</f>
        <v>0</v>
      </c>
      <c r="T134" s="97">
        <f t="shared" si="538"/>
        <v>0</v>
      </c>
      <c r="U134" s="97">
        <f t="shared" si="525"/>
        <v>0</v>
      </c>
      <c r="V134" s="98" t="e">
        <f t="shared" ref="V134:W134" si="539">M134/I134</f>
        <v>#DIV/0!</v>
      </c>
      <c r="W134" s="98" t="e">
        <f t="shared" si="539"/>
        <v>#DIV/0!</v>
      </c>
      <c r="X134" s="98" t="e">
        <f t="shared" si="527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12"/>
        <v>#DIV/0!</v>
      </c>
      <c r="H135" s="94" t="e">
        <f t="shared" si="513"/>
        <v>#DIV/0!</v>
      </c>
      <c r="I135" s="96"/>
      <c r="J135" s="96"/>
      <c r="K135" s="96"/>
      <c r="L135" s="239"/>
      <c r="M135" s="97">
        <f t="shared" ref="M135:O135" si="540">Y135+AB135+AE135+AH135+AK135+AN135+AQ135+AT135+AW135+AZ135+BC135+BF135</f>
        <v>0</v>
      </c>
      <c r="N135" s="97">
        <f t="shared" si="540"/>
        <v>0</v>
      </c>
      <c r="O135" s="97">
        <f t="shared" si="540"/>
        <v>0</v>
      </c>
      <c r="P135" s="97">
        <f t="shared" ref="P135:R135" si="541">IF(BI135=0,SUM(Y135+AB135+AE135+AH135+AK135+AN135+AQ135+AT135+AW135+AZ135+BC135+BF135),BI135)</f>
        <v>0</v>
      </c>
      <c r="Q135" s="97">
        <f t="shared" si="541"/>
        <v>0</v>
      </c>
      <c r="R135" s="97">
        <f t="shared" si="541"/>
        <v>0</v>
      </c>
      <c r="S135" s="97">
        <f t="shared" ref="S135:T135" si="542">I135-M135</f>
        <v>0</v>
      </c>
      <c r="T135" s="97">
        <f t="shared" si="542"/>
        <v>0</v>
      </c>
      <c r="U135" s="97">
        <f t="shared" si="525"/>
        <v>0</v>
      </c>
      <c r="V135" s="98" t="e">
        <f t="shared" ref="V135:W135" si="543">M135/I135</f>
        <v>#DIV/0!</v>
      </c>
      <c r="W135" s="98" t="e">
        <f t="shared" si="543"/>
        <v>#DIV/0!</v>
      </c>
      <c r="X135" s="98" t="e">
        <f t="shared" si="527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44">SUM(E137:E139)</f>
        <v>0</v>
      </c>
      <c r="F136" s="242">
        <f t="shared" si="544"/>
        <v>867964.47</v>
      </c>
      <c r="G136" s="187" t="e">
        <f t="shared" si="512"/>
        <v>#DIV/0!</v>
      </c>
      <c r="H136" s="187" t="e">
        <f t="shared" si="513"/>
        <v>#DIV/0!</v>
      </c>
      <c r="I136" s="242">
        <f t="shared" ref="I136:O136" si="545">SUM(I137:I139)</f>
        <v>282858.71999999997</v>
      </c>
      <c r="J136" s="242">
        <f t="shared" si="545"/>
        <v>203666.88</v>
      </c>
      <c r="K136" s="242">
        <f t="shared" si="545"/>
        <v>0</v>
      </c>
      <c r="L136" s="242">
        <f t="shared" si="545"/>
        <v>0</v>
      </c>
      <c r="M136" s="242">
        <f t="shared" si="545"/>
        <v>0</v>
      </c>
      <c r="N136" s="243">
        <f t="shared" si="545"/>
        <v>160190.25</v>
      </c>
      <c r="O136" s="243">
        <f t="shared" si="545"/>
        <v>0</v>
      </c>
      <c r="P136" s="243">
        <f t="shared" ref="P136:R136" si="546">IF(BI136=0,SUM(Y136+AB136+AE136+AH136+AK136+AN136+AQ136+AT136+AW136+AZ136+BC136+BF136),BI136)</f>
        <v>0</v>
      </c>
      <c r="Q136" s="243">
        <f t="shared" si="546"/>
        <v>160190.25</v>
      </c>
      <c r="R136" s="243">
        <f t="shared" si="546"/>
        <v>0</v>
      </c>
      <c r="S136" s="242">
        <f t="shared" ref="S136:BK136" si="547">SUM(S137:S139)</f>
        <v>282858.71999999997</v>
      </c>
      <c r="T136" s="186">
        <f t="shared" si="547"/>
        <v>43476.63</v>
      </c>
      <c r="U136" s="186">
        <f t="shared" si="547"/>
        <v>0</v>
      </c>
      <c r="V136" s="186" t="e">
        <f t="shared" si="547"/>
        <v>#DIV/0!</v>
      </c>
      <c r="W136" s="186" t="e">
        <f t="shared" si="547"/>
        <v>#DIV/0!</v>
      </c>
      <c r="X136" s="186" t="e">
        <f t="shared" si="547"/>
        <v>#DIV/0!</v>
      </c>
      <c r="Y136" s="242">
        <f t="shared" si="547"/>
        <v>0</v>
      </c>
      <c r="Z136" s="242">
        <f t="shared" si="547"/>
        <v>0</v>
      </c>
      <c r="AA136" s="242">
        <f t="shared" si="547"/>
        <v>0</v>
      </c>
      <c r="AB136" s="242">
        <f t="shared" si="547"/>
        <v>0</v>
      </c>
      <c r="AC136" s="242">
        <f t="shared" si="547"/>
        <v>0</v>
      </c>
      <c r="AD136" s="242">
        <f t="shared" si="547"/>
        <v>0</v>
      </c>
      <c r="AE136" s="242">
        <f t="shared" si="547"/>
        <v>0</v>
      </c>
      <c r="AF136" s="242">
        <f t="shared" si="547"/>
        <v>59424.31</v>
      </c>
      <c r="AG136" s="242">
        <f t="shared" si="547"/>
        <v>0</v>
      </c>
      <c r="AH136" s="242">
        <f t="shared" si="547"/>
        <v>0</v>
      </c>
      <c r="AI136" s="242">
        <f t="shared" si="547"/>
        <v>71413.69</v>
      </c>
      <c r="AJ136" s="242">
        <f t="shared" si="547"/>
        <v>0</v>
      </c>
      <c r="AK136" s="242">
        <f t="shared" si="547"/>
        <v>0</v>
      </c>
      <c r="AL136" s="242">
        <f t="shared" si="547"/>
        <v>29352.25</v>
      </c>
      <c r="AM136" s="242">
        <f t="shared" si="547"/>
        <v>0</v>
      </c>
      <c r="AN136" s="242">
        <f t="shared" si="547"/>
        <v>0</v>
      </c>
      <c r="AO136" s="242">
        <f t="shared" si="547"/>
        <v>0</v>
      </c>
      <c r="AP136" s="242">
        <f t="shared" si="547"/>
        <v>0</v>
      </c>
      <c r="AQ136" s="242">
        <f t="shared" si="547"/>
        <v>0</v>
      </c>
      <c r="AR136" s="242">
        <f t="shared" si="547"/>
        <v>0</v>
      </c>
      <c r="AS136" s="242">
        <f t="shared" si="547"/>
        <v>0</v>
      </c>
      <c r="AT136" s="242">
        <f t="shared" si="547"/>
        <v>0</v>
      </c>
      <c r="AU136" s="242">
        <f t="shared" si="547"/>
        <v>0</v>
      </c>
      <c r="AV136" s="242">
        <f t="shared" si="547"/>
        <v>0</v>
      </c>
      <c r="AW136" s="242">
        <f t="shared" si="547"/>
        <v>0</v>
      </c>
      <c r="AX136" s="242">
        <f t="shared" si="547"/>
        <v>0</v>
      </c>
      <c r="AY136" s="242">
        <f t="shared" si="547"/>
        <v>0</v>
      </c>
      <c r="AZ136" s="242">
        <f t="shared" si="547"/>
        <v>0</v>
      </c>
      <c r="BA136" s="242">
        <f t="shared" si="547"/>
        <v>0</v>
      </c>
      <c r="BB136" s="242">
        <f t="shared" si="547"/>
        <v>0</v>
      </c>
      <c r="BC136" s="242">
        <f t="shared" si="547"/>
        <v>0</v>
      </c>
      <c r="BD136" s="242">
        <f t="shared" si="547"/>
        <v>0</v>
      </c>
      <c r="BE136" s="242">
        <f t="shared" si="547"/>
        <v>0</v>
      </c>
      <c r="BF136" s="242">
        <f t="shared" si="547"/>
        <v>0</v>
      </c>
      <c r="BG136" s="242">
        <f t="shared" si="547"/>
        <v>0</v>
      </c>
      <c r="BH136" s="242">
        <f t="shared" si="547"/>
        <v>0</v>
      </c>
      <c r="BI136" s="242">
        <f t="shared" si="547"/>
        <v>0</v>
      </c>
      <c r="BJ136" s="242">
        <f t="shared" si="547"/>
        <v>0</v>
      </c>
      <c r="BK136" s="242">
        <f t="shared" si="547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48">I137/#REF!</f>
        <v>#REF!</v>
      </c>
      <c r="H137" s="94" t="e">
        <f t="shared" ref="H137:H138" si="549">M137/#REF!</f>
        <v>#REF!</v>
      </c>
      <c r="I137" s="96"/>
      <c r="J137" s="96">
        <v>193192.78</v>
      </c>
      <c r="K137" s="96"/>
      <c r="L137" s="96"/>
      <c r="M137" s="97">
        <f t="shared" ref="M137:O137" si="550">Y137+AB137+AE137+AH137+AK137+AN137+AQ137+AT137+AW137+AZ137+BC137+BF137</f>
        <v>0</v>
      </c>
      <c r="N137" s="97">
        <f t="shared" si="550"/>
        <v>160190.25</v>
      </c>
      <c r="O137" s="97">
        <f t="shared" si="550"/>
        <v>0</v>
      </c>
      <c r="P137" s="97">
        <f t="shared" ref="P137:R137" si="551">IF(BI137=0,SUM(Y137+AB137+AE137+AH137+AK137+AN137+AQ137+AT137+AW137+AZ137+BC137+BF137),BI137)</f>
        <v>0</v>
      </c>
      <c r="Q137" s="97">
        <f t="shared" si="551"/>
        <v>160190.25</v>
      </c>
      <c r="R137" s="97">
        <f t="shared" si="551"/>
        <v>0</v>
      </c>
      <c r="S137" s="97">
        <f t="shared" ref="S137:T137" si="552">I137-M137</f>
        <v>0</v>
      </c>
      <c r="T137" s="97">
        <f t="shared" si="552"/>
        <v>33002.53</v>
      </c>
      <c r="U137" s="97">
        <f t="shared" ref="U137:U139" si="553">L137-O137</f>
        <v>0</v>
      </c>
      <c r="V137" s="98" t="e">
        <f t="shared" ref="V137:W137" si="554">M137/I137</f>
        <v>#DIV/0!</v>
      </c>
      <c r="W137" s="98">
        <f t="shared" si="554"/>
        <v>0.82917306744071906</v>
      </c>
      <c r="X137" s="98" t="e">
        <f t="shared" ref="X137:X139" si="555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>
        <f>31947.84+39465.85</f>
        <v>71413.69</v>
      </c>
      <c r="AJ137" s="96"/>
      <c r="AK137" s="96"/>
      <c r="AL137" s="103">
        <v>29352.25</v>
      </c>
      <c r="AM137" s="96"/>
      <c r="AN137" s="96"/>
      <c r="AO137" s="96"/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48"/>
        <v>#REF!</v>
      </c>
      <c r="H138" s="94" t="e">
        <f t="shared" si="549"/>
        <v>#REF!</v>
      </c>
      <c r="I138" s="119"/>
      <c r="J138" s="96"/>
      <c r="K138" s="96"/>
      <c r="L138" s="202"/>
      <c r="M138" s="97">
        <f t="shared" ref="M138:O138" si="556">Y138+AB138+AE138+AH138+AK138+AN138+AQ138+AT138+AW138+AZ138+BC138+BF138</f>
        <v>0</v>
      </c>
      <c r="N138" s="97">
        <f t="shared" si="556"/>
        <v>0</v>
      </c>
      <c r="O138" s="97">
        <f t="shared" si="556"/>
        <v>0</v>
      </c>
      <c r="P138" s="97">
        <f t="shared" ref="P138:R138" si="557">IF(BI138=0,SUM(Y138+AB138+AE138+AH138+AK138+AN138+AQ138+AT138+AW138+AZ138+BC138+BF138),BI138)</f>
        <v>0</v>
      </c>
      <c r="Q138" s="97">
        <f t="shared" si="557"/>
        <v>0</v>
      </c>
      <c r="R138" s="97">
        <f t="shared" si="557"/>
        <v>0</v>
      </c>
      <c r="S138" s="97">
        <f t="shared" ref="S138:T138" si="558">I138-M138</f>
        <v>0</v>
      </c>
      <c r="T138" s="97">
        <f t="shared" si="558"/>
        <v>0</v>
      </c>
      <c r="U138" s="97">
        <f t="shared" si="553"/>
        <v>0</v>
      </c>
      <c r="V138" s="98" t="e">
        <f t="shared" ref="V138:W138" si="559">M138/I138</f>
        <v>#DIV/0!</v>
      </c>
      <c r="W138" s="98" t="e">
        <f t="shared" si="559"/>
        <v>#DIV/0!</v>
      </c>
      <c r="X138" s="98" t="e">
        <f t="shared" si="555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354" t="s">
        <v>671</v>
      </c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60">I139/E139</f>
        <v>#DIV/0!</v>
      </c>
      <c r="H139" s="94" t="e">
        <f t="shared" ref="H139:H143" si="561">M139/E139</f>
        <v>#DIV/0!</v>
      </c>
      <c r="I139" s="103">
        <v>282858.71999999997</v>
      </c>
      <c r="J139" s="96">
        <v>10474.1</v>
      </c>
      <c r="K139" s="96"/>
      <c r="L139" s="244"/>
      <c r="M139" s="97">
        <f t="shared" ref="M139:O139" si="562">Y139+AB139+AE139+AH139+AK139+AN139+AQ139+AT139+AW139+AZ139+BC139+BF139</f>
        <v>0</v>
      </c>
      <c r="N139" s="97">
        <f t="shared" si="562"/>
        <v>0</v>
      </c>
      <c r="O139" s="97">
        <f t="shared" si="562"/>
        <v>0</v>
      </c>
      <c r="P139" s="97">
        <f t="shared" ref="P139:R139" si="563">IF(BI139=0,SUM(Y139+AB139+AE139+AH139+AK139+AN139+AQ139+AT139+AW139+AZ139+BC139+BF139),BI139)</f>
        <v>0</v>
      </c>
      <c r="Q139" s="97">
        <f t="shared" si="563"/>
        <v>0</v>
      </c>
      <c r="R139" s="97">
        <f t="shared" si="563"/>
        <v>0</v>
      </c>
      <c r="S139" s="97">
        <f t="shared" ref="S139:T139" si="564">I139-M139</f>
        <v>282858.71999999997</v>
      </c>
      <c r="T139" s="97">
        <f t="shared" si="564"/>
        <v>10474.1</v>
      </c>
      <c r="U139" s="97">
        <f t="shared" si="553"/>
        <v>0</v>
      </c>
      <c r="V139" s="98">
        <f t="shared" ref="V139:W139" si="565">M139/I139</f>
        <v>0</v>
      </c>
      <c r="W139" s="98">
        <f t="shared" si="565"/>
        <v>0</v>
      </c>
      <c r="X139" s="98" t="e">
        <f t="shared" si="555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66">SUM(E141:E143)</f>
        <v>0</v>
      </c>
      <c r="F140" s="242">
        <f t="shared" si="566"/>
        <v>90000</v>
      </c>
      <c r="G140" s="187" t="e">
        <f t="shared" si="560"/>
        <v>#DIV/0!</v>
      </c>
      <c r="H140" s="187" t="e">
        <f t="shared" si="561"/>
        <v>#DIV/0!</v>
      </c>
      <c r="I140" s="242">
        <f>SUM(I141:I143)</f>
        <v>0</v>
      </c>
      <c r="J140" s="242">
        <f t="shared" ref="J140:K140" si="567">SUM(J141:J144)</f>
        <v>4237.2</v>
      </c>
      <c r="K140" s="242">
        <f t="shared" si="567"/>
        <v>0</v>
      </c>
      <c r="L140" s="242">
        <f t="shared" ref="L140:M140" si="568">SUM(L141:L143)</f>
        <v>0</v>
      </c>
      <c r="M140" s="242">
        <f t="shared" si="568"/>
        <v>0</v>
      </c>
      <c r="N140" s="243">
        <f>SUM(N141:N144)</f>
        <v>4237.2</v>
      </c>
      <c r="O140" s="243">
        <f>SUM(O141:O143)</f>
        <v>0</v>
      </c>
      <c r="P140" s="243">
        <f t="shared" ref="P140:R140" si="569">IF(BI140=0,SUM(Y140+AB140+AE140+AH140+AK140+AN140+AQ140+AT140+AW140+AZ140+BC140+BF140),BI140)</f>
        <v>0</v>
      </c>
      <c r="Q140" s="243">
        <f t="shared" si="569"/>
        <v>4237.2</v>
      </c>
      <c r="R140" s="243">
        <f t="shared" si="569"/>
        <v>0</v>
      </c>
      <c r="S140" s="242">
        <f t="shared" ref="S140:AE140" si="570">SUM(S141:S143)</f>
        <v>0</v>
      </c>
      <c r="T140" s="186">
        <f t="shared" si="570"/>
        <v>0</v>
      </c>
      <c r="U140" s="186">
        <f t="shared" si="570"/>
        <v>0</v>
      </c>
      <c r="V140" s="186" t="e">
        <f t="shared" si="570"/>
        <v>#DIV/0!</v>
      </c>
      <c r="W140" s="186" t="e">
        <f t="shared" si="570"/>
        <v>#DIV/0!</v>
      </c>
      <c r="X140" s="186" t="e">
        <f t="shared" si="570"/>
        <v>#DIV/0!</v>
      </c>
      <c r="Y140" s="242">
        <f t="shared" si="570"/>
        <v>0</v>
      </c>
      <c r="Z140" s="242">
        <f t="shared" si="570"/>
        <v>0</v>
      </c>
      <c r="AA140" s="242">
        <f t="shared" si="570"/>
        <v>0</v>
      </c>
      <c r="AB140" s="242">
        <f t="shared" si="570"/>
        <v>0</v>
      </c>
      <c r="AC140" s="242">
        <f t="shared" si="570"/>
        <v>0</v>
      </c>
      <c r="AD140" s="242">
        <f t="shared" si="570"/>
        <v>0</v>
      </c>
      <c r="AE140" s="242">
        <f t="shared" si="570"/>
        <v>0</v>
      </c>
      <c r="AF140" s="242">
        <f>SUM(AF141:AF144)</f>
        <v>4237.2</v>
      </c>
      <c r="AG140" s="242">
        <f t="shared" ref="AG140:BK140" si="571">SUM(AG141:AG143)</f>
        <v>0</v>
      </c>
      <c r="AH140" s="242">
        <f t="shared" si="571"/>
        <v>0</v>
      </c>
      <c r="AI140" s="242">
        <f t="shared" si="571"/>
        <v>0</v>
      </c>
      <c r="AJ140" s="242">
        <f t="shared" si="571"/>
        <v>0</v>
      </c>
      <c r="AK140" s="242">
        <f t="shared" si="571"/>
        <v>0</v>
      </c>
      <c r="AL140" s="242">
        <f t="shared" si="571"/>
        <v>0</v>
      </c>
      <c r="AM140" s="242">
        <f t="shared" si="571"/>
        <v>0</v>
      </c>
      <c r="AN140" s="242">
        <f t="shared" si="571"/>
        <v>0</v>
      </c>
      <c r="AO140" s="242">
        <f t="shared" si="571"/>
        <v>0</v>
      </c>
      <c r="AP140" s="242">
        <f t="shared" si="571"/>
        <v>0</v>
      </c>
      <c r="AQ140" s="242">
        <f t="shared" si="571"/>
        <v>0</v>
      </c>
      <c r="AR140" s="242">
        <f t="shared" si="571"/>
        <v>0</v>
      </c>
      <c r="AS140" s="242">
        <f t="shared" si="571"/>
        <v>0</v>
      </c>
      <c r="AT140" s="242">
        <f t="shared" si="571"/>
        <v>0</v>
      </c>
      <c r="AU140" s="242">
        <f t="shared" si="571"/>
        <v>0</v>
      </c>
      <c r="AV140" s="242">
        <f t="shared" si="571"/>
        <v>0</v>
      </c>
      <c r="AW140" s="242">
        <f t="shared" si="571"/>
        <v>0</v>
      </c>
      <c r="AX140" s="242">
        <f t="shared" si="571"/>
        <v>0</v>
      </c>
      <c r="AY140" s="242">
        <f t="shared" si="571"/>
        <v>0</v>
      </c>
      <c r="AZ140" s="242">
        <f t="shared" si="571"/>
        <v>0</v>
      </c>
      <c r="BA140" s="242">
        <f t="shared" si="571"/>
        <v>0</v>
      </c>
      <c r="BB140" s="242">
        <f t="shared" si="571"/>
        <v>0</v>
      </c>
      <c r="BC140" s="242">
        <f t="shared" si="571"/>
        <v>0</v>
      </c>
      <c r="BD140" s="242">
        <f t="shared" si="571"/>
        <v>0</v>
      </c>
      <c r="BE140" s="242">
        <f t="shared" si="571"/>
        <v>0</v>
      </c>
      <c r="BF140" s="242">
        <f t="shared" si="571"/>
        <v>0</v>
      </c>
      <c r="BG140" s="242">
        <f t="shared" si="571"/>
        <v>0</v>
      </c>
      <c r="BH140" s="242">
        <f t="shared" si="571"/>
        <v>0</v>
      </c>
      <c r="BI140" s="242">
        <f t="shared" si="571"/>
        <v>0</v>
      </c>
      <c r="BJ140" s="242">
        <f t="shared" si="571"/>
        <v>0</v>
      </c>
      <c r="BK140" s="242">
        <f t="shared" si="57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672</v>
      </c>
      <c r="E141" s="166"/>
      <c r="F141" s="147">
        <v>90000</v>
      </c>
      <c r="G141" s="94" t="e">
        <f t="shared" si="560"/>
        <v>#DIV/0!</v>
      </c>
      <c r="H141" s="94" t="e">
        <f t="shared" si="561"/>
        <v>#DIV/0!</v>
      </c>
      <c r="I141" s="96"/>
      <c r="J141" s="96"/>
      <c r="K141" s="96"/>
      <c r="L141" s="202"/>
      <c r="M141" s="97">
        <f t="shared" ref="M141:O141" si="572">Y141+AB141+AE141+AH141+AK141+AN141+AQ141+AT141+AW141+AZ141+BC141+BF141</f>
        <v>0</v>
      </c>
      <c r="N141" s="97">
        <f t="shared" si="572"/>
        <v>0</v>
      </c>
      <c r="O141" s="97">
        <f t="shared" si="572"/>
        <v>0</v>
      </c>
      <c r="P141" s="97">
        <f t="shared" ref="P141:R141" si="573">IF(BI141=0,SUM(Y141+AB141+AE141+AH141+AK141+AN141+AQ141+AT141+AW141+AZ141+BC141+BF141),BI141)</f>
        <v>0</v>
      </c>
      <c r="Q141" s="97">
        <f t="shared" si="573"/>
        <v>0</v>
      </c>
      <c r="R141" s="97">
        <f t="shared" si="573"/>
        <v>0</v>
      </c>
      <c r="S141" s="97">
        <f t="shared" ref="S141:T141" si="574">I141-M141</f>
        <v>0</v>
      </c>
      <c r="T141" s="97">
        <f t="shared" si="574"/>
        <v>0</v>
      </c>
      <c r="U141" s="97">
        <f t="shared" ref="U141:U143" si="575">L141-O141</f>
        <v>0</v>
      </c>
      <c r="V141" s="98" t="e">
        <f t="shared" ref="V141:W141" si="576">M141/I141</f>
        <v>#DIV/0!</v>
      </c>
      <c r="W141" s="98" t="e">
        <f t="shared" si="576"/>
        <v>#DIV/0!</v>
      </c>
      <c r="X141" s="98" t="e">
        <f t="shared" ref="X141:X143" si="57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60"/>
        <v>#DIV/0!</v>
      </c>
      <c r="H142" s="94" t="e">
        <f t="shared" si="561"/>
        <v>#DIV/0!</v>
      </c>
      <c r="I142" s="202"/>
      <c r="J142" s="96"/>
      <c r="K142" s="96"/>
      <c r="L142" s="202"/>
      <c r="M142" s="97">
        <f t="shared" ref="M142:O142" si="578">Y142+AB142+AE142+AH142+AK142+AN142+AQ142+AT142+AW142+AZ142+BC142+BF142</f>
        <v>0</v>
      </c>
      <c r="N142" s="97">
        <f t="shared" si="578"/>
        <v>0</v>
      </c>
      <c r="O142" s="97">
        <f t="shared" si="578"/>
        <v>0</v>
      </c>
      <c r="P142" s="97">
        <f t="shared" ref="P142:R142" si="579">IF(BI142=0,SUM(Y142+AB142+AE142+AH142+AK142+AN142+AQ142+AT142+AW142+AZ142+BC142+BF142),BI142)</f>
        <v>0</v>
      </c>
      <c r="Q142" s="97">
        <f t="shared" si="579"/>
        <v>0</v>
      </c>
      <c r="R142" s="97">
        <f t="shared" si="579"/>
        <v>0</v>
      </c>
      <c r="S142" s="97">
        <f t="shared" ref="S142:T142" si="580">I142-M142</f>
        <v>0</v>
      </c>
      <c r="T142" s="97">
        <f t="shared" si="580"/>
        <v>0</v>
      </c>
      <c r="U142" s="97">
        <f t="shared" si="575"/>
        <v>0</v>
      </c>
      <c r="V142" s="98" t="e">
        <f t="shared" ref="V142:W142" si="581">M142/I142</f>
        <v>#DIV/0!</v>
      </c>
      <c r="W142" s="98" t="e">
        <f t="shared" si="581"/>
        <v>#DIV/0!</v>
      </c>
      <c r="X142" s="98" t="e">
        <f t="shared" si="57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60"/>
        <v>#DIV/0!</v>
      </c>
      <c r="H143" s="94" t="e">
        <f t="shared" si="561"/>
        <v>#DIV/0!</v>
      </c>
      <c r="I143" s="96"/>
      <c r="J143" s="96"/>
      <c r="K143" s="96"/>
      <c r="L143" s="244"/>
      <c r="M143" s="97">
        <f t="shared" ref="M143:O143" si="582">Y143+AB143+AE143+AH143+AK143+AN143+AQ143+AT143+AW143+AZ143+BC143+BF143</f>
        <v>0</v>
      </c>
      <c r="N143" s="97">
        <f t="shared" si="582"/>
        <v>0</v>
      </c>
      <c r="O143" s="97">
        <f t="shared" si="582"/>
        <v>0</v>
      </c>
      <c r="P143" s="97">
        <f t="shared" ref="P143:R143" si="583">IF(BI143=0,SUM(Y143+AB143+AE143+AH143+AK143+AN143+AQ143+AT143+AW143+AZ143+BC143+BF143),BI143)</f>
        <v>0</v>
      </c>
      <c r="Q143" s="97">
        <f t="shared" si="583"/>
        <v>0</v>
      </c>
      <c r="R143" s="97">
        <f t="shared" si="583"/>
        <v>0</v>
      </c>
      <c r="S143" s="97">
        <f t="shared" ref="S143:T143" si="584">I143-M143</f>
        <v>0</v>
      </c>
      <c r="T143" s="97">
        <f t="shared" si="584"/>
        <v>0</v>
      </c>
      <c r="U143" s="97">
        <f t="shared" si="575"/>
        <v>0</v>
      </c>
      <c r="V143" s="98" t="e">
        <f t="shared" ref="V143:W143" si="585">M143/I143</f>
        <v>#DIV/0!</v>
      </c>
      <c r="W143" s="98" t="e">
        <f t="shared" si="585"/>
        <v>#DIV/0!</v>
      </c>
      <c r="X143" s="98" t="e">
        <f t="shared" si="57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>
        <f t="shared" ref="N144:O144" si="586">Z144+AC144+AF144+AI144+AL144+AO144+AR144+AU144+AX144+BA144+BD144+BG144</f>
        <v>4237.2</v>
      </c>
      <c r="O144" s="97">
        <f t="shared" si="586"/>
        <v>0</v>
      </c>
      <c r="P144" s="97">
        <f t="shared" ref="P144:Q144" si="587">IF(BI144=0,SUM(Y144+AB144+AE144+AH144+AK144+AN144+AQ144+AT144+AW144+AZ144+BC144+BF144),BI144)</f>
        <v>0</v>
      </c>
      <c r="Q144" s="97">
        <f t="shared" si="587"/>
        <v>4237.2</v>
      </c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588">SUM(E146:E149)</f>
        <v>0</v>
      </c>
      <c r="F145" s="186">
        <f t="shared" si="588"/>
        <v>0</v>
      </c>
      <c r="G145" s="223" t="e">
        <f t="shared" ref="G145:G147" si="589">I145/E145</f>
        <v>#DIV/0!</v>
      </c>
      <c r="H145" s="187" t="e">
        <f t="shared" ref="H145:H147" si="590">M145/E145</f>
        <v>#DIV/0!</v>
      </c>
      <c r="I145" s="186">
        <f t="shared" ref="I145:O145" si="591">SUM(I146:I149)</f>
        <v>0</v>
      </c>
      <c r="J145" s="186">
        <f t="shared" si="591"/>
        <v>500</v>
      </c>
      <c r="K145" s="186">
        <f t="shared" si="591"/>
        <v>0</v>
      </c>
      <c r="L145" s="186">
        <f t="shared" si="591"/>
        <v>0</v>
      </c>
      <c r="M145" s="186">
        <f t="shared" si="591"/>
        <v>0</v>
      </c>
      <c r="N145" s="186">
        <f t="shared" si="591"/>
        <v>500</v>
      </c>
      <c r="O145" s="186">
        <f t="shared" si="591"/>
        <v>0</v>
      </c>
      <c r="P145" s="245">
        <f t="shared" ref="P145:R145" si="592">IF(BI145=0,SUM(Y145+AB145+AE145+AH145+AK145+AN145+AQ145+AT145+AW145+AZ145+BC145+BF145),BI145)</f>
        <v>0</v>
      </c>
      <c r="Q145" s="245">
        <f t="shared" si="592"/>
        <v>500</v>
      </c>
      <c r="R145" s="245">
        <f t="shared" si="592"/>
        <v>0</v>
      </c>
      <c r="S145" s="186">
        <f t="shared" ref="S145:U145" si="593">SUM(S146:S149)</f>
        <v>0</v>
      </c>
      <c r="T145" s="186">
        <f t="shared" si="593"/>
        <v>0</v>
      </c>
      <c r="U145" s="186">
        <f t="shared" si="593"/>
        <v>0</v>
      </c>
      <c r="V145" s="189" t="e">
        <f t="shared" ref="V145:W145" si="594">M145/I145</f>
        <v>#DIV/0!</v>
      </c>
      <c r="W145" s="189">
        <f t="shared" si="594"/>
        <v>1</v>
      </c>
      <c r="X145" s="189" t="e">
        <f t="shared" ref="X145:X147" si="595">O145/L145</f>
        <v>#DIV/0!</v>
      </c>
      <c r="Y145" s="186">
        <f t="shared" ref="Y145:BK145" si="596">SUM(Y146:Y149)</f>
        <v>0</v>
      </c>
      <c r="Z145" s="186">
        <f t="shared" si="596"/>
        <v>500</v>
      </c>
      <c r="AA145" s="186">
        <f t="shared" si="596"/>
        <v>0</v>
      </c>
      <c r="AB145" s="186">
        <f t="shared" si="596"/>
        <v>0</v>
      </c>
      <c r="AC145" s="186">
        <f t="shared" si="596"/>
        <v>0</v>
      </c>
      <c r="AD145" s="186">
        <f t="shared" si="596"/>
        <v>0</v>
      </c>
      <c r="AE145" s="186">
        <f t="shared" si="596"/>
        <v>0</v>
      </c>
      <c r="AF145" s="186">
        <f t="shared" si="596"/>
        <v>0</v>
      </c>
      <c r="AG145" s="186">
        <f t="shared" si="596"/>
        <v>0</v>
      </c>
      <c r="AH145" s="186">
        <f t="shared" si="596"/>
        <v>0</v>
      </c>
      <c r="AI145" s="186">
        <f t="shared" si="596"/>
        <v>0</v>
      </c>
      <c r="AJ145" s="186">
        <f t="shared" si="596"/>
        <v>0</v>
      </c>
      <c r="AK145" s="186">
        <f t="shared" si="596"/>
        <v>0</v>
      </c>
      <c r="AL145" s="186">
        <f t="shared" si="596"/>
        <v>0</v>
      </c>
      <c r="AM145" s="186">
        <f t="shared" si="596"/>
        <v>0</v>
      </c>
      <c r="AN145" s="186">
        <f t="shared" si="596"/>
        <v>0</v>
      </c>
      <c r="AO145" s="186">
        <f t="shared" si="596"/>
        <v>0</v>
      </c>
      <c r="AP145" s="186">
        <f t="shared" si="596"/>
        <v>0</v>
      </c>
      <c r="AQ145" s="186">
        <f t="shared" si="596"/>
        <v>0</v>
      </c>
      <c r="AR145" s="186">
        <f t="shared" si="596"/>
        <v>0</v>
      </c>
      <c r="AS145" s="186">
        <f t="shared" si="596"/>
        <v>0</v>
      </c>
      <c r="AT145" s="186">
        <f t="shared" si="596"/>
        <v>0</v>
      </c>
      <c r="AU145" s="186">
        <f t="shared" si="596"/>
        <v>0</v>
      </c>
      <c r="AV145" s="186">
        <f t="shared" si="596"/>
        <v>0</v>
      </c>
      <c r="AW145" s="186">
        <f t="shared" si="596"/>
        <v>0</v>
      </c>
      <c r="AX145" s="186">
        <f t="shared" si="596"/>
        <v>0</v>
      </c>
      <c r="AY145" s="186">
        <f t="shared" si="596"/>
        <v>0</v>
      </c>
      <c r="AZ145" s="186">
        <f t="shared" si="596"/>
        <v>0</v>
      </c>
      <c r="BA145" s="186">
        <f t="shared" si="596"/>
        <v>0</v>
      </c>
      <c r="BB145" s="186">
        <f t="shared" si="596"/>
        <v>0</v>
      </c>
      <c r="BC145" s="186">
        <f t="shared" si="596"/>
        <v>0</v>
      </c>
      <c r="BD145" s="186">
        <f t="shared" si="596"/>
        <v>0</v>
      </c>
      <c r="BE145" s="186">
        <f t="shared" si="596"/>
        <v>0</v>
      </c>
      <c r="BF145" s="186">
        <f t="shared" si="596"/>
        <v>0</v>
      </c>
      <c r="BG145" s="186">
        <f t="shared" si="596"/>
        <v>0</v>
      </c>
      <c r="BH145" s="186">
        <f t="shared" si="596"/>
        <v>0</v>
      </c>
      <c r="BI145" s="186">
        <f t="shared" si="596"/>
        <v>0</v>
      </c>
      <c r="BJ145" s="186">
        <f t="shared" si="596"/>
        <v>0</v>
      </c>
      <c r="BK145" s="186">
        <f t="shared" si="596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589"/>
        <v>#DIV/0!</v>
      </c>
      <c r="H146" s="94" t="e">
        <f t="shared" si="590"/>
        <v>#DIV/0!</v>
      </c>
      <c r="I146" s="142"/>
      <c r="J146" s="96"/>
      <c r="K146" s="96"/>
      <c r="L146" s="202"/>
      <c r="M146" s="97">
        <f t="shared" ref="M146:O146" si="597">Y146+AB146+AE146+AH146+AK146+AN146+AQ146+AT146+AW146+AZ146+BC146+BF146</f>
        <v>0</v>
      </c>
      <c r="N146" s="97">
        <f t="shared" si="597"/>
        <v>0</v>
      </c>
      <c r="O146" s="97">
        <f t="shared" si="597"/>
        <v>0</v>
      </c>
      <c r="P146" s="97">
        <f t="shared" ref="P146:R146" si="598">IF(BI146=0,SUM(Y146+AB146+AE146+AH146+AK146+AN146+AQ146+AT146+AW146+AZ146+BC146+BF146),BI146)</f>
        <v>0</v>
      </c>
      <c r="Q146" s="97">
        <f t="shared" si="598"/>
        <v>0</v>
      </c>
      <c r="R146" s="97">
        <f t="shared" si="598"/>
        <v>0</v>
      </c>
      <c r="S146" s="97">
        <f t="shared" ref="S146:T146" si="599">I146-M146</f>
        <v>0</v>
      </c>
      <c r="T146" s="97">
        <f t="shared" si="599"/>
        <v>0</v>
      </c>
      <c r="U146" s="97">
        <f t="shared" ref="U146:U147" si="600">L146-O146</f>
        <v>0</v>
      </c>
      <c r="V146" s="98" t="e">
        <f t="shared" ref="V146:W146" si="601">M146/I146</f>
        <v>#DIV/0!</v>
      </c>
      <c r="W146" s="98" t="e">
        <f t="shared" si="601"/>
        <v>#DIV/0!</v>
      </c>
      <c r="X146" s="98" t="e">
        <f t="shared" si="595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589"/>
        <v>#DIV/0!</v>
      </c>
      <c r="H147" s="94" t="e">
        <f t="shared" si="590"/>
        <v>#DIV/0!</v>
      </c>
      <c r="I147" s="119"/>
      <c r="J147" s="96"/>
      <c r="K147" s="96"/>
      <c r="L147" s="202"/>
      <c r="M147" s="97">
        <f t="shared" ref="M147:O147" si="602">Y147+AB147+AE147+AH147+AK147+AN147+AQ147+AT147+AW147+AZ147+BC147+BF147</f>
        <v>0</v>
      </c>
      <c r="N147" s="97">
        <f t="shared" si="602"/>
        <v>0</v>
      </c>
      <c r="O147" s="97">
        <f t="shared" si="602"/>
        <v>0</v>
      </c>
      <c r="P147" s="97">
        <f t="shared" ref="P147:R147" si="603">IF(BI147=0,SUM(Y147+AB147+AE147+AH147+AK147+AN147+AQ147+AT147+AW147+AZ147+BC147+BF147),BI147)</f>
        <v>0</v>
      </c>
      <c r="Q147" s="97">
        <f t="shared" si="603"/>
        <v>0</v>
      </c>
      <c r="R147" s="97">
        <f t="shared" si="603"/>
        <v>0</v>
      </c>
      <c r="S147" s="97">
        <f t="shared" ref="S147:T147" si="604">I147-M147</f>
        <v>0</v>
      </c>
      <c r="T147" s="97">
        <f t="shared" si="604"/>
        <v>0</v>
      </c>
      <c r="U147" s="97">
        <f t="shared" si="600"/>
        <v>0</v>
      </c>
      <c r="V147" s="98" t="e">
        <f t="shared" ref="V147:W147" si="605">M147/I147</f>
        <v>#DIV/0!</v>
      </c>
      <c r="W147" s="98" t="e">
        <f t="shared" si="605"/>
        <v>#DIV/0!</v>
      </c>
      <c r="X147" s="98" t="e">
        <f t="shared" si="595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>
        <f t="shared" ref="N148:O148" si="606">Z148+AC148+AF148+AI148+AL148+AO148+AR148+AU148+AX148+BA148+BD148+BG148</f>
        <v>500</v>
      </c>
      <c r="O148" s="97">
        <f t="shared" si="606"/>
        <v>0</v>
      </c>
      <c r="P148" s="97">
        <f t="shared" ref="P148:R148" si="607">IF(BI148=0,SUM(Y148+AB148+AE148+AH148+AK148+AN148+AQ148+AT148+AW148+AZ148+BC148+BF148),BI148)</f>
        <v>0</v>
      </c>
      <c r="Q148" s="97">
        <f t="shared" si="607"/>
        <v>500</v>
      </c>
      <c r="R148" s="97">
        <f t="shared" si="607"/>
        <v>0</v>
      </c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08">I149/E149</f>
        <v>#DIV/0!</v>
      </c>
      <c r="H149" s="94" t="e">
        <f t="shared" ref="H149:H151" si="609">M149/E149</f>
        <v>#DIV/0!</v>
      </c>
      <c r="I149" s="96"/>
      <c r="J149" s="96"/>
      <c r="K149" s="96"/>
      <c r="L149" s="96"/>
      <c r="M149" s="97">
        <f t="shared" ref="M149:O149" si="610">Y149+AB149+AE149+AH149+AK149+AN149+AQ149+AT149+AW149+AZ149+BC149+BF149</f>
        <v>0</v>
      </c>
      <c r="N149" s="97">
        <f t="shared" si="610"/>
        <v>0</v>
      </c>
      <c r="O149" s="97">
        <f t="shared" si="610"/>
        <v>0</v>
      </c>
      <c r="P149" s="97">
        <f t="shared" ref="P149:R149" si="611">IF(BI149=0,SUM(Y149+AB149+AE149+AH149+AK149+AN149+AQ149+AT149+AW149+AZ149+BC149+BF149),BI149)</f>
        <v>0</v>
      </c>
      <c r="Q149" s="97">
        <f t="shared" si="611"/>
        <v>0</v>
      </c>
      <c r="R149" s="97">
        <f t="shared" si="611"/>
        <v>0</v>
      </c>
      <c r="S149" s="97">
        <f t="shared" ref="S149:T149" si="612">I149-M149</f>
        <v>0</v>
      </c>
      <c r="T149" s="97">
        <f t="shared" si="612"/>
        <v>0</v>
      </c>
      <c r="U149" s="97">
        <f>L149-O149</f>
        <v>0</v>
      </c>
      <c r="V149" s="98" t="e">
        <f t="shared" ref="V149:W149" si="613">M149/I149</f>
        <v>#DIV/0!</v>
      </c>
      <c r="W149" s="98" t="e">
        <f t="shared" si="613"/>
        <v>#DIV/0!</v>
      </c>
      <c r="X149" s="98" t="e">
        <f t="shared" ref="X149:X156" si="614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15">SUM(E151:E153)</f>
        <v>0</v>
      </c>
      <c r="F150" s="249">
        <f t="shared" si="615"/>
        <v>0</v>
      </c>
      <c r="G150" s="223" t="e">
        <f t="shared" si="608"/>
        <v>#DIV/0!</v>
      </c>
      <c r="H150" s="187" t="e">
        <f t="shared" si="609"/>
        <v>#DIV/0!</v>
      </c>
      <c r="I150" s="249">
        <f t="shared" ref="I150:O150" si="616">SUM(I151:I153)</f>
        <v>0</v>
      </c>
      <c r="J150" s="249">
        <f t="shared" si="616"/>
        <v>293.62</v>
      </c>
      <c r="K150" s="249">
        <f t="shared" si="616"/>
        <v>0</v>
      </c>
      <c r="L150" s="249">
        <f t="shared" si="616"/>
        <v>0</v>
      </c>
      <c r="M150" s="249">
        <f t="shared" si="616"/>
        <v>0</v>
      </c>
      <c r="N150" s="249">
        <f t="shared" si="616"/>
        <v>0</v>
      </c>
      <c r="O150" s="249">
        <f t="shared" si="616"/>
        <v>0</v>
      </c>
      <c r="P150" s="238">
        <f t="shared" ref="P150:R150" si="617">IF(BI150=0,SUM(Y150+AB150+AE150+AH150+AK150+AN150+AQ150+AT150+AW150+AZ150+BC150+BF150),BI150)</f>
        <v>0</v>
      </c>
      <c r="Q150" s="238">
        <f t="shared" si="617"/>
        <v>0</v>
      </c>
      <c r="R150" s="238">
        <f t="shared" si="617"/>
        <v>0</v>
      </c>
      <c r="S150" s="249">
        <f t="shared" ref="S150:U150" si="618">SUM(S151:S153)</f>
        <v>0</v>
      </c>
      <c r="T150" s="249">
        <f t="shared" si="618"/>
        <v>293.62</v>
      </c>
      <c r="U150" s="249">
        <f t="shared" si="618"/>
        <v>0</v>
      </c>
      <c r="V150" s="250" t="e">
        <f t="shared" ref="V150:W150" si="619">M150/I150</f>
        <v>#DIV/0!</v>
      </c>
      <c r="W150" s="250">
        <f t="shared" si="619"/>
        <v>0</v>
      </c>
      <c r="X150" s="250" t="e">
        <f t="shared" si="614"/>
        <v>#DIV/0!</v>
      </c>
      <c r="Y150" s="249">
        <f t="shared" ref="Y150:BK150" si="620">SUM(Y151:Y153)</f>
        <v>0</v>
      </c>
      <c r="Z150" s="249">
        <f t="shared" si="620"/>
        <v>0</v>
      </c>
      <c r="AA150" s="249">
        <f t="shared" si="620"/>
        <v>0</v>
      </c>
      <c r="AB150" s="249">
        <f t="shared" si="620"/>
        <v>0</v>
      </c>
      <c r="AC150" s="249">
        <f t="shared" si="620"/>
        <v>0</v>
      </c>
      <c r="AD150" s="249">
        <f t="shared" si="620"/>
        <v>0</v>
      </c>
      <c r="AE150" s="249">
        <f t="shared" si="620"/>
        <v>0</v>
      </c>
      <c r="AF150" s="249">
        <f t="shared" si="620"/>
        <v>0</v>
      </c>
      <c r="AG150" s="249">
        <f t="shared" si="620"/>
        <v>0</v>
      </c>
      <c r="AH150" s="249">
        <f t="shared" si="620"/>
        <v>0</v>
      </c>
      <c r="AI150" s="249">
        <f t="shared" si="620"/>
        <v>0</v>
      </c>
      <c r="AJ150" s="249">
        <f t="shared" si="620"/>
        <v>0</v>
      </c>
      <c r="AK150" s="249">
        <f t="shared" si="620"/>
        <v>0</v>
      </c>
      <c r="AL150" s="249">
        <f t="shared" si="620"/>
        <v>0</v>
      </c>
      <c r="AM150" s="249">
        <f t="shared" si="620"/>
        <v>0</v>
      </c>
      <c r="AN150" s="249">
        <f t="shared" si="620"/>
        <v>0</v>
      </c>
      <c r="AO150" s="249">
        <f t="shared" si="620"/>
        <v>0</v>
      </c>
      <c r="AP150" s="249">
        <f t="shared" si="620"/>
        <v>0</v>
      </c>
      <c r="AQ150" s="249">
        <f t="shared" si="620"/>
        <v>0</v>
      </c>
      <c r="AR150" s="249">
        <f t="shared" si="620"/>
        <v>0</v>
      </c>
      <c r="AS150" s="249">
        <f t="shared" si="620"/>
        <v>0</v>
      </c>
      <c r="AT150" s="249">
        <f t="shared" si="620"/>
        <v>0</v>
      </c>
      <c r="AU150" s="249">
        <f t="shared" si="620"/>
        <v>0</v>
      </c>
      <c r="AV150" s="249">
        <f t="shared" si="620"/>
        <v>0</v>
      </c>
      <c r="AW150" s="249">
        <f t="shared" si="620"/>
        <v>0</v>
      </c>
      <c r="AX150" s="249">
        <f t="shared" si="620"/>
        <v>0</v>
      </c>
      <c r="AY150" s="249">
        <f t="shared" si="620"/>
        <v>0</v>
      </c>
      <c r="AZ150" s="249">
        <f t="shared" si="620"/>
        <v>0</v>
      </c>
      <c r="BA150" s="249">
        <f t="shared" si="620"/>
        <v>0</v>
      </c>
      <c r="BB150" s="249">
        <f t="shared" si="620"/>
        <v>0</v>
      </c>
      <c r="BC150" s="249">
        <f t="shared" si="620"/>
        <v>0</v>
      </c>
      <c r="BD150" s="249">
        <f t="shared" si="620"/>
        <v>0</v>
      </c>
      <c r="BE150" s="249">
        <f t="shared" si="620"/>
        <v>0</v>
      </c>
      <c r="BF150" s="249">
        <f t="shared" si="620"/>
        <v>0</v>
      </c>
      <c r="BG150" s="249">
        <f t="shared" si="620"/>
        <v>0</v>
      </c>
      <c r="BH150" s="249">
        <f t="shared" si="620"/>
        <v>0</v>
      </c>
      <c r="BI150" s="249">
        <f t="shared" si="620"/>
        <v>0</v>
      </c>
      <c r="BJ150" s="249">
        <f t="shared" si="620"/>
        <v>0</v>
      </c>
      <c r="BK150" s="249">
        <f t="shared" si="620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08"/>
        <v>#DIV/0!</v>
      </c>
      <c r="H151" s="94" t="e">
        <f t="shared" si="609"/>
        <v>#DIV/0!</v>
      </c>
      <c r="I151" s="142"/>
      <c r="J151" s="131">
        <v>293.62</v>
      </c>
      <c r="K151" s="204"/>
      <c r="L151" s="202"/>
      <c r="M151" s="97">
        <f t="shared" ref="M151:O151" si="621">Y151+AB151+AE151+AH151+AK151+AN151+AQ151+AT151+AW151+AZ151+BC151+BF151</f>
        <v>0</v>
      </c>
      <c r="N151" s="97">
        <f t="shared" si="621"/>
        <v>0</v>
      </c>
      <c r="O151" s="97">
        <f t="shared" si="621"/>
        <v>0</v>
      </c>
      <c r="P151" s="97">
        <f t="shared" ref="P151:R151" si="622">IF(BI151=0,SUM(Y151+AB151+AE151+AH151+AK151+AN151+AQ151+AT151+AW151+AZ151+BC151+BF151),BI151)</f>
        <v>0</v>
      </c>
      <c r="Q151" s="97">
        <f t="shared" si="622"/>
        <v>0</v>
      </c>
      <c r="R151" s="97">
        <f t="shared" si="622"/>
        <v>0</v>
      </c>
      <c r="S151" s="97">
        <f t="shared" ref="S151:T151" si="623">I151-M151</f>
        <v>0</v>
      </c>
      <c r="T151" s="97">
        <f t="shared" si="623"/>
        <v>293.62</v>
      </c>
      <c r="U151" s="97">
        <f t="shared" ref="U151:U153" si="624">L151-O151</f>
        <v>0</v>
      </c>
      <c r="V151" s="98" t="e">
        <f t="shared" ref="V151:W151" si="625">M151/I151</f>
        <v>#DIV/0!</v>
      </c>
      <c r="W151" s="98">
        <f t="shared" si="625"/>
        <v>0</v>
      </c>
      <c r="X151" s="98" t="e">
        <f t="shared" si="614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26">Y152+AB152+AE152+AH152+AK152+AN152+AQ152+AT152+AW152+AZ152+BC152+BF152</f>
        <v>0</v>
      </c>
      <c r="N152" s="97">
        <f t="shared" si="626"/>
        <v>0</v>
      </c>
      <c r="O152" s="97">
        <f t="shared" si="626"/>
        <v>0</v>
      </c>
      <c r="P152" s="97">
        <f t="shared" ref="P152:R152" si="627">IF(BI152=0,SUM(Y152+AB152+AE152+AH152+AK152+AN152+AQ152+AT152+AW152+AZ152+BC152+BF152),BI152)</f>
        <v>0</v>
      </c>
      <c r="Q152" s="97">
        <f t="shared" si="627"/>
        <v>0</v>
      </c>
      <c r="R152" s="97">
        <f t="shared" si="627"/>
        <v>0</v>
      </c>
      <c r="S152" s="97">
        <f t="shared" ref="S152:T152" si="628">I152-M152</f>
        <v>0</v>
      </c>
      <c r="T152" s="97">
        <f t="shared" si="628"/>
        <v>0</v>
      </c>
      <c r="U152" s="97">
        <f t="shared" si="624"/>
        <v>0</v>
      </c>
      <c r="V152" s="98" t="e">
        <f t="shared" ref="V152:W152" si="629">M152/I152</f>
        <v>#DIV/0!</v>
      </c>
      <c r="W152" s="98" t="e">
        <f t="shared" si="629"/>
        <v>#DIV/0!</v>
      </c>
      <c r="X152" s="98" t="e">
        <f t="shared" si="614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30">I153/E153</f>
        <v>#DIV/0!</v>
      </c>
      <c r="H153" s="94" t="e">
        <f t="shared" ref="H153:H156" si="631">M153/E153</f>
        <v>#DIV/0!</v>
      </c>
      <c r="I153" s="96"/>
      <c r="J153" s="96"/>
      <c r="K153" s="96"/>
      <c r="L153" s="96"/>
      <c r="M153" s="97">
        <f t="shared" ref="M153:O153" si="632">Y153+AB153+AE153+AH153+AK153+AN153+AQ153+AT153+AW153+AZ153+BC153+BF153</f>
        <v>0</v>
      </c>
      <c r="N153" s="97">
        <f t="shared" si="632"/>
        <v>0</v>
      </c>
      <c r="O153" s="97">
        <f t="shared" si="632"/>
        <v>0</v>
      </c>
      <c r="P153" s="97">
        <f t="shared" ref="P153:R153" si="633">IF(BI153=0,SUM(Y153+AB153+AE153+AH153+AK153+AN153+AQ153+AT153+AW153+AZ153+BC153+BF153),BI153)</f>
        <v>0</v>
      </c>
      <c r="Q153" s="97">
        <f t="shared" si="633"/>
        <v>0</v>
      </c>
      <c r="R153" s="97">
        <f t="shared" si="633"/>
        <v>0</v>
      </c>
      <c r="S153" s="97">
        <f t="shared" ref="S153:T153" si="634">I153-M153</f>
        <v>0</v>
      </c>
      <c r="T153" s="97">
        <f t="shared" si="634"/>
        <v>0</v>
      </c>
      <c r="U153" s="97">
        <f t="shared" si="624"/>
        <v>0</v>
      </c>
      <c r="V153" s="98" t="e">
        <f t="shared" ref="V153:W153" si="635">M153/I153</f>
        <v>#DIV/0!</v>
      </c>
      <c r="W153" s="98" t="e">
        <f t="shared" si="635"/>
        <v>#DIV/0!</v>
      </c>
      <c r="X153" s="98" t="e">
        <f t="shared" si="614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36">SUM(E155:E158)</f>
        <v>0</v>
      </c>
      <c r="F154" s="249">
        <f t="shared" si="636"/>
        <v>0</v>
      </c>
      <c r="G154" s="223" t="e">
        <f t="shared" si="630"/>
        <v>#DIV/0!</v>
      </c>
      <c r="H154" s="187" t="e">
        <f t="shared" si="631"/>
        <v>#DIV/0!</v>
      </c>
      <c r="I154" s="249">
        <f t="shared" ref="I154:O154" si="637">SUM(I155:I158)</f>
        <v>4906.54</v>
      </c>
      <c r="J154" s="249">
        <f t="shared" si="637"/>
        <v>8700</v>
      </c>
      <c r="K154" s="249">
        <f t="shared" si="637"/>
        <v>0</v>
      </c>
      <c r="L154" s="249">
        <f t="shared" si="637"/>
        <v>0</v>
      </c>
      <c r="M154" s="249">
        <f t="shared" si="637"/>
        <v>0</v>
      </c>
      <c r="N154" s="249">
        <f t="shared" si="637"/>
        <v>0</v>
      </c>
      <c r="O154" s="249">
        <f t="shared" si="637"/>
        <v>0</v>
      </c>
      <c r="P154" s="238">
        <f t="shared" ref="P154:R154" si="638">IF(BI154=0,SUM(Y154+AB154+AE154+AH154+AK154+AN154+AQ154+AT154+AW154+AZ154+BC154+BF154),BI154)</f>
        <v>0</v>
      </c>
      <c r="Q154" s="238">
        <f t="shared" si="638"/>
        <v>0</v>
      </c>
      <c r="R154" s="238">
        <f t="shared" si="638"/>
        <v>0</v>
      </c>
      <c r="S154" s="249">
        <f t="shared" ref="S154:U154" si="639">SUM(S155:S158)</f>
        <v>4906.54</v>
      </c>
      <c r="T154" s="249">
        <f t="shared" si="639"/>
        <v>8700</v>
      </c>
      <c r="U154" s="249">
        <f t="shared" si="639"/>
        <v>0</v>
      </c>
      <c r="V154" s="250">
        <f t="shared" ref="V154:W154" si="640">M154/I154</f>
        <v>0</v>
      </c>
      <c r="W154" s="250">
        <f t="shared" si="640"/>
        <v>0</v>
      </c>
      <c r="X154" s="250" t="e">
        <f t="shared" si="614"/>
        <v>#DIV/0!</v>
      </c>
      <c r="Y154" s="249">
        <f t="shared" ref="Y154:BK154" si="641">SUM(Y155:Y158)</f>
        <v>0</v>
      </c>
      <c r="Z154" s="249">
        <f t="shared" si="641"/>
        <v>0</v>
      </c>
      <c r="AA154" s="249">
        <f t="shared" si="641"/>
        <v>0</v>
      </c>
      <c r="AB154" s="249">
        <f t="shared" si="641"/>
        <v>0</v>
      </c>
      <c r="AC154" s="249">
        <f t="shared" si="641"/>
        <v>0</v>
      </c>
      <c r="AD154" s="249">
        <f t="shared" si="641"/>
        <v>0</v>
      </c>
      <c r="AE154" s="249">
        <f t="shared" si="641"/>
        <v>0</v>
      </c>
      <c r="AF154" s="249">
        <f t="shared" si="641"/>
        <v>0</v>
      </c>
      <c r="AG154" s="249">
        <f t="shared" si="641"/>
        <v>0</v>
      </c>
      <c r="AH154" s="249">
        <f t="shared" si="641"/>
        <v>0</v>
      </c>
      <c r="AI154" s="249">
        <f t="shared" si="641"/>
        <v>0</v>
      </c>
      <c r="AJ154" s="249">
        <f t="shared" si="641"/>
        <v>0</v>
      </c>
      <c r="AK154" s="249">
        <f t="shared" si="641"/>
        <v>0</v>
      </c>
      <c r="AL154" s="249">
        <f t="shared" si="641"/>
        <v>0</v>
      </c>
      <c r="AM154" s="249">
        <f t="shared" si="641"/>
        <v>0</v>
      </c>
      <c r="AN154" s="249">
        <f t="shared" si="641"/>
        <v>0</v>
      </c>
      <c r="AO154" s="249">
        <f t="shared" si="641"/>
        <v>0</v>
      </c>
      <c r="AP154" s="249">
        <f t="shared" si="641"/>
        <v>0</v>
      </c>
      <c r="AQ154" s="249">
        <f t="shared" si="641"/>
        <v>0</v>
      </c>
      <c r="AR154" s="249">
        <f t="shared" si="641"/>
        <v>0</v>
      </c>
      <c r="AS154" s="249">
        <f t="shared" si="641"/>
        <v>0</v>
      </c>
      <c r="AT154" s="249">
        <f t="shared" si="641"/>
        <v>0</v>
      </c>
      <c r="AU154" s="249">
        <f t="shared" si="641"/>
        <v>0</v>
      </c>
      <c r="AV154" s="249">
        <f t="shared" si="641"/>
        <v>0</v>
      </c>
      <c r="AW154" s="249">
        <f t="shared" si="641"/>
        <v>0</v>
      </c>
      <c r="AX154" s="249">
        <f t="shared" si="641"/>
        <v>0</v>
      </c>
      <c r="AY154" s="249">
        <f t="shared" si="641"/>
        <v>0</v>
      </c>
      <c r="AZ154" s="249">
        <f t="shared" si="641"/>
        <v>0</v>
      </c>
      <c r="BA154" s="249">
        <f t="shared" si="641"/>
        <v>0</v>
      </c>
      <c r="BB154" s="249">
        <f t="shared" si="641"/>
        <v>0</v>
      </c>
      <c r="BC154" s="249">
        <f t="shared" si="641"/>
        <v>0</v>
      </c>
      <c r="BD154" s="249">
        <f t="shared" si="641"/>
        <v>0</v>
      </c>
      <c r="BE154" s="249">
        <f t="shared" si="641"/>
        <v>0</v>
      </c>
      <c r="BF154" s="249">
        <f t="shared" si="641"/>
        <v>0</v>
      </c>
      <c r="BG154" s="249">
        <f t="shared" si="641"/>
        <v>0</v>
      </c>
      <c r="BH154" s="249">
        <f t="shared" si="641"/>
        <v>0</v>
      </c>
      <c r="BI154" s="249">
        <f t="shared" si="641"/>
        <v>0</v>
      </c>
      <c r="BJ154" s="249">
        <f t="shared" si="641"/>
        <v>0</v>
      </c>
      <c r="BK154" s="249">
        <f t="shared" si="641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30"/>
        <v>#DIV/0!</v>
      </c>
      <c r="H155" s="94" t="e">
        <f t="shared" si="631"/>
        <v>#DIV/0!</v>
      </c>
      <c r="I155" s="96"/>
      <c r="J155" s="96"/>
      <c r="K155" s="96"/>
      <c r="L155" s="95"/>
      <c r="M155" s="97">
        <f t="shared" ref="M155:O155" si="642">Y155+AB155+AE155+AH155+AK155+AN155+AQ155+AT155+AW155+AZ155+BC155+BF155</f>
        <v>0</v>
      </c>
      <c r="N155" s="97">
        <f t="shared" si="642"/>
        <v>0</v>
      </c>
      <c r="O155" s="97">
        <f t="shared" si="642"/>
        <v>0</v>
      </c>
      <c r="P155" s="97">
        <f t="shared" ref="P155:R155" si="643">IF(BI155=0,SUM(Y155+AB155+AE155+AH155+AK155+AN155+AQ155+AT155+AW155+AZ155+BC155+BF155),BI155)</f>
        <v>0</v>
      </c>
      <c r="Q155" s="97">
        <f t="shared" si="643"/>
        <v>0</v>
      </c>
      <c r="R155" s="97">
        <f t="shared" si="643"/>
        <v>0</v>
      </c>
      <c r="S155" s="97">
        <f t="shared" ref="S155:T155" si="644">I155-M155</f>
        <v>0</v>
      </c>
      <c r="T155" s="97">
        <f t="shared" si="644"/>
        <v>0</v>
      </c>
      <c r="U155" s="97">
        <f t="shared" ref="U155:U158" si="645">L155-O155</f>
        <v>0</v>
      </c>
      <c r="V155" s="98" t="e">
        <f t="shared" ref="V155:W155" si="646">M155/I155</f>
        <v>#DIV/0!</v>
      </c>
      <c r="W155" s="98" t="e">
        <f t="shared" si="646"/>
        <v>#DIV/0!</v>
      </c>
      <c r="X155" s="98" t="e">
        <f t="shared" si="614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30"/>
        <v>#DIV/0!</v>
      </c>
      <c r="H156" s="94" t="e">
        <f t="shared" si="631"/>
        <v>#DIV/0!</v>
      </c>
      <c r="I156" s="96"/>
      <c r="J156" s="167">
        <v>8700</v>
      </c>
      <c r="K156" s="117"/>
      <c r="L156" s="95"/>
      <c r="M156" s="97">
        <f t="shared" ref="M156:O156" si="647">Y156+AB156+AE156+AH156+AK156+AN156+AQ156+AT156+AW156+AZ156+BC156+BF156</f>
        <v>0</v>
      </c>
      <c r="N156" s="97">
        <f t="shared" si="647"/>
        <v>0</v>
      </c>
      <c r="O156" s="97">
        <f t="shared" si="647"/>
        <v>0</v>
      </c>
      <c r="P156" s="97">
        <f t="shared" ref="P156:R156" si="648">IF(BI156=0,SUM(Y156+AB156+AE156+AH156+AK156+AN156+AQ156+AT156+AW156+AZ156+BC156+BF156),BI156)</f>
        <v>0</v>
      </c>
      <c r="Q156" s="97">
        <f t="shared" si="648"/>
        <v>0</v>
      </c>
      <c r="R156" s="97">
        <f t="shared" si="648"/>
        <v>0</v>
      </c>
      <c r="S156" s="97">
        <f t="shared" ref="S156:T156" si="649">I156-M156</f>
        <v>0</v>
      </c>
      <c r="T156" s="97">
        <f t="shared" si="649"/>
        <v>8700</v>
      </c>
      <c r="U156" s="97">
        <f t="shared" si="645"/>
        <v>0</v>
      </c>
      <c r="V156" s="98" t="e">
        <f t="shared" ref="V156:W156" si="650">M156/I156</f>
        <v>#DIV/0!</v>
      </c>
      <c r="W156" s="98">
        <f t="shared" si="650"/>
        <v>0</v>
      </c>
      <c r="X156" s="98" t="e">
        <f t="shared" si="614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51">Y157+AB157+AE157+AH157+AK157+AN157+AQ157+AT157+AW157+AZ157+BC157+BF157</f>
        <v>0</v>
      </c>
      <c r="N157" s="97">
        <f t="shared" si="651"/>
        <v>0</v>
      </c>
      <c r="O157" s="97">
        <f t="shared" si="651"/>
        <v>0</v>
      </c>
      <c r="P157" s="97">
        <f t="shared" ref="P157:R157" si="652">IF(BI157=0,SUM(Y157+AB157+AE157+AH157+AK157+AN157+AQ157+AT157+AW157+AZ157+BC157+BF157),BI157)</f>
        <v>0</v>
      </c>
      <c r="Q157" s="97">
        <f t="shared" si="652"/>
        <v>0</v>
      </c>
      <c r="R157" s="97">
        <f t="shared" si="652"/>
        <v>0</v>
      </c>
      <c r="S157" s="97">
        <f t="shared" ref="S157:T157" si="653">I157-M157</f>
        <v>0</v>
      </c>
      <c r="T157" s="97">
        <f t="shared" si="653"/>
        <v>0</v>
      </c>
      <c r="U157" s="97">
        <f t="shared" si="645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360" t="s">
        <v>673</v>
      </c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54">I158/E158</f>
        <v>#DIV/0!</v>
      </c>
      <c r="H158" s="94" t="e">
        <f t="shared" ref="H158:H178" si="655">M158/E158</f>
        <v>#DIV/0!</v>
      </c>
      <c r="I158" s="368">
        <f>3906.54+1000</f>
        <v>4906.54</v>
      </c>
      <c r="J158" s="204"/>
      <c r="K158" s="204"/>
      <c r="L158" s="202"/>
      <c r="M158" s="97">
        <f t="shared" ref="M158:N158" si="656">Y158+AB158+AE158+AH158+AK158+AN158+AQ158+AT158+AW158+AZ158+BC158+BF158</f>
        <v>0</v>
      </c>
      <c r="N158" s="97">
        <f t="shared" si="656"/>
        <v>0</v>
      </c>
      <c r="O158" s="97"/>
      <c r="P158" s="97">
        <f t="shared" ref="P158:Q158" si="657">IF(BI158=0,SUM(Y158+AB158+AE158+AH158+AK158+AN158+AQ158+AT158+AW158+AZ158+BC158+BF158),BI158)</f>
        <v>0</v>
      </c>
      <c r="Q158" s="97">
        <f t="shared" si="657"/>
        <v>0</v>
      </c>
      <c r="R158" s="97"/>
      <c r="S158" s="97">
        <f t="shared" ref="S158:T158" si="658">I158-M158</f>
        <v>4906.54</v>
      </c>
      <c r="T158" s="97">
        <f t="shared" si="658"/>
        <v>0</v>
      </c>
      <c r="U158" s="97">
        <f t="shared" si="645"/>
        <v>0</v>
      </c>
      <c r="V158" s="98">
        <f t="shared" ref="V158:W158" si="659">M158/I158</f>
        <v>0</v>
      </c>
      <c r="W158" s="98" t="e">
        <f t="shared" si="659"/>
        <v>#DIV/0!</v>
      </c>
      <c r="X158" s="98" t="e">
        <f t="shared" ref="X158:X169" si="660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61">E160+E168+E183</f>
        <v>121389.6</v>
      </c>
      <c r="F159" s="87">
        <f t="shared" si="661"/>
        <v>36000</v>
      </c>
      <c r="G159" s="107">
        <f t="shared" si="654"/>
        <v>1.2356907016746081E-2</v>
      </c>
      <c r="H159" s="107">
        <f t="shared" si="655"/>
        <v>0</v>
      </c>
      <c r="I159" s="87">
        <f t="shared" ref="I159:O159" si="662">I160+I168+I183</f>
        <v>1500</v>
      </c>
      <c r="J159" s="87">
        <f t="shared" si="662"/>
        <v>984.93000000000006</v>
      </c>
      <c r="K159" s="87">
        <f t="shared" si="662"/>
        <v>0</v>
      </c>
      <c r="L159" s="87">
        <f t="shared" si="662"/>
        <v>0</v>
      </c>
      <c r="M159" s="87">
        <f t="shared" si="662"/>
        <v>0</v>
      </c>
      <c r="N159" s="87">
        <f t="shared" si="662"/>
        <v>626.89</v>
      </c>
      <c r="O159" s="87">
        <f t="shared" si="662"/>
        <v>0</v>
      </c>
      <c r="P159" s="87">
        <f t="shared" ref="P159:R159" si="663">IF(BI159=0,SUM(Y159+AB159+AE159+AH159+AK159+AN159+AQ159+AT159+AW159+AZ159+BC159+BF159),BI159)</f>
        <v>0</v>
      </c>
      <c r="Q159" s="87">
        <f t="shared" si="663"/>
        <v>626.89</v>
      </c>
      <c r="R159" s="87">
        <f t="shared" si="663"/>
        <v>0</v>
      </c>
      <c r="S159" s="87">
        <f t="shared" ref="S159:U159" si="664">S160+S168+S183</f>
        <v>1500</v>
      </c>
      <c r="T159" s="87">
        <f t="shared" si="664"/>
        <v>358.04</v>
      </c>
      <c r="U159" s="87">
        <f t="shared" si="664"/>
        <v>0</v>
      </c>
      <c r="V159" s="88">
        <f t="shared" ref="V159:W159" si="665">M159/I159</f>
        <v>0</v>
      </c>
      <c r="W159" s="88">
        <f t="shared" si="665"/>
        <v>0.6364817804310966</v>
      </c>
      <c r="X159" s="88" t="e">
        <f t="shared" si="660"/>
        <v>#DIV/0!</v>
      </c>
      <c r="Y159" s="87">
        <f t="shared" ref="Y159:BK159" si="666">Y160+Y168+Y183</f>
        <v>0</v>
      </c>
      <c r="Z159" s="87">
        <f t="shared" si="666"/>
        <v>250</v>
      </c>
      <c r="AA159" s="87">
        <f t="shared" si="666"/>
        <v>0</v>
      </c>
      <c r="AB159" s="87">
        <f t="shared" si="666"/>
        <v>0</v>
      </c>
      <c r="AC159" s="87">
        <f t="shared" si="666"/>
        <v>0</v>
      </c>
      <c r="AD159" s="87">
        <f t="shared" si="666"/>
        <v>0</v>
      </c>
      <c r="AE159" s="87">
        <f t="shared" si="666"/>
        <v>0</v>
      </c>
      <c r="AF159" s="87">
        <f t="shared" si="666"/>
        <v>0</v>
      </c>
      <c r="AG159" s="87">
        <f t="shared" si="666"/>
        <v>0</v>
      </c>
      <c r="AH159" s="87">
        <f t="shared" si="666"/>
        <v>0</v>
      </c>
      <c r="AI159" s="87">
        <f t="shared" si="666"/>
        <v>376.89</v>
      </c>
      <c r="AJ159" s="87">
        <f t="shared" si="666"/>
        <v>0</v>
      </c>
      <c r="AK159" s="87">
        <f t="shared" si="666"/>
        <v>0</v>
      </c>
      <c r="AL159" s="87">
        <f t="shared" si="666"/>
        <v>0</v>
      </c>
      <c r="AM159" s="87">
        <f t="shared" si="666"/>
        <v>0</v>
      </c>
      <c r="AN159" s="87">
        <f t="shared" si="666"/>
        <v>0</v>
      </c>
      <c r="AO159" s="87">
        <f t="shared" si="666"/>
        <v>0</v>
      </c>
      <c r="AP159" s="87">
        <f t="shared" si="666"/>
        <v>0</v>
      </c>
      <c r="AQ159" s="87">
        <f t="shared" si="666"/>
        <v>0</v>
      </c>
      <c r="AR159" s="87">
        <f t="shared" si="666"/>
        <v>0</v>
      </c>
      <c r="AS159" s="87">
        <f t="shared" si="666"/>
        <v>0</v>
      </c>
      <c r="AT159" s="87">
        <f t="shared" si="666"/>
        <v>0</v>
      </c>
      <c r="AU159" s="87">
        <f t="shared" si="666"/>
        <v>0</v>
      </c>
      <c r="AV159" s="87">
        <f t="shared" si="666"/>
        <v>0</v>
      </c>
      <c r="AW159" s="87">
        <f t="shared" si="666"/>
        <v>0</v>
      </c>
      <c r="AX159" s="87">
        <f t="shared" si="666"/>
        <v>0</v>
      </c>
      <c r="AY159" s="87">
        <f t="shared" si="666"/>
        <v>0</v>
      </c>
      <c r="AZ159" s="87">
        <f t="shared" si="666"/>
        <v>0</v>
      </c>
      <c r="BA159" s="87">
        <f t="shared" si="666"/>
        <v>0</v>
      </c>
      <c r="BB159" s="87">
        <f t="shared" si="666"/>
        <v>0</v>
      </c>
      <c r="BC159" s="87">
        <f t="shared" si="666"/>
        <v>0</v>
      </c>
      <c r="BD159" s="87">
        <f t="shared" si="666"/>
        <v>0</v>
      </c>
      <c r="BE159" s="87">
        <f t="shared" si="666"/>
        <v>0</v>
      </c>
      <c r="BF159" s="87">
        <f t="shared" si="666"/>
        <v>0</v>
      </c>
      <c r="BG159" s="87">
        <f t="shared" si="666"/>
        <v>0</v>
      </c>
      <c r="BH159" s="87">
        <f t="shared" si="666"/>
        <v>0</v>
      </c>
      <c r="BI159" s="87">
        <f t="shared" si="666"/>
        <v>0</v>
      </c>
      <c r="BJ159" s="87">
        <f t="shared" si="666"/>
        <v>0</v>
      </c>
      <c r="BK159" s="87">
        <f t="shared" si="666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67">E161+E165</f>
        <v>36444.800000000003</v>
      </c>
      <c r="F160" s="255">
        <f t="shared" si="667"/>
        <v>0</v>
      </c>
      <c r="G160" s="223">
        <f t="shared" si="654"/>
        <v>4.1158135042584948E-2</v>
      </c>
      <c r="H160" s="223">
        <f t="shared" si="655"/>
        <v>0</v>
      </c>
      <c r="I160" s="255">
        <f t="shared" ref="I160:O160" si="668">I161+I165</f>
        <v>1500</v>
      </c>
      <c r="J160" s="255">
        <f t="shared" si="668"/>
        <v>0</v>
      </c>
      <c r="K160" s="255">
        <f t="shared" si="668"/>
        <v>0</v>
      </c>
      <c r="L160" s="255">
        <f t="shared" si="668"/>
        <v>0</v>
      </c>
      <c r="M160" s="255">
        <f t="shared" si="668"/>
        <v>0</v>
      </c>
      <c r="N160" s="255">
        <f t="shared" si="668"/>
        <v>0</v>
      </c>
      <c r="O160" s="255">
        <f t="shared" si="668"/>
        <v>0</v>
      </c>
      <c r="P160" s="245">
        <f t="shared" ref="P160:R160" si="669">IF(BI160=0,SUM(Y160+AB160+AE160+AH160+AK160+AN160+AQ160+AT160+AW160+AZ160+BC160+BF160),BI160)</f>
        <v>0</v>
      </c>
      <c r="Q160" s="245">
        <f t="shared" si="669"/>
        <v>0</v>
      </c>
      <c r="R160" s="245">
        <f t="shared" si="669"/>
        <v>0</v>
      </c>
      <c r="S160" s="255">
        <f t="shared" ref="S160:U160" si="670">S161+S165</f>
        <v>1500</v>
      </c>
      <c r="T160" s="255">
        <f t="shared" si="670"/>
        <v>0</v>
      </c>
      <c r="U160" s="255">
        <f t="shared" si="670"/>
        <v>0</v>
      </c>
      <c r="V160" s="256">
        <f t="shared" ref="V160:W160" si="671">M160/I160</f>
        <v>0</v>
      </c>
      <c r="W160" s="256" t="e">
        <f t="shared" si="671"/>
        <v>#DIV/0!</v>
      </c>
      <c r="X160" s="256" t="e">
        <f t="shared" si="660"/>
        <v>#DIV/0!</v>
      </c>
      <c r="Y160" s="255">
        <f t="shared" ref="Y160:BK160" si="672">Y161+Y165</f>
        <v>0</v>
      </c>
      <c r="Z160" s="255">
        <f t="shared" si="672"/>
        <v>0</v>
      </c>
      <c r="AA160" s="255">
        <f t="shared" si="672"/>
        <v>0</v>
      </c>
      <c r="AB160" s="255">
        <f t="shared" si="672"/>
        <v>0</v>
      </c>
      <c r="AC160" s="255">
        <f t="shared" si="672"/>
        <v>0</v>
      </c>
      <c r="AD160" s="255">
        <f t="shared" si="672"/>
        <v>0</v>
      </c>
      <c r="AE160" s="255">
        <f t="shared" si="672"/>
        <v>0</v>
      </c>
      <c r="AF160" s="255">
        <f t="shared" si="672"/>
        <v>0</v>
      </c>
      <c r="AG160" s="255">
        <f t="shared" si="672"/>
        <v>0</v>
      </c>
      <c r="AH160" s="255">
        <f t="shared" si="672"/>
        <v>0</v>
      </c>
      <c r="AI160" s="255">
        <f t="shared" si="672"/>
        <v>0</v>
      </c>
      <c r="AJ160" s="255">
        <f t="shared" si="672"/>
        <v>0</v>
      </c>
      <c r="AK160" s="255">
        <f t="shared" si="672"/>
        <v>0</v>
      </c>
      <c r="AL160" s="255">
        <f t="shared" si="672"/>
        <v>0</v>
      </c>
      <c r="AM160" s="255">
        <f t="shared" si="672"/>
        <v>0</v>
      </c>
      <c r="AN160" s="255">
        <f t="shared" si="672"/>
        <v>0</v>
      </c>
      <c r="AO160" s="255">
        <f t="shared" si="672"/>
        <v>0</v>
      </c>
      <c r="AP160" s="255">
        <f t="shared" si="672"/>
        <v>0</v>
      </c>
      <c r="AQ160" s="255">
        <f t="shared" si="672"/>
        <v>0</v>
      </c>
      <c r="AR160" s="255">
        <f t="shared" si="672"/>
        <v>0</v>
      </c>
      <c r="AS160" s="255">
        <f t="shared" si="672"/>
        <v>0</v>
      </c>
      <c r="AT160" s="255">
        <f t="shared" si="672"/>
        <v>0</v>
      </c>
      <c r="AU160" s="255">
        <f t="shared" si="672"/>
        <v>0</v>
      </c>
      <c r="AV160" s="255">
        <f t="shared" si="672"/>
        <v>0</v>
      </c>
      <c r="AW160" s="255">
        <f t="shared" si="672"/>
        <v>0</v>
      </c>
      <c r="AX160" s="255">
        <f t="shared" si="672"/>
        <v>0</v>
      </c>
      <c r="AY160" s="255">
        <f t="shared" si="672"/>
        <v>0</v>
      </c>
      <c r="AZ160" s="255">
        <f t="shared" si="672"/>
        <v>0</v>
      </c>
      <c r="BA160" s="255">
        <f t="shared" si="672"/>
        <v>0</v>
      </c>
      <c r="BB160" s="255">
        <f t="shared" si="672"/>
        <v>0</v>
      </c>
      <c r="BC160" s="255">
        <f t="shared" si="672"/>
        <v>0</v>
      </c>
      <c r="BD160" s="255">
        <f t="shared" si="672"/>
        <v>0</v>
      </c>
      <c r="BE160" s="255">
        <f t="shared" si="672"/>
        <v>0</v>
      </c>
      <c r="BF160" s="255">
        <f t="shared" si="672"/>
        <v>0</v>
      </c>
      <c r="BG160" s="255">
        <f t="shared" si="672"/>
        <v>0</v>
      </c>
      <c r="BH160" s="255">
        <f t="shared" si="672"/>
        <v>0</v>
      </c>
      <c r="BI160" s="255">
        <f t="shared" si="672"/>
        <v>0</v>
      </c>
      <c r="BJ160" s="255">
        <f t="shared" si="672"/>
        <v>0</v>
      </c>
      <c r="BK160" s="255">
        <f t="shared" si="672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73">SUM(E162:E164)</f>
        <v>36444.800000000003</v>
      </c>
      <c r="F161" s="231">
        <f t="shared" si="673"/>
        <v>0</v>
      </c>
      <c r="G161" s="187">
        <f t="shared" si="654"/>
        <v>4.1158135042584948E-2</v>
      </c>
      <c r="H161" s="187">
        <f t="shared" si="655"/>
        <v>0</v>
      </c>
      <c r="I161" s="231">
        <f t="shared" ref="I161:O161" si="674">SUM(I162:I164)</f>
        <v>1500</v>
      </c>
      <c r="J161" s="231">
        <f t="shared" si="674"/>
        <v>0</v>
      </c>
      <c r="K161" s="231">
        <f t="shared" si="674"/>
        <v>0</v>
      </c>
      <c r="L161" s="231">
        <f t="shared" si="674"/>
        <v>0</v>
      </c>
      <c r="M161" s="231">
        <f t="shared" si="674"/>
        <v>0</v>
      </c>
      <c r="N161" s="231">
        <f t="shared" si="674"/>
        <v>0</v>
      </c>
      <c r="O161" s="231">
        <f t="shared" si="674"/>
        <v>0</v>
      </c>
      <c r="P161" s="258">
        <f t="shared" ref="P161:R161" si="675">IF(BI161=0,SUM(Y161+AB161+AE161+AH161+AK161+AN161+AQ161+AT161+AW161+AZ161+BC161+BF161),BI161)</f>
        <v>0</v>
      </c>
      <c r="Q161" s="258">
        <f t="shared" si="675"/>
        <v>0</v>
      </c>
      <c r="R161" s="258">
        <f t="shared" si="675"/>
        <v>0</v>
      </c>
      <c r="S161" s="231">
        <f t="shared" ref="S161:U161" si="676">SUM(S162:S164)</f>
        <v>1500</v>
      </c>
      <c r="T161" s="231">
        <f t="shared" si="676"/>
        <v>0</v>
      </c>
      <c r="U161" s="231">
        <f t="shared" si="676"/>
        <v>0</v>
      </c>
      <c r="V161" s="259">
        <f t="shared" ref="V161:W161" si="677">M161/I161</f>
        <v>0</v>
      </c>
      <c r="W161" s="259" t="e">
        <f t="shared" si="677"/>
        <v>#DIV/0!</v>
      </c>
      <c r="X161" s="259" t="e">
        <f t="shared" si="660"/>
        <v>#DIV/0!</v>
      </c>
      <c r="Y161" s="231">
        <f t="shared" ref="Y161:BK161" si="678">SUM(Y162:Y164)</f>
        <v>0</v>
      </c>
      <c r="Z161" s="231">
        <f t="shared" si="678"/>
        <v>0</v>
      </c>
      <c r="AA161" s="231">
        <f t="shared" si="678"/>
        <v>0</v>
      </c>
      <c r="AB161" s="231">
        <f t="shared" si="678"/>
        <v>0</v>
      </c>
      <c r="AC161" s="231">
        <f t="shared" si="678"/>
        <v>0</v>
      </c>
      <c r="AD161" s="231">
        <f t="shared" si="678"/>
        <v>0</v>
      </c>
      <c r="AE161" s="231">
        <f t="shared" si="678"/>
        <v>0</v>
      </c>
      <c r="AF161" s="231">
        <f t="shared" si="678"/>
        <v>0</v>
      </c>
      <c r="AG161" s="231">
        <f t="shared" si="678"/>
        <v>0</v>
      </c>
      <c r="AH161" s="231">
        <f t="shared" si="678"/>
        <v>0</v>
      </c>
      <c r="AI161" s="231">
        <f t="shared" si="678"/>
        <v>0</v>
      </c>
      <c r="AJ161" s="231">
        <f t="shared" si="678"/>
        <v>0</v>
      </c>
      <c r="AK161" s="231">
        <f t="shared" si="678"/>
        <v>0</v>
      </c>
      <c r="AL161" s="231">
        <f t="shared" si="678"/>
        <v>0</v>
      </c>
      <c r="AM161" s="231">
        <f t="shared" si="678"/>
        <v>0</v>
      </c>
      <c r="AN161" s="231">
        <f t="shared" si="678"/>
        <v>0</v>
      </c>
      <c r="AO161" s="231">
        <f t="shared" si="678"/>
        <v>0</v>
      </c>
      <c r="AP161" s="231">
        <f t="shared" si="678"/>
        <v>0</v>
      </c>
      <c r="AQ161" s="231">
        <f t="shared" si="678"/>
        <v>0</v>
      </c>
      <c r="AR161" s="231">
        <f t="shared" si="678"/>
        <v>0</v>
      </c>
      <c r="AS161" s="231">
        <f t="shared" si="678"/>
        <v>0</v>
      </c>
      <c r="AT161" s="231">
        <f t="shared" si="678"/>
        <v>0</v>
      </c>
      <c r="AU161" s="231">
        <f t="shared" si="678"/>
        <v>0</v>
      </c>
      <c r="AV161" s="231">
        <f t="shared" si="678"/>
        <v>0</v>
      </c>
      <c r="AW161" s="231">
        <f t="shared" si="678"/>
        <v>0</v>
      </c>
      <c r="AX161" s="231">
        <f t="shared" si="678"/>
        <v>0</v>
      </c>
      <c r="AY161" s="231">
        <f t="shared" si="678"/>
        <v>0</v>
      </c>
      <c r="AZ161" s="231">
        <f t="shared" si="678"/>
        <v>0</v>
      </c>
      <c r="BA161" s="231">
        <f t="shared" si="678"/>
        <v>0</v>
      </c>
      <c r="BB161" s="231">
        <f t="shared" si="678"/>
        <v>0</v>
      </c>
      <c r="BC161" s="231">
        <f t="shared" si="678"/>
        <v>0</v>
      </c>
      <c r="BD161" s="231">
        <f t="shared" si="678"/>
        <v>0</v>
      </c>
      <c r="BE161" s="231">
        <f t="shared" si="678"/>
        <v>0</v>
      </c>
      <c r="BF161" s="231">
        <f t="shared" si="678"/>
        <v>0</v>
      </c>
      <c r="BG161" s="231">
        <f t="shared" si="678"/>
        <v>0</v>
      </c>
      <c r="BH161" s="231">
        <f t="shared" si="678"/>
        <v>0</v>
      </c>
      <c r="BI161" s="231">
        <f t="shared" si="678"/>
        <v>0</v>
      </c>
      <c r="BJ161" s="231">
        <f t="shared" si="678"/>
        <v>0</v>
      </c>
      <c r="BK161" s="231">
        <f t="shared" si="678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54"/>
        <v>0</v>
      </c>
      <c r="H162" s="94">
        <f t="shared" si="655"/>
        <v>0</v>
      </c>
      <c r="I162" s="142">
        <v>0</v>
      </c>
      <c r="J162" s="96"/>
      <c r="K162" s="96"/>
      <c r="L162" s="96"/>
      <c r="M162" s="97">
        <f t="shared" ref="M162:O162" si="679">Y162+AB162+AE162+AH162+AK162+AN162+AQ162+AT162+AW162+AZ162+BC162+BF162</f>
        <v>0</v>
      </c>
      <c r="N162" s="97">
        <f t="shared" si="679"/>
        <v>0</v>
      </c>
      <c r="O162" s="97">
        <f t="shared" si="679"/>
        <v>0</v>
      </c>
      <c r="P162" s="97">
        <f t="shared" ref="P162:R162" si="680">IF(BI162=0,SUM(Y162+AB162+AE162+AH162+AK162+AN162+AQ162+AT162+AW162+AZ162+BC162+BF162),BI162)</f>
        <v>0</v>
      </c>
      <c r="Q162" s="97">
        <f t="shared" si="680"/>
        <v>0</v>
      </c>
      <c r="R162" s="97">
        <f t="shared" si="680"/>
        <v>0</v>
      </c>
      <c r="S162" s="138">
        <f t="shared" ref="S162:T162" si="681">I162-M162</f>
        <v>0</v>
      </c>
      <c r="T162" s="97">
        <f t="shared" si="681"/>
        <v>0</v>
      </c>
      <c r="U162" s="97">
        <f t="shared" ref="U162:U164" si="682">L162-O162</f>
        <v>0</v>
      </c>
      <c r="V162" s="98" t="e">
        <f t="shared" ref="V162:W162" si="683">M162/I162</f>
        <v>#DIV/0!</v>
      </c>
      <c r="W162" s="98" t="e">
        <f t="shared" si="683"/>
        <v>#DIV/0!</v>
      </c>
      <c r="X162" s="98" t="e">
        <f t="shared" si="660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54"/>
        <v>1</v>
      </c>
      <c r="H163" s="94">
        <f t="shared" si="655"/>
        <v>0</v>
      </c>
      <c r="I163" s="95">
        <v>1500</v>
      </c>
      <c r="J163" s="96"/>
      <c r="K163" s="96"/>
      <c r="L163" s="261"/>
      <c r="M163" s="97">
        <f t="shared" ref="M163:O163" si="684">Y163+AB163+AE163+AH163+AK163+AN163+AQ163+AT163+AW163+AZ163+BC163+BF163</f>
        <v>0</v>
      </c>
      <c r="N163" s="97">
        <f t="shared" si="684"/>
        <v>0</v>
      </c>
      <c r="O163" s="97">
        <f t="shared" si="684"/>
        <v>0</v>
      </c>
      <c r="P163" s="97">
        <f t="shared" ref="P163:R163" si="685">IF(BI163=0,SUM(Y163+AB163+AE163+AH163+AK163+AN163+AQ163+AT163+AW163+AZ163+BC163+BF163),BI163)</f>
        <v>0</v>
      </c>
      <c r="Q163" s="97">
        <f t="shared" si="685"/>
        <v>0</v>
      </c>
      <c r="R163" s="97">
        <f t="shared" si="685"/>
        <v>0</v>
      </c>
      <c r="S163" s="97">
        <f t="shared" ref="S163:T163" si="686">I163-M163</f>
        <v>1500</v>
      </c>
      <c r="T163" s="97">
        <f t="shared" si="686"/>
        <v>0</v>
      </c>
      <c r="U163" s="97">
        <f t="shared" si="682"/>
        <v>0</v>
      </c>
      <c r="V163" s="98">
        <f t="shared" ref="V163:W163" si="687">M163/I163</f>
        <v>0</v>
      </c>
      <c r="W163" s="98" t="e">
        <f t="shared" si="687"/>
        <v>#DIV/0!</v>
      </c>
      <c r="X163" s="98" t="e">
        <f t="shared" si="660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54"/>
        <v>#DIV/0!</v>
      </c>
      <c r="H164" s="94" t="e">
        <f t="shared" si="655"/>
        <v>#DIV/0!</v>
      </c>
      <c r="I164" s="95"/>
      <c r="J164" s="96"/>
      <c r="K164" s="96"/>
      <c r="L164" s="95"/>
      <c r="M164" s="97">
        <f t="shared" ref="M164:O164" si="688">Y164+AB164+AE164+AH164+AK164+AN164+AQ164+AT164+AW164+AZ164+BC164+BF164</f>
        <v>0</v>
      </c>
      <c r="N164" s="97">
        <f t="shared" si="688"/>
        <v>0</v>
      </c>
      <c r="O164" s="97">
        <f t="shared" si="688"/>
        <v>0</v>
      </c>
      <c r="P164" s="97">
        <f t="shared" ref="P164:R164" si="689">IF(BI164=0,SUM(Y164+AB164+AE164+AH164+AK164+AN164+AQ164+AT164+AW164+AZ164+BC164+BF164),BI164)</f>
        <v>0</v>
      </c>
      <c r="Q164" s="97">
        <f t="shared" si="689"/>
        <v>0</v>
      </c>
      <c r="R164" s="97">
        <f t="shared" si="689"/>
        <v>0</v>
      </c>
      <c r="S164" s="97">
        <f t="shared" ref="S164:T164" si="690">I164-M164</f>
        <v>0</v>
      </c>
      <c r="T164" s="97">
        <f t="shared" si="690"/>
        <v>0</v>
      </c>
      <c r="U164" s="97">
        <f t="shared" si="682"/>
        <v>0</v>
      </c>
      <c r="V164" s="98" t="e">
        <f t="shared" ref="V164:W164" si="691">M164/I164</f>
        <v>#DIV/0!</v>
      </c>
      <c r="W164" s="98" t="e">
        <f t="shared" si="691"/>
        <v>#DIV/0!</v>
      </c>
      <c r="X164" s="98" t="e">
        <f t="shared" si="660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692">SUM(E166:E167)</f>
        <v>0</v>
      </c>
      <c r="F165" s="231">
        <f t="shared" si="692"/>
        <v>0</v>
      </c>
      <c r="G165" s="188" t="e">
        <f t="shared" si="654"/>
        <v>#DIV/0!</v>
      </c>
      <c r="H165" s="188" t="e">
        <f t="shared" si="655"/>
        <v>#DIV/0!</v>
      </c>
      <c r="I165" s="231">
        <f t="shared" ref="I165:O165" si="693">SUM(I166:I167)</f>
        <v>0</v>
      </c>
      <c r="J165" s="231">
        <f t="shared" si="693"/>
        <v>0</v>
      </c>
      <c r="K165" s="231">
        <f t="shared" si="693"/>
        <v>0</v>
      </c>
      <c r="L165" s="231">
        <f t="shared" si="693"/>
        <v>0</v>
      </c>
      <c r="M165" s="231">
        <f t="shared" si="693"/>
        <v>0</v>
      </c>
      <c r="N165" s="231">
        <f t="shared" si="693"/>
        <v>0</v>
      </c>
      <c r="O165" s="231">
        <f t="shared" si="693"/>
        <v>0</v>
      </c>
      <c r="P165" s="258">
        <f t="shared" ref="P165:R165" si="694">IF(BI165=0,SUM(Y165+AB165+AE165+AH165+AK165+AN165+AQ165+AT165+AW165+AZ165+BC165+BF165),BI165)</f>
        <v>0</v>
      </c>
      <c r="Q165" s="258">
        <f t="shared" si="694"/>
        <v>0</v>
      </c>
      <c r="R165" s="258">
        <f t="shared" si="694"/>
        <v>0</v>
      </c>
      <c r="S165" s="231">
        <f t="shared" ref="S165:U165" si="695">SUM(S166:S167)</f>
        <v>0</v>
      </c>
      <c r="T165" s="231">
        <f t="shared" si="695"/>
        <v>0</v>
      </c>
      <c r="U165" s="231">
        <f t="shared" si="695"/>
        <v>0</v>
      </c>
      <c r="V165" s="259" t="e">
        <f t="shared" ref="V165:W165" si="696">M165/I165</f>
        <v>#DIV/0!</v>
      </c>
      <c r="W165" s="259" t="e">
        <f t="shared" si="696"/>
        <v>#DIV/0!</v>
      </c>
      <c r="X165" s="259" t="e">
        <f t="shared" si="660"/>
        <v>#DIV/0!</v>
      </c>
      <c r="Y165" s="231">
        <f t="shared" ref="Y165:BK165" si="697">SUM(Y166:Y167)</f>
        <v>0</v>
      </c>
      <c r="Z165" s="231">
        <f t="shared" si="697"/>
        <v>0</v>
      </c>
      <c r="AA165" s="231">
        <f t="shared" si="697"/>
        <v>0</v>
      </c>
      <c r="AB165" s="231">
        <f t="shared" si="697"/>
        <v>0</v>
      </c>
      <c r="AC165" s="231">
        <f t="shared" si="697"/>
        <v>0</v>
      </c>
      <c r="AD165" s="231">
        <f t="shared" si="697"/>
        <v>0</v>
      </c>
      <c r="AE165" s="231">
        <f t="shared" si="697"/>
        <v>0</v>
      </c>
      <c r="AF165" s="231">
        <f t="shared" si="697"/>
        <v>0</v>
      </c>
      <c r="AG165" s="231">
        <f t="shared" si="697"/>
        <v>0</v>
      </c>
      <c r="AH165" s="231">
        <f t="shared" si="697"/>
        <v>0</v>
      </c>
      <c r="AI165" s="231">
        <f t="shared" si="697"/>
        <v>0</v>
      </c>
      <c r="AJ165" s="231">
        <f t="shared" si="697"/>
        <v>0</v>
      </c>
      <c r="AK165" s="231">
        <f t="shared" si="697"/>
        <v>0</v>
      </c>
      <c r="AL165" s="231">
        <f t="shared" si="697"/>
        <v>0</v>
      </c>
      <c r="AM165" s="231">
        <f t="shared" si="697"/>
        <v>0</v>
      </c>
      <c r="AN165" s="231">
        <f t="shared" si="697"/>
        <v>0</v>
      </c>
      <c r="AO165" s="231">
        <f t="shared" si="697"/>
        <v>0</v>
      </c>
      <c r="AP165" s="231">
        <f t="shared" si="697"/>
        <v>0</v>
      </c>
      <c r="AQ165" s="231">
        <f t="shared" si="697"/>
        <v>0</v>
      </c>
      <c r="AR165" s="231">
        <f t="shared" si="697"/>
        <v>0</v>
      </c>
      <c r="AS165" s="231">
        <f t="shared" si="697"/>
        <v>0</v>
      </c>
      <c r="AT165" s="231">
        <f t="shared" si="697"/>
        <v>0</v>
      </c>
      <c r="AU165" s="231">
        <f t="shared" si="697"/>
        <v>0</v>
      </c>
      <c r="AV165" s="231">
        <f t="shared" si="697"/>
        <v>0</v>
      </c>
      <c r="AW165" s="231">
        <f t="shared" si="697"/>
        <v>0</v>
      </c>
      <c r="AX165" s="231">
        <f t="shared" si="697"/>
        <v>0</v>
      </c>
      <c r="AY165" s="231">
        <f t="shared" si="697"/>
        <v>0</v>
      </c>
      <c r="AZ165" s="231">
        <f t="shared" si="697"/>
        <v>0</v>
      </c>
      <c r="BA165" s="231">
        <f t="shared" si="697"/>
        <v>0</v>
      </c>
      <c r="BB165" s="231">
        <f t="shared" si="697"/>
        <v>0</v>
      </c>
      <c r="BC165" s="231">
        <f t="shared" si="697"/>
        <v>0</v>
      </c>
      <c r="BD165" s="231">
        <f t="shared" si="697"/>
        <v>0</v>
      </c>
      <c r="BE165" s="231">
        <f t="shared" si="697"/>
        <v>0</v>
      </c>
      <c r="BF165" s="231">
        <f t="shared" si="697"/>
        <v>0</v>
      </c>
      <c r="BG165" s="231">
        <f t="shared" si="697"/>
        <v>0</v>
      </c>
      <c r="BH165" s="231">
        <f t="shared" si="697"/>
        <v>0</v>
      </c>
      <c r="BI165" s="231">
        <f t="shared" si="697"/>
        <v>0</v>
      </c>
      <c r="BJ165" s="231">
        <f t="shared" si="697"/>
        <v>0</v>
      </c>
      <c r="BK165" s="231">
        <f t="shared" si="697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54"/>
        <v>#DIV/0!</v>
      </c>
      <c r="H166" s="94" t="e">
        <f t="shared" si="655"/>
        <v>#DIV/0!</v>
      </c>
      <c r="I166" s="95"/>
      <c r="J166" s="96"/>
      <c r="K166" s="96"/>
      <c r="L166" s="95"/>
      <c r="M166" s="97">
        <f t="shared" ref="M166:O166" si="698">Y166+AB166+AE166+AH166+AK166+AN166+AQ166+AT166+AW166+AZ166+BC166+BF166</f>
        <v>0</v>
      </c>
      <c r="N166" s="97">
        <f t="shared" si="698"/>
        <v>0</v>
      </c>
      <c r="O166" s="97">
        <f t="shared" si="698"/>
        <v>0</v>
      </c>
      <c r="P166" s="97">
        <f t="shared" ref="P166:R166" si="699">IF(BI166=0,SUM(Y166+AB166+AE166+AH166+AK166+AN166+AQ166+AT166+AW166+AZ166+BC166+BF166),BI166)</f>
        <v>0</v>
      </c>
      <c r="Q166" s="97">
        <f t="shared" si="699"/>
        <v>0</v>
      </c>
      <c r="R166" s="97">
        <f t="shared" si="699"/>
        <v>0</v>
      </c>
      <c r="S166" s="97">
        <f t="shared" ref="S166:T166" si="700">I166-M166</f>
        <v>0</v>
      </c>
      <c r="T166" s="97">
        <f t="shared" si="700"/>
        <v>0</v>
      </c>
      <c r="U166" s="97">
        <f t="shared" ref="U166:U167" si="701">L166-O166</f>
        <v>0</v>
      </c>
      <c r="V166" s="98" t="e">
        <f t="shared" ref="V166:W166" si="702">M166/I166</f>
        <v>#DIV/0!</v>
      </c>
      <c r="W166" s="98" t="e">
        <f t="shared" si="702"/>
        <v>#DIV/0!</v>
      </c>
      <c r="X166" s="98" t="e">
        <f t="shared" si="660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54"/>
        <v>#DIV/0!</v>
      </c>
      <c r="H167" s="94" t="e">
        <f t="shared" si="655"/>
        <v>#DIV/0!</v>
      </c>
      <c r="I167" s="95"/>
      <c r="J167" s="96"/>
      <c r="K167" s="96"/>
      <c r="L167" s="95"/>
      <c r="M167" s="97"/>
      <c r="N167" s="97">
        <f t="shared" ref="N167:O167" si="703">Z167+AC167+AF167+AI167+AL167+AO167+AR167+AU167+AX167+BA167+BD167+BG167</f>
        <v>0</v>
      </c>
      <c r="O167" s="97">
        <f t="shared" si="703"/>
        <v>0</v>
      </c>
      <c r="P167" s="97">
        <f t="shared" ref="P167:R167" si="704">IF(BI167=0,SUM(Y167+AB167+AE167+AH167+AK167+AN167+AQ167+AT167+AW167+AZ167+BC167+BF167),BI167)</f>
        <v>0</v>
      </c>
      <c r="Q167" s="97">
        <f t="shared" si="704"/>
        <v>0</v>
      </c>
      <c r="R167" s="97">
        <f t="shared" si="704"/>
        <v>0</v>
      </c>
      <c r="S167" s="97">
        <f t="shared" ref="S167:T167" si="705">I167-M167</f>
        <v>0</v>
      </c>
      <c r="T167" s="97">
        <f t="shared" si="705"/>
        <v>0</v>
      </c>
      <c r="U167" s="97">
        <f t="shared" si="701"/>
        <v>0</v>
      </c>
      <c r="V167" s="98" t="e">
        <f t="shared" ref="V167:W167" si="706">M167/I167</f>
        <v>#DIV/0!</v>
      </c>
      <c r="W167" s="98" t="e">
        <f t="shared" si="706"/>
        <v>#DIV/0!</v>
      </c>
      <c r="X167" s="98" t="e">
        <f t="shared" si="660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07">E169+E176</f>
        <v>84944.8</v>
      </c>
      <c r="F168" s="255">
        <f t="shared" si="707"/>
        <v>36000</v>
      </c>
      <c r="G168" s="223">
        <f t="shared" si="654"/>
        <v>0</v>
      </c>
      <c r="H168" s="223">
        <f t="shared" si="655"/>
        <v>0</v>
      </c>
      <c r="I168" s="255">
        <f t="shared" ref="I168:O168" si="708">I169+I176</f>
        <v>0</v>
      </c>
      <c r="J168" s="255">
        <f t="shared" si="708"/>
        <v>250</v>
      </c>
      <c r="K168" s="255">
        <f t="shared" si="708"/>
        <v>0</v>
      </c>
      <c r="L168" s="255">
        <f t="shared" si="708"/>
        <v>0</v>
      </c>
      <c r="M168" s="255">
        <f t="shared" si="708"/>
        <v>0</v>
      </c>
      <c r="N168" s="255">
        <f t="shared" si="708"/>
        <v>250</v>
      </c>
      <c r="O168" s="255">
        <f t="shared" si="708"/>
        <v>0</v>
      </c>
      <c r="P168" s="255">
        <f t="shared" ref="P168:R168" si="709">IF(BI168=0,SUM(Y168+AB168+AE168+AH168+AK168+AN168+AQ168+AT168+AW168+AZ168+BC168+BF168),BI168)</f>
        <v>0</v>
      </c>
      <c r="Q168" s="255">
        <f t="shared" si="709"/>
        <v>250</v>
      </c>
      <c r="R168" s="255">
        <f t="shared" si="709"/>
        <v>0</v>
      </c>
      <c r="S168" s="255">
        <f t="shared" ref="S168:U168" si="710">S169+S176</f>
        <v>0</v>
      </c>
      <c r="T168" s="255">
        <f t="shared" si="710"/>
        <v>0</v>
      </c>
      <c r="U168" s="255">
        <f t="shared" si="710"/>
        <v>0</v>
      </c>
      <c r="V168" s="256" t="e">
        <f t="shared" ref="V168:W168" si="711">M168/I168</f>
        <v>#DIV/0!</v>
      </c>
      <c r="W168" s="256">
        <f t="shared" si="711"/>
        <v>1</v>
      </c>
      <c r="X168" s="256" t="e">
        <f t="shared" si="660"/>
        <v>#DIV/0!</v>
      </c>
      <c r="Y168" s="255">
        <f t="shared" ref="Y168:BK168" si="712">Y169+Y176</f>
        <v>0</v>
      </c>
      <c r="Z168" s="255">
        <f t="shared" si="712"/>
        <v>250</v>
      </c>
      <c r="AA168" s="255">
        <f t="shared" si="712"/>
        <v>0</v>
      </c>
      <c r="AB168" s="255">
        <f t="shared" si="712"/>
        <v>0</v>
      </c>
      <c r="AC168" s="255">
        <f t="shared" si="712"/>
        <v>0</v>
      </c>
      <c r="AD168" s="255">
        <f t="shared" si="712"/>
        <v>0</v>
      </c>
      <c r="AE168" s="255">
        <f t="shared" si="712"/>
        <v>0</v>
      </c>
      <c r="AF168" s="255">
        <f t="shared" si="712"/>
        <v>0</v>
      </c>
      <c r="AG168" s="255">
        <f t="shared" si="712"/>
        <v>0</v>
      </c>
      <c r="AH168" s="255">
        <f t="shared" si="712"/>
        <v>0</v>
      </c>
      <c r="AI168" s="255">
        <f t="shared" si="712"/>
        <v>0</v>
      </c>
      <c r="AJ168" s="255">
        <f t="shared" si="712"/>
        <v>0</v>
      </c>
      <c r="AK168" s="255">
        <f t="shared" si="712"/>
        <v>0</v>
      </c>
      <c r="AL168" s="255">
        <f t="shared" si="712"/>
        <v>0</v>
      </c>
      <c r="AM168" s="255">
        <f t="shared" si="712"/>
        <v>0</v>
      </c>
      <c r="AN168" s="255">
        <f t="shared" si="712"/>
        <v>0</v>
      </c>
      <c r="AO168" s="255">
        <f t="shared" si="712"/>
        <v>0</v>
      </c>
      <c r="AP168" s="255">
        <f t="shared" si="712"/>
        <v>0</v>
      </c>
      <c r="AQ168" s="255">
        <f t="shared" si="712"/>
        <v>0</v>
      </c>
      <c r="AR168" s="255">
        <f t="shared" si="712"/>
        <v>0</v>
      </c>
      <c r="AS168" s="255">
        <f t="shared" si="712"/>
        <v>0</v>
      </c>
      <c r="AT168" s="255">
        <f t="shared" si="712"/>
        <v>0</v>
      </c>
      <c r="AU168" s="255">
        <f t="shared" si="712"/>
        <v>0</v>
      </c>
      <c r="AV168" s="255">
        <f t="shared" si="712"/>
        <v>0</v>
      </c>
      <c r="AW168" s="255">
        <f t="shared" si="712"/>
        <v>0</v>
      </c>
      <c r="AX168" s="255">
        <f t="shared" si="712"/>
        <v>0</v>
      </c>
      <c r="AY168" s="255">
        <f t="shared" si="712"/>
        <v>0</v>
      </c>
      <c r="AZ168" s="255">
        <f t="shared" si="712"/>
        <v>0</v>
      </c>
      <c r="BA168" s="255">
        <f t="shared" si="712"/>
        <v>0</v>
      </c>
      <c r="BB168" s="255">
        <f t="shared" si="712"/>
        <v>0</v>
      </c>
      <c r="BC168" s="255">
        <f t="shared" si="712"/>
        <v>0</v>
      </c>
      <c r="BD168" s="255">
        <f t="shared" si="712"/>
        <v>0</v>
      </c>
      <c r="BE168" s="255">
        <f t="shared" si="712"/>
        <v>0</v>
      </c>
      <c r="BF168" s="255">
        <f t="shared" si="712"/>
        <v>0</v>
      </c>
      <c r="BG168" s="255">
        <f t="shared" si="712"/>
        <v>0</v>
      </c>
      <c r="BH168" s="255">
        <f t="shared" si="712"/>
        <v>0</v>
      </c>
      <c r="BI168" s="255">
        <f t="shared" si="712"/>
        <v>0</v>
      </c>
      <c r="BJ168" s="255">
        <f t="shared" si="712"/>
        <v>0</v>
      </c>
      <c r="BK168" s="255">
        <f t="shared" si="712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54"/>
        <v>0</v>
      </c>
      <c r="H169" s="188">
        <f t="shared" si="655"/>
        <v>0</v>
      </c>
      <c r="I169" s="231">
        <f t="shared" ref="I169:K169" si="713">SUM(I170:I175)</f>
        <v>0</v>
      </c>
      <c r="J169" s="231">
        <f t="shared" si="713"/>
        <v>250</v>
      </c>
      <c r="K169" s="231">
        <f t="shared" si="713"/>
        <v>0</v>
      </c>
      <c r="L169" s="231">
        <f t="shared" ref="L169:M169" si="714">SUM(L170:L174)</f>
        <v>0</v>
      </c>
      <c r="M169" s="231">
        <f t="shared" si="714"/>
        <v>0</v>
      </c>
      <c r="N169" s="231">
        <f>SUM(N170:N175)</f>
        <v>250</v>
      </c>
      <c r="O169" s="231">
        <f>SUM(O170:O174)</f>
        <v>0</v>
      </c>
      <c r="P169" s="232">
        <f t="shared" ref="P169:R169" si="715">IF(BI169=0,SUM(Y169+AB169+AE169+AH169+AK169+AN169+AQ169+AT169+AW169+AZ169+BC169+BF169),BI169)</f>
        <v>0</v>
      </c>
      <c r="Q169" s="232">
        <f t="shared" si="715"/>
        <v>250</v>
      </c>
      <c r="R169" s="232">
        <f t="shared" si="715"/>
        <v>0</v>
      </c>
      <c r="S169" s="231">
        <f t="shared" ref="S169:T169" si="716">SUM(S170:S175)</f>
        <v>0</v>
      </c>
      <c r="T169" s="231">
        <f t="shared" si="716"/>
        <v>0</v>
      </c>
      <c r="U169" s="231">
        <f>SUM(U170:U174)</f>
        <v>0</v>
      </c>
      <c r="V169" s="259" t="e">
        <f t="shared" ref="V169:W169" si="717">M169/I169</f>
        <v>#DIV/0!</v>
      </c>
      <c r="W169" s="259">
        <f t="shared" si="717"/>
        <v>1</v>
      </c>
      <c r="X169" s="259" t="e">
        <f t="shared" si="660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18">SUM(AA170:AA174)</f>
        <v>0</v>
      </c>
      <c r="AB169" s="231">
        <f t="shared" si="718"/>
        <v>0</v>
      </c>
      <c r="AC169" s="231">
        <f t="shared" si="718"/>
        <v>0</v>
      </c>
      <c r="AD169" s="231">
        <f t="shared" si="718"/>
        <v>0</v>
      </c>
      <c r="AE169" s="231">
        <f t="shared" si="718"/>
        <v>0</v>
      </c>
      <c r="AF169" s="231">
        <f>SUM(AF170:AF175)</f>
        <v>0</v>
      </c>
      <c r="AG169" s="231">
        <f t="shared" ref="AG169:BK169" si="719">SUM(AG170:AG174)</f>
        <v>0</v>
      </c>
      <c r="AH169" s="231">
        <f t="shared" si="719"/>
        <v>0</v>
      </c>
      <c r="AI169" s="231">
        <f t="shared" si="719"/>
        <v>0</v>
      </c>
      <c r="AJ169" s="231">
        <f t="shared" si="719"/>
        <v>0</v>
      </c>
      <c r="AK169" s="231">
        <f t="shared" si="719"/>
        <v>0</v>
      </c>
      <c r="AL169" s="231">
        <f t="shared" si="719"/>
        <v>0</v>
      </c>
      <c r="AM169" s="231">
        <f t="shared" si="719"/>
        <v>0</v>
      </c>
      <c r="AN169" s="231">
        <f t="shared" si="719"/>
        <v>0</v>
      </c>
      <c r="AO169" s="231">
        <f t="shared" si="719"/>
        <v>0</v>
      </c>
      <c r="AP169" s="231">
        <f t="shared" si="719"/>
        <v>0</v>
      </c>
      <c r="AQ169" s="231">
        <f t="shared" si="719"/>
        <v>0</v>
      </c>
      <c r="AR169" s="231">
        <f t="shared" si="719"/>
        <v>0</v>
      </c>
      <c r="AS169" s="231">
        <f t="shared" si="719"/>
        <v>0</v>
      </c>
      <c r="AT169" s="231">
        <f t="shared" si="719"/>
        <v>0</v>
      </c>
      <c r="AU169" s="231">
        <f t="shared" si="719"/>
        <v>0</v>
      </c>
      <c r="AV169" s="231">
        <f t="shared" si="719"/>
        <v>0</v>
      </c>
      <c r="AW169" s="231">
        <f t="shared" si="719"/>
        <v>0</v>
      </c>
      <c r="AX169" s="231">
        <f t="shared" si="719"/>
        <v>0</v>
      </c>
      <c r="AY169" s="231">
        <f t="shared" si="719"/>
        <v>0</v>
      </c>
      <c r="AZ169" s="231">
        <f t="shared" si="719"/>
        <v>0</v>
      </c>
      <c r="BA169" s="231">
        <f t="shared" si="719"/>
        <v>0</v>
      </c>
      <c r="BB169" s="231">
        <f t="shared" si="719"/>
        <v>0</v>
      </c>
      <c r="BC169" s="231">
        <f t="shared" si="719"/>
        <v>0</v>
      </c>
      <c r="BD169" s="231">
        <f t="shared" si="719"/>
        <v>0</v>
      </c>
      <c r="BE169" s="231">
        <f t="shared" si="719"/>
        <v>0</v>
      </c>
      <c r="BF169" s="231">
        <f t="shared" si="719"/>
        <v>0</v>
      </c>
      <c r="BG169" s="231">
        <f t="shared" si="719"/>
        <v>0</v>
      </c>
      <c r="BH169" s="231">
        <f t="shared" si="719"/>
        <v>0</v>
      </c>
      <c r="BI169" s="231">
        <f t="shared" si="719"/>
        <v>0</v>
      </c>
      <c r="BJ169" s="231">
        <f t="shared" si="719"/>
        <v>0</v>
      </c>
      <c r="BK169" s="231">
        <f t="shared" si="719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54"/>
        <v>0</v>
      </c>
      <c r="H170" s="94">
        <f t="shared" si="655"/>
        <v>0</v>
      </c>
      <c r="I170" s="95"/>
      <c r="J170" s="95"/>
      <c r="K170" s="95"/>
      <c r="L170" s="263"/>
      <c r="M170" s="97"/>
      <c r="N170" s="97">
        <f t="shared" ref="N170:N171" si="720">Z170+AC170+AF170+AI170+AL170+AO170+AR170+AU170+AX170+BA170+BD170+BG170</f>
        <v>0</v>
      </c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89"/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54"/>
        <v>0</v>
      </c>
      <c r="H171" s="94">
        <f t="shared" si="655"/>
        <v>0</v>
      </c>
      <c r="I171" s="95">
        <v>0</v>
      </c>
      <c r="J171" s="95"/>
      <c r="K171" s="95"/>
      <c r="L171" s="263"/>
      <c r="M171" s="97"/>
      <c r="N171" s="97">
        <f t="shared" si="720"/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54"/>
        <v>#DIV/0!</v>
      </c>
      <c r="H172" s="94" t="e">
        <f t="shared" si="655"/>
        <v>#DIV/0!</v>
      </c>
      <c r="I172" s="95"/>
      <c r="J172" s="95"/>
      <c r="K172" s="95"/>
      <c r="L172" s="202"/>
      <c r="M172" s="97">
        <f t="shared" ref="M172:O172" si="721">Y172+AB172+AE172+AH172+AK172+AN172+AQ172+AT172+AW172+AZ172+BC172+BF172</f>
        <v>0</v>
      </c>
      <c r="N172" s="97">
        <f t="shared" si="721"/>
        <v>0</v>
      </c>
      <c r="O172" s="97">
        <f t="shared" si="721"/>
        <v>0</v>
      </c>
      <c r="P172" s="97">
        <f t="shared" ref="P172:R172" si="722">IF(BI172=0,SUM(Y172+AB172+AE172+AH172+AK172+AN172+AQ172+AT172+AW172+AZ172+BC172+BF172),BI172)</f>
        <v>0</v>
      </c>
      <c r="Q172" s="97">
        <f t="shared" si="722"/>
        <v>0</v>
      </c>
      <c r="R172" s="97">
        <f t="shared" si="722"/>
        <v>0</v>
      </c>
      <c r="S172" s="97">
        <f t="shared" ref="S172:T172" si="723">I172-M172</f>
        <v>0</v>
      </c>
      <c r="T172" s="97">
        <f t="shared" si="723"/>
        <v>0</v>
      </c>
      <c r="U172" s="97">
        <f t="shared" ref="U172:U175" si="724">L172-O172</f>
        <v>0</v>
      </c>
      <c r="V172" s="98" t="e">
        <f t="shared" ref="V172:W172" si="725">M172/I172</f>
        <v>#DIV/0!</v>
      </c>
      <c r="W172" s="98" t="e">
        <f t="shared" si="725"/>
        <v>#DIV/0!</v>
      </c>
      <c r="X172" s="98" t="e">
        <f t="shared" ref="X172:X187" si="726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54"/>
        <v>0</v>
      </c>
      <c r="H173" s="94">
        <f t="shared" si="655"/>
        <v>0</v>
      </c>
      <c r="I173" s="139">
        <v>0</v>
      </c>
      <c r="J173" s="95"/>
      <c r="K173" s="95"/>
      <c r="L173" s="202"/>
      <c r="M173" s="97">
        <f t="shared" ref="M173:O173" si="727">Y173+AB173+AE173+AH173+AK173+AN173+AQ173+AT173+AW173+AZ173+BC173+BF173</f>
        <v>0</v>
      </c>
      <c r="N173" s="97">
        <f t="shared" si="727"/>
        <v>0</v>
      </c>
      <c r="O173" s="97">
        <f t="shared" si="727"/>
        <v>0</v>
      </c>
      <c r="P173" s="97">
        <f t="shared" ref="P173:R173" si="728">IF(BI173=0,SUM(Y173+AB173+AE173+AH173+AK173+AN173+AQ173+AT173+AW173+AZ173+BC173+BF173),BI173)</f>
        <v>0</v>
      </c>
      <c r="Q173" s="97">
        <f t="shared" si="728"/>
        <v>0</v>
      </c>
      <c r="R173" s="97">
        <f t="shared" si="728"/>
        <v>0</v>
      </c>
      <c r="S173" s="138">
        <f t="shared" ref="S173:T173" si="729">I173-M173</f>
        <v>0</v>
      </c>
      <c r="T173" s="97">
        <f t="shared" si="729"/>
        <v>0</v>
      </c>
      <c r="U173" s="97">
        <f t="shared" si="724"/>
        <v>0</v>
      </c>
      <c r="V173" s="98" t="e">
        <f t="shared" ref="V173:W173" si="730">M173/I173</f>
        <v>#DIV/0!</v>
      </c>
      <c r="W173" s="98" t="e">
        <f t="shared" si="730"/>
        <v>#DIV/0!</v>
      </c>
      <c r="X173" s="98" t="e">
        <f t="shared" si="726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54"/>
        <v>0</v>
      </c>
      <c r="H174" s="94">
        <f t="shared" si="655"/>
        <v>0</v>
      </c>
      <c r="I174" s="95">
        <v>0</v>
      </c>
      <c r="J174" s="95"/>
      <c r="K174" s="95"/>
      <c r="L174" s="202"/>
      <c r="M174" s="97">
        <f t="shared" ref="M174:O174" si="731">Y174+AB174+AE174+AH174+AK174+AN174+AQ174+AT174+AW174+AZ174+BC174+BF174</f>
        <v>0</v>
      </c>
      <c r="N174" s="97">
        <f t="shared" si="731"/>
        <v>0</v>
      </c>
      <c r="O174" s="97">
        <f t="shared" si="731"/>
        <v>0</v>
      </c>
      <c r="P174" s="97">
        <f t="shared" ref="P174:R174" si="732">IF(BI174=0,SUM(Y174+AB174+AE174+AH174+AK174+AN174+AQ174+AT174+AW174+AZ174+BC174+BF174),BI174)</f>
        <v>0</v>
      </c>
      <c r="Q174" s="97">
        <f t="shared" si="732"/>
        <v>0</v>
      </c>
      <c r="R174" s="97">
        <f t="shared" si="732"/>
        <v>0</v>
      </c>
      <c r="S174" s="97">
        <f t="shared" ref="S174:T174" si="733">I174-M174</f>
        <v>0</v>
      </c>
      <c r="T174" s="97">
        <f t="shared" si="733"/>
        <v>0</v>
      </c>
      <c r="U174" s="97">
        <f t="shared" si="724"/>
        <v>0</v>
      </c>
      <c r="V174" s="98" t="e">
        <f t="shared" ref="V174:W174" si="734">M174/I174</f>
        <v>#DIV/0!</v>
      </c>
      <c r="W174" s="98" t="e">
        <f t="shared" si="734"/>
        <v>#DIV/0!</v>
      </c>
      <c r="X174" s="98" t="e">
        <f t="shared" si="726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54"/>
        <v>#DIV/0!</v>
      </c>
      <c r="H175" s="94" t="e">
        <f t="shared" si="655"/>
        <v>#DIV/0!</v>
      </c>
      <c r="I175" s="95"/>
      <c r="J175" s="146">
        <v>250</v>
      </c>
      <c r="K175" s="146"/>
      <c r="L175" s="202"/>
      <c r="M175" s="97">
        <f t="shared" ref="M175:O175" si="735">Y175+AB175+AE175+AH175+AK175+AN175+AQ175+AT175+AW175+AZ175+BC175+BF175</f>
        <v>0</v>
      </c>
      <c r="N175" s="97">
        <f t="shared" si="735"/>
        <v>250</v>
      </c>
      <c r="O175" s="97">
        <f t="shared" si="735"/>
        <v>0</v>
      </c>
      <c r="P175" s="97">
        <f t="shared" ref="P175:R175" si="736">IF(BI175=0,SUM(Y175+AB175+AE175+AH175+AK175+AN175+AQ175+AT175+AW175+AZ175+BC175+BF175),BI175)</f>
        <v>0</v>
      </c>
      <c r="Q175" s="97">
        <f t="shared" si="736"/>
        <v>250</v>
      </c>
      <c r="R175" s="97">
        <f t="shared" si="736"/>
        <v>0</v>
      </c>
      <c r="S175" s="97">
        <f>I175-M175</f>
        <v>0</v>
      </c>
      <c r="T175" s="97">
        <f>J175-N175-K175</f>
        <v>0</v>
      </c>
      <c r="U175" s="97">
        <f t="shared" si="724"/>
        <v>0</v>
      </c>
      <c r="V175" s="98" t="e">
        <f t="shared" ref="V175:W175" si="737">M175/I175</f>
        <v>#DIV/0!</v>
      </c>
      <c r="W175" s="98">
        <f t="shared" si="737"/>
        <v>1</v>
      </c>
      <c r="X175" s="98" t="e">
        <f t="shared" si="726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38">SUM(E177:E182)</f>
        <v>0</v>
      </c>
      <c r="F176" s="231">
        <f t="shared" si="738"/>
        <v>36000</v>
      </c>
      <c r="G176" s="188" t="e">
        <f t="shared" si="654"/>
        <v>#DIV/0!</v>
      </c>
      <c r="H176" s="188" t="e">
        <f t="shared" si="655"/>
        <v>#DIV/0!</v>
      </c>
      <c r="I176" s="231">
        <f t="shared" ref="I176:O176" si="739">SUM(I177:I182)</f>
        <v>0</v>
      </c>
      <c r="J176" s="231">
        <f t="shared" si="739"/>
        <v>0</v>
      </c>
      <c r="K176" s="231">
        <f t="shared" si="739"/>
        <v>0</v>
      </c>
      <c r="L176" s="231">
        <f t="shared" si="739"/>
        <v>0</v>
      </c>
      <c r="M176" s="231">
        <f t="shared" si="739"/>
        <v>0</v>
      </c>
      <c r="N176" s="231">
        <f t="shared" si="739"/>
        <v>0</v>
      </c>
      <c r="O176" s="231">
        <f t="shared" si="739"/>
        <v>0</v>
      </c>
      <c r="P176" s="258">
        <f t="shared" ref="P176:R176" si="740">IF(BI176=0,SUM(Y176+AB176+AE176+AH176+AK176+AN176+AQ176+AT176+AW176+AZ176+BC176+BF176),BI176)</f>
        <v>0</v>
      </c>
      <c r="Q176" s="258">
        <f t="shared" si="740"/>
        <v>0</v>
      </c>
      <c r="R176" s="258">
        <f t="shared" si="740"/>
        <v>0</v>
      </c>
      <c r="S176" s="231">
        <f t="shared" ref="S176:U176" si="741">SUM(S177:S182)</f>
        <v>0</v>
      </c>
      <c r="T176" s="231">
        <f t="shared" si="741"/>
        <v>0</v>
      </c>
      <c r="U176" s="231">
        <f t="shared" si="741"/>
        <v>0</v>
      </c>
      <c r="V176" s="259" t="e">
        <f t="shared" ref="V176:W176" si="742">M176/I176</f>
        <v>#DIV/0!</v>
      </c>
      <c r="W176" s="259" t="e">
        <f t="shared" si="742"/>
        <v>#DIV/0!</v>
      </c>
      <c r="X176" s="259" t="e">
        <f t="shared" si="726"/>
        <v>#DIV/0!</v>
      </c>
      <c r="Y176" s="231">
        <f t="shared" ref="Y176:BK176" si="743">SUM(Y177:Y182)</f>
        <v>0</v>
      </c>
      <c r="Z176" s="231">
        <f t="shared" si="743"/>
        <v>0</v>
      </c>
      <c r="AA176" s="231">
        <f t="shared" si="743"/>
        <v>0</v>
      </c>
      <c r="AB176" s="231">
        <f t="shared" si="743"/>
        <v>0</v>
      </c>
      <c r="AC176" s="231">
        <f t="shared" si="743"/>
        <v>0</v>
      </c>
      <c r="AD176" s="231">
        <f t="shared" si="743"/>
        <v>0</v>
      </c>
      <c r="AE176" s="231">
        <f t="shared" si="743"/>
        <v>0</v>
      </c>
      <c r="AF176" s="231">
        <f t="shared" si="743"/>
        <v>0</v>
      </c>
      <c r="AG176" s="231">
        <f t="shared" si="743"/>
        <v>0</v>
      </c>
      <c r="AH176" s="231">
        <f t="shared" si="743"/>
        <v>0</v>
      </c>
      <c r="AI176" s="231">
        <f t="shared" si="743"/>
        <v>0</v>
      </c>
      <c r="AJ176" s="231">
        <f t="shared" si="743"/>
        <v>0</v>
      </c>
      <c r="AK176" s="231">
        <f t="shared" si="743"/>
        <v>0</v>
      </c>
      <c r="AL176" s="231">
        <f t="shared" si="743"/>
        <v>0</v>
      </c>
      <c r="AM176" s="231">
        <f t="shared" si="743"/>
        <v>0</v>
      </c>
      <c r="AN176" s="231">
        <f t="shared" si="743"/>
        <v>0</v>
      </c>
      <c r="AO176" s="231">
        <f t="shared" si="743"/>
        <v>0</v>
      </c>
      <c r="AP176" s="231">
        <f t="shared" si="743"/>
        <v>0</v>
      </c>
      <c r="AQ176" s="231">
        <f t="shared" si="743"/>
        <v>0</v>
      </c>
      <c r="AR176" s="231">
        <f t="shared" si="743"/>
        <v>0</v>
      </c>
      <c r="AS176" s="231">
        <f t="shared" si="743"/>
        <v>0</v>
      </c>
      <c r="AT176" s="231">
        <f t="shared" si="743"/>
        <v>0</v>
      </c>
      <c r="AU176" s="231">
        <f t="shared" si="743"/>
        <v>0</v>
      </c>
      <c r="AV176" s="231">
        <f t="shared" si="743"/>
        <v>0</v>
      </c>
      <c r="AW176" s="231">
        <f t="shared" si="743"/>
        <v>0</v>
      </c>
      <c r="AX176" s="231">
        <f t="shared" si="743"/>
        <v>0</v>
      </c>
      <c r="AY176" s="231">
        <f t="shared" si="743"/>
        <v>0</v>
      </c>
      <c r="AZ176" s="231">
        <f t="shared" si="743"/>
        <v>0</v>
      </c>
      <c r="BA176" s="231">
        <f t="shared" si="743"/>
        <v>0</v>
      </c>
      <c r="BB176" s="231">
        <f t="shared" si="743"/>
        <v>0</v>
      </c>
      <c r="BC176" s="231">
        <f t="shared" si="743"/>
        <v>0</v>
      </c>
      <c r="BD176" s="231">
        <f t="shared" si="743"/>
        <v>0</v>
      </c>
      <c r="BE176" s="231">
        <f t="shared" si="743"/>
        <v>0</v>
      </c>
      <c r="BF176" s="231">
        <f t="shared" si="743"/>
        <v>0</v>
      </c>
      <c r="BG176" s="231">
        <f t="shared" si="743"/>
        <v>0</v>
      </c>
      <c r="BH176" s="231">
        <f t="shared" si="743"/>
        <v>0</v>
      </c>
      <c r="BI176" s="231">
        <f t="shared" si="743"/>
        <v>0</v>
      </c>
      <c r="BJ176" s="231">
        <f t="shared" si="743"/>
        <v>0</v>
      </c>
      <c r="BK176" s="231">
        <f t="shared" si="743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54"/>
        <v>#DIV/0!</v>
      </c>
      <c r="H177" s="94" t="e">
        <f t="shared" si="655"/>
        <v>#DIV/0!</v>
      </c>
      <c r="I177" s="95"/>
      <c r="J177" s="146">
        <v>0</v>
      </c>
      <c r="K177" s="146"/>
      <c r="L177" s="202"/>
      <c r="M177" s="97">
        <f t="shared" ref="M177:O177" si="744">Y177+AB177+AE177+AH177+AK177+AN177+AQ177+AT177+AW177+AZ177+BC177+BF177</f>
        <v>0</v>
      </c>
      <c r="N177" s="97">
        <f t="shared" si="744"/>
        <v>0</v>
      </c>
      <c r="O177" s="97">
        <f t="shared" si="744"/>
        <v>0</v>
      </c>
      <c r="P177" s="97">
        <f t="shared" ref="P177:R177" si="745">IF(BI177=0,SUM(Y177+AB177+AE177+AH177+AK177+AN177+AQ177+AT177+AW177+AZ177+BC177+BF177),BI177)</f>
        <v>0</v>
      </c>
      <c r="Q177" s="97">
        <f t="shared" si="745"/>
        <v>0</v>
      </c>
      <c r="R177" s="97">
        <f t="shared" si="745"/>
        <v>0</v>
      </c>
      <c r="S177" s="97">
        <f t="shared" ref="S177:T177" si="746">I177-M177</f>
        <v>0</v>
      </c>
      <c r="T177" s="97">
        <f t="shared" si="746"/>
        <v>0</v>
      </c>
      <c r="U177" s="97">
        <f t="shared" ref="U177:U182" si="747">L177-O177</f>
        <v>0</v>
      </c>
      <c r="V177" s="98" t="e">
        <f t="shared" ref="V177:W177" si="748">M177/I177</f>
        <v>#DIV/0!</v>
      </c>
      <c r="W177" s="98" t="e">
        <f t="shared" si="748"/>
        <v>#DIV/0!</v>
      </c>
      <c r="X177" s="98" t="e">
        <f t="shared" si="726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54"/>
        <v>#DIV/0!</v>
      </c>
      <c r="H178" s="94" t="e">
        <f t="shared" si="655"/>
        <v>#DIV/0!</v>
      </c>
      <c r="I178" s="95"/>
      <c r="J178" s="95"/>
      <c r="K178" s="95"/>
      <c r="L178" s="202"/>
      <c r="M178" s="97">
        <f t="shared" ref="M178:O178" si="749">Y178+AB178+AE178+AH178+AK178+AN178+AQ178+AT178+AW178+AZ178+BC178+BF178</f>
        <v>0</v>
      </c>
      <c r="N178" s="97">
        <f t="shared" si="749"/>
        <v>0</v>
      </c>
      <c r="O178" s="97">
        <f t="shared" si="749"/>
        <v>0</v>
      </c>
      <c r="P178" s="97">
        <f t="shared" ref="P178:R178" si="750">IF(BI178=0,SUM(Y178+AB178+AE178+AH178+AK178+AN178+AQ178+AT178+AW178+AZ178+BC178+BF178),BI178)</f>
        <v>0</v>
      </c>
      <c r="Q178" s="97">
        <f t="shared" si="750"/>
        <v>0</v>
      </c>
      <c r="R178" s="97">
        <f t="shared" si="750"/>
        <v>0</v>
      </c>
      <c r="S178" s="97">
        <f t="shared" ref="S178:T178" si="751">I178-M178</f>
        <v>0</v>
      </c>
      <c r="T178" s="97">
        <f t="shared" si="751"/>
        <v>0</v>
      </c>
      <c r="U178" s="97">
        <f t="shared" si="747"/>
        <v>0</v>
      </c>
      <c r="V178" s="98" t="e">
        <f t="shared" ref="V178:W178" si="752">M178/I178</f>
        <v>#DIV/0!</v>
      </c>
      <c r="W178" s="98" t="e">
        <f t="shared" si="752"/>
        <v>#DIV/0!</v>
      </c>
      <c r="X178" s="98" t="e">
        <f t="shared" si="726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53">Y179+AB179+AE179+AH179+AK179+AN179+AQ179+AT179+AW179+AZ179+BC179+BF179</f>
        <v>0</v>
      </c>
      <c r="N179" s="97">
        <f t="shared" si="753"/>
        <v>0</v>
      </c>
      <c r="O179" s="97">
        <f t="shared" si="753"/>
        <v>0</v>
      </c>
      <c r="P179" s="97">
        <f t="shared" ref="P179:R179" si="754">IF(BI179=0,SUM(Y179+AB179+AE179+AH179+AK179+AN179+AQ179+AT179+AW179+AZ179+BC179+BF179),BI179)</f>
        <v>0</v>
      </c>
      <c r="Q179" s="97">
        <f t="shared" si="754"/>
        <v>0</v>
      </c>
      <c r="R179" s="97">
        <f t="shared" si="754"/>
        <v>0</v>
      </c>
      <c r="S179" s="97">
        <f t="shared" ref="S179:T179" si="755">I179-M179</f>
        <v>0</v>
      </c>
      <c r="T179" s="97">
        <f t="shared" si="755"/>
        <v>0</v>
      </c>
      <c r="U179" s="97">
        <f t="shared" si="747"/>
        <v>0</v>
      </c>
      <c r="V179" s="98" t="e">
        <f t="shared" ref="V179:W179" si="756">M179/I179</f>
        <v>#DIV/0!</v>
      </c>
      <c r="W179" s="98" t="e">
        <f t="shared" si="756"/>
        <v>#DIV/0!</v>
      </c>
      <c r="X179" s="98" t="e">
        <f t="shared" si="726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57">Y180+AB180+AE180+AH180+AK180+AN180+AQ180+AT180+AW180+AZ180+BC180+BF180</f>
        <v>0</v>
      </c>
      <c r="N180" s="97">
        <f t="shared" si="757"/>
        <v>0</v>
      </c>
      <c r="O180" s="97">
        <f t="shared" si="757"/>
        <v>0</v>
      </c>
      <c r="P180" s="97">
        <f t="shared" ref="P180:R180" si="758">IF(BI180=0,SUM(Y180+AB180+AE180+AH180+AK180+AN180+AQ180+AT180+AW180+AZ180+BC180+BF180),BI180)</f>
        <v>0</v>
      </c>
      <c r="Q180" s="97">
        <f t="shared" si="758"/>
        <v>0</v>
      </c>
      <c r="R180" s="97">
        <f t="shared" si="758"/>
        <v>0</v>
      </c>
      <c r="S180" s="97">
        <f t="shared" ref="S180:T180" si="759">I180-M180</f>
        <v>0</v>
      </c>
      <c r="T180" s="97">
        <f t="shared" si="759"/>
        <v>0</v>
      </c>
      <c r="U180" s="97">
        <f t="shared" si="747"/>
        <v>0</v>
      </c>
      <c r="V180" s="98" t="e">
        <f t="shared" ref="V180:W180" si="760">M180/I180</f>
        <v>#DIV/0!</v>
      </c>
      <c r="W180" s="98" t="e">
        <f t="shared" si="760"/>
        <v>#DIV/0!</v>
      </c>
      <c r="X180" s="98" t="e">
        <f t="shared" si="726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61">Y181+AB181+AE181+AH181+AK181+AN181+AQ181+AT181+AW181+AZ181+BC181+BF181</f>
        <v>0</v>
      </c>
      <c r="N181" s="97">
        <f t="shared" si="761"/>
        <v>0</v>
      </c>
      <c r="O181" s="97">
        <f t="shared" si="761"/>
        <v>0</v>
      </c>
      <c r="P181" s="97">
        <f t="shared" ref="P181:R181" si="762">IF(BI181=0,SUM(Y181+AB181+AE181+AH181+AK181+AN181+AQ181+AT181+AW181+AZ181+BC181+BF181),BI181)</f>
        <v>0</v>
      </c>
      <c r="Q181" s="97">
        <f t="shared" si="762"/>
        <v>0</v>
      </c>
      <c r="R181" s="97">
        <f t="shared" si="762"/>
        <v>0</v>
      </c>
      <c r="S181" s="97">
        <f t="shared" ref="S181:T181" si="763">I181-M181</f>
        <v>0</v>
      </c>
      <c r="T181" s="97">
        <f t="shared" si="763"/>
        <v>0</v>
      </c>
      <c r="U181" s="97">
        <f t="shared" si="747"/>
        <v>0</v>
      </c>
      <c r="V181" s="98" t="e">
        <f t="shared" ref="V181:W181" si="764">M181/I181</f>
        <v>#DIV/0!</v>
      </c>
      <c r="W181" s="98" t="e">
        <f t="shared" si="764"/>
        <v>#DIV/0!</v>
      </c>
      <c r="X181" s="98" t="e">
        <f t="shared" si="726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65">I182/E182</f>
        <v>#DIV/0!</v>
      </c>
      <c r="H182" s="94" t="e">
        <f t="shared" ref="H182:H184" si="766">M182/E182</f>
        <v>#DIV/0!</v>
      </c>
      <c r="I182" s="95"/>
      <c r="J182" s="95"/>
      <c r="K182" s="95"/>
      <c r="L182" s="266"/>
      <c r="M182" s="97">
        <f t="shared" ref="M182:O182" si="767">Y182+AB182+AE182+AH182+AK182+AN182+AQ182+AT182+AW182+AZ182+BC182+BF182</f>
        <v>0</v>
      </c>
      <c r="N182" s="97">
        <f t="shared" si="767"/>
        <v>0</v>
      </c>
      <c r="O182" s="97">
        <f t="shared" si="767"/>
        <v>0</v>
      </c>
      <c r="P182" s="97">
        <f t="shared" ref="P182:R182" si="768">IF(BI182=0,SUM(Y182+AB182+AE182+AH182+AK182+AN182+AQ182+AT182+AW182+AZ182+BC182+BF182),BI182)</f>
        <v>0</v>
      </c>
      <c r="Q182" s="97">
        <f t="shared" si="768"/>
        <v>0</v>
      </c>
      <c r="R182" s="97">
        <f t="shared" si="768"/>
        <v>0</v>
      </c>
      <c r="S182" s="97">
        <f t="shared" ref="S182:T182" si="769">I182-M182</f>
        <v>0</v>
      </c>
      <c r="T182" s="97">
        <f t="shared" si="769"/>
        <v>0</v>
      </c>
      <c r="U182" s="97">
        <f t="shared" si="747"/>
        <v>0</v>
      </c>
      <c r="V182" s="98" t="e">
        <f t="shared" ref="V182:W182" si="770">M182/I182</f>
        <v>#DIV/0!</v>
      </c>
      <c r="W182" s="98" t="e">
        <f t="shared" si="770"/>
        <v>#DIV/0!</v>
      </c>
      <c r="X182" s="98" t="e">
        <f t="shared" si="726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71">SUM(E184:E187)</f>
        <v>0</v>
      </c>
      <c r="F183" s="270">
        <f t="shared" si="771"/>
        <v>0</v>
      </c>
      <c r="G183" s="223" t="e">
        <f t="shared" si="765"/>
        <v>#DIV/0!</v>
      </c>
      <c r="H183" s="223" t="e">
        <f t="shared" si="766"/>
        <v>#DIV/0!</v>
      </c>
      <c r="I183" s="270">
        <f t="shared" ref="I183:O183" si="772">SUM(I184:I187)</f>
        <v>0</v>
      </c>
      <c r="J183" s="270">
        <f t="shared" si="772"/>
        <v>734.93000000000006</v>
      </c>
      <c r="K183" s="270">
        <f t="shared" si="772"/>
        <v>0</v>
      </c>
      <c r="L183" s="270">
        <f t="shared" si="772"/>
        <v>0</v>
      </c>
      <c r="M183" s="270">
        <f t="shared" si="772"/>
        <v>0</v>
      </c>
      <c r="N183" s="270">
        <f t="shared" si="772"/>
        <v>376.89</v>
      </c>
      <c r="O183" s="270">
        <f t="shared" si="772"/>
        <v>0</v>
      </c>
      <c r="P183" s="238">
        <f t="shared" ref="P183:R183" si="773">IF(BI183=0,SUM(Y183+AB183+AE183+AH183+AK183+AN183+AQ183+AT183+AW183+AZ183+BC183+BF183),BI183)</f>
        <v>0</v>
      </c>
      <c r="Q183" s="238">
        <f t="shared" si="773"/>
        <v>376.89</v>
      </c>
      <c r="R183" s="238">
        <f t="shared" si="773"/>
        <v>0</v>
      </c>
      <c r="S183" s="270">
        <f t="shared" ref="S183:U183" si="774">SUM(S184:S187)</f>
        <v>0</v>
      </c>
      <c r="T183" s="270">
        <f t="shared" si="774"/>
        <v>358.04</v>
      </c>
      <c r="U183" s="270">
        <f t="shared" si="774"/>
        <v>0</v>
      </c>
      <c r="V183" s="271" t="e">
        <f t="shared" ref="V183:W183" si="775">M183/I183</f>
        <v>#DIV/0!</v>
      </c>
      <c r="W183" s="271">
        <f t="shared" si="775"/>
        <v>0.51282435061842613</v>
      </c>
      <c r="X183" s="271" t="e">
        <f t="shared" si="726"/>
        <v>#DIV/0!</v>
      </c>
      <c r="Y183" s="270">
        <f t="shared" ref="Y183:BK183" si="776">SUM(Y184:Y187)</f>
        <v>0</v>
      </c>
      <c r="Z183" s="270">
        <f t="shared" si="776"/>
        <v>0</v>
      </c>
      <c r="AA183" s="270">
        <f t="shared" si="776"/>
        <v>0</v>
      </c>
      <c r="AB183" s="270">
        <f t="shared" si="776"/>
        <v>0</v>
      </c>
      <c r="AC183" s="270">
        <f t="shared" si="776"/>
        <v>0</v>
      </c>
      <c r="AD183" s="270">
        <f t="shared" si="776"/>
        <v>0</v>
      </c>
      <c r="AE183" s="270">
        <f t="shared" si="776"/>
        <v>0</v>
      </c>
      <c r="AF183" s="270">
        <f t="shared" si="776"/>
        <v>0</v>
      </c>
      <c r="AG183" s="270">
        <f t="shared" si="776"/>
        <v>0</v>
      </c>
      <c r="AH183" s="270">
        <f t="shared" si="776"/>
        <v>0</v>
      </c>
      <c r="AI183" s="270">
        <f t="shared" si="776"/>
        <v>376.89</v>
      </c>
      <c r="AJ183" s="270">
        <f t="shared" si="776"/>
        <v>0</v>
      </c>
      <c r="AK183" s="270">
        <f t="shared" si="776"/>
        <v>0</v>
      </c>
      <c r="AL183" s="270">
        <f t="shared" si="776"/>
        <v>0</v>
      </c>
      <c r="AM183" s="270">
        <f t="shared" si="776"/>
        <v>0</v>
      </c>
      <c r="AN183" s="270">
        <f t="shared" si="776"/>
        <v>0</v>
      </c>
      <c r="AO183" s="270">
        <f t="shared" si="776"/>
        <v>0</v>
      </c>
      <c r="AP183" s="270">
        <f t="shared" si="776"/>
        <v>0</v>
      </c>
      <c r="AQ183" s="270">
        <f t="shared" si="776"/>
        <v>0</v>
      </c>
      <c r="AR183" s="270">
        <f t="shared" si="776"/>
        <v>0</v>
      </c>
      <c r="AS183" s="270">
        <f t="shared" si="776"/>
        <v>0</v>
      </c>
      <c r="AT183" s="270">
        <f t="shared" si="776"/>
        <v>0</v>
      </c>
      <c r="AU183" s="270">
        <f t="shared" si="776"/>
        <v>0</v>
      </c>
      <c r="AV183" s="270">
        <f t="shared" si="776"/>
        <v>0</v>
      </c>
      <c r="AW183" s="270">
        <f t="shared" si="776"/>
        <v>0</v>
      </c>
      <c r="AX183" s="270">
        <f t="shared" si="776"/>
        <v>0</v>
      </c>
      <c r="AY183" s="270">
        <f t="shared" si="776"/>
        <v>0</v>
      </c>
      <c r="AZ183" s="270">
        <f t="shared" si="776"/>
        <v>0</v>
      </c>
      <c r="BA183" s="270">
        <f t="shared" si="776"/>
        <v>0</v>
      </c>
      <c r="BB183" s="270">
        <f t="shared" si="776"/>
        <v>0</v>
      </c>
      <c r="BC183" s="270">
        <f t="shared" si="776"/>
        <v>0</v>
      </c>
      <c r="BD183" s="270">
        <f t="shared" si="776"/>
        <v>0</v>
      </c>
      <c r="BE183" s="270">
        <f t="shared" si="776"/>
        <v>0</v>
      </c>
      <c r="BF183" s="270">
        <f t="shared" si="776"/>
        <v>0</v>
      </c>
      <c r="BG183" s="270">
        <f t="shared" si="776"/>
        <v>0</v>
      </c>
      <c r="BH183" s="270">
        <f t="shared" si="776"/>
        <v>0</v>
      </c>
      <c r="BI183" s="270">
        <f t="shared" si="776"/>
        <v>0</v>
      </c>
      <c r="BJ183" s="270">
        <f t="shared" si="776"/>
        <v>0</v>
      </c>
      <c r="BK183" s="270">
        <f t="shared" si="776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65"/>
        <v>#DIV/0!</v>
      </c>
      <c r="H184" s="94" t="e">
        <f t="shared" si="766"/>
        <v>#DIV/0!</v>
      </c>
      <c r="I184" s="95"/>
      <c r="J184" s="146">
        <v>376.89</v>
      </c>
      <c r="K184" s="146"/>
      <c r="L184" s="272"/>
      <c r="M184" s="97">
        <f t="shared" ref="M184:O184" si="777">Y184+AB184+AE184+AH184+AK184+AN184+AQ184+AT184+AW184+AZ184+BC184+BF184</f>
        <v>0</v>
      </c>
      <c r="N184" s="97">
        <f t="shared" si="777"/>
        <v>376.89</v>
      </c>
      <c r="O184" s="97">
        <f t="shared" si="777"/>
        <v>0</v>
      </c>
      <c r="P184" s="97">
        <f t="shared" ref="P184:R184" si="778">IF(BI184=0,SUM(Y184+AB184+AE184+AH184+AK184+AN184+AQ184+AT184+AW184+AZ184+BC184+BF184),BI184)</f>
        <v>0</v>
      </c>
      <c r="Q184" s="97">
        <f t="shared" si="778"/>
        <v>376.89</v>
      </c>
      <c r="R184" s="97">
        <f t="shared" si="778"/>
        <v>0</v>
      </c>
      <c r="S184" s="97">
        <f t="shared" ref="S184:T184" si="779">I184-M184</f>
        <v>0</v>
      </c>
      <c r="T184" s="97">
        <f t="shared" si="779"/>
        <v>0</v>
      </c>
      <c r="U184" s="97">
        <f t="shared" ref="U184:U187" si="780">L184-O184</f>
        <v>0</v>
      </c>
      <c r="V184" s="98" t="e">
        <f t="shared" ref="V184:W184" si="781">M184/I184</f>
        <v>#DIV/0!</v>
      </c>
      <c r="W184" s="98">
        <f t="shared" si="781"/>
        <v>1</v>
      </c>
      <c r="X184" s="98" t="e">
        <f t="shared" si="726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>
        <v>376.89</v>
      </c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82">Y185+AB185+AE185+AH185+AK185+AN185+AQ185+AT185+AW185+AZ185+BC185+BF185</f>
        <v>0</v>
      </c>
      <c r="N185" s="97">
        <f t="shared" si="782"/>
        <v>0</v>
      </c>
      <c r="O185" s="97">
        <f t="shared" si="782"/>
        <v>0</v>
      </c>
      <c r="P185" s="97">
        <f t="shared" ref="P185:R185" si="783">IF(BI185=0,SUM(Y185+AB185+AE185+AH185+AK185+AN185+AQ185+AT185+AW185+AZ185+BC185+BF185),BI185)</f>
        <v>0</v>
      </c>
      <c r="Q185" s="97">
        <f t="shared" si="783"/>
        <v>0</v>
      </c>
      <c r="R185" s="97">
        <f t="shared" si="783"/>
        <v>0</v>
      </c>
      <c r="S185" s="97">
        <f t="shared" ref="S185:T185" si="784">I185-M185</f>
        <v>0</v>
      </c>
      <c r="T185" s="97">
        <f t="shared" si="784"/>
        <v>358.04</v>
      </c>
      <c r="U185" s="97">
        <f t="shared" si="780"/>
        <v>0</v>
      </c>
      <c r="V185" s="98" t="e">
        <f t="shared" ref="V185:W185" si="785">M185/I185</f>
        <v>#DIV/0!</v>
      </c>
      <c r="W185" s="98">
        <f t="shared" si="785"/>
        <v>0</v>
      </c>
      <c r="X185" s="98" t="e">
        <f t="shared" si="726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786">I186/E186</f>
        <v>#DIV/0!</v>
      </c>
      <c r="H186" s="94" t="e">
        <f t="shared" ref="H186:H187" si="787">M186/E186</f>
        <v>#DIV/0!</v>
      </c>
      <c r="I186" s="95"/>
      <c r="J186" s="95"/>
      <c r="K186" s="95"/>
      <c r="L186" s="272"/>
      <c r="M186" s="97">
        <f t="shared" ref="M186:O186" si="788">Y186+AB186+AE186+AH186+AK186+AN186+AQ186+AT186+AW186+AZ186+BC186+BF186</f>
        <v>0</v>
      </c>
      <c r="N186" s="97">
        <f t="shared" si="788"/>
        <v>0</v>
      </c>
      <c r="O186" s="97">
        <f t="shared" si="788"/>
        <v>0</v>
      </c>
      <c r="P186" s="97">
        <f t="shared" ref="P186:R186" si="789">IF(BI186=0,SUM(Y186+AB186+AE186+AH186+AK186+AN186+AQ186+AT186+AW186+AZ186+BC186+BF186),BI186)</f>
        <v>0</v>
      </c>
      <c r="Q186" s="97">
        <f t="shared" si="789"/>
        <v>0</v>
      </c>
      <c r="R186" s="97">
        <f t="shared" si="789"/>
        <v>0</v>
      </c>
      <c r="S186" s="97">
        <f t="shared" ref="S186:T186" si="790">I186-M186</f>
        <v>0</v>
      </c>
      <c r="T186" s="97">
        <f t="shared" si="790"/>
        <v>0</v>
      </c>
      <c r="U186" s="97">
        <f t="shared" si="780"/>
        <v>0</v>
      </c>
      <c r="V186" s="98" t="e">
        <f t="shared" ref="V186:W186" si="791">M186/I186</f>
        <v>#DIV/0!</v>
      </c>
      <c r="W186" s="98" t="e">
        <f t="shared" si="791"/>
        <v>#DIV/0!</v>
      </c>
      <c r="X186" s="98" t="e">
        <f t="shared" si="726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786"/>
        <v>#DIV/0!</v>
      </c>
      <c r="H187" s="94" t="e">
        <f t="shared" si="787"/>
        <v>#DIV/0!</v>
      </c>
      <c r="I187" s="95"/>
      <c r="J187" s="95"/>
      <c r="K187" s="95"/>
      <c r="L187" s="276"/>
      <c r="M187" s="97">
        <f t="shared" ref="M187:O187" si="792">Y187+AB187+AE187+AH187+AK187+AN187+AQ187+AT187+AW187+AZ187+BC187+BF187</f>
        <v>0</v>
      </c>
      <c r="N187" s="97">
        <f t="shared" si="792"/>
        <v>0</v>
      </c>
      <c r="O187" s="97">
        <f t="shared" si="792"/>
        <v>0</v>
      </c>
      <c r="P187" s="97">
        <f t="shared" ref="P187:R187" si="793">IF(BI187=0,SUM(Y187+AB187+AE187+AH187+AK187+AN187+AQ187+AT187+AW187+AZ187+BC187+BF187),BI187)</f>
        <v>0</v>
      </c>
      <c r="Q187" s="97">
        <f t="shared" si="793"/>
        <v>0</v>
      </c>
      <c r="R187" s="97">
        <f t="shared" si="793"/>
        <v>0</v>
      </c>
      <c r="S187" s="97">
        <f t="shared" ref="S187:T187" si="794">I187-M187</f>
        <v>0</v>
      </c>
      <c r="T187" s="97">
        <f t="shared" si="794"/>
        <v>0</v>
      </c>
      <c r="U187" s="97">
        <f t="shared" si="780"/>
        <v>0</v>
      </c>
      <c r="V187" s="98" t="e">
        <f t="shared" ref="V187:W187" si="795">M187/I187</f>
        <v>#DIV/0!</v>
      </c>
      <c r="W187" s="98" t="e">
        <f t="shared" si="795"/>
        <v>#DIV/0!</v>
      </c>
      <c r="X187" s="98" t="e">
        <f t="shared" si="726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796">E4+E12+E67+E96+E159</f>
        <v>2379653.64</v>
      </c>
      <c r="F190" s="291">
        <f t="shared" si="796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1368131</v>
      </c>
      <c r="F191" s="299">
        <f>SUM(AE191:BB191)+SUM(AE193:BB193)</f>
        <v>751233.05</v>
      </c>
      <c r="G191" s="300">
        <f t="shared" ref="G191:H191" si="797">E191/E190</f>
        <v>0.57492862700808844</v>
      </c>
      <c r="H191" s="300">
        <f t="shared" si="797"/>
        <v>0.16280215863044367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52">
        <v>971522</v>
      </c>
      <c r="AC191" s="352"/>
      <c r="AD191" s="303"/>
      <c r="AE191" s="301"/>
      <c r="AF191" s="351">
        <f>72000+53000</f>
        <v>125000</v>
      </c>
      <c r="AG191" s="302"/>
      <c r="AH191" s="352">
        <f>170859+151403</f>
        <v>322262</v>
      </c>
      <c r="AI191" s="352">
        <v>40000</v>
      </c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52">
        <f>33207.88+10000</f>
        <v>43207.88</v>
      </c>
      <c r="BA191" s="352">
        <v>43750</v>
      </c>
      <c r="BB191" s="303"/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1906212.9100000004</v>
      </c>
      <c r="F192" s="291">
        <f>L192</f>
        <v>0</v>
      </c>
      <c r="G192" s="300">
        <f t="shared" ref="G192:H192" si="798">E192/E191</f>
        <v>1.3932970673129987</v>
      </c>
      <c r="H192" s="300">
        <f t="shared" si="798"/>
        <v>0</v>
      </c>
      <c r="I192" s="304">
        <f t="shared" ref="I192:J192" si="799">I4+I12+I67+I96+I159</f>
        <v>1906212.9100000004</v>
      </c>
      <c r="J192" s="304">
        <f t="shared" si="799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77172.509999999995</v>
      </c>
      <c r="F193" s="291">
        <f>O193</f>
        <v>0</v>
      </c>
      <c r="G193" s="300">
        <f t="shared" ref="G193:H193" si="800">E193/E191</f>
        <v>5.6407251937131746E-2</v>
      </c>
      <c r="H193" s="300">
        <f t="shared" si="800"/>
        <v>0</v>
      </c>
      <c r="I193" s="308"/>
      <c r="J193" s="308"/>
      <c r="K193" s="308"/>
      <c r="L193" s="308"/>
      <c r="M193" s="299">
        <f t="shared" ref="M193:O193" si="801">M4+M12+M67+M96+M159</f>
        <v>77172.509999999995</v>
      </c>
      <c r="N193" s="299" t="e">
        <f t="shared" si="801"/>
        <v>#REF!</v>
      </c>
      <c r="O193" s="299">
        <f t="shared" si="801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01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81566.45</v>
      </c>
      <c r="F194" s="291">
        <f>R194</f>
        <v>0</v>
      </c>
      <c r="G194" s="300">
        <f t="shared" ref="G194:H194" si="802">E194/E191</f>
        <v>5.9618888834475643E-2</v>
      </c>
      <c r="H194" s="300">
        <f t="shared" si="802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03">P4+P12+P67+P96+P159</f>
        <v>81566.45</v>
      </c>
      <c r="Q194" s="304">
        <f t="shared" si="803"/>
        <v>1460272.98</v>
      </c>
      <c r="R194" s="304">
        <f t="shared" si="803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04">E190-E191</f>
        <v>1011522.6400000001</v>
      </c>
      <c r="F195" s="313">
        <f t="shared" si="804"/>
        <v>3863159.3900000006</v>
      </c>
      <c r="G195" s="314">
        <f t="shared" ref="G195:H195" si="805">E195/E190</f>
        <v>0.42507137299191156</v>
      </c>
      <c r="H195" s="314">
        <f t="shared" si="805"/>
        <v>0.83719784136955644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-538081.91000000038</v>
      </c>
      <c r="F196" s="315">
        <f>F191-L192</f>
        <v>751233.05</v>
      </c>
      <c r="G196" s="314">
        <f t="shared" ref="G196:H196" si="806">E196/E191</f>
        <v>-0.39329706731299879</v>
      </c>
      <c r="H196" s="314">
        <f t="shared" si="806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1829040.4000000004</v>
      </c>
      <c r="F197" s="315">
        <f>L192-O193</f>
        <v>0</v>
      </c>
      <c r="G197" s="314">
        <f>E197/I192</f>
        <v>0.95951527261453706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-4393.9400000000023</v>
      </c>
      <c r="F198" s="315">
        <f>O193-R194</f>
        <v>0</v>
      </c>
      <c r="G198" s="314">
        <f>E198/M193</f>
        <v>-5.6936595686728375E-2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 t="e">
        <f>J192-N193</f>
        <v>#REF!</v>
      </c>
      <c r="F199" s="321"/>
      <c r="G199" s="322" t="e">
        <f>E199/J192</f>
        <v>#REF!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124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123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122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121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120" priority="5" operator="greaterThanOrEqual">
      <formula>"100%"</formula>
    </cfRule>
  </conditionalFormatting>
  <conditionalFormatting sqref="V137:X139">
    <cfRule type="cellIs" dxfId="119" priority="6" operator="between">
      <formula>"0%"</formula>
      <formula>"25%"</formula>
    </cfRule>
  </conditionalFormatting>
  <conditionalFormatting sqref="V137:X139">
    <cfRule type="cellIs" dxfId="118" priority="7" operator="between">
      <formula>"25.01%"</formula>
      <formula>"50%"</formula>
    </cfRule>
  </conditionalFormatting>
  <conditionalFormatting sqref="V137:X139">
    <cfRule type="cellIs" dxfId="117" priority="8" operator="between">
      <formula>"50.01%"</formula>
      <formula>"75%"</formula>
    </cfRule>
  </conditionalFormatting>
  <conditionalFormatting sqref="V137:X139">
    <cfRule type="cellIs" dxfId="116" priority="9" operator="between">
      <formula>"75.01%"</formula>
      <formula>"99.99%"</formula>
    </cfRule>
  </conditionalFormatting>
  <conditionalFormatting sqref="V137:X139">
    <cfRule type="cellIs" dxfId="115" priority="10" operator="greaterThanOrEqual">
      <formula>"100%"</formula>
    </cfRule>
  </conditionalFormatting>
  <conditionalFormatting sqref="G90:H91 V90:X91">
    <cfRule type="cellIs" dxfId="114" priority="11" operator="between">
      <formula>"0%"</formula>
      <formula>"25%"</formula>
    </cfRule>
  </conditionalFormatting>
  <conditionalFormatting sqref="G90:H91 V90:X91">
    <cfRule type="cellIs" dxfId="113" priority="12" operator="between">
      <formula>"25.01%"</formula>
      <formula>"50%"</formula>
    </cfRule>
  </conditionalFormatting>
  <conditionalFormatting sqref="G90:H91 V90:X91">
    <cfRule type="cellIs" dxfId="112" priority="13" operator="between">
      <formula>"50.01%"</formula>
      <formula>"75%"</formula>
    </cfRule>
  </conditionalFormatting>
  <conditionalFormatting sqref="G90:H91 V90:X91">
    <cfRule type="cellIs" dxfId="111" priority="14" operator="between">
      <formula>"75.01%"</formula>
      <formula>"99.99%"</formula>
    </cfRule>
  </conditionalFormatting>
  <conditionalFormatting sqref="G90:H91 V90:X91">
    <cfRule type="cellIs" dxfId="110" priority="15" operator="greaterThanOrEqual">
      <formula>"100%"</formula>
    </cfRule>
  </conditionalFormatting>
  <conditionalFormatting sqref="G5:H5 V5:X5">
    <cfRule type="cellIs" dxfId="109" priority="16" operator="between">
      <formula>"0%"</formula>
      <formula>"25%"</formula>
    </cfRule>
  </conditionalFormatting>
  <conditionalFormatting sqref="G5:H5 V5:X5">
    <cfRule type="cellIs" dxfId="108" priority="17" operator="between">
      <formula>"25.01%"</formula>
      <formula>"50%"</formula>
    </cfRule>
  </conditionalFormatting>
  <conditionalFormatting sqref="G5:H5 V5:X5">
    <cfRule type="cellIs" dxfId="107" priority="18" operator="between">
      <formula>"50.01%"</formula>
      <formula>"75%"</formula>
    </cfRule>
  </conditionalFormatting>
  <conditionalFormatting sqref="G5:H5 V5:X5">
    <cfRule type="cellIs" dxfId="106" priority="19" operator="between">
      <formula>"75.01%"</formula>
      <formula>"99.99%"</formula>
    </cfRule>
  </conditionalFormatting>
  <conditionalFormatting sqref="G5:H5 V5:X5">
    <cfRule type="cellIs" dxfId="105" priority="20" operator="greaterThanOrEqual">
      <formula>"100%"</formula>
    </cfRule>
  </conditionalFormatting>
  <conditionalFormatting sqref="G69:H69 V69:X69">
    <cfRule type="cellIs" dxfId="104" priority="21" operator="between">
      <formula>"0%"</formula>
      <formula>"25%"</formula>
    </cfRule>
  </conditionalFormatting>
  <conditionalFormatting sqref="G69:H69 V69:X69">
    <cfRule type="cellIs" dxfId="103" priority="22" operator="between">
      <formula>"25.01%"</formula>
      <formula>"50%"</formula>
    </cfRule>
  </conditionalFormatting>
  <conditionalFormatting sqref="G69:H69 V69:X69">
    <cfRule type="cellIs" dxfId="102" priority="23" operator="between">
      <formula>"50.01%"</formula>
      <formula>"75%"</formula>
    </cfRule>
  </conditionalFormatting>
  <conditionalFormatting sqref="G69:H69 V69:X69">
    <cfRule type="cellIs" dxfId="101" priority="24" operator="between">
      <formula>"75.01%"</formula>
      <formula>"99.99%"</formula>
    </cfRule>
  </conditionalFormatting>
  <conditionalFormatting sqref="G69:H69 V69:X69">
    <cfRule type="cellIs" dxfId="10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5"/>
  <sheetViews>
    <sheetView workbookViewId="0">
      <pane xSplit="8" ySplit="4" topLeftCell="I5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23.5703125" customWidth="1"/>
    <col min="3" max="3" width="14.85546875" customWidth="1"/>
    <col min="4" max="4" width="47.710937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E4+E12+E67+E96+E159</f>
        <v>2379653.64</v>
      </c>
      <c r="F3" s="78">
        <f t="shared" si="0"/>
        <v>4614392.4400000004</v>
      </c>
      <c r="G3" s="79">
        <f t="shared" ref="G3:G4" si="1">I3/E3</f>
        <v>1.0509434978108831</v>
      </c>
      <c r="H3" s="79">
        <f t="shared" ref="H3:H4" si="2">M3/E3</f>
        <v>7.8537635418236759E-2</v>
      </c>
      <c r="I3" s="80">
        <f t="shared" ref="I3:O3" si="3">I4+I12+I67+I96+I159</f>
        <v>2500881.5200000005</v>
      </c>
      <c r="J3" s="80">
        <f t="shared" si="3"/>
        <v>2466010.4700000002</v>
      </c>
      <c r="K3" s="80">
        <f t="shared" si="3"/>
        <v>16426.96</v>
      </c>
      <c r="L3" s="80">
        <f t="shared" si="3"/>
        <v>0</v>
      </c>
      <c r="M3" s="81">
        <f t="shared" si="3"/>
        <v>186892.37000000002</v>
      </c>
      <c r="N3" s="81" t="e">
        <f t="shared" si="3"/>
        <v>#REF!</v>
      </c>
      <c r="O3" s="81">
        <f t="shared" si="3"/>
        <v>0</v>
      </c>
      <c r="P3" s="82">
        <f t="shared" ref="P3:R3" si="4">IF(BI3=0,SUM(Y3+AB3+AE3+AH3+AK3+AN3+AQ3+AT3+AW3+AZ3+BC3+BF3),BI3)</f>
        <v>191849.31</v>
      </c>
      <c r="Q3" s="82">
        <f t="shared" si="4"/>
        <v>1740428.4900000002</v>
      </c>
      <c r="R3" s="69">
        <f t="shared" si="4"/>
        <v>0</v>
      </c>
      <c r="S3" s="71">
        <f t="shared" ref="S3:U3" si="5">S4+S12+S67+S96+S159</f>
        <v>2300826.1500000004</v>
      </c>
      <c r="T3" s="71" t="e">
        <f t="shared" si="5"/>
        <v>#REF!</v>
      </c>
      <c r="U3" s="71">
        <f t="shared" si="5"/>
        <v>0</v>
      </c>
      <c r="V3" s="73">
        <f t="shared" ref="V3:W3" si="6">M3/I3</f>
        <v>7.4730597393514259E-2</v>
      </c>
      <c r="W3" s="73" t="e">
        <f t="shared" si="6"/>
        <v>#REF!</v>
      </c>
      <c r="X3" s="73" t="e">
        <f t="shared" ref="X3:X4" si="7">O3/L3</f>
        <v>#DIV/0!</v>
      </c>
      <c r="Y3" s="83">
        <f t="shared" ref="Y3:BK3" si="8">Y4+Y12+Y67+Y96+Y159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52862.33</v>
      </c>
      <c r="AL3" s="83">
        <f t="shared" si="8"/>
        <v>417193.15</v>
      </c>
      <c r="AM3" s="83">
        <f t="shared" si="8"/>
        <v>0</v>
      </c>
      <c r="AN3" s="83">
        <f t="shared" si="8"/>
        <v>118074.31</v>
      </c>
      <c r="AO3" s="83">
        <f t="shared" si="8"/>
        <v>336961.85</v>
      </c>
      <c r="AP3" s="83">
        <f t="shared" si="8"/>
        <v>0</v>
      </c>
      <c r="AQ3" s="83">
        <f t="shared" si="8"/>
        <v>0</v>
      </c>
      <c r="AR3" s="83">
        <f t="shared" si="8"/>
        <v>0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4.8305133737124202E-2</v>
      </c>
      <c r="H4" s="88">
        <f t="shared" si="2"/>
        <v>6.2541570085544113E-3</v>
      </c>
      <c r="I4" s="87">
        <f>SUM(I5:I11)</f>
        <v>2348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1950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1950</v>
      </c>
      <c r="R4" s="87">
        <f t="shared" si="10"/>
        <v>0</v>
      </c>
      <c r="S4" s="87">
        <f t="shared" ref="S4:U4" si="11">SUM(S5:S11)</f>
        <v>2044</v>
      </c>
      <c r="T4" s="87">
        <f t="shared" si="11"/>
        <v>15833.25</v>
      </c>
      <c r="U4" s="87">
        <f t="shared" si="11"/>
        <v>0</v>
      </c>
      <c r="V4" s="87">
        <f t="shared" ref="V4:W4" si="12">M4/I4</f>
        <v>0.12947189097103917</v>
      </c>
      <c r="W4" s="88">
        <f t="shared" si="12"/>
        <v>0.10965374720593818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>SUM(AI5:AI11)</f>
        <v>1950</v>
      </c>
      <c r="AJ4" s="87">
        <f t="shared" ref="AJ4:BK4" si="15">SUM(AJ14)</f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0</v>
      </c>
      <c r="AS4" s="87">
        <f t="shared" si="15"/>
        <v>0</v>
      </c>
      <c r="AT4" s="87">
        <f t="shared" si="15"/>
        <v>0</v>
      </c>
      <c r="AU4" s="87">
        <f t="shared" si="15"/>
        <v>0</v>
      </c>
      <c r="AV4" s="87">
        <f t="shared" si="15"/>
        <v>0</v>
      </c>
      <c r="AW4" s="87">
        <f t="shared" si="15"/>
        <v>0</v>
      </c>
      <c r="AX4" s="87">
        <f t="shared" si="15"/>
        <v>0</v>
      </c>
      <c r="AY4" s="87">
        <f t="shared" si="15"/>
        <v>0</v>
      </c>
      <c r="AZ4" s="87">
        <f t="shared" si="15"/>
        <v>0</v>
      </c>
      <c r="BA4" s="87">
        <f t="shared" si="15"/>
        <v>0</v>
      </c>
      <c r="BB4" s="87">
        <f t="shared" si="15"/>
        <v>0</v>
      </c>
      <c r="BC4" s="87">
        <f t="shared" si="15"/>
        <v>0</v>
      </c>
      <c r="BD4" s="87">
        <f t="shared" si="15"/>
        <v>0</v>
      </c>
      <c r="BE4" s="87">
        <f t="shared" si="15"/>
        <v>0</v>
      </c>
      <c r="BF4" s="87">
        <f t="shared" si="15"/>
        <v>0</v>
      </c>
      <c r="BG4" s="87">
        <f t="shared" si="15"/>
        <v>0</v>
      </c>
      <c r="BH4" s="87">
        <f t="shared" si="15"/>
        <v>0</v>
      </c>
      <c r="BI4" s="87">
        <f t="shared" si="15"/>
        <v>0</v>
      </c>
      <c r="BJ4" s="87">
        <f t="shared" si="15"/>
        <v>0</v>
      </c>
      <c r="BK4" s="87">
        <f t="shared" si="15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6">Y5+AB5+AE5+AH5+AK5+AN5+AQ5+AT5+AW5+AZ5+BC5+BF5</f>
        <v>0</v>
      </c>
      <c r="N5" s="97">
        <f t="shared" si="16"/>
        <v>0</v>
      </c>
      <c r="O5" s="97">
        <f t="shared" si="16"/>
        <v>0</v>
      </c>
      <c r="P5" s="82">
        <f t="shared" ref="P5:R5" si="17">IF(BI5=0,SUM(Y5+AB5+AE5+AH5+AK5+AN5+AQ5+AT5+AW5+AZ5+BC5+BF5),BI5)</f>
        <v>0</v>
      </c>
      <c r="Q5" s="82">
        <f t="shared" si="17"/>
        <v>0</v>
      </c>
      <c r="R5" s="82">
        <f t="shared" si="17"/>
        <v>0</v>
      </c>
      <c r="S5" s="97">
        <f t="shared" ref="S5:S11" si="18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56" si="19">I6/E6</f>
        <v>0</v>
      </c>
      <c r="H6" s="94">
        <f t="shared" ref="H6:H23" si="20">M6/E6</f>
        <v>0</v>
      </c>
      <c r="I6" s="95"/>
      <c r="J6" s="96"/>
      <c r="K6" s="96"/>
      <c r="L6" s="95"/>
      <c r="M6" s="97">
        <f t="shared" ref="M6:O6" si="21">Y6+AB6+AE6+AH6+AK6+AN6+AQ6+AT6+AW6+AZ6+BC6+BF6</f>
        <v>0</v>
      </c>
      <c r="N6" s="97">
        <f t="shared" si="21"/>
        <v>0</v>
      </c>
      <c r="O6" s="97">
        <f t="shared" si="21"/>
        <v>0</v>
      </c>
      <c r="P6" s="82">
        <f t="shared" ref="P6:R6" si="22">IF(BI6=0,SUM(Y6+AB6+AE6+AH6+AK6+AN6+AQ6+AT6+AW6+AZ6+BC6+BF6),BI6)</f>
        <v>0</v>
      </c>
      <c r="Q6" s="82">
        <f t="shared" si="22"/>
        <v>0</v>
      </c>
      <c r="R6" s="82">
        <f t="shared" si="22"/>
        <v>0</v>
      </c>
      <c r="S6" s="97">
        <f t="shared" si="18"/>
        <v>0</v>
      </c>
      <c r="T6" s="97">
        <f t="shared" ref="T6:T11" si="23">J6-N6</f>
        <v>0</v>
      </c>
      <c r="U6" s="97">
        <f t="shared" ref="U6:U11" si="24">L6-O6</f>
        <v>0</v>
      </c>
      <c r="V6" s="97" t="e">
        <f t="shared" ref="V6:W6" si="25">M6/I6</f>
        <v>#DIV/0!</v>
      </c>
      <c r="W6" s="98" t="e">
        <f t="shared" si="25"/>
        <v>#DIV/0!</v>
      </c>
      <c r="X6" s="98" t="e">
        <f t="shared" ref="X6:X89" si="26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19"/>
        <v>0</v>
      </c>
      <c r="H7" s="94">
        <f t="shared" si="20"/>
        <v>0</v>
      </c>
      <c r="I7" s="95"/>
      <c r="J7" s="96"/>
      <c r="K7" s="96"/>
      <c r="L7" s="95"/>
      <c r="M7" s="97">
        <f t="shared" ref="M7:O7" si="27">Y7+AB7+AE7+AH7+AK7+AN7+AQ7+AT7+AW7+AZ7+BC7+BF7</f>
        <v>0</v>
      </c>
      <c r="N7" s="97">
        <f t="shared" si="27"/>
        <v>0</v>
      </c>
      <c r="O7" s="97">
        <f t="shared" si="27"/>
        <v>0</v>
      </c>
      <c r="P7" s="82">
        <f t="shared" ref="P7:R7" si="28">IF(BI7=0,SUM(Y7+AB7+AE7+AH7+AK7+AN7+AQ7+AT7+AW7+AZ7+BC7+BF7),BI7)</f>
        <v>0</v>
      </c>
      <c r="Q7" s="82">
        <f t="shared" si="28"/>
        <v>0</v>
      </c>
      <c r="R7" s="82">
        <f t="shared" si="28"/>
        <v>0</v>
      </c>
      <c r="S7" s="97">
        <f t="shared" si="18"/>
        <v>0</v>
      </c>
      <c r="T7" s="97">
        <f t="shared" si="23"/>
        <v>0</v>
      </c>
      <c r="U7" s="97">
        <f t="shared" si="24"/>
        <v>0</v>
      </c>
      <c r="V7" s="97" t="e">
        <f t="shared" ref="V7:W7" si="29">M7/I7</f>
        <v>#DIV/0!</v>
      </c>
      <c r="W7" s="98" t="e">
        <f t="shared" si="29"/>
        <v>#DIV/0!</v>
      </c>
      <c r="X7" s="98" t="e">
        <f t="shared" si="26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102" t="s">
        <v>206</v>
      </c>
      <c r="C8" s="101" t="s">
        <v>207</v>
      </c>
      <c r="D8" s="91" t="s">
        <v>674</v>
      </c>
      <c r="E8" s="92">
        <v>15127.2</v>
      </c>
      <c r="F8" s="93">
        <v>58483.53</v>
      </c>
      <c r="G8" s="94">
        <f t="shared" si="19"/>
        <v>0</v>
      </c>
      <c r="H8" s="94">
        <f t="shared" si="20"/>
        <v>0</v>
      </c>
      <c r="I8" s="95"/>
      <c r="J8" s="96">
        <v>15833.25</v>
      </c>
      <c r="K8" s="96"/>
      <c r="L8" s="95"/>
      <c r="M8" s="97">
        <f t="shared" ref="M8:O8" si="30">Y8+AB8+AE8+AH8+AK8+AN8+AQ8+AT8+AW8+AZ8+BC8+BF8</f>
        <v>0</v>
      </c>
      <c r="N8" s="97">
        <f t="shared" si="30"/>
        <v>0</v>
      </c>
      <c r="O8" s="97">
        <f t="shared" si="30"/>
        <v>0</v>
      </c>
      <c r="P8" s="82">
        <f t="shared" ref="P8:R8" si="31">IF(BI8=0,SUM(Y8+AB8+AE8+AH8+AK8+AN8+AQ8+AT8+AW8+AZ8+BC8+BF8),BI8)</f>
        <v>0</v>
      </c>
      <c r="Q8" s="82">
        <f t="shared" si="31"/>
        <v>0</v>
      </c>
      <c r="R8" s="82">
        <f t="shared" si="31"/>
        <v>0</v>
      </c>
      <c r="S8" s="97">
        <f t="shared" si="18"/>
        <v>0</v>
      </c>
      <c r="T8" s="97">
        <f t="shared" si="23"/>
        <v>15833.25</v>
      </c>
      <c r="U8" s="97">
        <f t="shared" si="24"/>
        <v>0</v>
      </c>
      <c r="V8" s="97" t="e">
        <f t="shared" ref="V8:W8" si="32">M8/I8</f>
        <v>#DIV/0!</v>
      </c>
      <c r="W8" s="98">
        <f t="shared" si="32"/>
        <v>0</v>
      </c>
      <c r="X8" s="98" t="e">
        <f t="shared" si="26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89"/>
      <c r="C9" s="101" t="s">
        <v>209</v>
      </c>
      <c r="D9" s="91" t="s">
        <v>69</v>
      </c>
      <c r="E9" s="92">
        <v>8029.07</v>
      </c>
      <c r="F9" s="93"/>
      <c r="G9" s="94">
        <f t="shared" si="19"/>
        <v>0</v>
      </c>
      <c r="H9" s="94">
        <f t="shared" si="20"/>
        <v>0</v>
      </c>
      <c r="I9" s="95"/>
      <c r="J9" s="353">
        <v>1950</v>
      </c>
      <c r="K9" s="96"/>
      <c r="L9" s="95"/>
      <c r="M9" s="97">
        <f t="shared" ref="M9:O9" si="33">Y9+AB9+AE9+AH9+AK9+AN9+AQ9+AT9+AW9+AZ9+BC9+BF9</f>
        <v>0</v>
      </c>
      <c r="N9" s="97">
        <f t="shared" si="33"/>
        <v>1950</v>
      </c>
      <c r="O9" s="97">
        <f t="shared" si="33"/>
        <v>0</v>
      </c>
      <c r="P9" s="82">
        <f t="shared" ref="P9:R9" si="34">IF(BI9=0,SUM(Y9+AB9+AE9+AH9+AK9+AN9+AQ9+AT9+AW9+AZ9+BC9+BF9),BI9)</f>
        <v>0</v>
      </c>
      <c r="Q9" s="82">
        <f t="shared" si="34"/>
        <v>1950</v>
      </c>
      <c r="R9" s="82">
        <f t="shared" si="34"/>
        <v>0</v>
      </c>
      <c r="S9" s="97">
        <f t="shared" si="18"/>
        <v>0</v>
      </c>
      <c r="T9" s="97">
        <f t="shared" si="23"/>
        <v>0</v>
      </c>
      <c r="U9" s="97">
        <f t="shared" si="24"/>
        <v>0</v>
      </c>
      <c r="V9" s="97" t="e">
        <f t="shared" ref="V9:W9" si="35">M9/I9</f>
        <v>#DIV/0!</v>
      </c>
      <c r="W9" s="98">
        <f t="shared" si="35"/>
        <v>1</v>
      </c>
      <c r="X9" s="98" t="e">
        <f t="shared" si="26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9" t="s">
        <v>575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19"/>
        <v>6.1154140164135402E-2</v>
      </c>
      <c r="H10" s="94">
        <f t="shared" si="20"/>
        <v>2.1923182322991938E-2</v>
      </c>
      <c r="I10" s="95">
        <f>304+183+361</f>
        <v>848</v>
      </c>
      <c r="J10" s="96"/>
      <c r="K10" s="96"/>
      <c r="L10" s="95"/>
      <c r="M10" s="97">
        <f t="shared" ref="M10:O10" si="36">Y10+AB10+AE10+AH10+AK10+AN10+AQ10+AT10+AW10+AZ10+BC10+BF10</f>
        <v>304</v>
      </c>
      <c r="N10" s="97">
        <f t="shared" si="36"/>
        <v>0</v>
      </c>
      <c r="O10" s="97">
        <f t="shared" si="36"/>
        <v>0</v>
      </c>
      <c r="P10" s="82">
        <f t="shared" ref="P10:R10" si="37">IF(BI10=0,SUM(Y10+AB10+AE10+AH10+AK10+AN10+AQ10+AT10+AW10+AZ10+BC10+BF10),BI10)</f>
        <v>304</v>
      </c>
      <c r="Q10" s="82">
        <f t="shared" si="37"/>
        <v>0</v>
      </c>
      <c r="R10" s="82">
        <f t="shared" si="37"/>
        <v>0</v>
      </c>
      <c r="S10" s="97">
        <f t="shared" si="18"/>
        <v>544</v>
      </c>
      <c r="T10" s="97">
        <f t="shared" si="23"/>
        <v>0</v>
      </c>
      <c r="U10" s="97">
        <f t="shared" si="24"/>
        <v>0</v>
      </c>
      <c r="V10" s="97">
        <f t="shared" ref="V10:W10" si="38">M10/I10</f>
        <v>0.35849056603773582</v>
      </c>
      <c r="W10" s="98" t="e">
        <f t="shared" si="38"/>
        <v>#DIV/0!</v>
      </c>
      <c r="X10" s="98" t="e">
        <f t="shared" si="26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19"/>
        <v>0</v>
      </c>
      <c r="H11" s="94">
        <f t="shared" si="20"/>
        <v>0</v>
      </c>
      <c r="I11" s="95"/>
      <c r="J11" s="96"/>
      <c r="K11" s="96"/>
      <c r="L11" s="95"/>
      <c r="M11" s="97">
        <f t="shared" ref="M11:O11" si="39">Y11+AB11+AE11+AH11+AK11+AN11+AQ11+AT11+AW11+AZ11+BC11+BF11</f>
        <v>0</v>
      </c>
      <c r="N11" s="97">
        <f t="shared" si="39"/>
        <v>0</v>
      </c>
      <c r="O11" s="97">
        <f t="shared" si="39"/>
        <v>0</v>
      </c>
      <c r="P11" s="82">
        <f t="shared" ref="P11:R11" si="40">IF(BI11=0,SUM(Y11+AB11+AE11+AH11+AK11+AN11+AQ11+AT11+AW11+AZ11+BC11+BF11),BI11)</f>
        <v>0</v>
      </c>
      <c r="Q11" s="82">
        <f t="shared" si="40"/>
        <v>0</v>
      </c>
      <c r="R11" s="82">
        <f t="shared" si="40"/>
        <v>0</v>
      </c>
      <c r="S11" s="97">
        <f t="shared" si="18"/>
        <v>0</v>
      </c>
      <c r="T11" s="97">
        <f t="shared" si="23"/>
        <v>0</v>
      </c>
      <c r="U11" s="97">
        <f t="shared" si="24"/>
        <v>0</v>
      </c>
      <c r="V11" s="97" t="e">
        <f t="shared" ref="V11:W11" si="41">M11/I11</f>
        <v>#DIV/0!</v>
      </c>
      <c r="W11" s="98" t="e">
        <f t="shared" si="41"/>
        <v>#DIV/0!</v>
      </c>
      <c r="X11" s="98" t="e">
        <f t="shared" si="26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2">SUM(E13:E66)</f>
        <v>1669164.1900000002</v>
      </c>
      <c r="F12" s="87">
        <f t="shared" si="42"/>
        <v>3250000</v>
      </c>
      <c r="G12" s="107">
        <f t="shared" si="19"/>
        <v>0.96366782826799091</v>
      </c>
      <c r="H12" s="107">
        <f t="shared" si="20"/>
        <v>7.9734960046081507E-2</v>
      </c>
      <c r="I12" s="87">
        <f>SUM(I13:I66)</f>
        <v>1608519.8300000003</v>
      </c>
      <c r="J12" s="87">
        <f t="shared" ref="J12:L12" si="43">SUM(J15:J66)</f>
        <v>1611770.46</v>
      </c>
      <c r="K12" s="87">
        <f t="shared" si="43"/>
        <v>16426.96</v>
      </c>
      <c r="L12" s="87">
        <f t="shared" si="43"/>
        <v>0</v>
      </c>
      <c r="M12" s="87">
        <f t="shared" ref="M12:N12" si="44">SUM(M13:M66)</f>
        <v>133090.74000000002</v>
      </c>
      <c r="N12" s="87" t="e">
        <f t="shared" si="44"/>
        <v>#REF!</v>
      </c>
      <c r="O12" s="108">
        <f>SUM(O13:O63)</f>
        <v>0</v>
      </c>
      <c r="P12" s="87">
        <f t="shared" ref="P12:R12" si="45">IF(BI12=0,SUM(Y12+AB12+AE12+AH12+AK12+AN12+AQ12+AT12+AW12+AZ12+BC12+BF12),BI12)</f>
        <v>137484.68</v>
      </c>
      <c r="Q12" s="87">
        <f t="shared" si="45"/>
        <v>1216661.51</v>
      </c>
      <c r="R12" s="108">
        <f t="shared" si="45"/>
        <v>0</v>
      </c>
      <c r="S12" s="87">
        <f>SUM(S13:S66)</f>
        <v>1475429.09</v>
      </c>
      <c r="T12" s="87" t="e">
        <f t="shared" ref="T12:U12" si="46">SUM(T15:T66)</f>
        <v>#REF!</v>
      </c>
      <c r="U12" s="108">
        <f t="shared" si="46"/>
        <v>0</v>
      </c>
      <c r="V12" s="88">
        <f t="shared" ref="V12:W12" si="47">M12/I12</f>
        <v>8.2741124801675586E-2</v>
      </c>
      <c r="W12" s="88" t="e">
        <f t="shared" si="47"/>
        <v>#REF!</v>
      </c>
      <c r="X12" s="88" t="e">
        <f t="shared" si="26"/>
        <v>#DIV/0!</v>
      </c>
      <c r="Y12" s="87">
        <f t="shared" ref="Y12:AC12" si="48">SUM(Y15:Y66)</f>
        <v>0</v>
      </c>
      <c r="Z12" s="87">
        <f t="shared" si="48"/>
        <v>162060.35</v>
      </c>
      <c r="AA12" s="87">
        <f t="shared" si="48"/>
        <v>0</v>
      </c>
      <c r="AB12" s="87">
        <f t="shared" si="48"/>
        <v>0</v>
      </c>
      <c r="AC12" s="87">
        <f t="shared" si="48"/>
        <v>163302.63</v>
      </c>
      <c r="AD12" s="87">
        <f>SUM(AD15:AD63)</f>
        <v>0</v>
      </c>
      <c r="AE12" s="87">
        <f>SUM(AE15:AE66)</f>
        <v>1725.32</v>
      </c>
      <c r="AF12" s="87">
        <f>SUM(AF15:AF65)</f>
        <v>200009.41999999995</v>
      </c>
      <c r="AG12" s="87">
        <f>SUM(AG15:AG63)</f>
        <v>0</v>
      </c>
      <c r="AH12" s="87">
        <f t="shared" ref="AH12:AI12" si="49">SUM(AH13:AH66)</f>
        <v>18883.349999999999</v>
      </c>
      <c r="AI12" s="87">
        <f t="shared" si="49"/>
        <v>93013.4</v>
      </c>
      <c r="AJ12" s="87">
        <f>SUM(AJ15:AJ63)</f>
        <v>0</v>
      </c>
      <c r="AK12" s="87">
        <f t="shared" ref="AK12:AL12" si="50">SUM(AK15:AK66)</f>
        <v>49634.33</v>
      </c>
      <c r="AL12" s="87">
        <f t="shared" si="50"/>
        <v>361930.45</v>
      </c>
      <c r="AM12" s="87">
        <f>SUM(AM15:AM63)</f>
        <v>0</v>
      </c>
      <c r="AN12" s="87">
        <f t="shared" ref="AN12:AO12" si="51">SUM(AN13:AN66)</f>
        <v>67241.679999999993</v>
      </c>
      <c r="AO12" s="87">
        <f t="shared" si="51"/>
        <v>236345.26</v>
      </c>
      <c r="AP12" s="87">
        <f>SUM(AP15:AP63)</f>
        <v>0</v>
      </c>
      <c r="AQ12" s="87">
        <f t="shared" ref="AQ12:AR12" si="52">SUM(AQ15:AQ66)</f>
        <v>0</v>
      </c>
      <c r="AR12" s="87">
        <f t="shared" si="52"/>
        <v>0</v>
      </c>
      <c r="AS12" s="87">
        <f>SUM(AS15:AS63)</f>
        <v>0</v>
      </c>
      <c r="AT12" s="87">
        <f>SUM(AT15:AT66)</f>
        <v>0</v>
      </c>
      <c r="AU12" s="87">
        <f t="shared" ref="AU12:AV12" si="53">SUM(AU15:AU63)</f>
        <v>0</v>
      </c>
      <c r="AV12" s="87">
        <f t="shared" si="53"/>
        <v>0</v>
      </c>
      <c r="AW12" s="87">
        <f t="shared" ref="AW12:AX12" si="54">SUM(AW15:AW66)</f>
        <v>0</v>
      </c>
      <c r="AX12" s="87">
        <f t="shared" si="54"/>
        <v>0</v>
      </c>
      <c r="AY12" s="87">
        <f t="shared" ref="AY12:BK12" si="55">SUM(AY15:AY63)</f>
        <v>0</v>
      </c>
      <c r="AZ12" s="87">
        <f t="shared" si="55"/>
        <v>0</v>
      </c>
      <c r="BA12" s="87">
        <f t="shared" si="55"/>
        <v>0</v>
      </c>
      <c r="BB12" s="87">
        <f t="shared" si="55"/>
        <v>0</v>
      </c>
      <c r="BC12" s="87">
        <f t="shared" si="55"/>
        <v>0</v>
      </c>
      <c r="BD12" s="87">
        <f t="shared" si="55"/>
        <v>0</v>
      </c>
      <c r="BE12" s="87">
        <f t="shared" si="55"/>
        <v>0</v>
      </c>
      <c r="BF12" s="87">
        <f t="shared" si="55"/>
        <v>0</v>
      </c>
      <c r="BG12" s="87">
        <f t="shared" si="55"/>
        <v>0</v>
      </c>
      <c r="BH12" s="87">
        <f t="shared" si="55"/>
        <v>0</v>
      </c>
      <c r="BI12" s="87">
        <f t="shared" si="55"/>
        <v>0</v>
      </c>
      <c r="BJ12" s="87">
        <f t="shared" si="55"/>
        <v>0</v>
      </c>
      <c r="BK12" s="87">
        <f t="shared" si="55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19"/>
        <v>1</v>
      </c>
      <c r="H13" s="94">
        <f t="shared" si="20"/>
        <v>0</v>
      </c>
      <c r="I13" s="96">
        <v>1500</v>
      </c>
      <c r="J13" s="96"/>
      <c r="K13" s="96"/>
      <c r="L13" s="95"/>
      <c r="M13" s="97">
        <f t="shared" ref="M13:O13" si="56">Y13+AB13+AE13+AH13+AK13+AN13+AQ13+AT13+AW13+AZ13+BC13+BF13</f>
        <v>0</v>
      </c>
      <c r="N13" s="97">
        <f t="shared" si="56"/>
        <v>0</v>
      </c>
      <c r="O13" s="97">
        <f t="shared" si="56"/>
        <v>0</v>
      </c>
      <c r="P13" s="82">
        <f t="shared" ref="P13:R13" si="57">IF(BI13=0,SUM(Y13+AB13+AE13+AH13+AK13+AN13+AQ13+AT13+AW13+AZ13+BC13+BF13),BI13)</f>
        <v>0</v>
      </c>
      <c r="Q13" s="82">
        <f t="shared" si="57"/>
        <v>0</v>
      </c>
      <c r="R13" s="82">
        <f t="shared" si="57"/>
        <v>0</v>
      </c>
      <c r="S13" s="97">
        <f t="shared" ref="S13:T13" si="58">I13-M13</f>
        <v>1500</v>
      </c>
      <c r="T13" s="97">
        <f t="shared" si="58"/>
        <v>0</v>
      </c>
      <c r="U13" s="97">
        <f t="shared" ref="U13:U66" si="59">L13-O13</f>
        <v>0</v>
      </c>
      <c r="V13" s="112">
        <f t="shared" ref="V13:W13" si="60">M13/I13</f>
        <v>0</v>
      </c>
      <c r="W13" s="98" t="e">
        <f t="shared" si="60"/>
        <v>#DIV/0!</v>
      </c>
      <c r="X13" s="98" t="e">
        <f t="shared" si="26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19"/>
        <v>0.10367</v>
      </c>
      <c r="H14" s="94">
        <f t="shared" si="20"/>
        <v>0</v>
      </c>
      <c r="I14" s="355">
        <v>207.34</v>
      </c>
      <c r="J14" s="96"/>
      <c r="K14" s="96"/>
      <c r="L14" s="95"/>
      <c r="M14" s="97">
        <f t="shared" ref="M14:O14" si="61">Y14+AB14+AE14+AH14+AK14+AN14+AQ14+AT14+AW14+AZ14+BC14+BF14</f>
        <v>0</v>
      </c>
      <c r="N14" s="97">
        <f t="shared" si="61"/>
        <v>0</v>
      </c>
      <c r="O14" s="97">
        <f t="shared" si="61"/>
        <v>0</v>
      </c>
      <c r="P14" s="82">
        <f t="shared" ref="P14:R14" si="62">IF(BI14=0,SUM(Y14+AB14+AE14+AH14+AK14+AN14+AQ14+AT14+AW14+AZ14+BC14+BF14),BI14)</f>
        <v>0</v>
      </c>
      <c r="Q14" s="82">
        <f t="shared" si="62"/>
        <v>0</v>
      </c>
      <c r="R14" s="82">
        <f t="shared" si="62"/>
        <v>0</v>
      </c>
      <c r="S14" s="97">
        <f t="shared" ref="S14:T14" si="63">I14-M14</f>
        <v>207.34</v>
      </c>
      <c r="T14" s="97">
        <f t="shared" si="63"/>
        <v>0</v>
      </c>
      <c r="U14" s="97">
        <f t="shared" si="59"/>
        <v>0</v>
      </c>
      <c r="V14" s="97">
        <f t="shared" ref="V14:W14" si="64">M14/I14</f>
        <v>0</v>
      </c>
      <c r="W14" s="98" t="e">
        <f t="shared" si="64"/>
        <v>#DIV/0!</v>
      </c>
      <c r="X14" s="98" t="e">
        <f t="shared" si="26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675</v>
      </c>
      <c r="E15" s="116">
        <v>280175</v>
      </c>
      <c r="F15" s="116"/>
      <c r="G15" s="94">
        <f t="shared" si="19"/>
        <v>1.03948599982154</v>
      </c>
      <c r="H15" s="94">
        <f t="shared" si="20"/>
        <v>1.784598911394664E-2</v>
      </c>
      <c r="I15" s="96">
        <f>5000+295574.67-30000-50000+70663.32</f>
        <v>291237.99</v>
      </c>
      <c r="J15" s="117">
        <v>194909.32</v>
      </c>
      <c r="K15" s="117"/>
      <c r="L15" s="118"/>
      <c r="M15" s="97">
        <f t="shared" ref="M15:O15" si="65">Y15+AB15+AE15+AH15+AK15+AN15+AQ15+AT15+AW15+AZ15+BC15+BF15</f>
        <v>5000</v>
      </c>
      <c r="N15" s="97">
        <f t="shared" si="65"/>
        <v>104620.34</v>
      </c>
      <c r="O15" s="97">
        <f t="shared" si="65"/>
        <v>0</v>
      </c>
      <c r="P15" s="82">
        <f t="shared" ref="P15:R15" si="66">IF(BI15=0,SUM(Y15+AB15+AE15+AH15+AK15+AN15+AQ15+AT15+AW15+AZ15+BC15+BF15),BI15)</f>
        <v>5000</v>
      </c>
      <c r="Q15" s="82">
        <f t="shared" si="66"/>
        <v>104620.34</v>
      </c>
      <c r="R15" s="82">
        <f t="shared" si="66"/>
        <v>0</v>
      </c>
      <c r="S15" s="97">
        <f t="shared" ref="S15:T15" si="67">I15-M15</f>
        <v>286237.99</v>
      </c>
      <c r="T15" s="97">
        <f t="shared" si="67"/>
        <v>90288.98000000001</v>
      </c>
      <c r="U15" s="97">
        <f t="shared" si="59"/>
        <v>0</v>
      </c>
      <c r="V15" s="98">
        <f t="shared" ref="V15:W15" si="68">M15/I15</f>
        <v>1.7168089918489001E-2</v>
      </c>
      <c r="W15" s="98">
        <f t="shared" si="68"/>
        <v>0.53676417320628889</v>
      </c>
      <c r="X15" s="98" t="e">
        <f t="shared" si="26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260">
        <v>22238.34</v>
      </c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676</v>
      </c>
      <c r="E16" s="92">
        <v>2000</v>
      </c>
      <c r="F16" s="116"/>
      <c r="G16" s="94">
        <f t="shared" si="19"/>
        <v>0</v>
      </c>
      <c r="H16" s="94">
        <f t="shared" si="20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114.30000000000001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114.30000000000001</v>
      </c>
      <c r="R16" s="82">
        <f t="shared" si="70"/>
        <v>0</v>
      </c>
      <c r="S16" s="97">
        <f t="shared" ref="S16:T16" si="71">I16-M16</f>
        <v>0</v>
      </c>
      <c r="T16" s="97">
        <f t="shared" si="71"/>
        <v>5198.28</v>
      </c>
      <c r="U16" s="97">
        <f t="shared" si="59"/>
        <v>0</v>
      </c>
      <c r="V16" s="98" t="e">
        <f t="shared" ref="V16:W16" si="72">M16/I16</f>
        <v>#DIV/0!</v>
      </c>
      <c r="W16" s="98">
        <f t="shared" si="72"/>
        <v>2.1514970127508672E-2</v>
      </c>
      <c r="X16" s="98" t="e">
        <f t="shared" si="26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260">
        <v>64.680000000000007</v>
      </c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677</v>
      </c>
      <c r="E17" s="123">
        <v>0</v>
      </c>
      <c r="F17" s="124">
        <v>0</v>
      </c>
      <c r="G17" s="94" t="e">
        <f t="shared" si="19"/>
        <v>#DIV/0!</v>
      </c>
      <c r="H17" s="94" t="e">
        <f t="shared" si="20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3">Y17+AB17+AE17+AH17+AK17+AN17+AQ17+AT17+AW17+AZ17+BC17+BF17</f>
        <v>0</v>
      </c>
      <c r="N17" s="97">
        <f t="shared" si="73"/>
        <v>12487.09</v>
      </c>
      <c r="O17" s="97">
        <f t="shared" si="73"/>
        <v>0</v>
      </c>
      <c r="P17" s="82">
        <f t="shared" ref="P17:R17" si="74">IF(BI17=0,SUM(Y17+AB17+AE17+AH17+AK17+AN17+AQ17+AT17+AW17+AZ17+BC17+BF17),BI17)</f>
        <v>0</v>
      </c>
      <c r="Q17" s="82">
        <f t="shared" si="74"/>
        <v>12487.09</v>
      </c>
      <c r="R17" s="82">
        <f t="shared" si="74"/>
        <v>0</v>
      </c>
      <c r="S17" s="97">
        <f t="shared" ref="S17:T17" si="75">I17-M17</f>
        <v>0</v>
      </c>
      <c r="T17" s="97">
        <f t="shared" si="75"/>
        <v>0</v>
      </c>
      <c r="U17" s="97">
        <f t="shared" si="59"/>
        <v>0</v>
      </c>
      <c r="V17" s="98" t="e">
        <f t="shared" ref="V17:W17" si="76">M17/I17</f>
        <v>#DIV/0!</v>
      </c>
      <c r="W17" s="98">
        <f t="shared" si="76"/>
        <v>1</v>
      </c>
      <c r="X17" s="98" t="e">
        <f t="shared" si="26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29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678</v>
      </c>
      <c r="E18" s="92">
        <v>309000</v>
      </c>
      <c r="F18" s="116"/>
      <c r="G18" s="94">
        <f t="shared" si="19"/>
        <v>0.69126174757281555</v>
      </c>
      <c r="H18" s="94">
        <f t="shared" si="20"/>
        <v>0</v>
      </c>
      <c r="I18" s="103">
        <f>160199.91+53399.97</f>
        <v>213599.88</v>
      </c>
      <c r="J18" s="117">
        <v>93746.62</v>
      </c>
      <c r="K18" s="117"/>
      <c r="L18" s="118"/>
      <c r="M18" s="97">
        <f t="shared" ref="M18:O18" si="77">Y18+AB18+AE18+AH18+AK18+AN18+AQ18+AT18+AW18+AZ18+BC18+BF18</f>
        <v>0</v>
      </c>
      <c r="N18" s="97">
        <f t="shared" si="77"/>
        <v>88999.950000000012</v>
      </c>
      <c r="O18" s="97">
        <f t="shared" si="77"/>
        <v>0</v>
      </c>
      <c r="P18" s="82">
        <f t="shared" ref="P18:R18" si="78">IF(BI18=0,SUM(Y18+AB18+AE18+AH18+AK18+AN18+AQ18+AT18+AW18+AZ18+BC18+BF18),BI18)</f>
        <v>0</v>
      </c>
      <c r="Q18" s="82">
        <f t="shared" si="78"/>
        <v>88999.950000000012</v>
      </c>
      <c r="R18" s="82">
        <f t="shared" si="78"/>
        <v>0</v>
      </c>
      <c r="S18" s="97">
        <f t="shared" ref="S18:T18" si="79">I18-M18</f>
        <v>213599.88</v>
      </c>
      <c r="T18" s="97">
        <f t="shared" si="79"/>
        <v>4746.6699999999837</v>
      </c>
      <c r="U18" s="97">
        <f t="shared" si="59"/>
        <v>0</v>
      </c>
      <c r="V18" s="98">
        <f t="shared" ref="V18:W18" si="80">M18/I18</f>
        <v>0</v>
      </c>
      <c r="W18" s="98">
        <f t="shared" si="80"/>
        <v>0.94936702784591076</v>
      </c>
      <c r="X18" s="98" t="e">
        <f t="shared" si="26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260">
        <v>17799.990000000002</v>
      </c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679</v>
      </c>
      <c r="E19" s="92">
        <v>610000</v>
      </c>
      <c r="F19" s="116"/>
      <c r="G19" s="94">
        <f t="shared" si="19"/>
        <v>1.2890851475409835</v>
      </c>
      <c r="H19" s="94">
        <f t="shared" si="20"/>
        <v>5.5276950819672134E-2</v>
      </c>
      <c r="I19" s="103">
        <f>36673.86+499778.72+124944.68+124944.68</f>
        <v>786341.94</v>
      </c>
      <c r="J19" s="117">
        <v>180180.54</v>
      </c>
      <c r="K19" s="117"/>
      <c r="L19" s="118"/>
      <c r="M19" s="97">
        <f t="shared" ref="M19:M21" si="81">Y19+AB19+AE19+AH19+AK19+AN19+AQ19+AT19+AW19+AZ19+BC19+BF19</f>
        <v>33718.94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82">IF(BI19=0,SUM(Y19+AB19+AE19+AH19+AK19+AN19+AQ19+AT19+AW19+AZ19+BC19+BF19),BI19)</f>
        <v>33718.94</v>
      </c>
      <c r="Q19" s="82">
        <f t="shared" si="82"/>
        <v>180180.53999999998</v>
      </c>
      <c r="R19" s="82">
        <f t="shared" si="82"/>
        <v>0</v>
      </c>
      <c r="S19" s="97">
        <f t="shared" ref="S19:T19" si="83">I19-M19</f>
        <v>752623</v>
      </c>
      <c r="T19" s="97">
        <f t="shared" si="83"/>
        <v>73248.510000000009</v>
      </c>
      <c r="U19" s="97">
        <f t="shared" si="59"/>
        <v>0</v>
      </c>
      <c r="V19" s="98">
        <f t="shared" ref="V19:W19" si="84">M19/I19</f>
        <v>4.2880759991003409E-2</v>
      </c>
      <c r="W19" s="98">
        <f t="shared" si="84"/>
        <v>0.59347158133725209</v>
      </c>
      <c r="X19" s="98" t="e">
        <f t="shared" si="26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>
        <f>19029.55</f>
        <v>19029.55</v>
      </c>
      <c r="AO19" s="129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359" t="s">
        <v>680</v>
      </c>
      <c r="B20" s="114" t="s">
        <v>228</v>
      </c>
      <c r="C20" s="101" t="s">
        <v>229</v>
      </c>
      <c r="D20" s="91" t="s">
        <v>681</v>
      </c>
      <c r="E20" s="92">
        <v>43000</v>
      </c>
      <c r="F20" s="92"/>
      <c r="G20" s="94">
        <f t="shared" si="19"/>
        <v>0.70610046511627911</v>
      </c>
      <c r="H20" s="94">
        <f t="shared" si="20"/>
        <v>2.8038372093023258E-2</v>
      </c>
      <c r="I20" s="103">
        <v>30362.32</v>
      </c>
      <c r="J20" s="117">
        <v>20565.900000000001</v>
      </c>
      <c r="K20" s="117"/>
      <c r="L20" s="118"/>
      <c r="M20" s="97">
        <f t="shared" si="81"/>
        <v>1205.6500000000001</v>
      </c>
      <c r="N20" s="97">
        <f t="shared" ref="N20:O20" si="85">Z20+AC20+AF20+AI20+AL20+AO20+AR20+AU20+AX20+BA20+BD20+BG20</f>
        <v>20565.900000000001</v>
      </c>
      <c r="O20" s="97">
        <f t="shared" si="85"/>
        <v>0</v>
      </c>
      <c r="P20" s="82">
        <f t="shared" ref="P20:R20" si="86">IF(BI20=0,SUM(Y20+AB20+AE20+AH20+AK20+AN20+AQ20+AT20+AW20+AZ20+BC20+BF20),BI20)</f>
        <v>1205.6500000000001</v>
      </c>
      <c r="Q20" s="82">
        <f t="shared" si="86"/>
        <v>20565.900000000001</v>
      </c>
      <c r="R20" s="82">
        <f t="shared" si="86"/>
        <v>0</v>
      </c>
      <c r="S20" s="97">
        <f t="shared" ref="S20:T20" si="87">I20-M20</f>
        <v>29156.67</v>
      </c>
      <c r="T20" s="97">
        <f t="shared" si="87"/>
        <v>0</v>
      </c>
      <c r="U20" s="97">
        <f t="shared" si="59"/>
        <v>0</v>
      </c>
      <c r="V20" s="98">
        <f t="shared" ref="V20:W20" si="88">M20/I20</f>
        <v>3.9708757433555807E-2</v>
      </c>
      <c r="W20" s="98">
        <f t="shared" si="88"/>
        <v>1</v>
      </c>
      <c r="X20" s="98" t="e">
        <f t="shared" si="26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103">
        <v>1205.6500000000001</v>
      </c>
      <c r="AO20" s="260">
        <v>2589.64</v>
      </c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682</v>
      </c>
      <c r="E21" s="92">
        <v>2000</v>
      </c>
      <c r="F21" s="92"/>
      <c r="G21" s="94">
        <f t="shared" si="19"/>
        <v>0</v>
      </c>
      <c r="H21" s="94">
        <f t="shared" si="20"/>
        <v>0</v>
      </c>
      <c r="I21" s="96"/>
      <c r="J21" s="117">
        <v>1838.67</v>
      </c>
      <c r="K21" s="117"/>
      <c r="L21" s="118"/>
      <c r="M21" s="97">
        <f t="shared" si="81"/>
        <v>0</v>
      </c>
      <c r="N21" s="97">
        <f t="shared" ref="N21:O21" si="89">Z21+AC21+AF21+AI21+AL21+AO21+AR21+AU21+AX21+BA21+BD21+BG21</f>
        <v>1163.06</v>
      </c>
      <c r="O21" s="97">
        <f t="shared" si="89"/>
        <v>0</v>
      </c>
      <c r="P21" s="82">
        <f t="shared" ref="P21:R21" si="90">IF(BI21=0,SUM(Y21+AB21+AE21+AH21+AK21+AN21+AQ21+AT21+AW21+AZ21+BC21+BF21),BI21)</f>
        <v>0</v>
      </c>
      <c r="Q21" s="82">
        <f t="shared" si="90"/>
        <v>1163.06</v>
      </c>
      <c r="R21" s="82">
        <f t="shared" si="90"/>
        <v>0</v>
      </c>
      <c r="S21" s="97">
        <f t="shared" ref="S21:T21" si="91">I21-M21</f>
        <v>0</v>
      </c>
      <c r="T21" s="97">
        <f t="shared" si="91"/>
        <v>675.61000000000013</v>
      </c>
      <c r="U21" s="97">
        <f t="shared" si="59"/>
        <v>0</v>
      </c>
      <c r="V21" s="98" t="e">
        <f t="shared" ref="V21:W21" si="92">M21/I21</f>
        <v>#DIV/0!</v>
      </c>
      <c r="W21" s="98">
        <f t="shared" si="92"/>
        <v>0.6325550533809764</v>
      </c>
      <c r="X21" s="98" t="e">
        <f t="shared" si="26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129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683</v>
      </c>
      <c r="E22" s="92">
        <v>45000</v>
      </c>
      <c r="F22" s="116"/>
      <c r="G22" s="94">
        <f t="shared" si="19"/>
        <v>1.0740742222222224</v>
      </c>
      <c r="H22" s="94">
        <f t="shared" si="20"/>
        <v>0.22132422222222223</v>
      </c>
      <c r="I22" s="103">
        <f>4393.94+43939.4</f>
        <v>48333.340000000004</v>
      </c>
      <c r="J22" s="117">
        <v>16833.330000000002</v>
      </c>
      <c r="K22" s="117"/>
      <c r="L22" s="118"/>
      <c r="M22" s="97">
        <f>Y22+AB22+AE22+AH22+AL22+AN22+AQ22+AT22+AW22+AZ22+BC22+BF22</f>
        <v>9959.59</v>
      </c>
      <c r="N22" s="97" t="e">
        <f>Z22+AC22+AF22+AI22+#REF!+AO22+AR22+AU22+AX22+BA22+BD22+BG22</f>
        <v>#REF!</v>
      </c>
      <c r="O22" s="97">
        <f>AA22+AD22+AG22+AJ22+AM22+AP22+AS22+AV22+AY22+BB22+BE22+BH22</f>
        <v>0</v>
      </c>
      <c r="P22" s="82">
        <f>IF(BI22=0,SUM(Y22+AB22+AE22+AH22+AL22+AN22+AQ22+AT22+AW22+AZ22+BC22+BF22),BI22)</f>
        <v>9959.59</v>
      </c>
      <c r="Q22" s="82" t="e">
        <f>IF(BJ22=0,SUM(Z22+AC22+AF22+AI22+#REF!+AO22+AR22+AU22+AX22+BA22+BD22+BG22),BJ22)</f>
        <v>#REF!</v>
      </c>
      <c r="R22" s="82">
        <f>IF(BK22=0,SUM(AA22+AD22+AG22+AJ22+AM22+AP22+AS22+AV22+AY22+BB22+BE22+BH22),BK22)</f>
        <v>0</v>
      </c>
      <c r="S22" s="97">
        <f t="shared" ref="S22:T22" si="93">I22-M22</f>
        <v>38373.75</v>
      </c>
      <c r="T22" s="97" t="e">
        <f t="shared" si="93"/>
        <v>#REF!</v>
      </c>
      <c r="U22" s="97">
        <f t="shared" si="59"/>
        <v>0</v>
      </c>
      <c r="V22" s="98">
        <f t="shared" ref="V22:W22" si="94">M22/I22</f>
        <v>0.20606045433648904</v>
      </c>
      <c r="W22" s="98" t="e">
        <f t="shared" si="94"/>
        <v>#REF!</v>
      </c>
      <c r="X22" s="98" t="e">
        <f t="shared" si="26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103">
        <v>4393.9399999999996</v>
      </c>
      <c r="AO22" s="129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359" t="s">
        <v>684</v>
      </c>
      <c r="B23" s="114" t="s">
        <v>236</v>
      </c>
      <c r="C23" s="101" t="s">
        <v>229</v>
      </c>
      <c r="D23" s="122" t="s">
        <v>685</v>
      </c>
      <c r="E23" s="92">
        <v>43000</v>
      </c>
      <c r="F23" s="116"/>
      <c r="G23" s="94">
        <f t="shared" si="19"/>
        <v>0.6188762790697675</v>
      </c>
      <c r="H23" s="94">
        <f t="shared" si="20"/>
        <v>3.4111395348837212E-2</v>
      </c>
      <c r="I23" s="103">
        <v>26611.68</v>
      </c>
      <c r="J23" s="117">
        <v>18798.599999999999</v>
      </c>
      <c r="K23" s="117"/>
      <c r="L23" s="118"/>
      <c r="M23" s="97">
        <f t="shared" ref="M23:O23" si="95">Y23+AB23+AE23+AH23+AK23+AN23+AQ23+AT23+AW23+AZ23+BC23+BF23</f>
        <v>1466.79</v>
      </c>
      <c r="N23" s="97">
        <f t="shared" si="95"/>
        <v>18798.599999999999</v>
      </c>
      <c r="O23" s="97">
        <f t="shared" si="95"/>
        <v>0</v>
      </c>
      <c r="P23" s="82">
        <f t="shared" ref="P23:R23" si="96">IF(BI23=0,SUM(Y23+AB23+AE23+AH23+AK23+AN23+AQ23+AT23+AW23+AZ23+BC23+BF23),BI23)</f>
        <v>1466.79</v>
      </c>
      <c r="Q23" s="82">
        <f t="shared" si="96"/>
        <v>18798.599999999999</v>
      </c>
      <c r="R23" s="82">
        <f t="shared" si="96"/>
        <v>0</v>
      </c>
      <c r="S23" s="97">
        <f t="shared" ref="S23:T23" si="97">I23-M23</f>
        <v>25144.89</v>
      </c>
      <c r="T23" s="97">
        <f t="shared" si="97"/>
        <v>0</v>
      </c>
      <c r="U23" s="97">
        <f t="shared" si="59"/>
        <v>0</v>
      </c>
      <c r="V23" s="98">
        <f t="shared" ref="V23:W23" si="98">M23/I23</f>
        <v>5.5118278891073388E-2</v>
      </c>
      <c r="W23" s="98">
        <f t="shared" si="98"/>
        <v>1</v>
      </c>
      <c r="X23" s="98" t="e">
        <f t="shared" si="26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103">
        <v>1466.79</v>
      </c>
      <c r="AO23" s="260">
        <v>1859.67</v>
      </c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359" t="s">
        <v>686</v>
      </c>
      <c r="B24" s="114"/>
      <c r="C24" s="101" t="s">
        <v>229</v>
      </c>
      <c r="D24" s="210" t="s">
        <v>687</v>
      </c>
      <c r="E24" s="92">
        <v>44707.32</v>
      </c>
      <c r="F24" s="93">
        <v>50000</v>
      </c>
      <c r="G24" s="94">
        <f t="shared" si="19"/>
        <v>0.61751856295568608</v>
      </c>
      <c r="H24" s="94"/>
      <c r="I24" s="103">
        <f>3450.95+24156.65</f>
        <v>27607.600000000002</v>
      </c>
      <c r="J24" s="117"/>
      <c r="K24" s="117"/>
      <c r="L24" s="118"/>
      <c r="M24" s="97">
        <f t="shared" ref="M24:O24" si="99">Y24+AB24+AE24+AH24+AK24+AN24+AQ24+AT24+AW24+AZ24+BC24+BF24</f>
        <v>0</v>
      </c>
      <c r="N24" s="97">
        <f t="shared" si="99"/>
        <v>0</v>
      </c>
      <c r="O24" s="97">
        <f t="shared" si="99"/>
        <v>0</v>
      </c>
      <c r="P24" s="82">
        <f t="shared" ref="P24:R24" si="100">IF(BI24=0,SUM(Y24+AB24+AE24+AH24+AK24+AN24+AQ24+AT24+AW24+AZ24+BC24+BF24),BI24)</f>
        <v>0</v>
      </c>
      <c r="Q24" s="82">
        <f t="shared" si="100"/>
        <v>0</v>
      </c>
      <c r="R24" s="82">
        <f t="shared" si="100"/>
        <v>0</v>
      </c>
      <c r="S24" s="97">
        <f t="shared" ref="S24:T24" si="101">I24-M24</f>
        <v>27607.600000000002</v>
      </c>
      <c r="T24" s="97">
        <f t="shared" si="101"/>
        <v>0</v>
      </c>
      <c r="U24" s="97">
        <f t="shared" si="59"/>
        <v>0</v>
      </c>
      <c r="V24" s="98">
        <f t="shared" ref="V24:W24" si="102">M24/I24</f>
        <v>0</v>
      </c>
      <c r="W24" s="98" t="e">
        <f t="shared" si="102"/>
        <v>#DIV/0!</v>
      </c>
      <c r="X24" s="98" t="e">
        <f t="shared" si="26"/>
        <v>#DIV/0!</v>
      </c>
      <c r="Y24" s="96"/>
      <c r="Z24" s="96"/>
      <c r="AA24" s="96"/>
      <c r="AB24" s="119"/>
      <c r="AC24" s="119"/>
      <c r="AD24" s="96"/>
      <c r="AE24" s="96"/>
      <c r="AF24" s="350"/>
      <c r="AG24" s="129"/>
      <c r="AH24" s="129"/>
      <c r="AI24" s="129"/>
      <c r="AJ24" s="129"/>
      <c r="AK24" s="96"/>
      <c r="AL24" s="129"/>
      <c r="AM24" s="129"/>
      <c r="AN24" s="96"/>
      <c r="AO24" s="129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113"/>
      <c r="B25" s="114" t="s">
        <v>239</v>
      </c>
      <c r="C25" s="101" t="s">
        <v>240</v>
      </c>
      <c r="D25" s="91" t="s">
        <v>688</v>
      </c>
      <c r="E25" s="92">
        <v>7000</v>
      </c>
      <c r="F25" s="92"/>
      <c r="G25" s="94">
        <f t="shared" si="19"/>
        <v>0</v>
      </c>
      <c r="H25" s="94">
        <f t="shared" ref="H25:H54" si="103">M25/E25</f>
        <v>0</v>
      </c>
      <c r="I25" s="96"/>
      <c r="J25" s="117">
        <v>5583.4</v>
      </c>
      <c r="K25" s="117"/>
      <c r="L25" s="118"/>
      <c r="M25" s="97">
        <f t="shared" ref="M25:O25" si="104">Y25+AB25+AE25+AH25+AK25+AN25+AQ25+AT25+AW25+AZ25+BC25+BF25</f>
        <v>0</v>
      </c>
      <c r="N25" s="97">
        <f t="shared" si="104"/>
        <v>5583.4</v>
      </c>
      <c r="O25" s="97">
        <f t="shared" si="104"/>
        <v>0</v>
      </c>
      <c r="P25" s="82">
        <f t="shared" ref="P25:R25" si="105">IF(BI25=0,SUM(Y25+AB25+AE25+AH25+AK25+AN25+AQ25+AT25+AW25+AZ25+BC25+BF25),BI25)</f>
        <v>0</v>
      </c>
      <c r="Q25" s="82">
        <f t="shared" si="105"/>
        <v>5583.4</v>
      </c>
      <c r="R25" s="82">
        <f t="shared" si="105"/>
        <v>0</v>
      </c>
      <c r="S25" s="97">
        <f t="shared" ref="S25:T25" si="106">I25-M25</f>
        <v>0</v>
      </c>
      <c r="T25" s="97">
        <f t="shared" si="106"/>
        <v>0</v>
      </c>
      <c r="U25" s="97">
        <f t="shared" si="59"/>
        <v>0</v>
      </c>
      <c r="V25" s="98" t="e">
        <f t="shared" ref="V25:W25" si="107">M25/I25</f>
        <v>#DIV/0!</v>
      </c>
      <c r="W25" s="98">
        <f t="shared" si="107"/>
        <v>1</v>
      </c>
      <c r="X25" s="98" t="e">
        <f t="shared" si="26"/>
        <v>#DIV/0!</v>
      </c>
      <c r="Y25" s="96"/>
      <c r="Z25" s="96"/>
      <c r="AA25" s="96"/>
      <c r="AB25" s="119"/>
      <c r="AC25" s="119"/>
      <c r="AD25" s="96"/>
      <c r="AE25" s="96"/>
      <c r="AF25" s="103">
        <v>5583.4</v>
      </c>
      <c r="AG25" s="96"/>
      <c r="AH25" s="96"/>
      <c r="AI25" s="96"/>
      <c r="AJ25" s="96"/>
      <c r="AK25" s="96"/>
      <c r="AL25" s="96"/>
      <c r="AM25" s="96"/>
      <c r="AN25" s="96"/>
      <c r="AO25" s="129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356" t="s">
        <v>689</v>
      </c>
      <c r="B26" s="114"/>
      <c r="C26" s="101" t="s">
        <v>242</v>
      </c>
      <c r="D26" s="122" t="s">
        <v>690</v>
      </c>
      <c r="E26" s="116">
        <v>8404</v>
      </c>
      <c r="F26" s="116"/>
      <c r="G26" s="94">
        <f t="shared" si="19"/>
        <v>0.3420395049976202</v>
      </c>
      <c r="H26" s="94">
        <f t="shared" si="103"/>
        <v>0.3420395049976202</v>
      </c>
      <c r="I26" s="103">
        <v>2874.5</v>
      </c>
      <c r="J26" s="117"/>
      <c r="K26" s="117"/>
      <c r="L26" s="118"/>
      <c r="M26" s="97">
        <f t="shared" ref="M26:O26" si="108">Y26+AB26+AE26+AH26+AK26+AN26+AQ26+AT26+AW26+AZ26+BC26+BF26</f>
        <v>2874.5</v>
      </c>
      <c r="N26" s="97">
        <f t="shared" si="108"/>
        <v>0</v>
      </c>
      <c r="O26" s="97">
        <f t="shared" si="108"/>
        <v>0</v>
      </c>
      <c r="P26" s="82">
        <f t="shared" ref="P26:R26" si="109">IF(BI26=0,SUM(Y26+AB26+AE26+AH26+AK26+AN26+AQ26+AT26+AW26+AZ26+BC26+BF26),BI26)</f>
        <v>2874.5</v>
      </c>
      <c r="Q26" s="82">
        <f t="shared" si="109"/>
        <v>0</v>
      </c>
      <c r="R26" s="82">
        <f t="shared" si="109"/>
        <v>0</v>
      </c>
      <c r="S26" s="97">
        <f t="shared" ref="S26:T26" si="110">I26-M26</f>
        <v>0</v>
      </c>
      <c r="T26" s="97">
        <f t="shared" si="110"/>
        <v>0</v>
      </c>
      <c r="U26" s="97">
        <f t="shared" si="59"/>
        <v>0</v>
      </c>
      <c r="V26" s="98">
        <f t="shared" ref="V26:W26" si="111">M26/I26</f>
        <v>1</v>
      </c>
      <c r="W26" s="98" t="e">
        <f t="shared" si="111"/>
        <v>#DIV/0!</v>
      </c>
      <c r="X26" s="98" t="e">
        <f t="shared" si="26"/>
        <v>#DIV/0!</v>
      </c>
      <c r="Y26" s="96"/>
      <c r="Z26" s="96"/>
      <c r="AA26" s="96"/>
      <c r="AB26" s="119"/>
      <c r="AC26" s="119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103">
        <v>2874.5</v>
      </c>
      <c r="AO26" s="129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113"/>
      <c r="B27" s="114" t="s">
        <v>244</v>
      </c>
      <c r="C27" s="101" t="s">
        <v>245</v>
      </c>
      <c r="D27" s="91" t="s">
        <v>86</v>
      </c>
      <c r="E27" s="92">
        <v>10000</v>
      </c>
      <c r="F27" s="92"/>
      <c r="G27" s="94">
        <f t="shared" si="19"/>
        <v>0</v>
      </c>
      <c r="H27" s="94">
        <f t="shared" si="103"/>
        <v>0</v>
      </c>
      <c r="I27" s="96"/>
      <c r="J27" s="117">
        <v>13095</v>
      </c>
      <c r="K27" s="117"/>
      <c r="L27" s="118"/>
      <c r="M27" s="97">
        <f t="shared" ref="M27:O27" si="112">Y27+AB27+AE27+AH27+AK27+AN27+AQ27+AT27+AW27+AZ27+BC27+BF27</f>
        <v>0</v>
      </c>
      <c r="N27" s="97">
        <f t="shared" si="112"/>
        <v>13095</v>
      </c>
      <c r="O27" s="97">
        <f t="shared" si="112"/>
        <v>0</v>
      </c>
      <c r="P27" s="82">
        <f t="shared" ref="P27:R27" si="113">IF(BI27=0,SUM(Y27+AB27+AE27+AH27+AK27+AN27+AQ27+AT27+AW27+AZ27+BC27+BF27),BI27)</f>
        <v>0</v>
      </c>
      <c r="Q27" s="82">
        <f t="shared" si="113"/>
        <v>13095</v>
      </c>
      <c r="R27" s="82">
        <f t="shared" si="113"/>
        <v>0</v>
      </c>
      <c r="S27" s="97">
        <f t="shared" ref="S27:T27" si="114">I27-M27</f>
        <v>0</v>
      </c>
      <c r="T27" s="97">
        <f t="shared" si="114"/>
        <v>0</v>
      </c>
      <c r="U27" s="97">
        <f t="shared" si="59"/>
        <v>0</v>
      </c>
      <c r="V27" s="98" t="e">
        <f t="shared" ref="V27:W27" si="115">M27/I27</f>
        <v>#DIV/0!</v>
      </c>
      <c r="W27" s="98">
        <f t="shared" si="115"/>
        <v>1</v>
      </c>
      <c r="X27" s="98" t="e">
        <f t="shared" si="26"/>
        <v>#DIV/0!</v>
      </c>
      <c r="Y27" s="96"/>
      <c r="Z27" s="96">
        <f>13095</f>
        <v>13095</v>
      </c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129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246</v>
      </c>
      <c r="C28" s="101" t="s">
        <v>240</v>
      </c>
      <c r="D28" s="91" t="s">
        <v>87</v>
      </c>
      <c r="E28" s="92">
        <v>4202</v>
      </c>
      <c r="F28" s="92"/>
      <c r="G28" s="94">
        <f t="shared" si="19"/>
        <v>0</v>
      </c>
      <c r="H28" s="94">
        <f t="shared" si="103"/>
        <v>0</v>
      </c>
      <c r="I28" s="96"/>
      <c r="J28" s="117">
        <v>16850</v>
      </c>
      <c r="K28" s="117"/>
      <c r="L28" s="118"/>
      <c r="M28" s="97">
        <f t="shared" ref="M28:O28" si="116">Y28+AB28+AE28+AH28+AK28+AN28+AQ28+AT28+AW28+AZ28+BC28+BF28</f>
        <v>0</v>
      </c>
      <c r="N28" s="97">
        <f t="shared" si="116"/>
        <v>9536.25</v>
      </c>
      <c r="O28" s="97">
        <f t="shared" si="116"/>
        <v>0</v>
      </c>
      <c r="P28" s="82">
        <f t="shared" ref="P28:R28" si="117">IF(BI28=0,SUM(Y28+AB28+AE28+AH28+AK28+AN28+AQ28+AT28+AW28+AZ28+BC28+BF28),BI28)</f>
        <v>0</v>
      </c>
      <c r="Q28" s="82">
        <f t="shared" si="117"/>
        <v>9536.25</v>
      </c>
      <c r="R28" s="82">
        <f t="shared" si="117"/>
        <v>0</v>
      </c>
      <c r="S28" s="97">
        <f t="shared" ref="S28:T28" si="118">I28-M28</f>
        <v>0</v>
      </c>
      <c r="T28" s="97">
        <f t="shared" si="118"/>
        <v>7313.75</v>
      </c>
      <c r="U28" s="97">
        <f t="shared" si="59"/>
        <v>0</v>
      </c>
      <c r="V28" s="98" t="e">
        <f t="shared" ref="V28:W28" si="119">M28/I28</f>
        <v>#DIV/0!</v>
      </c>
      <c r="W28" s="98">
        <f t="shared" si="119"/>
        <v>0.5659495548961424</v>
      </c>
      <c r="X28" s="98" t="e">
        <f t="shared" si="26"/>
        <v>#DIV/0!</v>
      </c>
      <c r="Y28" s="96"/>
      <c r="Z28" s="96"/>
      <c r="AA28" s="96"/>
      <c r="AB28" s="119"/>
      <c r="AC28" s="131">
        <v>5229.5</v>
      </c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260">
        <v>4306.75</v>
      </c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359" t="s">
        <v>691</v>
      </c>
      <c r="B29" s="114"/>
      <c r="C29" s="101" t="s">
        <v>242</v>
      </c>
      <c r="D29" s="91" t="s">
        <v>247</v>
      </c>
      <c r="E29" s="92">
        <v>4202</v>
      </c>
      <c r="F29" s="92"/>
      <c r="G29" s="94">
        <f t="shared" si="19"/>
        <v>1.3764873869585912</v>
      </c>
      <c r="H29" s="94">
        <f t="shared" si="103"/>
        <v>1.3764873869585912</v>
      </c>
      <c r="I29" s="103">
        <v>5784</v>
      </c>
      <c r="J29" s="117"/>
      <c r="K29" s="117"/>
      <c r="L29" s="118"/>
      <c r="M29" s="97">
        <f t="shared" ref="M29:O29" si="120">Y29+AB29+AE29+AH29+AK29+AN29+AQ29+AT29+AW29+AZ29+BC29+BF29</f>
        <v>5784</v>
      </c>
      <c r="N29" s="97">
        <f t="shared" si="120"/>
        <v>0</v>
      </c>
      <c r="O29" s="97">
        <f t="shared" si="120"/>
        <v>0</v>
      </c>
      <c r="P29" s="82">
        <f t="shared" ref="P29:R29" si="121">IF(BI29=0,SUM(Y29+AB29+AE29+AH29+AK29+AN29+AQ29+AT29+AW29+AZ29+BC29+BF29),BI29)</f>
        <v>5784</v>
      </c>
      <c r="Q29" s="82">
        <f t="shared" si="121"/>
        <v>0</v>
      </c>
      <c r="R29" s="82">
        <f t="shared" si="121"/>
        <v>0</v>
      </c>
      <c r="S29" s="97">
        <f t="shared" ref="S29:T29" si="122">I29-M29</f>
        <v>0</v>
      </c>
      <c r="T29" s="97">
        <f t="shared" si="122"/>
        <v>0</v>
      </c>
      <c r="U29" s="97">
        <f t="shared" si="59"/>
        <v>0</v>
      </c>
      <c r="V29" s="98">
        <f t="shared" ref="V29:W29" si="123">M29/I29</f>
        <v>1</v>
      </c>
      <c r="W29" s="98" t="e">
        <f t="shared" si="123"/>
        <v>#DIV/0!</v>
      </c>
      <c r="X29" s="98" t="e">
        <f t="shared" si="26"/>
        <v>#DIV/0!</v>
      </c>
      <c r="Y29" s="96"/>
      <c r="Z29" s="129"/>
      <c r="AA29" s="96"/>
      <c r="AB29" s="119"/>
      <c r="AC29" s="119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103">
        <v>5784</v>
      </c>
      <c r="AO29" s="129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113"/>
      <c r="B30" s="121" t="s">
        <v>488</v>
      </c>
      <c r="C30" s="101" t="s">
        <v>240</v>
      </c>
      <c r="D30" s="91" t="s">
        <v>692</v>
      </c>
      <c r="E30" s="92">
        <v>18404</v>
      </c>
      <c r="F30" s="92"/>
      <c r="G30" s="94">
        <f t="shared" si="19"/>
        <v>0</v>
      </c>
      <c r="H30" s="94">
        <f t="shared" si="103"/>
        <v>0</v>
      </c>
      <c r="I30" s="96"/>
      <c r="J30" s="117">
        <f>2515+5718.85</f>
        <v>8233.85</v>
      </c>
      <c r="K30" s="117"/>
      <c r="L30" s="118"/>
      <c r="M30" s="97">
        <f t="shared" ref="M30:O30" si="124">Y30+AB30+AE30+AH30+AK30+AN30+AQ30+AT30+AW30+AZ30+BC30+BF30</f>
        <v>0</v>
      </c>
      <c r="N30" s="97">
        <f t="shared" si="124"/>
        <v>0</v>
      </c>
      <c r="O30" s="97">
        <f t="shared" si="124"/>
        <v>0</v>
      </c>
      <c r="P30" s="82">
        <f t="shared" ref="P30:R30" si="125">IF(BI30=0,SUM(Y30+AB30+AE30+AH30+AK30+AN30+AQ30+AT30+AW30+AZ30+BC30+BF30),BI30)</f>
        <v>0</v>
      </c>
      <c r="Q30" s="82">
        <f t="shared" si="125"/>
        <v>0</v>
      </c>
      <c r="R30" s="82">
        <f t="shared" si="125"/>
        <v>0</v>
      </c>
      <c r="S30" s="97">
        <f t="shared" ref="S30:T30" si="126">I30-M30</f>
        <v>0</v>
      </c>
      <c r="T30" s="97">
        <f t="shared" si="126"/>
        <v>8233.85</v>
      </c>
      <c r="U30" s="97">
        <f t="shared" si="59"/>
        <v>0</v>
      </c>
      <c r="V30" s="98" t="e">
        <f t="shared" ref="V30:W30" si="127">M30/I30</f>
        <v>#DIV/0!</v>
      </c>
      <c r="W30" s="98">
        <f t="shared" si="127"/>
        <v>0</v>
      </c>
      <c r="X30" s="98" t="e">
        <f t="shared" si="26"/>
        <v>#DIV/0!</v>
      </c>
      <c r="Y30" s="96"/>
      <c r="Z30" s="96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129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356" t="s">
        <v>638</v>
      </c>
      <c r="B31" s="121" t="s">
        <v>490</v>
      </c>
      <c r="C31" s="101" t="s">
        <v>240</v>
      </c>
      <c r="D31" s="130" t="s">
        <v>693</v>
      </c>
      <c r="E31" s="92"/>
      <c r="F31" s="92"/>
      <c r="G31" s="94" t="e">
        <f t="shared" si="19"/>
        <v>#DIV/0!</v>
      </c>
      <c r="H31" s="94" t="e">
        <f t="shared" si="103"/>
        <v>#DIV/0!</v>
      </c>
      <c r="I31" s="96">
        <f>431.95+943.55</f>
        <v>1375.5</v>
      </c>
      <c r="J31" s="117">
        <f>977.38+2861.28</f>
        <v>3838.6600000000003</v>
      </c>
      <c r="K31" s="117"/>
      <c r="L31" s="118"/>
      <c r="M31" s="97">
        <f t="shared" ref="M31:O31" si="128">Y31+AB31+AE31+AH31+AK31+AN31+AQ31+AT31+AW31+AZ31+BC31+BF31</f>
        <v>0</v>
      </c>
      <c r="N31" s="97">
        <f t="shared" si="128"/>
        <v>3838.66</v>
      </c>
      <c r="O31" s="97">
        <f t="shared" si="128"/>
        <v>0</v>
      </c>
      <c r="P31" s="82">
        <f t="shared" ref="P31:R31" si="129">IF(BI31=0,SUM(Y31+AB31+AE31+AH31+AK31+AN31+AQ31+AT31+AW31+AZ31+BC31+BF31),BI31)</f>
        <v>0</v>
      </c>
      <c r="Q31" s="82">
        <f t="shared" si="129"/>
        <v>3838.66</v>
      </c>
      <c r="R31" s="82">
        <f t="shared" si="129"/>
        <v>0</v>
      </c>
      <c r="S31" s="97">
        <f t="shared" ref="S31:T31" si="130">I31-M31</f>
        <v>1375.5</v>
      </c>
      <c r="T31" s="97">
        <f t="shared" si="130"/>
        <v>0</v>
      </c>
      <c r="U31" s="97">
        <f t="shared" si="59"/>
        <v>0</v>
      </c>
      <c r="V31" s="98">
        <f t="shared" ref="V31:W31" si="131">M31/I31</f>
        <v>0</v>
      </c>
      <c r="W31" s="98">
        <f t="shared" si="131"/>
        <v>0.99999999999999989</v>
      </c>
      <c r="X31" s="98" t="e">
        <f t="shared" si="26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103">
        <v>3838.66</v>
      </c>
      <c r="AJ31" s="96"/>
      <c r="AK31" s="96"/>
      <c r="AL31" s="96"/>
      <c r="AM31" s="96"/>
      <c r="AN31" s="96"/>
      <c r="AO31" s="129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113"/>
      <c r="B32" s="114"/>
      <c r="C32" s="101" t="s">
        <v>240</v>
      </c>
      <c r="D32" s="91" t="s">
        <v>694</v>
      </c>
      <c r="E32" s="92">
        <v>20000</v>
      </c>
      <c r="F32" s="92"/>
      <c r="G32" s="94">
        <f t="shared" si="19"/>
        <v>0</v>
      </c>
      <c r="H32" s="94">
        <f t="shared" si="103"/>
        <v>0</v>
      </c>
      <c r="I32" s="96"/>
      <c r="J32" s="117"/>
      <c r="K32" s="117"/>
      <c r="L32" s="118"/>
      <c r="M32" s="97">
        <f t="shared" ref="M32:O32" si="132">Y32+AB32+AE32+AH32+AK32+AN32+AQ32+AT32+AW32+AZ32+BC32+BF32</f>
        <v>0</v>
      </c>
      <c r="N32" s="97">
        <f t="shared" si="132"/>
        <v>0</v>
      </c>
      <c r="O32" s="97">
        <f t="shared" si="132"/>
        <v>0</v>
      </c>
      <c r="P32" s="82">
        <f t="shared" ref="P32:R32" si="133">IF(BI32=0,SUM(Y32+AB32+AE32+AH32+AK32+AN32+AQ32+AT32+AW32+AZ32+BC32+BF32),BI32)</f>
        <v>0</v>
      </c>
      <c r="Q32" s="82">
        <f t="shared" si="133"/>
        <v>0</v>
      </c>
      <c r="R32" s="82">
        <f t="shared" si="133"/>
        <v>0</v>
      </c>
      <c r="S32" s="97">
        <f t="shared" ref="S32:T32" si="134">I32-M32</f>
        <v>0</v>
      </c>
      <c r="T32" s="97">
        <f t="shared" si="134"/>
        <v>0</v>
      </c>
      <c r="U32" s="97">
        <f t="shared" si="59"/>
        <v>0</v>
      </c>
      <c r="V32" s="98" t="e">
        <f t="shared" ref="V32:W32" si="135">M32/I32</f>
        <v>#DIV/0!</v>
      </c>
      <c r="W32" s="98" t="e">
        <f t="shared" si="135"/>
        <v>#DIV/0!</v>
      </c>
      <c r="X32" s="98" t="e">
        <f t="shared" si="26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129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 t="s">
        <v>253</v>
      </c>
      <c r="C33" s="101" t="s">
        <v>232</v>
      </c>
      <c r="D33" s="91" t="s">
        <v>91</v>
      </c>
      <c r="E33" s="92">
        <v>2025.37</v>
      </c>
      <c r="F33" s="92"/>
      <c r="G33" s="94">
        <f t="shared" si="19"/>
        <v>0</v>
      </c>
      <c r="H33" s="94">
        <f t="shared" si="103"/>
        <v>0</v>
      </c>
      <c r="I33" s="96"/>
      <c r="J33" s="117">
        <v>3374.7</v>
      </c>
      <c r="K33" s="117"/>
      <c r="L33" s="118"/>
      <c r="M33" s="97">
        <f t="shared" ref="M33:O33" si="136">Y33+AB33+AE33+AH33+AK33+AN33+AQ33+AT33+AW33+AZ33+BC33+BF33</f>
        <v>0</v>
      </c>
      <c r="N33" s="97">
        <f t="shared" si="136"/>
        <v>3374.7</v>
      </c>
      <c r="O33" s="97">
        <f t="shared" si="136"/>
        <v>0</v>
      </c>
      <c r="P33" s="82">
        <f t="shared" ref="P33:R33" si="137">IF(BI33=0,SUM(Y33+AB33+AE33+AH33+AK33+AN33+AQ33+AT33+AW33+AZ33+BC33+BF33),BI33)</f>
        <v>0</v>
      </c>
      <c r="Q33" s="82">
        <f t="shared" si="137"/>
        <v>3374.7</v>
      </c>
      <c r="R33" s="82">
        <f t="shared" si="137"/>
        <v>0</v>
      </c>
      <c r="S33" s="97">
        <f t="shared" ref="S33:T33" si="138">I33-M33</f>
        <v>0</v>
      </c>
      <c r="T33" s="97">
        <f t="shared" si="138"/>
        <v>0</v>
      </c>
      <c r="U33" s="97">
        <f t="shared" si="59"/>
        <v>0</v>
      </c>
      <c r="V33" s="98" t="e">
        <f t="shared" ref="V33:W33" si="139">M33/I33</f>
        <v>#DIV/0!</v>
      </c>
      <c r="W33" s="98">
        <f t="shared" si="139"/>
        <v>1</v>
      </c>
      <c r="X33" s="98" t="e">
        <f t="shared" si="26"/>
        <v>#DIV/0!</v>
      </c>
      <c r="Y33" s="96"/>
      <c r="Z33" s="96"/>
      <c r="AA33" s="96"/>
      <c r="AB33" s="119"/>
      <c r="AC33" s="131">
        <v>3374.7</v>
      </c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129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359" t="s">
        <v>641</v>
      </c>
      <c r="B34" s="114" t="s">
        <v>254</v>
      </c>
      <c r="C34" s="101" t="s">
        <v>255</v>
      </c>
      <c r="D34" s="122" t="s">
        <v>101</v>
      </c>
      <c r="E34" s="132">
        <v>30000</v>
      </c>
      <c r="F34" s="116"/>
      <c r="G34" s="94">
        <f t="shared" si="19"/>
        <v>0.45</v>
      </c>
      <c r="H34" s="94">
        <f t="shared" si="103"/>
        <v>0.45</v>
      </c>
      <c r="I34" s="361">
        <v>13500</v>
      </c>
      <c r="J34" s="117">
        <v>4100</v>
      </c>
      <c r="K34" s="117"/>
      <c r="L34" s="118"/>
      <c r="M34" s="97">
        <f t="shared" ref="M34:O34" si="140">Y34+AB34+AE34+AH34+AK34+AN34+AQ34+AT34+AW34+AZ34+BC34+BF34</f>
        <v>13500</v>
      </c>
      <c r="N34" s="97">
        <f t="shared" si="140"/>
        <v>4100</v>
      </c>
      <c r="O34" s="97">
        <f t="shared" si="140"/>
        <v>0</v>
      </c>
      <c r="P34" s="82">
        <f t="shared" ref="P34:R34" si="141">IF(BI34=0,SUM(Y34+AB34+AE34+AH34+AK34+AN34+AQ34+AT34+AW34+AZ34+BC34+BF34),BI34)</f>
        <v>13500</v>
      </c>
      <c r="Q34" s="82">
        <f t="shared" si="141"/>
        <v>4100</v>
      </c>
      <c r="R34" s="82">
        <f t="shared" si="141"/>
        <v>0</v>
      </c>
      <c r="S34" s="134">
        <f t="shared" ref="S34:T34" si="142">I34-M34</f>
        <v>0</v>
      </c>
      <c r="T34" s="97">
        <f t="shared" si="142"/>
        <v>0</v>
      </c>
      <c r="U34" s="97">
        <f t="shared" si="59"/>
        <v>0</v>
      </c>
      <c r="V34" s="98">
        <f t="shared" ref="V34:W34" si="143">M34/I34</f>
        <v>1</v>
      </c>
      <c r="W34" s="98">
        <f t="shared" si="143"/>
        <v>1</v>
      </c>
      <c r="X34" s="98" t="e">
        <f t="shared" si="26"/>
        <v>#DIV/0!</v>
      </c>
      <c r="Y34" s="119"/>
      <c r="Z34" s="96"/>
      <c r="AA34" s="96"/>
      <c r="AB34" s="119"/>
      <c r="AC34" s="119"/>
      <c r="AD34" s="96"/>
      <c r="AE34" s="96"/>
      <c r="AF34" s="96"/>
      <c r="AG34" s="96"/>
      <c r="AH34" s="96"/>
      <c r="AI34" s="103">
        <v>4100</v>
      </c>
      <c r="AJ34" s="96"/>
      <c r="AK34" s="96"/>
      <c r="AL34" s="96"/>
      <c r="AM34" s="96"/>
      <c r="AN34" s="96">
        <f>13500</f>
        <v>13500</v>
      </c>
      <c r="AO34" s="129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591</v>
      </c>
      <c r="B35" s="121" t="s">
        <v>256</v>
      </c>
      <c r="C35" s="101" t="s">
        <v>257</v>
      </c>
      <c r="D35" s="122" t="s">
        <v>103</v>
      </c>
      <c r="E35" s="132">
        <v>10000</v>
      </c>
      <c r="F35" s="116"/>
      <c r="G35" s="94">
        <f t="shared" si="19"/>
        <v>0.17576</v>
      </c>
      <c r="H35" s="94">
        <f t="shared" si="103"/>
        <v>0.17576</v>
      </c>
      <c r="I35" s="103">
        <v>1757.6</v>
      </c>
      <c r="J35" s="117">
        <f>19903.04+4541.3+16240</f>
        <v>40684.339999999997</v>
      </c>
      <c r="K35" s="135">
        <v>16240</v>
      </c>
      <c r="L35" s="118"/>
      <c r="M35" s="97">
        <f t="shared" ref="M35:O35" si="144">Y35+AB35+AE35+AH35+AK35+AN35+AQ35+AT35+AW35+AZ35+BC35+BF35</f>
        <v>1757.6</v>
      </c>
      <c r="N35" s="97">
        <f t="shared" si="144"/>
        <v>24444.34</v>
      </c>
      <c r="O35" s="97">
        <f t="shared" si="144"/>
        <v>0</v>
      </c>
      <c r="P35" s="82">
        <f t="shared" ref="P35:R35" si="145">IF(BI35=0,SUM(Y35+AB35+AE35+AH35+AK35+AN35+AQ35+AT35+AW35+AZ35+BC35+BF35),BI35)</f>
        <v>1757.6</v>
      </c>
      <c r="Q35" s="82">
        <f t="shared" si="145"/>
        <v>24444.34</v>
      </c>
      <c r="R35" s="82">
        <f t="shared" si="145"/>
        <v>0</v>
      </c>
      <c r="S35" s="97">
        <f t="shared" ref="S35:S66" si="146">I35-M35</f>
        <v>0</v>
      </c>
      <c r="T35" s="97">
        <f>J35-N35-K35</f>
        <v>0</v>
      </c>
      <c r="U35" s="97">
        <f t="shared" si="59"/>
        <v>0</v>
      </c>
      <c r="V35" s="98">
        <f t="shared" ref="V35:W35" si="147">M35/I35</f>
        <v>1</v>
      </c>
      <c r="W35" s="98">
        <f t="shared" si="147"/>
        <v>0.60082921340250328</v>
      </c>
      <c r="X35" s="98" t="e">
        <f t="shared" si="26"/>
        <v>#DIV/0!</v>
      </c>
      <c r="Y35" s="96"/>
      <c r="Z35" s="96"/>
      <c r="AA35" s="96"/>
      <c r="AB35" s="119"/>
      <c r="AC35" s="119">
        <f>19903.04</f>
        <v>19903.04</v>
      </c>
      <c r="AD35" s="96"/>
      <c r="AE35" s="96"/>
      <c r="AF35" s="96"/>
      <c r="AG35" s="96"/>
      <c r="AH35" s="96"/>
      <c r="AI35" s="103">
        <v>4541.3</v>
      </c>
      <c r="AJ35" s="96"/>
      <c r="AK35" s="96"/>
      <c r="AL35" s="96"/>
      <c r="AM35" s="96"/>
      <c r="AN35" s="103">
        <v>1757.6</v>
      </c>
      <c r="AO35" s="129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120"/>
      <c r="B36" s="136" t="s">
        <v>258</v>
      </c>
      <c r="C36" s="101" t="s">
        <v>259</v>
      </c>
      <c r="D36" s="122" t="s">
        <v>260</v>
      </c>
      <c r="E36" s="137"/>
      <c r="F36" s="116"/>
      <c r="G36" s="94" t="e">
        <f t="shared" si="19"/>
        <v>#DIV/0!</v>
      </c>
      <c r="H36" s="94" t="e">
        <f t="shared" si="103"/>
        <v>#DIV/0!</v>
      </c>
      <c r="I36" s="96"/>
      <c r="J36" s="117">
        <v>949.5</v>
      </c>
      <c r="K36" s="117"/>
      <c r="L36" s="118"/>
      <c r="M36" s="97">
        <f t="shared" ref="M36:O36" si="148">Y36+AB36+AE36+AH36+AK36+AN36+AQ36+AT36+AW36+AZ36+BC36+BF36</f>
        <v>0</v>
      </c>
      <c r="N36" s="97">
        <f t="shared" si="148"/>
        <v>949.5</v>
      </c>
      <c r="O36" s="97">
        <f t="shared" si="148"/>
        <v>0</v>
      </c>
      <c r="P36" s="82">
        <f t="shared" ref="P36:R36" si="149">IF(BI36=0,SUM(Y36+AB36+AE36+AH36+AK36+AN36+AQ36+AT36+AW36+AZ36+BC36+BF36),BI36)</f>
        <v>0</v>
      </c>
      <c r="Q36" s="82">
        <f t="shared" si="149"/>
        <v>949.5</v>
      </c>
      <c r="R36" s="82">
        <f t="shared" si="149"/>
        <v>0</v>
      </c>
      <c r="S36" s="97">
        <f t="shared" si="146"/>
        <v>0</v>
      </c>
      <c r="T36" s="97">
        <f t="shared" ref="T36:T42" si="150">J36-N36</f>
        <v>0</v>
      </c>
      <c r="U36" s="97">
        <f t="shared" si="59"/>
        <v>0</v>
      </c>
      <c r="V36" s="98" t="e">
        <f t="shared" ref="V36:W36" si="151">M36/I36</f>
        <v>#DIV/0!</v>
      </c>
      <c r="W36" s="98">
        <f t="shared" si="151"/>
        <v>1</v>
      </c>
      <c r="X36" s="98" t="e">
        <f t="shared" si="26"/>
        <v>#DIV/0!</v>
      </c>
      <c r="Y36" s="96"/>
      <c r="Z36" s="96"/>
      <c r="AA36" s="96"/>
      <c r="AB36" s="119"/>
      <c r="AC36" s="131">
        <v>949.5</v>
      </c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129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14"/>
      <c r="C37" s="101" t="s">
        <v>261</v>
      </c>
      <c r="D37" s="91" t="s">
        <v>92</v>
      </c>
      <c r="E37" s="92">
        <v>19200</v>
      </c>
      <c r="F37" s="92"/>
      <c r="G37" s="94">
        <f t="shared" si="19"/>
        <v>0</v>
      </c>
      <c r="H37" s="94">
        <f t="shared" si="103"/>
        <v>0</v>
      </c>
      <c r="I37" s="96"/>
      <c r="J37" s="358">
        <v>50813</v>
      </c>
      <c r="K37" s="117"/>
      <c r="L37" s="118"/>
      <c r="M37" s="97">
        <f t="shared" ref="M37:O37" si="152">Y37+AB37+AE37+AH37+AK37+AN37+AQ37+AT37+AW37+AZ37+BC37+BF37</f>
        <v>0</v>
      </c>
      <c r="N37" s="97">
        <f t="shared" si="152"/>
        <v>0</v>
      </c>
      <c r="O37" s="97">
        <f t="shared" si="152"/>
        <v>0</v>
      </c>
      <c r="P37" s="82">
        <f t="shared" ref="P37:R37" si="153">IF(BI37=0,SUM(Y37+AB37+AE37+AH37+AK37+AN37+AQ37+AT37+AW37+AZ37+BC37+BF37),BI37)</f>
        <v>0</v>
      </c>
      <c r="Q37" s="82">
        <f t="shared" si="153"/>
        <v>0</v>
      </c>
      <c r="R37" s="82">
        <f t="shared" si="153"/>
        <v>0</v>
      </c>
      <c r="S37" s="97">
        <f t="shared" si="146"/>
        <v>0</v>
      </c>
      <c r="T37" s="363">
        <f t="shared" si="150"/>
        <v>50813</v>
      </c>
      <c r="U37" s="97">
        <f t="shared" si="59"/>
        <v>0</v>
      </c>
      <c r="V37" s="98" t="e">
        <f t="shared" ref="V37:W37" si="154">M37/I37</f>
        <v>#DIV/0!</v>
      </c>
      <c r="W37" s="98">
        <f t="shared" si="154"/>
        <v>0</v>
      </c>
      <c r="X37" s="98" t="e">
        <f t="shared" si="26"/>
        <v>#DIV/0!</v>
      </c>
      <c r="Y37" s="96"/>
      <c r="Z37" s="96"/>
      <c r="AA37" s="96"/>
      <c r="AB37" s="119"/>
      <c r="AC37" s="119"/>
      <c r="AD37" s="96"/>
      <c r="AE37" s="96"/>
      <c r="AF37" s="96"/>
      <c r="AG37" s="96"/>
      <c r="AH37" s="96"/>
      <c r="AI37" s="96"/>
      <c r="AJ37" s="96"/>
      <c r="AK37" s="129"/>
      <c r="AL37" s="96"/>
      <c r="AM37" s="96"/>
      <c r="AN37" s="96"/>
      <c r="AO37" s="129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129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262</v>
      </c>
      <c r="D38" s="91" t="s">
        <v>93</v>
      </c>
      <c r="E38" s="116">
        <v>20000</v>
      </c>
      <c r="F38" s="92"/>
      <c r="G38" s="94">
        <f t="shared" si="19"/>
        <v>0</v>
      </c>
      <c r="H38" s="94">
        <f t="shared" si="103"/>
        <v>0</v>
      </c>
      <c r="I38" s="96"/>
      <c r="J38" s="117"/>
      <c r="K38" s="117"/>
      <c r="L38" s="118"/>
      <c r="M38" s="97">
        <f t="shared" ref="M38:O38" si="155">Y38+AB38+AE38+AH38+AK38+AN38+AQ38+AT38+AW38+AZ38+BC38+BF38</f>
        <v>0</v>
      </c>
      <c r="N38" s="97">
        <f t="shared" si="155"/>
        <v>0</v>
      </c>
      <c r="O38" s="97">
        <f t="shared" si="155"/>
        <v>0</v>
      </c>
      <c r="P38" s="82">
        <f t="shared" ref="P38:R38" si="156">IF(BI38=0,SUM(Y38+AB38+AE38+AH38+AK38+AN38+AQ38+AT38+AW38+AZ38+BC38+BF38),BI38)</f>
        <v>0</v>
      </c>
      <c r="Q38" s="82">
        <f t="shared" si="156"/>
        <v>0</v>
      </c>
      <c r="R38" s="82">
        <f t="shared" si="156"/>
        <v>0</v>
      </c>
      <c r="S38" s="97">
        <f t="shared" si="146"/>
        <v>0</v>
      </c>
      <c r="T38" s="97">
        <f t="shared" si="150"/>
        <v>0</v>
      </c>
      <c r="U38" s="97">
        <f t="shared" si="59"/>
        <v>0</v>
      </c>
      <c r="V38" s="98" t="e">
        <f t="shared" ref="V38:W38" si="157">M38/I38</f>
        <v>#DIV/0!</v>
      </c>
      <c r="W38" s="98" t="e">
        <f t="shared" si="157"/>
        <v>#DIV/0!</v>
      </c>
      <c r="X38" s="98" t="e">
        <f t="shared" si="26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129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89"/>
      <c r="B39" s="136" t="s">
        <v>263</v>
      </c>
      <c r="C39" s="101" t="s">
        <v>218</v>
      </c>
      <c r="D39" s="91" t="s">
        <v>695</v>
      </c>
      <c r="E39" s="116">
        <v>2344.5</v>
      </c>
      <c r="F39" s="92"/>
      <c r="G39" s="94">
        <f t="shared" si="19"/>
        <v>0</v>
      </c>
      <c r="H39" s="94">
        <f t="shared" si="103"/>
        <v>0</v>
      </c>
      <c r="I39" s="96"/>
      <c r="J39" s="117">
        <v>1424.02</v>
      </c>
      <c r="K39" s="117"/>
      <c r="L39" s="118"/>
      <c r="M39" s="97">
        <f t="shared" ref="M39:O39" si="158">Y39+AB39+AE39+AH39+AK39+AN39+AQ39+AT39+AW39+AZ39+BC39+BF39</f>
        <v>0</v>
      </c>
      <c r="N39" s="97">
        <f t="shared" si="158"/>
        <v>0</v>
      </c>
      <c r="O39" s="97">
        <f t="shared" si="158"/>
        <v>0</v>
      </c>
      <c r="P39" s="82">
        <f t="shared" ref="P39:R39" si="159">IF(BI39=0,SUM(Y39+AB39+AE39+AH39+AK39+AN39+AQ39+AT39+AW39+AZ39+BC39+BF39),BI39)</f>
        <v>0</v>
      </c>
      <c r="Q39" s="82">
        <f t="shared" si="159"/>
        <v>0</v>
      </c>
      <c r="R39" s="82">
        <f t="shared" si="159"/>
        <v>0</v>
      </c>
      <c r="S39" s="97">
        <f t="shared" si="146"/>
        <v>0</v>
      </c>
      <c r="T39" s="97">
        <f t="shared" si="150"/>
        <v>1424.02</v>
      </c>
      <c r="U39" s="97">
        <f t="shared" si="59"/>
        <v>0</v>
      </c>
      <c r="V39" s="98" t="e">
        <f t="shared" ref="V39:W39" si="160">M39/I39</f>
        <v>#DIV/0!</v>
      </c>
      <c r="W39" s="98">
        <f t="shared" si="160"/>
        <v>0</v>
      </c>
      <c r="X39" s="98" t="e">
        <f t="shared" si="26"/>
        <v>#DIV/0!</v>
      </c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129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354" t="s">
        <v>696</v>
      </c>
      <c r="B40" s="136" t="s">
        <v>265</v>
      </c>
      <c r="C40" s="101" t="s">
        <v>266</v>
      </c>
      <c r="D40" s="91" t="s">
        <v>267</v>
      </c>
      <c r="E40" s="116">
        <v>2000</v>
      </c>
      <c r="F40" s="92"/>
      <c r="G40" s="94">
        <f t="shared" si="19"/>
        <v>2.5582099999999999</v>
      </c>
      <c r="H40" s="94">
        <f t="shared" si="103"/>
        <v>1.805E-3</v>
      </c>
      <c r="I40" s="96">
        <f>34.91+5081.51</f>
        <v>5116.42</v>
      </c>
      <c r="J40" s="117">
        <v>576.45000000000005</v>
      </c>
      <c r="K40" s="117"/>
      <c r="L40" s="118"/>
      <c r="M40" s="97">
        <f t="shared" ref="M40:O40" si="161">Y40+AB40+AE40+AH40+AK40+AN40+AQ40+AT40+AW40+AZ40+BC40+BF40</f>
        <v>3.61</v>
      </c>
      <c r="N40" s="97">
        <f t="shared" si="161"/>
        <v>0</v>
      </c>
      <c r="O40" s="97">
        <f t="shared" si="161"/>
        <v>0</v>
      </c>
      <c r="P40" s="82">
        <f t="shared" ref="P40:R40" si="162">IF(BI40=0,SUM(Y40+AB40+AE40+AH40+AK40+AN40+AQ40+AT40+AW40+AZ40+BC40+BF40),BI40)</f>
        <v>3.61</v>
      </c>
      <c r="Q40" s="82">
        <f t="shared" si="162"/>
        <v>0</v>
      </c>
      <c r="R40" s="82">
        <f t="shared" si="162"/>
        <v>0</v>
      </c>
      <c r="S40" s="97">
        <f t="shared" si="146"/>
        <v>5112.8100000000004</v>
      </c>
      <c r="T40" s="97">
        <f t="shared" si="150"/>
        <v>576.45000000000005</v>
      </c>
      <c r="U40" s="97">
        <f t="shared" si="59"/>
        <v>0</v>
      </c>
      <c r="V40" s="98">
        <f t="shared" ref="V40:W40" si="163">M40/I40</f>
        <v>7.0557147380394887E-4</v>
      </c>
      <c r="W40" s="98">
        <f t="shared" si="163"/>
        <v>0</v>
      </c>
      <c r="X40" s="98" t="e">
        <f t="shared" si="26"/>
        <v>#DIV/0!</v>
      </c>
      <c r="Y40" s="96"/>
      <c r="Z40" s="96"/>
      <c r="AA40" s="96"/>
      <c r="AB40" s="119"/>
      <c r="AC40" s="119"/>
      <c r="AD40" s="96"/>
      <c r="AE40" s="103">
        <v>3.61</v>
      </c>
      <c r="AF40" s="96"/>
      <c r="AG40" s="96"/>
      <c r="AH40" s="96"/>
      <c r="AI40" s="96"/>
      <c r="AJ40" s="96"/>
      <c r="AK40" s="96"/>
      <c r="AL40" s="96"/>
      <c r="AM40" s="96"/>
      <c r="AN40" s="96"/>
      <c r="AO40" s="129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6" t="s">
        <v>697</v>
      </c>
      <c r="B41" s="114"/>
      <c r="C41" s="101" t="s">
        <v>268</v>
      </c>
      <c r="D41" s="91" t="s">
        <v>698</v>
      </c>
      <c r="E41" s="116">
        <f>5000+1000</f>
        <v>6000</v>
      </c>
      <c r="F41" s="92"/>
      <c r="G41" s="94">
        <f t="shared" si="19"/>
        <v>0.92500000000000004</v>
      </c>
      <c r="H41" s="94">
        <f t="shared" si="103"/>
        <v>0.92500000000000004</v>
      </c>
      <c r="I41" s="103">
        <f>550+5000</f>
        <v>5550</v>
      </c>
      <c r="J41" s="117"/>
      <c r="K41" s="117"/>
      <c r="L41" s="118"/>
      <c r="M41" s="97">
        <f t="shared" ref="M41:O41" si="164">Y41+AB41+AE41+AH41+AK41+AN41+AQ41+AT41+AW41+AZ41+BC41+BF41</f>
        <v>5550</v>
      </c>
      <c r="N41" s="97">
        <f t="shared" si="164"/>
        <v>0</v>
      </c>
      <c r="O41" s="97">
        <f t="shared" si="164"/>
        <v>0</v>
      </c>
      <c r="P41" s="82">
        <f t="shared" ref="P41:R41" si="165">IF(BI41=0,SUM(Y41+AB41+AE41+AH41+AK41+AN41+AQ41+AT41+AW41+AZ41+BC41+BF41),BI41)</f>
        <v>5550</v>
      </c>
      <c r="Q41" s="82">
        <f t="shared" si="165"/>
        <v>0</v>
      </c>
      <c r="R41" s="82">
        <f t="shared" si="165"/>
        <v>0</v>
      </c>
      <c r="S41" s="97">
        <f t="shared" si="146"/>
        <v>0</v>
      </c>
      <c r="T41" s="97">
        <f t="shared" si="150"/>
        <v>0</v>
      </c>
      <c r="U41" s="97">
        <f t="shared" si="59"/>
        <v>0</v>
      </c>
      <c r="V41" s="98">
        <f t="shared" ref="V41:W41" si="166">M41/I41</f>
        <v>1</v>
      </c>
      <c r="W41" s="98" t="e">
        <f t="shared" si="166"/>
        <v>#DIV/0!</v>
      </c>
      <c r="X41" s="98" t="e">
        <f t="shared" si="26"/>
        <v>#DIV/0!</v>
      </c>
      <c r="Y41" s="96"/>
      <c r="Z41" s="96"/>
      <c r="AA41" s="96"/>
      <c r="AB41" s="119"/>
      <c r="AC41" s="119"/>
      <c r="AD41" s="96"/>
      <c r="AE41" s="103">
        <v>550</v>
      </c>
      <c r="AF41" s="96"/>
      <c r="AG41" s="96"/>
      <c r="AH41" s="96"/>
      <c r="AI41" s="96"/>
      <c r="AJ41" s="96"/>
      <c r="AK41" s="96"/>
      <c r="AL41" s="96"/>
      <c r="AM41" s="96"/>
      <c r="AN41" s="96">
        <f>5000</f>
        <v>5000</v>
      </c>
      <c r="AO41" s="129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354" t="s">
        <v>699</v>
      </c>
      <c r="B42" s="136" t="s">
        <v>270</v>
      </c>
      <c r="C42" s="101" t="s">
        <v>271</v>
      </c>
      <c r="D42" s="91" t="s">
        <v>700</v>
      </c>
      <c r="E42" s="116">
        <v>30000</v>
      </c>
      <c r="F42" s="92"/>
      <c r="G42" s="94">
        <f t="shared" si="19"/>
        <v>0.68436999999999992</v>
      </c>
      <c r="H42" s="94">
        <f t="shared" si="103"/>
        <v>0.31829166666666664</v>
      </c>
      <c r="I42" s="96">
        <f>17500+597+447.6+1083.4+648+255.1</f>
        <v>20531.099999999999</v>
      </c>
      <c r="J42" s="135">
        <v>362.4</v>
      </c>
      <c r="K42" s="117"/>
      <c r="L42" s="118"/>
      <c r="M42" s="97">
        <f t="shared" ref="M42:O42" si="167">Y42+AB42+AE42+AH42+AK42+AN42+AQ42+AT42+AW42+AZ42+BC42+BF42</f>
        <v>9548.75</v>
      </c>
      <c r="N42" s="97">
        <f t="shared" si="167"/>
        <v>0</v>
      </c>
      <c r="O42" s="97">
        <f t="shared" si="167"/>
        <v>0</v>
      </c>
      <c r="P42" s="82">
        <f t="shared" ref="P42:R42" si="168">IF(BI42=0,SUM(Y42+AB42+AE42+AH42+AK42+AN42+AQ42+AT42+AW42+AZ42+BC42+BF42),BI42)</f>
        <v>9548.75</v>
      </c>
      <c r="Q42" s="82">
        <f t="shared" si="168"/>
        <v>0</v>
      </c>
      <c r="R42" s="82">
        <f t="shared" si="168"/>
        <v>0</v>
      </c>
      <c r="S42" s="97">
        <f t="shared" si="146"/>
        <v>10982.349999999999</v>
      </c>
      <c r="T42" s="97">
        <f t="shared" si="150"/>
        <v>362.4</v>
      </c>
      <c r="U42" s="97">
        <f t="shared" si="59"/>
        <v>0</v>
      </c>
      <c r="V42" s="98">
        <f t="shared" ref="V42:W42" si="169">M42/I42</f>
        <v>0.46508711174754402</v>
      </c>
      <c r="W42" s="98">
        <f t="shared" si="169"/>
        <v>0</v>
      </c>
      <c r="X42" s="98" t="e">
        <f t="shared" si="26"/>
        <v>#DIV/0!</v>
      </c>
      <c r="Y42" s="96"/>
      <c r="Z42" s="96"/>
      <c r="AA42" s="96"/>
      <c r="AB42" s="119"/>
      <c r="AC42" s="119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103">
        <v>9548.75</v>
      </c>
      <c r="AO42" s="129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645</v>
      </c>
      <c r="B43" s="140" t="s">
        <v>273</v>
      </c>
      <c r="C43" s="101" t="s">
        <v>161</v>
      </c>
      <c r="D43" s="91" t="s">
        <v>98</v>
      </c>
      <c r="E43" s="116">
        <v>20000</v>
      </c>
      <c r="F43" s="92"/>
      <c r="G43" s="94">
        <f t="shared" si="19"/>
        <v>0.13292999999999999</v>
      </c>
      <c r="H43" s="94">
        <f t="shared" si="103"/>
        <v>0</v>
      </c>
      <c r="I43" s="103">
        <v>2658.6</v>
      </c>
      <c r="J43" s="117">
        <f>1256.9+740+1407.15+678.68+610.54+4654.38+742.72+1006.2+186.96</f>
        <v>11283.53</v>
      </c>
      <c r="K43" s="135">
        <v>186.96</v>
      </c>
      <c r="L43" s="118"/>
      <c r="M43" s="97">
        <f t="shared" ref="M43:O43" si="170">Y43+AB43+AE43+AH43+AK43+AN43+AQ43+AT43+AW43+AZ43+BC43+BF43</f>
        <v>0</v>
      </c>
      <c r="N43" s="97">
        <f t="shared" si="170"/>
        <v>3702.5699999999997</v>
      </c>
      <c r="O43" s="97">
        <f t="shared" si="170"/>
        <v>0</v>
      </c>
      <c r="P43" s="82">
        <f t="shared" ref="P43:R43" si="171">IF(BI43=0,SUM(Y43+AB43+AE43+AH43+AK43+AN43+AQ43+AT43+AW43+AZ43+BC43+BF43),BI43)</f>
        <v>0</v>
      </c>
      <c r="Q43" s="82">
        <f t="shared" si="171"/>
        <v>3702.5699999999997</v>
      </c>
      <c r="R43" s="82">
        <f t="shared" si="171"/>
        <v>0</v>
      </c>
      <c r="S43" s="97">
        <f t="shared" si="146"/>
        <v>2658.6</v>
      </c>
      <c r="T43" s="97">
        <f>J43-N43-K43</f>
        <v>7394.0000000000009</v>
      </c>
      <c r="U43" s="97">
        <f t="shared" si="59"/>
        <v>0</v>
      </c>
      <c r="V43" s="98">
        <f t="shared" ref="V43:W43" si="172">M43/I43</f>
        <v>0</v>
      </c>
      <c r="W43" s="98">
        <f t="shared" si="172"/>
        <v>0.32813933228342546</v>
      </c>
      <c r="X43" s="98" t="e">
        <f t="shared" si="26"/>
        <v>#DIV/0!</v>
      </c>
      <c r="Y43" s="96"/>
      <c r="Z43" s="96"/>
      <c r="AA43" s="96"/>
      <c r="AB43" s="119"/>
      <c r="AC43" s="119">
        <f>427.8</f>
        <v>427.8</v>
      </c>
      <c r="AD43" s="96"/>
      <c r="AE43" s="96"/>
      <c r="AF43" s="103">
        <f>1006.2+2085.83+182.74</f>
        <v>3274.7699999999995</v>
      </c>
      <c r="AG43" s="96"/>
      <c r="AH43" s="96"/>
      <c r="AI43" s="96"/>
      <c r="AJ43" s="96"/>
      <c r="AK43" s="96"/>
      <c r="AL43" s="96"/>
      <c r="AM43" s="96"/>
      <c r="AN43" s="96"/>
      <c r="AO43" s="129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701</v>
      </c>
      <c r="B44" s="141" t="s">
        <v>702</v>
      </c>
      <c r="C44" s="101" t="s">
        <v>271</v>
      </c>
      <c r="D44" s="91" t="s">
        <v>99</v>
      </c>
      <c r="E44" s="116">
        <v>60000</v>
      </c>
      <c r="F44" s="93">
        <v>50000</v>
      </c>
      <c r="G44" s="94">
        <f t="shared" si="19"/>
        <v>0.33301866666666663</v>
      </c>
      <c r="H44" s="94">
        <f t="shared" si="103"/>
        <v>0.162912</v>
      </c>
      <c r="I44" s="142">
        <f>1890+2443+727.8+5511.95+3821.32+104.82+319.96+1524+3081+145.33+303.98+107.96</f>
        <v>19981.12</v>
      </c>
      <c r="J44" s="117">
        <f>4740+413+1266+3806.39</f>
        <v>10225.39</v>
      </c>
      <c r="K44" s="117"/>
      <c r="L44" s="118"/>
      <c r="M44" s="97">
        <f t="shared" ref="M44:O44" si="173">Y44+AB44+AE44+AH44+AK44+AN44+AQ44+AT44+AW44+AZ44+BC44+BF44</f>
        <v>9774.7199999999993</v>
      </c>
      <c r="N44" s="97">
        <f t="shared" si="173"/>
        <v>4740</v>
      </c>
      <c r="O44" s="97">
        <f t="shared" si="173"/>
        <v>0</v>
      </c>
      <c r="P44" s="82">
        <f t="shared" ref="P44:R44" si="174">IF(BI44=0,SUM(Y44+AB44+AE44+AH44+AK44+AN44+AQ44+AT44+AW44+AZ44+BC44+BF44),BI44)</f>
        <v>9774.7199999999993</v>
      </c>
      <c r="Q44" s="82">
        <f t="shared" si="174"/>
        <v>4740</v>
      </c>
      <c r="R44" s="82">
        <f t="shared" si="174"/>
        <v>0</v>
      </c>
      <c r="S44" s="97">
        <f t="shared" si="146"/>
        <v>10206.4</v>
      </c>
      <c r="T44" s="97">
        <f t="shared" ref="T44:T66" si="175">J44-N44</f>
        <v>5485.3899999999994</v>
      </c>
      <c r="U44" s="97">
        <f t="shared" si="59"/>
        <v>0</v>
      </c>
      <c r="V44" s="98">
        <f t="shared" ref="V44:W44" si="176">M44/I44</f>
        <v>0.48919780272577312</v>
      </c>
      <c r="W44" s="98">
        <f t="shared" si="176"/>
        <v>0.46355200143955394</v>
      </c>
      <c r="X44" s="98" t="e">
        <f t="shared" si="26"/>
        <v>#DIV/0!</v>
      </c>
      <c r="Y44" s="129"/>
      <c r="Z44" s="103">
        <v>4740</v>
      </c>
      <c r="AA44" s="129"/>
      <c r="AB44" s="119"/>
      <c r="AC44" s="119"/>
      <c r="AD44" s="129"/>
      <c r="AE44" s="129"/>
      <c r="AF44" s="129"/>
      <c r="AG44" s="129"/>
      <c r="AH44" s="260">
        <f>1890+2443+104.82</f>
        <v>4437.82</v>
      </c>
      <c r="AI44" s="129"/>
      <c r="AJ44" s="129"/>
      <c r="AK44" s="260">
        <f>3081+1524</f>
        <v>4605</v>
      </c>
      <c r="AL44" s="129"/>
      <c r="AM44" s="129"/>
      <c r="AN44" s="129">
        <f>303.98+319.96+107.96</f>
        <v>731.90000000000009</v>
      </c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99"/>
      <c r="BM44" s="100"/>
      <c r="BN44" s="100"/>
      <c r="BO44" s="100"/>
      <c r="BP44" s="100"/>
    </row>
    <row r="45" spans="1:68" ht="15.75" customHeight="1">
      <c r="A45" s="364" t="s">
        <v>647</v>
      </c>
      <c r="B45" s="136"/>
      <c r="C45" s="101" t="s">
        <v>275</v>
      </c>
      <c r="D45" s="91" t="s">
        <v>276</v>
      </c>
      <c r="E45" s="116">
        <v>13000</v>
      </c>
      <c r="F45" s="92"/>
      <c r="G45" s="94">
        <f t="shared" si="19"/>
        <v>0.22306538461538464</v>
      </c>
      <c r="H45" s="94">
        <f t="shared" si="103"/>
        <v>0.22299615384615384</v>
      </c>
      <c r="I45" s="103">
        <f>1949.9+949.95</f>
        <v>2899.8500000000004</v>
      </c>
      <c r="J45" s="358">
        <v>30000</v>
      </c>
      <c r="K45" s="117"/>
      <c r="L45" s="118"/>
      <c r="M45" s="97">
        <f t="shared" ref="M45:M66" si="177">Y45+AB45+AE45+AH45+AK45+AN45+AQ45+AT45+AW45+AZ45+BC45+BF45</f>
        <v>2898.95</v>
      </c>
      <c r="N45" s="97">
        <f>AC45+AF45+AI45+AL45+AO45+AR45+AU45+AX45+BA45+BD45+BG45</f>
        <v>0</v>
      </c>
      <c r="O45" s="97">
        <f>AA45+AD45+AG45+AJ45+AM45+AP45+AS45+AV45+AY45+BB45+BE45+BH45</f>
        <v>0</v>
      </c>
      <c r="P45" s="82">
        <f t="shared" ref="P45:R45" si="178">IF(BI45=0,SUM(Y45+AB45+AE45+AH45+AK45+AN45+AQ45+AT45+AW45+AZ45+BC45+BF45),BI45)</f>
        <v>2898.95</v>
      </c>
      <c r="Q45" s="82">
        <f t="shared" si="178"/>
        <v>0</v>
      </c>
      <c r="R45" s="82">
        <f t="shared" si="178"/>
        <v>0</v>
      </c>
      <c r="S45" s="97">
        <f t="shared" si="146"/>
        <v>0.9000000000005457</v>
      </c>
      <c r="T45" s="363">
        <f t="shared" si="175"/>
        <v>30000</v>
      </c>
      <c r="U45" s="97">
        <f t="shared" si="59"/>
        <v>0</v>
      </c>
      <c r="V45" s="98">
        <f t="shared" ref="V45:W45" si="179">M45/I45</f>
        <v>0.99968963911926456</v>
      </c>
      <c r="W45" s="98">
        <f t="shared" si="179"/>
        <v>0</v>
      </c>
      <c r="X45" s="98" t="e">
        <f t="shared" si="26"/>
        <v>#DIV/0!</v>
      </c>
      <c r="Y45" s="129"/>
      <c r="Z45" s="126"/>
      <c r="AA45" s="129"/>
      <c r="AB45" s="119"/>
      <c r="AC45" s="119"/>
      <c r="AD45" s="129"/>
      <c r="AE45" s="129"/>
      <c r="AF45" s="129"/>
      <c r="AG45" s="129"/>
      <c r="AH45" s="129"/>
      <c r="AI45" s="129"/>
      <c r="AJ45" s="129"/>
      <c r="AK45" s="260">
        <v>949.95</v>
      </c>
      <c r="AL45" s="129"/>
      <c r="AM45" s="129"/>
      <c r="AN45" s="260">
        <v>1949</v>
      </c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111"/>
      <c r="B46" s="136" t="s">
        <v>277</v>
      </c>
      <c r="C46" s="101" t="s">
        <v>278</v>
      </c>
      <c r="D46" s="122" t="s">
        <v>703</v>
      </c>
      <c r="E46" s="116"/>
      <c r="F46" s="93"/>
      <c r="G46" s="94" t="e">
        <f t="shared" si="19"/>
        <v>#DIV/0!</v>
      </c>
      <c r="H46" s="94" t="e">
        <f t="shared" si="103"/>
        <v>#DIV/0!</v>
      </c>
      <c r="I46" s="96"/>
      <c r="J46" s="117">
        <v>22098.39</v>
      </c>
      <c r="K46" s="117"/>
      <c r="L46" s="118"/>
      <c r="M46" s="97">
        <f t="shared" si="177"/>
        <v>0</v>
      </c>
      <c r="N46" s="97">
        <f t="shared" ref="N46:O46" si="180">Z46+AC46+AF46+AI46+AL46+AO46+AR46+AU46+AX46+BA46+BD46+BG46</f>
        <v>8451.33</v>
      </c>
      <c r="O46" s="97">
        <f t="shared" si="180"/>
        <v>0</v>
      </c>
      <c r="P46" s="82">
        <f t="shared" ref="P46:R46" si="181">IF(BI46=0,SUM(Y46+AB46+AE46+AH46+AK46+AN46+AQ46+AT46+AW46+AZ46+BC46+BF46),BI46)</f>
        <v>0</v>
      </c>
      <c r="Q46" s="82">
        <f t="shared" si="181"/>
        <v>8451.33</v>
      </c>
      <c r="R46" s="82">
        <f t="shared" si="181"/>
        <v>0</v>
      </c>
      <c r="S46" s="97">
        <f t="shared" si="146"/>
        <v>0</v>
      </c>
      <c r="T46" s="97">
        <f t="shared" si="175"/>
        <v>13647.06</v>
      </c>
      <c r="U46" s="97">
        <f t="shared" si="59"/>
        <v>0</v>
      </c>
      <c r="V46" s="98" t="e">
        <f t="shared" ref="V46:W46" si="182">M46/I46</f>
        <v>#DIV/0!</v>
      </c>
      <c r="W46" s="98">
        <f t="shared" si="182"/>
        <v>0.38244098325715131</v>
      </c>
      <c r="X46" s="98" t="e">
        <f t="shared" si="26"/>
        <v>#DIV/0!</v>
      </c>
      <c r="Y46" s="129"/>
      <c r="Z46" s="96"/>
      <c r="AA46" s="129"/>
      <c r="AB46" s="119"/>
      <c r="AC46" s="119"/>
      <c r="AD46" s="129"/>
      <c r="AE46" s="129"/>
      <c r="AF46" s="260">
        <v>8367.65</v>
      </c>
      <c r="AG46" s="129"/>
      <c r="AH46" s="129"/>
      <c r="AI46" s="129"/>
      <c r="AJ46" s="129"/>
      <c r="AK46" s="129"/>
      <c r="AL46" s="260">
        <v>83.68</v>
      </c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360" t="s">
        <v>649</v>
      </c>
      <c r="B47" s="143" t="s">
        <v>704</v>
      </c>
      <c r="C47" s="101" t="s">
        <v>278</v>
      </c>
      <c r="D47" s="91" t="s">
        <v>705</v>
      </c>
      <c r="E47" s="116"/>
      <c r="F47" s="92"/>
      <c r="G47" s="94" t="e">
        <f t="shared" si="19"/>
        <v>#DIV/0!</v>
      </c>
      <c r="H47" s="94" t="e">
        <f t="shared" si="103"/>
        <v>#DIV/0!</v>
      </c>
      <c r="I47" s="103">
        <v>33207.879999999997</v>
      </c>
      <c r="J47" s="117">
        <f>50068.66+42203.34</f>
        <v>92272</v>
      </c>
      <c r="K47" s="117"/>
      <c r="L47" s="96"/>
      <c r="M47" s="97">
        <f t="shared" si="177"/>
        <v>19996.05</v>
      </c>
      <c r="N47" s="97">
        <f t="shared" ref="N47:O47" si="183">Z47+AC47+AF47+AI47+AL47+AO47+AR47+AU47+AX47+BA47+BD47+BG47</f>
        <v>92272</v>
      </c>
      <c r="O47" s="97">
        <f t="shared" si="183"/>
        <v>0</v>
      </c>
      <c r="P47" s="82">
        <f t="shared" ref="P47:R47" si="184">IF(BI47=0,SUM(Y47+AB47+AE47+AH47+AK47+AN47+AQ47+AT47+AW47+AZ47+BC47+BF47),BI47)</f>
        <v>19996.05</v>
      </c>
      <c r="Q47" s="82">
        <f t="shared" si="184"/>
        <v>92272</v>
      </c>
      <c r="R47" s="82">
        <f t="shared" si="184"/>
        <v>0</v>
      </c>
      <c r="S47" s="97">
        <f t="shared" si="146"/>
        <v>13211.829999999998</v>
      </c>
      <c r="T47" s="97">
        <f t="shared" si="175"/>
        <v>0</v>
      </c>
      <c r="U47" s="97">
        <f t="shared" si="59"/>
        <v>0</v>
      </c>
      <c r="V47" s="98">
        <f t="shared" ref="V47:W47" si="185">M47/I47</f>
        <v>0.60214774324648246</v>
      </c>
      <c r="W47" s="98">
        <f t="shared" si="185"/>
        <v>1</v>
      </c>
      <c r="X47" s="98" t="e">
        <f t="shared" si="26"/>
        <v>#DIV/0!</v>
      </c>
      <c r="Y47" s="129"/>
      <c r="Z47" s="103">
        <v>49298.9</v>
      </c>
      <c r="AA47" s="129"/>
      <c r="AB47" s="119"/>
      <c r="AC47" s="119"/>
      <c r="AD47" s="129"/>
      <c r="AE47" s="129"/>
      <c r="AF47" s="129">
        <f>24069.07-6782.31</f>
        <v>17286.759999999998</v>
      </c>
      <c r="AG47" s="129"/>
      <c r="AH47" s="129"/>
      <c r="AI47" s="129"/>
      <c r="AJ47" s="129"/>
      <c r="AK47" s="260">
        <v>19996.05</v>
      </c>
      <c r="AL47" s="260">
        <f>12474.51+13211.83</f>
        <v>25686.34</v>
      </c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111"/>
      <c r="B48" s="136" t="s">
        <v>282</v>
      </c>
      <c r="C48" s="101" t="s">
        <v>278</v>
      </c>
      <c r="D48" s="91" t="s">
        <v>706</v>
      </c>
      <c r="E48" s="116"/>
      <c r="F48" s="92"/>
      <c r="G48" s="94" t="e">
        <f t="shared" si="19"/>
        <v>#DIV/0!</v>
      </c>
      <c r="H48" s="94" t="e">
        <f t="shared" si="103"/>
        <v>#DIV/0!</v>
      </c>
      <c r="I48" s="96"/>
      <c r="J48" s="117">
        <v>6782.31</v>
      </c>
      <c r="K48" s="117"/>
      <c r="L48" s="96"/>
      <c r="M48" s="97">
        <f t="shared" si="177"/>
        <v>0</v>
      </c>
      <c r="N48" s="97">
        <f t="shared" ref="N48:O48" si="186">Z48+AC48+AF48+AI48+AL48+AO48+AR48+AU48+AX48+BA48+BD48+BG48</f>
        <v>6782.31</v>
      </c>
      <c r="O48" s="97">
        <f t="shared" si="186"/>
        <v>0</v>
      </c>
      <c r="P48" s="82">
        <f t="shared" ref="P48:R48" si="187">IF(BI48=0,SUM(Y48+AB48+AE48+AH48+AK48+AN48+AQ48+AT48+AW48+AZ48+BC48+BF48),BI48)</f>
        <v>0</v>
      </c>
      <c r="Q48" s="82">
        <f t="shared" si="187"/>
        <v>6782.31</v>
      </c>
      <c r="R48" s="82">
        <f t="shared" si="187"/>
        <v>0</v>
      </c>
      <c r="S48" s="97">
        <f t="shared" si="146"/>
        <v>0</v>
      </c>
      <c r="T48" s="97">
        <f t="shared" si="175"/>
        <v>0</v>
      </c>
      <c r="U48" s="97">
        <f t="shared" si="59"/>
        <v>0</v>
      </c>
      <c r="V48" s="98" t="e">
        <f t="shared" ref="V48:W48" si="188">M48/I48</f>
        <v>#DIV/0!</v>
      </c>
      <c r="W48" s="98">
        <f t="shared" si="188"/>
        <v>1</v>
      </c>
      <c r="X48" s="98" t="e">
        <f t="shared" si="26"/>
        <v>#DIV/0!</v>
      </c>
      <c r="Y48" s="129"/>
      <c r="Z48" s="96"/>
      <c r="AA48" s="129"/>
      <c r="AB48" s="119"/>
      <c r="AC48" s="119"/>
      <c r="AD48" s="129"/>
      <c r="AE48" s="129"/>
      <c r="AF48" s="129">
        <f>6782.31</f>
        <v>6782.31</v>
      </c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40" t="s">
        <v>284</v>
      </c>
      <c r="C49" s="101" t="s">
        <v>242</v>
      </c>
      <c r="D49" s="91" t="s">
        <v>707</v>
      </c>
      <c r="E49" s="116"/>
      <c r="F49" s="92"/>
      <c r="G49" s="94" t="e">
        <f t="shared" si="19"/>
        <v>#DIV/0!</v>
      </c>
      <c r="H49" s="94" t="e">
        <f t="shared" si="103"/>
        <v>#DIV/0!</v>
      </c>
      <c r="I49" s="133"/>
      <c r="J49" s="117">
        <f>51880+30383</f>
        <v>82263</v>
      </c>
      <c r="K49" s="117"/>
      <c r="L49" s="96"/>
      <c r="M49" s="97">
        <f t="shared" si="177"/>
        <v>0</v>
      </c>
      <c r="N49" s="97">
        <f t="shared" ref="N49:O49" si="189">Z49+AC49+AF49+AI49+AL49+AO49+AR49+AU49+AX49+BA49+BD49+BG49</f>
        <v>82263</v>
      </c>
      <c r="O49" s="97">
        <f t="shared" si="189"/>
        <v>0</v>
      </c>
      <c r="P49" s="82">
        <f t="shared" ref="P49:R49" si="190">IF(BI49=0,SUM(Y49+AB49+AE49+AH49+AK49+AN49+AQ49+AT49+AW49+AZ49+BC49+BF49),BI49)</f>
        <v>0</v>
      </c>
      <c r="Q49" s="82">
        <f t="shared" si="190"/>
        <v>82263</v>
      </c>
      <c r="R49" s="82">
        <f t="shared" si="190"/>
        <v>0</v>
      </c>
      <c r="S49" s="97">
        <f t="shared" si="146"/>
        <v>0</v>
      </c>
      <c r="T49" s="97">
        <f t="shared" si="175"/>
        <v>0</v>
      </c>
      <c r="U49" s="97">
        <f t="shared" si="59"/>
        <v>0</v>
      </c>
      <c r="V49" s="98" t="e">
        <f t="shared" ref="V49:W49" si="191">M49/I49</f>
        <v>#DIV/0!</v>
      </c>
      <c r="W49" s="98">
        <f t="shared" si="191"/>
        <v>1</v>
      </c>
      <c r="X49" s="98" t="e">
        <f t="shared" si="26"/>
        <v>#DIV/0!</v>
      </c>
      <c r="Y49" s="129"/>
      <c r="Z49" s="96"/>
      <c r="AA49" s="129"/>
      <c r="AB49" s="119"/>
      <c r="AC49" s="119">
        <f>11880+31280</f>
        <v>43160</v>
      </c>
      <c r="AD49" s="129"/>
      <c r="AE49" s="129"/>
      <c r="AF49" s="129">
        <f>39103</f>
        <v>39103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356" t="s">
        <v>708</v>
      </c>
      <c r="B50" s="140" t="s">
        <v>286</v>
      </c>
      <c r="C50" s="101" t="s">
        <v>278</v>
      </c>
      <c r="D50" s="144" t="s">
        <v>709</v>
      </c>
      <c r="E50" s="116"/>
      <c r="F50" s="92"/>
      <c r="G50" s="94" t="e">
        <f t="shared" si="19"/>
        <v>#DIV/0!</v>
      </c>
      <c r="H50" s="94" t="e">
        <f t="shared" si="103"/>
        <v>#DIV/0!</v>
      </c>
      <c r="I50" s="361">
        <f>67481.17</f>
        <v>67481.17</v>
      </c>
      <c r="J50" s="117">
        <f>572638.78+46434.84</f>
        <v>619073.62</v>
      </c>
      <c r="K50" s="117"/>
      <c r="L50" s="118"/>
      <c r="M50" s="97">
        <f t="shared" si="177"/>
        <v>10051.59</v>
      </c>
      <c r="N50" s="97">
        <f t="shared" ref="N50:O50" si="192">Z50+AC50+AF50+AI50+AL50+AO50+AR50+AU50+AX50+BA50+BD50+BG50</f>
        <v>469528.19</v>
      </c>
      <c r="O50" s="97">
        <f t="shared" si="192"/>
        <v>0</v>
      </c>
      <c r="P50" s="82">
        <f t="shared" ref="P50:R50" si="193">IF(BI50=0,SUM(Y50+AB50+AE50+AH50+AK50+AN50+AQ50+AT50+AW50+AZ50+BC50+BF50),BI50)</f>
        <v>10051.59</v>
      </c>
      <c r="Q50" s="82">
        <f t="shared" si="193"/>
        <v>469528.19</v>
      </c>
      <c r="R50" s="82">
        <f t="shared" si="193"/>
        <v>0</v>
      </c>
      <c r="S50" s="97">
        <f t="shared" si="146"/>
        <v>57429.58</v>
      </c>
      <c r="T50" s="97">
        <f t="shared" si="175"/>
        <v>149545.43</v>
      </c>
      <c r="U50" s="97">
        <f t="shared" si="59"/>
        <v>0</v>
      </c>
      <c r="V50" s="98">
        <f t="shared" ref="V50:W50" si="194">M50/I50</f>
        <v>0.14895399709281865</v>
      </c>
      <c r="W50" s="98">
        <f t="shared" si="194"/>
        <v>0.75843675910467645</v>
      </c>
      <c r="X50" s="98" t="e">
        <f t="shared" si="26"/>
        <v>#DIV/0!</v>
      </c>
      <c r="Y50" s="129"/>
      <c r="Z50" s="96"/>
      <c r="AA50" s="129"/>
      <c r="AB50" s="119"/>
      <c r="AC50" s="119"/>
      <c r="AD50" s="129"/>
      <c r="AE50" s="129"/>
      <c r="AF50" s="129">
        <f>23186.24</f>
        <v>23186.240000000002</v>
      </c>
      <c r="AG50" s="129"/>
      <c r="AH50" s="260">
        <v>10051.59</v>
      </c>
      <c r="AI50" s="260">
        <v>18924.84</v>
      </c>
      <c r="AJ50" s="129"/>
      <c r="AK50" s="260"/>
      <c r="AL50" s="260">
        <v>239930.92</v>
      </c>
      <c r="AM50" s="129"/>
      <c r="AN50" s="129"/>
      <c r="AO50" s="260">
        <v>187486.19</v>
      </c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111"/>
      <c r="B51" s="140" t="s">
        <v>506</v>
      </c>
      <c r="C51" s="101" t="s">
        <v>165</v>
      </c>
      <c r="D51" s="91" t="s">
        <v>289</v>
      </c>
      <c r="E51" s="116"/>
      <c r="F51" s="92"/>
      <c r="G51" s="94" t="e">
        <f t="shared" si="19"/>
        <v>#DIV/0!</v>
      </c>
      <c r="H51" s="94" t="e">
        <f t="shared" si="103"/>
        <v>#DIV/0!</v>
      </c>
      <c r="I51" s="133"/>
      <c r="J51" s="117">
        <f>5855+6447</f>
        <v>12302</v>
      </c>
      <c r="K51" s="117"/>
      <c r="L51" s="96"/>
      <c r="M51" s="97">
        <f t="shared" si="177"/>
        <v>0</v>
      </c>
      <c r="N51" s="97">
        <f t="shared" ref="N51:O51" si="195">Z51+AC51+AF51+AI51+AL51+AO51+AR51+AU51+AX51+BA51+BD51+BG51</f>
        <v>12302</v>
      </c>
      <c r="O51" s="97">
        <f t="shared" si="195"/>
        <v>0</v>
      </c>
      <c r="P51" s="82">
        <f t="shared" ref="P51:R51" si="196">IF(BI51=0,SUM(Y51+AB51+AE51+AH51+AK51+AN51+AQ51+AT51+AW51+AZ51+BC51+BF51),BI51)</f>
        <v>0</v>
      </c>
      <c r="Q51" s="82">
        <f t="shared" si="196"/>
        <v>12302</v>
      </c>
      <c r="R51" s="82">
        <f t="shared" si="196"/>
        <v>0</v>
      </c>
      <c r="S51" s="97">
        <f t="shared" si="146"/>
        <v>0</v>
      </c>
      <c r="T51" s="97">
        <f t="shared" si="175"/>
        <v>0</v>
      </c>
      <c r="U51" s="97">
        <f t="shared" si="59"/>
        <v>0</v>
      </c>
      <c r="V51" s="98" t="e">
        <f t="shared" ref="V51:W51" si="197">M51/I51</f>
        <v>#DIV/0!</v>
      </c>
      <c r="W51" s="98">
        <f t="shared" si="197"/>
        <v>1</v>
      </c>
      <c r="X51" s="98" t="e">
        <f t="shared" si="26"/>
        <v>#DIV/0!</v>
      </c>
      <c r="Y51" s="129"/>
      <c r="Z51" s="103">
        <v>5855</v>
      </c>
      <c r="AA51" s="129"/>
      <c r="AB51" s="119"/>
      <c r="AC51" s="119">
        <f>6447</f>
        <v>6447</v>
      </c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507</v>
      </c>
      <c r="C52" s="101" t="s">
        <v>165</v>
      </c>
      <c r="D52" s="91" t="s">
        <v>710</v>
      </c>
      <c r="E52" s="116"/>
      <c r="F52" s="92"/>
      <c r="G52" s="94" t="e">
        <f t="shared" si="19"/>
        <v>#DIV/0!</v>
      </c>
      <c r="H52" s="94" t="e">
        <f t="shared" si="103"/>
        <v>#DIV/0!</v>
      </c>
      <c r="I52" s="133"/>
      <c r="J52" s="117">
        <f>2874.45+8500+15300+2420</f>
        <v>29094.45</v>
      </c>
      <c r="K52" s="117"/>
      <c r="L52" s="145"/>
      <c r="M52" s="97">
        <f t="shared" si="177"/>
        <v>0</v>
      </c>
      <c r="N52" s="97">
        <f t="shared" ref="N52:O52" si="198">Z52+AC52+AF52+AI52+AL52+AO52+AR52+AU52+AX52+BA52+BD52+BG52</f>
        <v>29094.45</v>
      </c>
      <c r="O52" s="97">
        <f t="shared" si="198"/>
        <v>0</v>
      </c>
      <c r="P52" s="82">
        <f t="shared" ref="P52:R52" si="199">IF(BI52=0,SUM(Y52+AB52+AE52+AH52+AK52+AN52+AQ52+AT52+AW52+AZ52+BC52+BF52),BI52)</f>
        <v>0</v>
      </c>
      <c r="Q52" s="82">
        <f t="shared" si="199"/>
        <v>29094.45</v>
      </c>
      <c r="R52" s="82">
        <f t="shared" si="199"/>
        <v>0</v>
      </c>
      <c r="S52" s="97">
        <f t="shared" si="146"/>
        <v>0</v>
      </c>
      <c r="T52" s="97">
        <f t="shared" si="175"/>
        <v>0</v>
      </c>
      <c r="U52" s="97">
        <f t="shared" si="59"/>
        <v>0</v>
      </c>
      <c r="V52" s="98" t="e">
        <f t="shared" ref="V52:W52" si="200">M52/I52</f>
        <v>#DIV/0!</v>
      </c>
      <c r="W52" s="98">
        <f t="shared" si="200"/>
        <v>1</v>
      </c>
      <c r="X52" s="98" t="e">
        <f t="shared" si="26"/>
        <v>#DIV/0!</v>
      </c>
      <c r="Y52" s="129"/>
      <c r="Z52" s="103">
        <f>2420+15300</f>
        <v>17720</v>
      </c>
      <c r="AA52" s="129"/>
      <c r="AB52" s="119"/>
      <c r="AC52" s="119">
        <f>8500</f>
        <v>8500</v>
      </c>
      <c r="AD52" s="129"/>
      <c r="AE52" s="129"/>
      <c r="AF52" s="129"/>
      <c r="AG52" s="129"/>
      <c r="AH52" s="129"/>
      <c r="AI52" s="260">
        <v>2874.45</v>
      </c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36"/>
      <c r="C53" s="101" t="s">
        <v>292</v>
      </c>
      <c r="D53" s="122" t="s">
        <v>104</v>
      </c>
      <c r="E53" s="92">
        <v>0</v>
      </c>
      <c r="F53" s="93">
        <v>10000</v>
      </c>
      <c r="G53" s="94" t="e">
        <f t="shared" si="19"/>
        <v>#DIV/0!</v>
      </c>
      <c r="H53" s="94" t="e">
        <f t="shared" si="103"/>
        <v>#DIV/0!</v>
      </c>
      <c r="I53" s="133"/>
      <c r="J53" s="117"/>
      <c r="K53" s="117"/>
      <c r="L53" s="145"/>
      <c r="M53" s="97">
        <f t="shared" si="177"/>
        <v>0</v>
      </c>
      <c r="N53" s="97">
        <f t="shared" ref="N53:O53" si="201">Z53+AC53+AF53+AI53+AL53+AO53+AR53+AU53+AX53+BA53+BD53+BG53</f>
        <v>0</v>
      </c>
      <c r="O53" s="97">
        <f t="shared" si="201"/>
        <v>0</v>
      </c>
      <c r="P53" s="82">
        <f t="shared" ref="P53:R53" si="202">IF(BI53=0,SUM(Y53+AB53+AE53+AH53+AK53+AN53+AQ53+AT53+AW53+AZ53+BC53+BF53),BI53)</f>
        <v>0</v>
      </c>
      <c r="Q53" s="82">
        <f t="shared" si="202"/>
        <v>0</v>
      </c>
      <c r="R53" s="82">
        <f t="shared" si="202"/>
        <v>0</v>
      </c>
      <c r="S53" s="97">
        <f t="shared" si="146"/>
        <v>0</v>
      </c>
      <c r="T53" s="97">
        <f t="shared" si="175"/>
        <v>0</v>
      </c>
      <c r="U53" s="97">
        <f t="shared" si="59"/>
        <v>0</v>
      </c>
      <c r="V53" s="98" t="e">
        <f t="shared" ref="V53:W53" si="203">M53/I53</f>
        <v>#DIV/0!</v>
      </c>
      <c r="W53" s="98" t="e">
        <f t="shared" si="203"/>
        <v>#DIV/0!</v>
      </c>
      <c r="X53" s="98" t="e">
        <f t="shared" si="26"/>
        <v>#DIV/0!</v>
      </c>
      <c r="Y53" s="129"/>
      <c r="Z53" s="96"/>
      <c r="AA53" s="129"/>
      <c r="AB53" s="119"/>
      <c r="AC53" s="11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293</v>
      </c>
      <c r="D54" s="122" t="s">
        <v>105</v>
      </c>
      <c r="E54" s="92">
        <v>0</v>
      </c>
      <c r="F54" s="93">
        <v>160000</v>
      </c>
      <c r="G54" s="94" t="e">
        <f t="shared" si="19"/>
        <v>#DIV/0!</v>
      </c>
      <c r="H54" s="94" t="e">
        <f t="shared" si="103"/>
        <v>#DIV/0!</v>
      </c>
      <c r="I54" s="133"/>
      <c r="J54" s="117"/>
      <c r="K54" s="117"/>
      <c r="L54" s="145"/>
      <c r="M54" s="97">
        <f t="shared" si="177"/>
        <v>0</v>
      </c>
      <c r="N54" s="97">
        <f t="shared" ref="N54:O54" si="204">Z54+AC54+AF54+AI54+AL54+AO54+AR54+AU54+AX54+BA54+BD54+BG54</f>
        <v>0</v>
      </c>
      <c r="O54" s="97">
        <f t="shared" si="204"/>
        <v>0</v>
      </c>
      <c r="P54" s="82">
        <f t="shared" ref="P54:R54" si="205">IF(BI54=0,SUM(Y54+AB54+AE54+AH54+AK54+AN54+AQ54+AT54+AW54+AZ54+BC54+BF54),BI54)</f>
        <v>0</v>
      </c>
      <c r="Q54" s="82">
        <f t="shared" si="205"/>
        <v>0</v>
      </c>
      <c r="R54" s="82">
        <f t="shared" si="205"/>
        <v>0</v>
      </c>
      <c r="S54" s="97">
        <f t="shared" si="146"/>
        <v>0</v>
      </c>
      <c r="T54" s="97">
        <f t="shared" si="175"/>
        <v>0</v>
      </c>
      <c r="U54" s="97">
        <f t="shared" si="59"/>
        <v>0</v>
      </c>
      <c r="V54" s="98" t="e">
        <f t="shared" ref="V54:W54" si="206">M54/I54</f>
        <v>#DIV/0!</v>
      </c>
      <c r="W54" s="98" t="e">
        <f t="shared" si="206"/>
        <v>#DIV/0!</v>
      </c>
      <c r="X54" s="98" t="e">
        <f t="shared" si="26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89"/>
      <c r="B55" s="114"/>
      <c r="C55" s="101" t="s">
        <v>294</v>
      </c>
      <c r="D55" s="122" t="s">
        <v>106</v>
      </c>
      <c r="E55" s="116"/>
      <c r="F55" s="93">
        <v>50000</v>
      </c>
      <c r="G55" s="94" t="e">
        <f t="shared" si="19"/>
        <v>#DIV/0!</v>
      </c>
      <c r="H55" s="94">
        <f t="shared" ref="H55:H60" si="207">M55/F55</f>
        <v>0</v>
      </c>
      <c r="I55" s="96"/>
      <c r="J55" s="117"/>
      <c r="K55" s="117"/>
      <c r="L55" s="118"/>
      <c r="M55" s="97">
        <f t="shared" si="177"/>
        <v>0</v>
      </c>
      <c r="N55" s="97">
        <f t="shared" ref="N55:O55" si="208">Z55+AC55+AF55+AI55+AL55+AO55+AR55+AU55+AX55+BA55+BD55+BG55</f>
        <v>0</v>
      </c>
      <c r="O55" s="97">
        <f t="shared" si="208"/>
        <v>0</v>
      </c>
      <c r="P55" s="82">
        <f t="shared" ref="P55:R55" si="209">IF(BI55=0,SUM(Y55+AB55+AE55+AH55+AK55+AN55+AQ55+AT55+AW55+AZ55+BC55+BF55),BI55)</f>
        <v>0</v>
      </c>
      <c r="Q55" s="82">
        <f t="shared" si="209"/>
        <v>0</v>
      </c>
      <c r="R55" s="82">
        <f t="shared" si="209"/>
        <v>0</v>
      </c>
      <c r="S55" s="97">
        <f t="shared" si="146"/>
        <v>0</v>
      </c>
      <c r="T55" s="97">
        <f t="shared" si="175"/>
        <v>0</v>
      </c>
      <c r="U55" s="97">
        <f t="shared" si="59"/>
        <v>0</v>
      </c>
      <c r="V55" s="98" t="e">
        <f t="shared" ref="V55:W55" si="210">M55/I55</f>
        <v>#DIV/0!</v>
      </c>
      <c r="W55" s="98" t="e">
        <f t="shared" si="210"/>
        <v>#DIV/0!</v>
      </c>
      <c r="X55" s="98" t="e">
        <f t="shared" si="26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36" t="s">
        <v>295</v>
      </c>
      <c r="C56" s="101" t="s">
        <v>271</v>
      </c>
      <c r="D56" s="122" t="s">
        <v>107</v>
      </c>
      <c r="E56" s="116"/>
      <c r="F56" s="93">
        <v>20000</v>
      </c>
      <c r="G56" s="94" t="e">
        <f t="shared" si="19"/>
        <v>#DIV/0!</v>
      </c>
      <c r="H56" s="94">
        <f t="shared" si="207"/>
        <v>0</v>
      </c>
      <c r="I56" s="96"/>
      <c r="J56" s="117">
        <v>1817.8</v>
      </c>
      <c r="K56" s="117"/>
      <c r="L56" s="118"/>
      <c r="M56" s="97">
        <f t="shared" si="177"/>
        <v>0</v>
      </c>
      <c r="N56" s="97">
        <f t="shared" ref="N56:O56" si="211">Z56+AC56+AF56+AI56+AL56+AO56+AR56+AU56+AX56+BA56+BD56+BG56</f>
        <v>1817.8</v>
      </c>
      <c r="O56" s="97">
        <f t="shared" si="211"/>
        <v>0</v>
      </c>
      <c r="P56" s="82">
        <f t="shared" ref="P56:R56" si="212">IF(BI56=0,SUM(Y56+AB56+AE56+AH56+AK56+AN56+AQ56+AT56+AW56+AZ56+BC56+BF56),BI56)</f>
        <v>0</v>
      </c>
      <c r="Q56" s="82">
        <f t="shared" si="212"/>
        <v>1817.8</v>
      </c>
      <c r="R56" s="82">
        <f t="shared" si="212"/>
        <v>0</v>
      </c>
      <c r="S56" s="97">
        <f t="shared" si="146"/>
        <v>0</v>
      </c>
      <c r="T56" s="97">
        <f t="shared" si="175"/>
        <v>0</v>
      </c>
      <c r="U56" s="97">
        <f t="shared" si="59"/>
        <v>0</v>
      </c>
      <c r="V56" s="98" t="e">
        <f t="shared" ref="V56:W56" si="213">M56/I56</f>
        <v>#DIV/0!</v>
      </c>
      <c r="W56" s="98">
        <f t="shared" si="213"/>
        <v>1</v>
      </c>
      <c r="X56" s="98" t="e">
        <f t="shared" si="26"/>
        <v>#DIV/0!</v>
      </c>
      <c r="Y56" s="129"/>
      <c r="Z56" s="96"/>
      <c r="AA56" s="129"/>
      <c r="AB56" s="119"/>
      <c r="AC56" s="119">
        <f>1817.8</f>
        <v>1817.8</v>
      </c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14"/>
      <c r="C57" s="101" t="s">
        <v>296</v>
      </c>
      <c r="D57" s="122" t="s">
        <v>108</v>
      </c>
      <c r="E57" s="116"/>
      <c r="F57" s="93">
        <v>50000</v>
      </c>
      <c r="G57" s="94">
        <f t="shared" ref="G57:G62" si="214">I57/F57</f>
        <v>0</v>
      </c>
      <c r="H57" s="94">
        <f t="shared" si="207"/>
        <v>0</v>
      </c>
      <c r="I57" s="96"/>
      <c r="J57" s="117"/>
      <c r="K57" s="117"/>
      <c r="L57" s="118"/>
      <c r="M57" s="97">
        <f t="shared" si="177"/>
        <v>0</v>
      </c>
      <c r="N57" s="97">
        <f t="shared" ref="N57:O57" si="215">Z57+AC57+AF57+AI57+AL57+AO57+AR57+AU57+AX57+BA57+BD57+BG57</f>
        <v>0</v>
      </c>
      <c r="O57" s="97">
        <f t="shared" si="215"/>
        <v>0</v>
      </c>
      <c r="P57" s="82">
        <f t="shared" ref="P57:R57" si="216">IF(BI57=0,SUM(Y57+AB57+AE57+AH57+AK57+AN57+AQ57+AT57+AW57+AZ57+BC57+BF57),BI57)</f>
        <v>0</v>
      </c>
      <c r="Q57" s="82">
        <f t="shared" si="216"/>
        <v>0</v>
      </c>
      <c r="R57" s="82">
        <f t="shared" si="216"/>
        <v>0</v>
      </c>
      <c r="S57" s="97">
        <f t="shared" si="146"/>
        <v>0</v>
      </c>
      <c r="T57" s="97">
        <f t="shared" si="175"/>
        <v>0</v>
      </c>
      <c r="U57" s="97">
        <f t="shared" si="59"/>
        <v>0</v>
      </c>
      <c r="V57" s="98" t="e">
        <f t="shared" ref="V57:W57" si="217">M57/I57</f>
        <v>#DIV/0!</v>
      </c>
      <c r="W57" s="98" t="e">
        <f t="shared" si="217"/>
        <v>#DIV/0!</v>
      </c>
      <c r="X57" s="98" t="e">
        <f t="shared" si="26"/>
        <v>#DIV/0!</v>
      </c>
      <c r="Y57" s="129"/>
      <c r="Z57" s="96"/>
      <c r="AA57" s="129"/>
      <c r="AB57" s="119"/>
      <c r="AC57" s="11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B58" s="114"/>
      <c r="C58" s="101" t="s">
        <v>242</v>
      </c>
      <c r="D58" s="122" t="s">
        <v>109</v>
      </c>
      <c r="E58" s="116"/>
      <c r="F58" s="93">
        <v>350000</v>
      </c>
      <c r="G58" s="94">
        <f t="shared" si="214"/>
        <v>0</v>
      </c>
      <c r="H58" s="94">
        <f t="shared" si="207"/>
        <v>0</v>
      </c>
      <c r="I58" s="142"/>
      <c r="J58" s="117"/>
      <c r="K58" s="117"/>
      <c r="L58" s="118"/>
      <c r="M58" s="97">
        <f t="shared" si="177"/>
        <v>0</v>
      </c>
      <c r="N58" s="97">
        <f t="shared" ref="N58:O58" si="218">Z58+AC58+AF58+AI58+AL58+AO58+AR58+AU58+AX58+BA58+BD58+BG58</f>
        <v>0</v>
      </c>
      <c r="O58" s="97">
        <f t="shared" si="218"/>
        <v>0</v>
      </c>
      <c r="P58" s="82">
        <f t="shared" ref="P58:R58" si="219">IF(BI58=0,SUM(Y58+AB58+AE58+AH58+AK58+AN58+AQ58+AT58+AW58+AZ58+BC58+BF58),BI58)</f>
        <v>0</v>
      </c>
      <c r="Q58" s="82">
        <f t="shared" si="219"/>
        <v>0</v>
      </c>
      <c r="R58" s="82">
        <f t="shared" si="219"/>
        <v>0</v>
      </c>
      <c r="S58" s="97">
        <f t="shared" si="146"/>
        <v>0</v>
      </c>
      <c r="T58" s="97">
        <f t="shared" si="175"/>
        <v>0</v>
      </c>
      <c r="U58" s="97">
        <f t="shared" si="59"/>
        <v>0</v>
      </c>
      <c r="V58" s="98" t="e">
        <f t="shared" ref="V58:W58" si="220">M58/I58</f>
        <v>#DIV/0!</v>
      </c>
      <c r="W58" s="98" t="e">
        <f t="shared" si="220"/>
        <v>#DIV/0!</v>
      </c>
      <c r="X58" s="98" t="e">
        <f t="shared" si="26"/>
        <v>#DIV/0!</v>
      </c>
      <c r="Y58" s="96"/>
      <c r="Z58" s="96"/>
      <c r="AA58" s="96"/>
      <c r="AB58" s="119"/>
      <c r="AC58" s="119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129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9"/>
      <c r="BM58" s="100"/>
      <c r="BN58" s="100"/>
      <c r="BO58" s="100"/>
      <c r="BP58" s="100"/>
    </row>
    <row r="59" spans="1:68" ht="15.75" customHeight="1">
      <c r="A59" s="89"/>
      <c r="B59" s="114"/>
      <c r="C59" s="101" t="s">
        <v>297</v>
      </c>
      <c r="D59" s="122" t="s">
        <v>110</v>
      </c>
      <c r="E59" s="116"/>
      <c r="F59" s="93">
        <v>200000</v>
      </c>
      <c r="G59" s="94">
        <f t="shared" si="214"/>
        <v>0</v>
      </c>
      <c r="H59" s="94">
        <f t="shared" si="207"/>
        <v>0</v>
      </c>
      <c r="I59" s="96"/>
      <c r="J59" s="117"/>
      <c r="K59" s="117"/>
      <c r="L59" s="118"/>
      <c r="M59" s="97">
        <f t="shared" si="177"/>
        <v>0</v>
      </c>
      <c r="N59" s="97">
        <f t="shared" ref="N59:O59" si="221">Z59+AC59+AF59+AI59+AL59+AO59+AR59+AU59+AX59+BA59+BD59+BG59</f>
        <v>0</v>
      </c>
      <c r="O59" s="97">
        <f t="shared" si="221"/>
        <v>0</v>
      </c>
      <c r="P59" s="82">
        <f t="shared" ref="P59:R59" si="222">IF(BI59=0,SUM(Y59+AB59+AE59+AH59+AK59+AN59+AQ59+AT59+AW59+AZ59+BC59+BF59),BI59)</f>
        <v>0</v>
      </c>
      <c r="Q59" s="82">
        <f t="shared" si="222"/>
        <v>0</v>
      </c>
      <c r="R59" s="82">
        <f t="shared" si="222"/>
        <v>0</v>
      </c>
      <c r="S59" s="97">
        <f t="shared" si="146"/>
        <v>0</v>
      </c>
      <c r="T59" s="97">
        <f t="shared" si="175"/>
        <v>0</v>
      </c>
      <c r="U59" s="97">
        <f t="shared" si="59"/>
        <v>0</v>
      </c>
      <c r="V59" s="98" t="e">
        <f t="shared" ref="V59:W59" si="223">M59/I59</f>
        <v>#DIV/0!</v>
      </c>
      <c r="W59" s="98" t="e">
        <f t="shared" si="223"/>
        <v>#DIV/0!</v>
      </c>
      <c r="X59" s="98" t="e">
        <f t="shared" si="26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129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298</v>
      </c>
      <c r="D60" s="122" t="s">
        <v>299</v>
      </c>
      <c r="E60" s="92"/>
      <c r="F60" s="93">
        <v>200000</v>
      </c>
      <c r="G60" s="94">
        <f t="shared" si="214"/>
        <v>0</v>
      </c>
      <c r="H60" s="94">
        <f t="shared" si="207"/>
        <v>0</v>
      </c>
      <c r="I60" s="96"/>
      <c r="J60" s="146"/>
      <c r="K60" s="146"/>
      <c r="L60" s="118"/>
      <c r="M60" s="97">
        <f t="shared" si="177"/>
        <v>0</v>
      </c>
      <c r="N60" s="97">
        <f t="shared" ref="N60:O60" si="224">Z60+AC60+AF60+AI60+AL60+AO60+AR60+AU60+AX60+BA60+BD60+BG60</f>
        <v>0</v>
      </c>
      <c r="O60" s="97">
        <f t="shared" si="224"/>
        <v>0</v>
      </c>
      <c r="P60" s="82">
        <f t="shared" ref="P60:R60" si="225">IF(BI60=0,SUM(Y60+AB60+AE60+AH60+AK60+AN60+AQ60+AT60+AW60+AZ60+BC60+BF60),BI60)</f>
        <v>0</v>
      </c>
      <c r="Q60" s="82">
        <f t="shared" si="225"/>
        <v>0</v>
      </c>
      <c r="R60" s="82">
        <f t="shared" si="225"/>
        <v>0</v>
      </c>
      <c r="S60" s="97">
        <f t="shared" si="146"/>
        <v>0</v>
      </c>
      <c r="T60" s="97">
        <f t="shared" si="175"/>
        <v>0</v>
      </c>
      <c r="U60" s="97">
        <f t="shared" si="59"/>
        <v>0</v>
      </c>
      <c r="V60" s="98" t="e">
        <f t="shared" ref="V60:W60" si="226">M60/I60</f>
        <v>#DIV/0!</v>
      </c>
      <c r="W60" s="98" t="e">
        <f t="shared" si="226"/>
        <v>#DIV/0!</v>
      </c>
      <c r="X60" s="98" t="e">
        <f t="shared" si="26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129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229</v>
      </c>
      <c r="D61" s="122" t="s">
        <v>113</v>
      </c>
      <c r="E61" s="92"/>
      <c r="F61" s="93">
        <v>60000</v>
      </c>
      <c r="G61" s="94">
        <f t="shared" si="214"/>
        <v>0</v>
      </c>
      <c r="H61" s="94"/>
      <c r="I61" s="96"/>
      <c r="J61" s="146"/>
      <c r="K61" s="146"/>
      <c r="L61" s="118"/>
      <c r="M61" s="97">
        <f t="shared" si="177"/>
        <v>0</v>
      </c>
      <c r="N61" s="97">
        <f t="shared" ref="N61:O61" si="227">Z61+AC61+AF61+AI61+AL61+AO61+AR61+AU61+AX61+BA61+BD61+BG61</f>
        <v>0</v>
      </c>
      <c r="O61" s="97">
        <f t="shared" si="227"/>
        <v>0</v>
      </c>
      <c r="P61" s="82">
        <f t="shared" ref="P61:R61" si="228">IF(BI61=0,SUM(Y61+AB61+AE61+AH61+AK61+AN61+AQ61+AT61+AW61+AZ61+BC61+BF61),BI61)</f>
        <v>0</v>
      </c>
      <c r="Q61" s="82">
        <f t="shared" si="228"/>
        <v>0</v>
      </c>
      <c r="R61" s="82">
        <f t="shared" si="228"/>
        <v>0</v>
      </c>
      <c r="S61" s="97">
        <f t="shared" si="146"/>
        <v>0</v>
      </c>
      <c r="T61" s="97">
        <f t="shared" si="175"/>
        <v>0</v>
      </c>
      <c r="U61" s="97">
        <f t="shared" si="59"/>
        <v>0</v>
      </c>
      <c r="V61" s="98" t="e">
        <f t="shared" ref="V61:W61" si="229">M61/I61</f>
        <v>#DIV/0!</v>
      </c>
      <c r="W61" s="98" t="e">
        <f t="shared" si="229"/>
        <v>#DIV/0!</v>
      </c>
      <c r="X61" s="98" t="e">
        <f t="shared" si="26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129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114</v>
      </c>
      <c r="D62" s="122" t="s">
        <v>115</v>
      </c>
      <c r="E62" s="92"/>
      <c r="F62" s="93">
        <v>1200000</v>
      </c>
      <c r="G62" s="94">
        <f t="shared" si="214"/>
        <v>0</v>
      </c>
      <c r="H62" s="94"/>
      <c r="I62" s="96"/>
      <c r="J62" s="146"/>
      <c r="K62" s="146"/>
      <c r="L62" s="118"/>
      <c r="M62" s="97">
        <f t="shared" si="177"/>
        <v>0</v>
      </c>
      <c r="N62" s="97">
        <f t="shared" ref="N62:O62" si="230">Z62+AC62+AF62+AI62+AL62+AO62+AR62+AU62+AX62+BA62+BD62+BG62</f>
        <v>0</v>
      </c>
      <c r="O62" s="97">
        <f t="shared" si="230"/>
        <v>0</v>
      </c>
      <c r="P62" s="82">
        <f t="shared" ref="P62:R62" si="231">IF(BI62=0,SUM(Y62+AB62+AE62+AH62+AK62+AN62+AQ62+AT62+AW62+AZ62+BC62+BF62),BI62)</f>
        <v>0</v>
      </c>
      <c r="Q62" s="82">
        <f t="shared" si="231"/>
        <v>0</v>
      </c>
      <c r="R62" s="82">
        <f t="shared" si="231"/>
        <v>0</v>
      </c>
      <c r="S62" s="97">
        <f t="shared" si="146"/>
        <v>0</v>
      </c>
      <c r="T62" s="97">
        <f t="shared" si="175"/>
        <v>0</v>
      </c>
      <c r="U62" s="97">
        <f t="shared" si="59"/>
        <v>0</v>
      </c>
      <c r="V62" s="98" t="e">
        <f t="shared" ref="V62:W62" si="232">M62/I62</f>
        <v>#DIV/0!</v>
      </c>
      <c r="W62" s="98" t="e">
        <f t="shared" si="232"/>
        <v>#DIV/0!</v>
      </c>
      <c r="X62" s="98" t="e">
        <f t="shared" si="26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129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90" t="s">
        <v>114</v>
      </c>
      <c r="D63" s="122" t="s">
        <v>300</v>
      </c>
      <c r="E63" s="147"/>
      <c r="F63" s="148">
        <v>100000</v>
      </c>
      <c r="G63" s="94" t="e">
        <f t="shared" ref="G63:G80" si="233">I63/E63</f>
        <v>#DIV/0!</v>
      </c>
      <c r="H63" s="94" t="e">
        <f t="shared" ref="H63:H80" si="234">M63/E63</f>
        <v>#DIV/0!</v>
      </c>
      <c r="I63" s="96"/>
      <c r="J63" s="146"/>
      <c r="K63" s="146"/>
      <c r="L63" s="118"/>
      <c r="M63" s="97">
        <f t="shared" si="177"/>
        <v>0</v>
      </c>
      <c r="N63" s="97">
        <f t="shared" ref="N63:O63" si="235">Z63+AC63+AF63+AI63+AL63+AO63+AR63+AU63+AX63+BA63+BD63+BG63</f>
        <v>0</v>
      </c>
      <c r="O63" s="97">
        <f t="shared" si="235"/>
        <v>0</v>
      </c>
      <c r="P63" s="82">
        <f t="shared" ref="P63:R63" si="236">IF(BI63=0,SUM(Y63+AB63+AE63+AH63+AK63+AN63+AQ63+AT63+AW63+AZ63+BC63+BF63),BI63)</f>
        <v>0</v>
      </c>
      <c r="Q63" s="82">
        <f t="shared" si="236"/>
        <v>0</v>
      </c>
      <c r="R63" s="82">
        <f t="shared" si="236"/>
        <v>0</v>
      </c>
      <c r="S63" s="97">
        <f t="shared" si="146"/>
        <v>0</v>
      </c>
      <c r="T63" s="97">
        <f t="shared" si="175"/>
        <v>0</v>
      </c>
      <c r="U63" s="97">
        <f t="shared" si="59"/>
        <v>0</v>
      </c>
      <c r="V63" s="98" t="e">
        <f t="shared" ref="V63:W63" si="237">M63/I63</f>
        <v>#DIV/0!</v>
      </c>
      <c r="W63" s="98" t="e">
        <f t="shared" si="237"/>
        <v>#DIV/0!</v>
      </c>
      <c r="X63" s="98" t="e">
        <f t="shared" si="26"/>
        <v>#DIV/0!</v>
      </c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129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117</v>
      </c>
      <c r="E64" s="147"/>
      <c r="F64" s="148">
        <v>500000</v>
      </c>
      <c r="G64" s="94" t="e">
        <f t="shared" si="233"/>
        <v>#DIV/0!</v>
      </c>
      <c r="H64" s="94" t="e">
        <f t="shared" si="234"/>
        <v>#DIV/0!</v>
      </c>
      <c r="I64" s="96"/>
      <c r="J64" s="146"/>
      <c r="K64" s="146"/>
      <c r="L64" s="118"/>
      <c r="M64" s="97">
        <f t="shared" si="177"/>
        <v>0</v>
      </c>
      <c r="N64" s="97">
        <f t="shared" ref="N64:O64" si="238">Z64+AC64+AF64+AI64+AL64+AO64+AR64+AU64+AX64+BA64+BD64+BG64</f>
        <v>0</v>
      </c>
      <c r="O64" s="97">
        <f t="shared" si="238"/>
        <v>0</v>
      </c>
      <c r="P64" s="82">
        <f t="shared" ref="P64:R64" si="239">IF(BI64=0,SUM(Y64+AB64+AE64+AH64+AK64+AN64+AQ64+AT64+AW64+AZ64+BC64+BF64),BI64)</f>
        <v>0</v>
      </c>
      <c r="Q64" s="82">
        <f t="shared" si="239"/>
        <v>0</v>
      </c>
      <c r="R64" s="82">
        <f t="shared" si="239"/>
        <v>0</v>
      </c>
      <c r="S64" s="97">
        <f t="shared" si="146"/>
        <v>0</v>
      </c>
      <c r="T64" s="97">
        <f t="shared" si="175"/>
        <v>0</v>
      </c>
      <c r="U64" s="97">
        <f t="shared" si="59"/>
        <v>0</v>
      </c>
      <c r="V64" s="98" t="e">
        <f t="shared" ref="V64:W64" si="240">M64/I64</f>
        <v>#DIV/0!</v>
      </c>
      <c r="W64" s="98" t="e">
        <f t="shared" si="240"/>
        <v>#DIV/0!</v>
      </c>
      <c r="X64" s="98" t="e">
        <f t="shared" si="26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9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118</v>
      </c>
      <c r="E65" s="147"/>
      <c r="F65" s="148">
        <v>100000</v>
      </c>
      <c r="G65" s="94" t="e">
        <f t="shared" si="233"/>
        <v>#DIV/0!</v>
      </c>
      <c r="H65" s="94" t="e">
        <f t="shared" si="234"/>
        <v>#DIV/0!</v>
      </c>
      <c r="I65" s="96"/>
      <c r="J65" s="126"/>
      <c r="K65" s="126"/>
      <c r="L65" s="118"/>
      <c r="M65" s="97">
        <f t="shared" si="177"/>
        <v>0</v>
      </c>
      <c r="N65" s="97">
        <f t="shared" ref="N65:O65" si="241">Z65+AC65+AF65+AI65+AL65+AO65+AR65+AU65+AX65+BA65+BD65+BG65</f>
        <v>0</v>
      </c>
      <c r="O65" s="97">
        <f t="shared" si="241"/>
        <v>0</v>
      </c>
      <c r="P65" s="82">
        <f t="shared" ref="P65:R65" si="242">IF(BI65=0,SUM(Y65+AB65+AE65+AH65+AK65+AN65+AQ65+AT65+AW65+AZ65+BC65+BF65),BI65)</f>
        <v>0</v>
      </c>
      <c r="Q65" s="82">
        <f t="shared" si="242"/>
        <v>0</v>
      </c>
      <c r="R65" s="82">
        <f t="shared" si="242"/>
        <v>0</v>
      </c>
      <c r="S65" s="97">
        <f t="shared" si="146"/>
        <v>0</v>
      </c>
      <c r="T65" s="97">
        <f t="shared" si="175"/>
        <v>0</v>
      </c>
      <c r="U65" s="97">
        <f t="shared" si="59"/>
        <v>0</v>
      </c>
      <c r="V65" s="98" t="e">
        <f t="shared" ref="V65:W65" si="243">M65/I65</f>
        <v>#DIV/0!</v>
      </c>
      <c r="W65" s="98" t="e">
        <f t="shared" si="243"/>
        <v>#DIV/0!</v>
      </c>
      <c r="X65" s="98" t="e">
        <f t="shared" si="26"/>
        <v>#DIV/0!</v>
      </c>
      <c r="Y65" s="103">
        <v>0</v>
      </c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129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89"/>
      <c r="C66" s="90" t="s">
        <v>114</v>
      </c>
      <c r="D66" s="122" t="s">
        <v>119</v>
      </c>
      <c r="E66" s="147"/>
      <c r="F66" s="148">
        <v>150000</v>
      </c>
      <c r="G66" s="94" t="e">
        <f t="shared" si="233"/>
        <v>#DIV/0!</v>
      </c>
      <c r="H66" s="94" t="e">
        <f t="shared" si="234"/>
        <v>#DIV/0!</v>
      </c>
      <c r="I66" s="96"/>
      <c r="J66" s="146"/>
      <c r="K66" s="146"/>
      <c r="L66" s="95"/>
      <c r="M66" s="97">
        <f t="shared" si="177"/>
        <v>0</v>
      </c>
      <c r="N66" s="97">
        <f t="shared" ref="N66:O66" si="244">Z66+AC66+AF66+AI66+AL66+AO66+AR66+AU66+AX66+BA66+BD66+BG66</f>
        <v>0</v>
      </c>
      <c r="O66" s="97">
        <f t="shared" si="244"/>
        <v>0</v>
      </c>
      <c r="P66" s="82">
        <f t="shared" ref="P66:R66" si="245">IF(BI66=0,SUM(Y66+AB66+AE66+AH66+AK66+AN66+AQ66+AT66+AW66+AZ66+BC66+BF66),BI66)</f>
        <v>0</v>
      </c>
      <c r="Q66" s="82">
        <f t="shared" si="245"/>
        <v>0</v>
      </c>
      <c r="R66" s="82">
        <f t="shared" si="245"/>
        <v>0</v>
      </c>
      <c r="S66" s="97">
        <f t="shared" si="146"/>
        <v>0</v>
      </c>
      <c r="T66" s="97">
        <f t="shared" si="175"/>
        <v>0</v>
      </c>
      <c r="U66" s="97">
        <f t="shared" si="59"/>
        <v>0</v>
      </c>
      <c r="V66" s="98" t="e">
        <f t="shared" ref="V66:W66" si="246">M66/I66</f>
        <v>#DIV/0!</v>
      </c>
      <c r="W66" s="98" t="e">
        <f t="shared" si="246"/>
        <v>#DIV/0!</v>
      </c>
      <c r="X66" s="98" t="e">
        <f t="shared" si="26"/>
        <v>#DIV/0!</v>
      </c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6"/>
      <c r="B67" s="86"/>
      <c r="C67" s="86" t="s">
        <v>301</v>
      </c>
      <c r="D67" s="86"/>
      <c r="E67" s="87">
        <f>E68+E80+E84+E89</f>
        <v>267218.16000000003</v>
      </c>
      <c r="F67" s="87">
        <f>F68+F80+F89</f>
        <v>21041.95</v>
      </c>
      <c r="G67" s="107">
        <f t="shared" si="233"/>
        <v>0.26573062998412977</v>
      </c>
      <c r="H67" s="107">
        <f t="shared" si="234"/>
        <v>5.502941865927076E-2</v>
      </c>
      <c r="I67" s="87">
        <f t="shared" ref="I67:Q67" si="247">I68+I75+I76+I77+I80+I84+I89</f>
        <v>71008.05</v>
      </c>
      <c r="J67" s="87">
        <f t="shared" si="247"/>
        <v>84340.34</v>
      </c>
      <c r="K67" s="87">
        <f t="shared" si="247"/>
        <v>0</v>
      </c>
      <c r="L67" s="87">
        <f t="shared" si="247"/>
        <v>0</v>
      </c>
      <c r="M67" s="87">
        <f t="shared" si="247"/>
        <v>14704.86</v>
      </c>
      <c r="N67" s="87">
        <f t="shared" si="247"/>
        <v>22103.02</v>
      </c>
      <c r="O67" s="87">
        <f t="shared" si="247"/>
        <v>0</v>
      </c>
      <c r="P67" s="87">
        <f t="shared" si="247"/>
        <v>15267.86</v>
      </c>
      <c r="Q67" s="87">
        <f t="shared" si="247"/>
        <v>22103.02</v>
      </c>
      <c r="R67" s="87">
        <f>IF(BK67=0,SUM(AA67+AD67+AG67+AJ67+AM67+AP67+AS67+AV67+AY67+BB67+BE67+BH67),BK67)</f>
        <v>0</v>
      </c>
      <c r="S67" s="87">
        <f>S68+S75+S76+S77+S80+S84+S89</f>
        <v>55740.19</v>
      </c>
      <c r="T67" s="87">
        <f>T68+T84</f>
        <v>62237.32</v>
      </c>
      <c r="U67" s="87">
        <f>U68+U75+U76+U77+U80+U84+U89</f>
        <v>0</v>
      </c>
      <c r="V67" s="88">
        <f t="shared" ref="V67:W67" si="248">M67/I67</f>
        <v>0.20708722461749055</v>
      </c>
      <c r="W67" s="88">
        <f t="shared" si="248"/>
        <v>0.26206937273432857</v>
      </c>
      <c r="X67" s="88" t="e">
        <f t="shared" si="26"/>
        <v>#DIV/0!</v>
      </c>
      <c r="Y67" s="87">
        <f t="shared" ref="Y67:BK67" si="249">Y68+Y75+Y76+Y77+Y80+Y84+Y89</f>
        <v>0</v>
      </c>
      <c r="Z67" s="87">
        <f t="shared" si="249"/>
        <v>4595.8899999999994</v>
      </c>
      <c r="AA67" s="87">
        <f t="shared" si="249"/>
        <v>0</v>
      </c>
      <c r="AB67" s="87">
        <f t="shared" si="249"/>
        <v>0</v>
      </c>
      <c r="AC67" s="87">
        <f t="shared" si="249"/>
        <v>7931.1</v>
      </c>
      <c r="AD67" s="87">
        <f t="shared" si="249"/>
        <v>0</v>
      </c>
      <c r="AE67" s="87">
        <f t="shared" si="249"/>
        <v>0</v>
      </c>
      <c r="AF67" s="87">
        <f t="shared" si="249"/>
        <v>5181.2700000000004</v>
      </c>
      <c r="AG67" s="87">
        <f t="shared" si="249"/>
        <v>0</v>
      </c>
      <c r="AH67" s="87">
        <f t="shared" si="249"/>
        <v>0</v>
      </c>
      <c r="AI67" s="87">
        <f t="shared" si="249"/>
        <v>3205.84</v>
      </c>
      <c r="AJ67" s="87">
        <f t="shared" si="249"/>
        <v>0</v>
      </c>
      <c r="AK67" s="87">
        <f t="shared" si="249"/>
        <v>3228</v>
      </c>
      <c r="AL67" s="87">
        <f t="shared" si="249"/>
        <v>855.3</v>
      </c>
      <c r="AM67" s="87">
        <f t="shared" si="249"/>
        <v>0</v>
      </c>
      <c r="AN67" s="87">
        <f t="shared" si="249"/>
        <v>12039.86</v>
      </c>
      <c r="AO67" s="87">
        <f t="shared" si="249"/>
        <v>333.62</v>
      </c>
      <c r="AP67" s="87">
        <f t="shared" si="249"/>
        <v>0</v>
      </c>
      <c r="AQ67" s="87">
        <f t="shared" si="249"/>
        <v>0</v>
      </c>
      <c r="AR67" s="87">
        <f t="shared" si="249"/>
        <v>0</v>
      </c>
      <c r="AS67" s="87">
        <f t="shared" si="249"/>
        <v>0</v>
      </c>
      <c r="AT67" s="87">
        <f t="shared" si="249"/>
        <v>0</v>
      </c>
      <c r="AU67" s="87">
        <f t="shared" si="249"/>
        <v>0</v>
      </c>
      <c r="AV67" s="87">
        <f t="shared" si="249"/>
        <v>0</v>
      </c>
      <c r="AW67" s="87">
        <f t="shared" si="249"/>
        <v>0</v>
      </c>
      <c r="AX67" s="87">
        <f t="shared" si="249"/>
        <v>0</v>
      </c>
      <c r="AY67" s="87">
        <f t="shared" si="249"/>
        <v>0</v>
      </c>
      <c r="AZ67" s="87">
        <f t="shared" si="249"/>
        <v>0</v>
      </c>
      <c r="BA67" s="87">
        <f t="shared" si="249"/>
        <v>0</v>
      </c>
      <c r="BB67" s="87">
        <f t="shared" si="249"/>
        <v>0</v>
      </c>
      <c r="BC67" s="87">
        <f t="shared" si="249"/>
        <v>0</v>
      </c>
      <c r="BD67" s="87">
        <f t="shared" si="249"/>
        <v>0</v>
      </c>
      <c r="BE67" s="87">
        <f t="shared" si="249"/>
        <v>0</v>
      </c>
      <c r="BF67" s="87">
        <f t="shared" si="249"/>
        <v>0</v>
      </c>
      <c r="BG67" s="87">
        <f t="shared" si="249"/>
        <v>0</v>
      </c>
      <c r="BH67" s="87">
        <f t="shared" si="249"/>
        <v>0</v>
      </c>
      <c r="BI67" s="87">
        <f t="shared" si="249"/>
        <v>0</v>
      </c>
      <c r="BJ67" s="87">
        <f t="shared" si="249"/>
        <v>0</v>
      </c>
      <c r="BK67" s="87">
        <f t="shared" si="249"/>
        <v>0</v>
      </c>
      <c r="BL67" s="149"/>
      <c r="BM67" s="150"/>
      <c r="BN67" s="150"/>
      <c r="BO67" s="150"/>
      <c r="BP67" s="150"/>
    </row>
    <row r="68" spans="1:68" ht="15.75" customHeight="1">
      <c r="A68" s="151"/>
      <c r="B68" s="151"/>
      <c r="C68" s="152"/>
      <c r="D68" s="153" t="s">
        <v>302</v>
      </c>
      <c r="E68" s="154">
        <f>SUM(E69:E77)</f>
        <v>151589.62000000002</v>
      </c>
      <c r="F68" s="154">
        <f>SUM(F70:F77)</f>
        <v>0</v>
      </c>
      <c r="G68" s="155">
        <f t="shared" si="233"/>
        <v>0.42473257733609987</v>
      </c>
      <c r="H68" s="155">
        <f t="shared" si="234"/>
        <v>8.2148500669109129E-2</v>
      </c>
      <c r="I68" s="154">
        <f>SUM(I69:I74)</f>
        <v>64385.05</v>
      </c>
      <c r="J68" s="154">
        <f t="shared" ref="J68:K68" si="250">SUM(J70:J74)</f>
        <v>10402.67</v>
      </c>
      <c r="K68" s="154">
        <f t="shared" si="250"/>
        <v>0</v>
      </c>
      <c r="L68" s="154">
        <f>SUM(L70:L71)</f>
        <v>0</v>
      </c>
      <c r="M68" s="154">
        <f>SUM(M69:M74)</f>
        <v>12452.86</v>
      </c>
      <c r="N68" s="154">
        <f>SUM(N70:N74)</f>
        <v>6169.62</v>
      </c>
      <c r="O68" s="154">
        <f>SUM(O69:O74)</f>
        <v>0</v>
      </c>
      <c r="P68" s="81">
        <f t="shared" ref="P68:R68" si="251">IF(BI68=0,SUM(Y68+AB68+AE68+AH68+AK68+AN68+AQ68+AT68+AW68+AZ68+BC68+BF68),BI68)</f>
        <v>12452.86</v>
      </c>
      <c r="Q68" s="81">
        <f t="shared" si="251"/>
        <v>6169.62</v>
      </c>
      <c r="R68" s="81">
        <f t="shared" si="251"/>
        <v>0</v>
      </c>
      <c r="S68" s="154">
        <f t="shared" ref="S68:T68" si="252">SUM(S69:S74)</f>
        <v>51932.19</v>
      </c>
      <c r="T68" s="154">
        <f t="shared" si="252"/>
        <v>4233.05</v>
      </c>
      <c r="U68" s="154">
        <f>SUM(U70:U74)</f>
        <v>0</v>
      </c>
      <c r="V68" s="156">
        <f t="shared" ref="V68:W68" si="253">M68/I68</f>
        <v>0.19341229058609102</v>
      </c>
      <c r="W68" s="156">
        <f t="shared" si="253"/>
        <v>0.59308043031260238</v>
      </c>
      <c r="X68" s="156" t="e">
        <f t="shared" si="26"/>
        <v>#DIV/0!</v>
      </c>
      <c r="Y68" s="154">
        <f>SUM(Y70:Y71)</f>
        <v>0</v>
      </c>
      <c r="Z68" s="154">
        <f>SUM(Z70:Z74)</f>
        <v>324.49</v>
      </c>
      <c r="AA68" s="154">
        <f t="shared" ref="AA68:AB68" si="254">SUM(AA70:AA71)</f>
        <v>0</v>
      </c>
      <c r="AB68" s="154">
        <f t="shared" si="254"/>
        <v>0</v>
      </c>
      <c r="AC68" s="154">
        <f>SUM(AC70:AC74)</f>
        <v>1301.0999999999999</v>
      </c>
      <c r="AD68" s="154">
        <f>SUM(AD70:AD71)</f>
        <v>0</v>
      </c>
      <c r="AE68" s="154">
        <f t="shared" ref="AE68:AF68" si="255">SUM(AE70:AE74)</f>
        <v>0</v>
      </c>
      <c r="AF68" s="154">
        <f t="shared" si="255"/>
        <v>2089.27</v>
      </c>
      <c r="AG68" s="154">
        <f>SUM(AG70:AG71)</f>
        <v>0</v>
      </c>
      <c r="AH68" s="154">
        <f t="shared" ref="AH68:AI68" si="256">SUM(AH70:AH74)</f>
        <v>0</v>
      </c>
      <c r="AI68" s="154">
        <f t="shared" si="256"/>
        <v>1265.8399999999999</v>
      </c>
      <c r="AJ68" s="154">
        <f>SUM(AJ70:AJ71)</f>
        <v>0</v>
      </c>
      <c r="AK68" s="154">
        <f t="shared" ref="AK68:AL68" si="257">SUM(AK70:AK74)</f>
        <v>3228</v>
      </c>
      <c r="AL68" s="154">
        <f t="shared" si="257"/>
        <v>855.3</v>
      </c>
      <c r="AM68" s="154">
        <f>SUM(AM70:AM71)</f>
        <v>0</v>
      </c>
      <c r="AN68" s="154">
        <f t="shared" ref="AN68:AO68" si="258">SUM(AN70:AN74)</f>
        <v>9224.86</v>
      </c>
      <c r="AO68" s="154">
        <f t="shared" si="258"/>
        <v>333.62</v>
      </c>
      <c r="AP68" s="154">
        <f>SUM(AP70:AP71)</f>
        <v>0</v>
      </c>
      <c r="AQ68" s="154">
        <f>SUM(AQ70:AQ74)</f>
        <v>0</v>
      </c>
      <c r="AR68" s="154">
        <f t="shared" ref="AR68:AS68" si="259">SUM(AR70:AR71)</f>
        <v>0</v>
      </c>
      <c r="AS68" s="154">
        <f t="shared" si="259"/>
        <v>0</v>
      </c>
      <c r="AT68" s="154">
        <f>SUM(AT70:AT74)</f>
        <v>0</v>
      </c>
      <c r="AU68" s="154">
        <f>SUM(AU70:AU76)</f>
        <v>0</v>
      </c>
      <c r="AV68" s="154">
        <f>SUM(AV70:AV71)</f>
        <v>0</v>
      </c>
      <c r="AW68" s="154">
        <f t="shared" ref="AW68:AX68" si="260">SUM(AW70:AW74)</f>
        <v>0</v>
      </c>
      <c r="AX68" s="154">
        <f t="shared" si="260"/>
        <v>0</v>
      </c>
      <c r="AY68" s="154">
        <f t="shared" ref="AY68:AZ68" si="261">SUM(AY70:AY71)</f>
        <v>0</v>
      </c>
      <c r="AZ68" s="154">
        <f t="shared" si="261"/>
        <v>0</v>
      </c>
      <c r="BA68" s="154">
        <f>SUM(BA70:BA76)</f>
        <v>0</v>
      </c>
      <c r="BB68" s="154">
        <f t="shared" ref="BB68:BH68" si="262">SUM(BB70:BB71)</f>
        <v>0</v>
      </c>
      <c r="BC68" s="154">
        <f t="shared" si="262"/>
        <v>0</v>
      </c>
      <c r="BD68" s="154">
        <f t="shared" si="262"/>
        <v>0</v>
      </c>
      <c r="BE68" s="154">
        <f t="shared" si="262"/>
        <v>0</v>
      </c>
      <c r="BF68" s="154">
        <f t="shared" si="262"/>
        <v>0</v>
      </c>
      <c r="BG68" s="154">
        <f t="shared" si="262"/>
        <v>0</v>
      </c>
      <c r="BH68" s="154">
        <f t="shared" si="262"/>
        <v>0</v>
      </c>
      <c r="BI68" s="154">
        <f t="shared" ref="BI68:BK68" si="263">SUM(BI69:BI74)</f>
        <v>0</v>
      </c>
      <c r="BJ68" s="154">
        <f t="shared" si="263"/>
        <v>0</v>
      </c>
      <c r="BK68" s="154">
        <f t="shared" si="263"/>
        <v>0</v>
      </c>
      <c r="BL68" s="157"/>
      <c r="BM68" s="158"/>
      <c r="BN68" s="158"/>
      <c r="BO68" s="158"/>
      <c r="BP68" s="158"/>
    </row>
    <row r="69" spans="1:68" ht="15.75" customHeight="1">
      <c r="A69" s="89" t="s">
        <v>509</v>
      </c>
      <c r="B69" s="159"/>
      <c r="C69" s="160" t="s">
        <v>200</v>
      </c>
      <c r="D69" s="161" t="s">
        <v>201</v>
      </c>
      <c r="E69" s="162">
        <v>1500</v>
      </c>
      <c r="F69" s="142"/>
      <c r="G69" s="94">
        <f t="shared" si="233"/>
        <v>1</v>
      </c>
      <c r="H69" s="94">
        <f t="shared" si="234"/>
        <v>0</v>
      </c>
      <c r="I69" s="142">
        <v>1500</v>
      </c>
      <c r="J69" s="117"/>
      <c r="K69" s="117"/>
      <c r="L69" s="118"/>
      <c r="M69" s="97">
        <f t="shared" ref="M69:O69" si="264">Y69+AB69+AE69+AH69+AK69+AN69+AQ69+AT69+AW69+AZ69+BC69+BF69</f>
        <v>0</v>
      </c>
      <c r="N69" s="97">
        <f t="shared" si="264"/>
        <v>0</v>
      </c>
      <c r="O69" s="97">
        <f t="shared" si="264"/>
        <v>0</v>
      </c>
      <c r="P69" s="82">
        <f t="shared" ref="P69:R69" si="265">IF(BI69=0,SUM(Y69+AB69+AE69+AH69+AK69+AN69+AQ69+AT69+AW69+AZ69+BC69+BF69),BI69)</f>
        <v>0</v>
      </c>
      <c r="Q69" s="82">
        <f t="shared" si="265"/>
        <v>0</v>
      </c>
      <c r="R69" s="82">
        <f t="shared" si="265"/>
        <v>0</v>
      </c>
      <c r="S69" s="97">
        <f t="shared" ref="S69:T69" si="266">I69-M69</f>
        <v>1500</v>
      </c>
      <c r="T69" s="97">
        <f t="shared" si="266"/>
        <v>0</v>
      </c>
      <c r="U69" s="97">
        <f t="shared" ref="U69:U76" si="267">L69-O69</f>
        <v>0</v>
      </c>
      <c r="V69" s="98">
        <f t="shared" ref="V69:W69" si="268">M69/I69</f>
        <v>0</v>
      </c>
      <c r="W69" s="98" t="e">
        <f t="shared" si="268"/>
        <v>#DIV/0!</v>
      </c>
      <c r="X69" s="98" t="e">
        <f t="shared" si="26"/>
        <v>#DIV/0!</v>
      </c>
      <c r="Y69" s="96"/>
      <c r="Z69" s="96"/>
      <c r="AA69" s="96"/>
      <c r="AB69" s="96"/>
      <c r="AC69" s="119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83"/>
      <c r="AW69" s="96"/>
      <c r="AX69" s="83"/>
      <c r="AY69" s="83"/>
      <c r="AZ69" s="96"/>
      <c r="BA69" s="83"/>
      <c r="BB69" s="83"/>
      <c r="BC69" s="96"/>
      <c r="BD69" s="96"/>
      <c r="BE69" s="83"/>
      <c r="BF69" s="96"/>
      <c r="BG69" s="83"/>
      <c r="BH69" s="83"/>
      <c r="BI69" s="96"/>
      <c r="BJ69" s="83"/>
      <c r="BK69" s="83"/>
      <c r="BL69" s="99"/>
      <c r="BM69" s="164"/>
      <c r="BN69" s="164"/>
      <c r="BO69" s="164"/>
      <c r="BP69" s="164"/>
    </row>
    <row r="70" spans="1:68" ht="15.75" customHeight="1">
      <c r="A70" s="369" t="s">
        <v>711</v>
      </c>
      <c r="B70" s="159" t="s">
        <v>303</v>
      </c>
      <c r="C70" s="160" t="s">
        <v>304</v>
      </c>
      <c r="D70" s="161" t="s">
        <v>712</v>
      </c>
      <c r="E70" s="162">
        <v>10000</v>
      </c>
      <c r="F70" s="142"/>
      <c r="G70" s="94">
        <f t="shared" si="233"/>
        <v>0.29244000000000003</v>
      </c>
      <c r="H70" s="94">
        <f t="shared" si="234"/>
        <v>0</v>
      </c>
      <c r="I70" s="367">
        <v>2924.4</v>
      </c>
      <c r="J70" s="117">
        <v>5435.51</v>
      </c>
      <c r="K70" s="117"/>
      <c r="L70" s="118"/>
      <c r="M70" s="97">
        <f t="shared" ref="M70:O70" si="269">Y70+AB70+AE70+AH70+AK70+AN70+AQ70+AT70+AW70+AZ70+BC70+BF70</f>
        <v>0</v>
      </c>
      <c r="N70" s="97">
        <f t="shared" si="269"/>
        <v>1848.13</v>
      </c>
      <c r="O70" s="97">
        <f t="shared" si="269"/>
        <v>0</v>
      </c>
      <c r="P70" s="82">
        <f t="shared" ref="P70:R70" si="270">IF(BI70=0,SUM(Y70+AB70+AE70+AH70+AK70+AN70+AQ70+AT70+AW70+AZ70+BC70+BF70),BI70)</f>
        <v>0</v>
      </c>
      <c r="Q70" s="82">
        <f t="shared" si="270"/>
        <v>1848.13</v>
      </c>
      <c r="R70" s="82">
        <f t="shared" si="270"/>
        <v>0</v>
      </c>
      <c r="S70" s="97">
        <f t="shared" ref="S70:T70" si="271">I70-M70</f>
        <v>2924.4</v>
      </c>
      <c r="T70" s="97">
        <f t="shared" si="271"/>
        <v>3587.38</v>
      </c>
      <c r="U70" s="97">
        <f t="shared" si="267"/>
        <v>0</v>
      </c>
      <c r="V70" s="98">
        <f t="shared" ref="V70:W70" si="272">M70/I70</f>
        <v>0</v>
      </c>
      <c r="W70" s="98">
        <f t="shared" si="272"/>
        <v>0.34001041300632323</v>
      </c>
      <c r="X70" s="98" t="e">
        <f t="shared" si="26"/>
        <v>#DIV/0!</v>
      </c>
      <c r="Y70" s="96"/>
      <c r="Z70" s="103">
        <v>324.49</v>
      </c>
      <c r="AA70" s="96"/>
      <c r="AB70" s="96"/>
      <c r="AC70" s="131">
        <v>0</v>
      </c>
      <c r="AD70" s="96"/>
      <c r="AE70" s="96"/>
      <c r="AF70" s="103">
        <v>358.36</v>
      </c>
      <c r="AG70" s="96"/>
      <c r="AH70" s="96"/>
      <c r="AI70" s="103">
        <f>362.01+425.9</f>
        <v>787.91</v>
      </c>
      <c r="AJ70" s="96"/>
      <c r="AK70" s="96"/>
      <c r="AL70" s="103">
        <v>377.37</v>
      </c>
      <c r="AM70" s="96"/>
      <c r="AN70" s="103">
        <v>0</v>
      </c>
      <c r="AO70" s="96"/>
      <c r="AP70" s="96"/>
      <c r="AQ70" s="103">
        <v>0</v>
      </c>
      <c r="AR70" s="103">
        <v>0</v>
      </c>
      <c r="AS70" s="96"/>
      <c r="AT70" s="103">
        <v>0</v>
      </c>
      <c r="AU70" s="103">
        <v>0</v>
      </c>
      <c r="AV70" s="83"/>
      <c r="AW70" s="103">
        <v>0</v>
      </c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54" t="s">
        <v>607</v>
      </c>
      <c r="B71" s="136"/>
      <c r="C71" s="101" t="s">
        <v>306</v>
      </c>
      <c r="D71" s="236" t="s">
        <v>713</v>
      </c>
      <c r="E71" s="92">
        <v>30000</v>
      </c>
      <c r="F71" s="166"/>
      <c r="G71" s="94">
        <f t="shared" si="233"/>
        <v>0.90180000000000005</v>
      </c>
      <c r="H71" s="94">
        <f t="shared" si="234"/>
        <v>0.16700000000000001</v>
      </c>
      <c r="I71" s="103">
        <f>3006+24048</f>
        <v>27054</v>
      </c>
      <c r="J71" s="117"/>
      <c r="K71" s="117"/>
      <c r="L71" s="118"/>
      <c r="M71" s="97">
        <f t="shared" ref="M71:O71" si="273">Y71+AB71+AE71+AH71+AK71+AN71+AQ71+AT71+AW71+AZ71+BC71+BF71</f>
        <v>5010</v>
      </c>
      <c r="N71" s="97">
        <f t="shared" si="273"/>
        <v>0</v>
      </c>
      <c r="O71" s="97">
        <f t="shared" si="273"/>
        <v>0</v>
      </c>
      <c r="P71" s="82">
        <f t="shared" ref="P71:R71" si="274">IF(BI71=0,SUM(Y71+AB71+AE71+AH71+AK71+AN71+AQ71+AT71+AW71+AZ71+BC71+BF71),BI71)</f>
        <v>5010</v>
      </c>
      <c r="Q71" s="82">
        <f t="shared" si="274"/>
        <v>0</v>
      </c>
      <c r="R71" s="82">
        <f t="shared" si="274"/>
        <v>0</v>
      </c>
      <c r="S71" s="97">
        <f t="shared" ref="S71:T71" si="275">I71-M71</f>
        <v>22044</v>
      </c>
      <c r="T71" s="97">
        <f t="shared" si="275"/>
        <v>0</v>
      </c>
      <c r="U71" s="97">
        <f t="shared" si="267"/>
        <v>0</v>
      </c>
      <c r="V71" s="98">
        <f t="shared" ref="V71:W71" si="276">M71/I71</f>
        <v>0.18518518518518517</v>
      </c>
      <c r="W71" s="98" t="e">
        <f t="shared" si="276"/>
        <v>#DIV/0!</v>
      </c>
      <c r="X71" s="98" t="e">
        <f t="shared" si="26"/>
        <v>#DIV/0!</v>
      </c>
      <c r="Y71" s="96"/>
      <c r="Z71" s="103">
        <v>0</v>
      </c>
      <c r="AA71" s="96"/>
      <c r="AB71" s="96"/>
      <c r="AC71" s="131">
        <v>0</v>
      </c>
      <c r="AD71" s="96"/>
      <c r="AE71" s="103">
        <v>0</v>
      </c>
      <c r="AF71" s="96"/>
      <c r="AG71" s="96"/>
      <c r="AH71" s="103">
        <v>0</v>
      </c>
      <c r="AI71" s="96"/>
      <c r="AJ71" s="96"/>
      <c r="AK71" s="103">
        <v>2004</v>
      </c>
      <c r="AL71" s="103"/>
      <c r="AM71" s="96"/>
      <c r="AN71" s="103">
        <v>3006</v>
      </c>
      <c r="AO71" s="96"/>
      <c r="AP71" s="96"/>
      <c r="AQ71" s="103">
        <v>0</v>
      </c>
      <c r="AR71" s="96"/>
      <c r="AS71" s="96"/>
      <c r="AT71" s="103">
        <v>0</v>
      </c>
      <c r="AU71" s="96"/>
      <c r="AV71" s="83"/>
      <c r="AW71" s="103">
        <v>0</v>
      </c>
      <c r="AX71" s="83"/>
      <c r="AY71" s="83"/>
      <c r="AZ71" s="103">
        <v>0</v>
      </c>
      <c r="BA71" s="83"/>
      <c r="BB71" s="83"/>
      <c r="BC71" s="96"/>
      <c r="BD71" s="83"/>
      <c r="BE71" s="83"/>
      <c r="BF71" s="83"/>
      <c r="BG71" s="83"/>
      <c r="BH71" s="83"/>
      <c r="BI71" s="83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354" t="s">
        <v>714</v>
      </c>
      <c r="B72" s="136" t="s">
        <v>308</v>
      </c>
      <c r="C72" s="101" t="s">
        <v>240</v>
      </c>
      <c r="D72" s="91" t="s">
        <v>715</v>
      </c>
      <c r="E72" s="92">
        <v>5200</v>
      </c>
      <c r="F72" s="166"/>
      <c r="G72" s="94">
        <f t="shared" si="233"/>
        <v>0.73527692307692305</v>
      </c>
      <c r="H72" s="94">
        <f t="shared" si="234"/>
        <v>2.7751923076923077E-2</v>
      </c>
      <c r="I72" s="96">
        <f>3823.44</f>
        <v>3823.44</v>
      </c>
      <c r="J72" s="117">
        <v>2723.27</v>
      </c>
      <c r="K72" s="117"/>
      <c r="L72" s="118"/>
      <c r="M72" s="97">
        <f t="shared" ref="M72:O72" si="277">Y72+AB72+AE72+AH72+AK72+AN72+AQ72+AT72+AW72+AZ72+BC72+BF72</f>
        <v>144.31</v>
      </c>
      <c r="N72" s="97">
        <f t="shared" si="277"/>
        <v>2723.27</v>
      </c>
      <c r="O72" s="97">
        <f t="shared" si="277"/>
        <v>0</v>
      </c>
      <c r="P72" s="82">
        <f t="shared" ref="P72:P87" si="278">IF(BI72=0,SUM(Y72+AB72+AE72+AH72+AK72+AN72+AQ72+AT72+AW72+AZ72+BC72+BF72),BI72)</f>
        <v>144.31</v>
      </c>
      <c r="Q72" s="82">
        <f>IF(BJ72=0,SUM(Z72+AC72+AF72+AI72+AL72+AO72+AR72+AT72+AX72+BA72+BD72+BG72),BJ72)</f>
        <v>2723.27</v>
      </c>
      <c r="R72" s="82">
        <f>IF(BK72=0,SUM(AA72+AD72+AG72+AJ72+AM72+AP72+AS72+AV72+AY72+BB72+BE72+BH72),BK72)</f>
        <v>0</v>
      </c>
      <c r="S72" s="97">
        <f t="shared" ref="S72:T72" si="279">I72-M72</f>
        <v>3679.13</v>
      </c>
      <c r="T72" s="97">
        <f t="shared" si="279"/>
        <v>0</v>
      </c>
      <c r="U72" s="97">
        <f t="shared" si="267"/>
        <v>0</v>
      </c>
      <c r="V72" s="98">
        <f t="shared" ref="V72:W72" si="280">M72/I72</f>
        <v>3.7743498001799429E-2</v>
      </c>
      <c r="W72" s="98">
        <f t="shared" si="280"/>
        <v>1</v>
      </c>
      <c r="X72" s="98" t="e">
        <f t="shared" si="26"/>
        <v>#DIV/0!</v>
      </c>
      <c r="Y72" s="96"/>
      <c r="Z72" s="103">
        <v>0</v>
      </c>
      <c r="AA72" s="96"/>
      <c r="AB72" s="96"/>
      <c r="AC72" s="131">
        <f>477.93+477.93</f>
        <v>955.86</v>
      </c>
      <c r="AD72" s="96"/>
      <c r="AE72" s="103">
        <v>0</v>
      </c>
      <c r="AF72" s="103">
        <v>477.93</v>
      </c>
      <c r="AG72" s="96"/>
      <c r="AH72" s="103"/>
      <c r="AI72" s="103">
        <v>477.93</v>
      </c>
      <c r="AJ72" s="96"/>
      <c r="AK72" s="103">
        <v>0</v>
      </c>
      <c r="AL72" s="103">
        <v>477.93</v>
      </c>
      <c r="AM72" s="103"/>
      <c r="AN72" s="103">
        <v>144.31</v>
      </c>
      <c r="AO72" s="103">
        <v>333.62</v>
      </c>
      <c r="AP72" s="96"/>
      <c r="AQ72" s="103">
        <v>0</v>
      </c>
      <c r="AR72" s="96"/>
      <c r="AS72" s="96"/>
      <c r="AT72" s="103">
        <v>0</v>
      </c>
      <c r="AU72" s="21"/>
      <c r="AV72" s="83"/>
      <c r="AW72" s="103">
        <v>0</v>
      </c>
      <c r="AX72" s="83"/>
      <c r="AY72" s="83"/>
      <c r="AZ72" s="83"/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89"/>
      <c r="B73" s="136"/>
      <c r="C73" s="101" t="s">
        <v>310</v>
      </c>
      <c r="D73" s="91" t="s">
        <v>124</v>
      </c>
      <c r="E73" s="92">
        <v>5000</v>
      </c>
      <c r="F73" s="166"/>
      <c r="G73" s="94">
        <f t="shared" si="233"/>
        <v>0</v>
      </c>
      <c r="H73" s="94">
        <f t="shared" si="234"/>
        <v>0</v>
      </c>
      <c r="I73" s="96"/>
      <c r="J73" s="117"/>
      <c r="K73" s="117"/>
      <c r="L73" s="118"/>
      <c r="M73" s="97">
        <f t="shared" ref="M73:O73" si="281">Y73+AB73+AE73+AH73+AK73+AN73+AQ73+AT73+AW73+AZ73+BC73+BF73</f>
        <v>0</v>
      </c>
      <c r="N73" s="97">
        <f t="shared" si="281"/>
        <v>0</v>
      </c>
      <c r="O73" s="97">
        <f t="shared" si="281"/>
        <v>0</v>
      </c>
      <c r="P73" s="82">
        <f t="shared" si="278"/>
        <v>0</v>
      </c>
      <c r="Q73" s="82">
        <f t="shared" ref="Q73:R73" si="282">IF(BJ73=0,SUM(Z73+AC73+AF73+AI73+AL73+AO73+AR73+AU73+AX73+BA73+BD73+BG73),BJ73)</f>
        <v>0</v>
      </c>
      <c r="R73" s="82">
        <f t="shared" si="282"/>
        <v>0</v>
      </c>
      <c r="S73" s="97">
        <f t="shared" ref="S73:T73" si="283">I73-M73</f>
        <v>0</v>
      </c>
      <c r="T73" s="97">
        <f t="shared" si="283"/>
        <v>0</v>
      </c>
      <c r="U73" s="97">
        <f t="shared" si="267"/>
        <v>0</v>
      </c>
      <c r="V73" s="98" t="e">
        <f t="shared" ref="V73:W73" si="284">M73/I73</f>
        <v>#DIV/0!</v>
      </c>
      <c r="W73" s="98" t="e">
        <f t="shared" si="284"/>
        <v>#DIV/0!</v>
      </c>
      <c r="X73" s="98" t="e">
        <f t="shared" si="26"/>
        <v>#DIV/0!</v>
      </c>
      <c r="Y73" s="96"/>
      <c r="Z73" s="103">
        <v>0</v>
      </c>
      <c r="AA73" s="96"/>
      <c r="AB73" s="96"/>
      <c r="AC73" s="131">
        <v>0</v>
      </c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83"/>
      <c r="AW73" s="83"/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120" t="s">
        <v>513</v>
      </c>
      <c r="B74" s="143" t="s">
        <v>311</v>
      </c>
      <c r="C74" s="101" t="s">
        <v>312</v>
      </c>
      <c r="D74" s="91" t="s">
        <v>313</v>
      </c>
      <c r="E74" s="92">
        <v>30000</v>
      </c>
      <c r="F74" s="166"/>
      <c r="G74" s="94">
        <f t="shared" si="233"/>
        <v>0.96944033333333335</v>
      </c>
      <c r="H74" s="94">
        <f t="shared" si="234"/>
        <v>0.243285</v>
      </c>
      <c r="I74" s="96">
        <f>3084+25999.21</f>
        <v>29083.21</v>
      </c>
      <c r="J74" s="167">
        <v>2243.89</v>
      </c>
      <c r="K74" s="117"/>
      <c r="L74" s="118"/>
      <c r="M74" s="97">
        <f t="shared" ref="M74:O74" si="285">Y74+AB74+AE74+AH74+AK74+AN74+AQ74+AT74+AW74+AZ74+BC74+BF74</f>
        <v>7298.55</v>
      </c>
      <c r="N74" s="97">
        <f t="shared" si="285"/>
        <v>1598.22</v>
      </c>
      <c r="O74" s="97">
        <f t="shared" si="285"/>
        <v>0</v>
      </c>
      <c r="P74" s="82">
        <f t="shared" si="278"/>
        <v>7298.55</v>
      </c>
      <c r="Q74" s="82">
        <f t="shared" ref="Q74:R74" si="286">IF(BJ74=0,SUM(Z74+AC74+AF74+AI74+AL74+AO74+AR74+AU74+AX74+BA74+BD74+BG74),BJ74)</f>
        <v>1598.22</v>
      </c>
      <c r="R74" s="82">
        <f t="shared" si="286"/>
        <v>0</v>
      </c>
      <c r="S74" s="97">
        <f t="shared" ref="S74:T74" si="287">I74-M74</f>
        <v>21784.66</v>
      </c>
      <c r="T74" s="97">
        <f t="shared" si="287"/>
        <v>645.66999999999985</v>
      </c>
      <c r="U74" s="97">
        <f t="shared" si="267"/>
        <v>0</v>
      </c>
      <c r="V74" s="98">
        <f t="shared" ref="V74:W74" si="288">M74/I74</f>
        <v>0.25095407281383314</v>
      </c>
      <c r="W74" s="98">
        <f t="shared" si="288"/>
        <v>0.71225416575678846</v>
      </c>
      <c r="X74" s="98" t="e">
        <f t="shared" si="26"/>
        <v>#DIV/0!</v>
      </c>
      <c r="Y74" s="96"/>
      <c r="Z74" s="103">
        <v>0</v>
      </c>
      <c r="AA74" s="96"/>
      <c r="AB74" s="96"/>
      <c r="AC74" s="131">
        <f>284.15+61.09</f>
        <v>345.24</v>
      </c>
      <c r="AD74" s="96"/>
      <c r="AE74" s="96"/>
      <c r="AF74" s="103">
        <f>1252.98</f>
        <v>1252.98</v>
      </c>
      <c r="AG74" s="96"/>
      <c r="AH74" s="96"/>
      <c r="AI74" s="103">
        <v>0</v>
      </c>
      <c r="AJ74" s="96"/>
      <c r="AK74" s="103">
        <v>1224</v>
      </c>
      <c r="AL74" s="103">
        <v>0</v>
      </c>
      <c r="AM74" s="96"/>
      <c r="AN74" s="103">
        <f>3213.61+2860.94</f>
        <v>6074.55</v>
      </c>
      <c r="AO74" s="103">
        <v>0</v>
      </c>
      <c r="AP74" s="96"/>
      <c r="AQ74" s="96"/>
      <c r="AR74" s="96"/>
      <c r="AS74" s="96"/>
      <c r="AT74" s="96"/>
      <c r="AU74" s="103">
        <v>0</v>
      </c>
      <c r="AV74" s="83"/>
      <c r="AW74" s="83"/>
      <c r="AX74" s="103">
        <v>0</v>
      </c>
      <c r="AY74" s="83"/>
      <c r="AZ74" s="83"/>
      <c r="BA74" s="96"/>
      <c r="BB74" s="83"/>
      <c r="BC74" s="96"/>
      <c r="BD74" s="96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4.25" customHeight="1">
      <c r="A75" s="168"/>
      <c r="B75" s="168"/>
      <c r="C75" s="169"/>
      <c r="D75" s="170" t="s">
        <v>314</v>
      </c>
      <c r="E75" s="171">
        <v>23296.54</v>
      </c>
      <c r="F75" s="172"/>
      <c r="G75" s="94">
        <f t="shared" si="233"/>
        <v>0</v>
      </c>
      <c r="H75" s="94">
        <f t="shared" si="234"/>
        <v>0</v>
      </c>
      <c r="I75" s="173"/>
      <c r="J75" s="174"/>
      <c r="K75" s="174"/>
      <c r="L75" s="174"/>
      <c r="M75" s="97">
        <f t="shared" ref="M75:O75" si="289">Y75+AB75+AE75+AH75+AK75+AN75+AQ75+AT75+AW75+AZ75+BC75+BF75</f>
        <v>0</v>
      </c>
      <c r="N75" s="97">
        <f t="shared" si="289"/>
        <v>0</v>
      </c>
      <c r="O75" s="175">
        <f t="shared" si="289"/>
        <v>0</v>
      </c>
      <c r="P75" s="82">
        <f t="shared" si="278"/>
        <v>0</v>
      </c>
      <c r="Q75" s="82">
        <f t="shared" ref="Q75:R75" si="290">IF(BJ75=0,SUM(Z75+AC75+AF75+AI75+AL75+AO75+AR75+AU75+AX75+BA75+BD75+BG75),BJ75)</f>
        <v>0</v>
      </c>
      <c r="R75" s="82">
        <f t="shared" si="290"/>
        <v>0</v>
      </c>
      <c r="S75" s="175">
        <f t="shared" ref="S75:T75" si="291">I75-M75</f>
        <v>0</v>
      </c>
      <c r="T75" s="97">
        <f t="shared" si="291"/>
        <v>0</v>
      </c>
      <c r="U75" s="175">
        <f t="shared" si="267"/>
        <v>0</v>
      </c>
      <c r="V75" s="176" t="e">
        <f t="shared" ref="V75:W75" si="292">M75/I75</f>
        <v>#DIV/0!</v>
      </c>
      <c r="W75" s="176" t="e">
        <f t="shared" si="292"/>
        <v>#DIV/0!</v>
      </c>
      <c r="X75" s="176" t="e">
        <f t="shared" si="26"/>
        <v>#DIV/0!</v>
      </c>
      <c r="Y75" s="172"/>
      <c r="Z75" s="172"/>
      <c r="AA75" s="172"/>
      <c r="AB75" s="172"/>
      <c r="AC75" s="177"/>
      <c r="AD75" s="172"/>
      <c r="AE75" s="172"/>
      <c r="AF75" s="172"/>
      <c r="AG75" s="172"/>
      <c r="AH75" s="172"/>
      <c r="AI75" s="172"/>
      <c r="AJ75" s="172"/>
      <c r="AK75" s="171">
        <v>0</v>
      </c>
      <c r="AL75" s="172"/>
      <c r="AM75" s="172"/>
      <c r="AN75" s="178"/>
      <c r="AO75" s="178"/>
      <c r="AP75" s="178"/>
      <c r="AQ75" s="178"/>
      <c r="AR75" s="178"/>
      <c r="AS75" s="178"/>
      <c r="AT75" s="178"/>
      <c r="AU75" s="179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80"/>
      <c r="BM75" s="181"/>
      <c r="BN75" s="181"/>
      <c r="BO75" s="181"/>
      <c r="BP75" s="181"/>
    </row>
    <row r="76" spans="1:68" ht="15.75" customHeight="1">
      <c r="A76" s="168"/>
      <c r="B76" s="168"/>
      <c r="C76" s="169"/>
      <c r="D76" s="170" t="s">
        <v>315</v>
      </c>
      <c r="E76" s="171">
        <v>23296.54</v>
      </c>
      <c r="F76" s="172"/>
      <c r="G76" s="94">
        <f t="shared" si="233"/>
        <v>0</v>
      </c>
      <c r="H76" s="94">
        <f t="shared" si="234"/>
        <v>0</v>
      </c>
      <c r="I76" s="174"/>
      <c r="J76" s="174"/>
      <c r="K76" s="174"/>
      <c r="L76" s="174"/>
      <c r="M76" s="175">
        <f t="shared" ref="M76:O76" si="293">Y76+AB76+AE76+AH76+AK76+AN76+AQ76+AT76+AW76+AZ76+BC76+BF76</f>
        <v>0</v>
      </c>
      <c r="N76" s="175">
        <f t="shared" si="293"/>
        <v>0</v>
      </c>
      <c r="O76" s="175">
        <f t="shared" si="293"/>
        <v>0</v>
      </c>
      <c r="P76" s="82">
        <f t="shared" si="278"/>
        <v>0</v>
      </c>
      <c r="Q76" s="82">
        <f t="shared" ref="Q76:R76" si="294">IF(BJ76=0,SUM(Z76+AC76+AF76+AI76+AL76+AO76+AR76+AU76+AX76+BA76+BD76+BG76),BJ76)</f>
        <v>0</v>
      </c>
      <c r="R76" s="82">
        <f t="shared" si="294"/>
        <v>0</v>
      </c>
      <c r="S76" s="175">
        <f t="shared" ref="S76:T76" si="295">I76-M76</f>
        <v>0</v>
      </c>
      <c r="T76" s="175">
        <f t="shared" si="295"/>
        <v>0</v>
      </c>
      <c r="U76" s="175">
        <f t="shared" si="267"/>
        <v>0</v>
      </c>
      <c r="V76" s="176" t="e">
        <f t="shared" ref="V76:W76" si="296">M76/I76</f>
        <v>#DIV/0!</v>
      </c>
      <c r="W76" s="176" t="e">
        <f t="shared" si="296"/>
        <v>#DIV/0!</v>
      </c>
      <c r="X76" s="176" t="e">
        <f t="shared" si="26"/>
        <v>#DIV/0!</v>
      </c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8.75" customHeight="1">
      <c r="A77" s="182"/>
      <c r="B77" s="182"/>
      <c r="C77" s="183"/>
      <c r="D77" s="184" t="s">
        <v>316</v>
      </c>
      <c r="E77" s="185">
        <v>23296.54</v>
      </c>
      <c r="F77" s="186"/>
      <c r="G77" s="187">
        <f t="shared" si="233"/>
        <v>0</v>
      </c>
      <c r="H77" s="188">
        <f t="shared" si="234"/>
        <v>0</v>
      </c>
      <c r="I77" s="186">
        <f t="shared" ref="I77:O77" si="297">SUM(I78:I79)</f>
        <v>0</v>
      </c>
      <c r="J77" s="186">
        <f t="shared" si="297"/>
        <v>0</v>
      </c>
      <c r="K77" s="186">
        <f t="shared" si="297"/>
        <v>0</v>
      </c>
      <c r="L77" s="186">
        <f t="shared" si="297"/>
        <v>0</v>
      </c>
      <c r="M77" s="186">
        <f t="shared" si="297"/>
        <v>0</v>
      </c>
      <c r="N77" s="186">
        <f t="shared" si="297"/>
        <v>0</v>
      </c>
      <c r="O77" s="186">
        <f t="shared" si="297"/>
        <v>0</v>
      </c>
      <c r="P77" s="81">
        <f t="shared" si="278"/>
        <v>0</v>
      </c>
      <c r="Q77" s="81">
        <f t="shared" ref="Q77:R77" si="298">IF(BJ77=0,SUM(Z77+AC77+AF77+AI77+AL77+AO77+AR77+AU77+AX77+BA77+BD77+BG77),BJ77)</f>
        <v>0</v>
      </c>
      <c r="R77" s="81">
        <f t="shared" si="298"/>
        <v>0</v>
      </c>
      <c r="S77" s="186">
        <f t="shared" ref="S77:U77" si="299">SUM(S78:S79)</f>
        <v>0</v>
      </c>
      <c r="T77" s="186">
        <f t="shared" si="299"/>
        <v>0</v>
      </c>
      <c r="U77" s="186">
        <f t="shared" si="299"/>
        <v>0</v>
      </c>
      <c r="V77" s="189" t="e">
        <f t="shared" ref="V77:W77" si="300">M77/I77</f>
        <v>#DIV/0!</v>
      </c>
      <c r="W77" s="189" t="e">
        <f t="shared" si="300"/>
        <v>#DIV/0!</v>
      </c>
      <c r="X77" s="189" t="e">
        <f t="shared" si="26"/>
        <v>#DIV/0!</v>
      </c>
      <c r="Y77" s="186">
        <f t="shared" ref="Y77:BK77" si="301">SUM(Y78:Y79)</f>
        <v>0</v>
      </c>
      <c r="Z77" s="186">
        <f t="shared" si="301"/>
        <v>0</v>
      </c>
      <c r="AA77" s="186">
        <f t="shared" si="301"/>
        <v>0</v>
      </c>
      <c r="AB77" s="186">
        <f t="shared" si="301"/>
        <v>0</v>
      </c>
      <c r="AC77" s="186">
        <f t="shared" si="301"/>
        <v>0</v>
      </c>
      <c r="AD77" s="186">
        <f t="shared" si="301"/>
        <v>0</v>
      </c>
      <c r="AE77" s="186">
        <f t="shared" si="301"/>
        <v>0</v>
      </c>
      <c r="AF77" s="186">
        <f t="shared" si="301"/>
        <v>0</v>
      </c>
      <c r="AG77" s="186">
        <f t="shared" si="301"/>
        <v>0</v>
      </c>
      <c r="AH77" s="186">
        <f t="shared" si="301"/>
        <v>0</v>
      </c>
      <c r="AI77" s="186">
        <f t="shared" si="301"/>
        <v>0</v>
      </c>
      <c r="AJ77" s="186">
        <f t="shared" si="301"/>
        <v>0</v>
      </c>
      <c r="AK77" s="186">
        <f t="shared" si="301"/>
        <v>0</v>
      </c>
      <c r="AL77" s="186">
        <f t="shared" si="301"/>
        <v>0</v>
      </c>
      <c r="AM77" s="186">
        <f t="shared" si="301"/>
        <v>0</v>
      </c>
      <c r="AN77" s="186">
        <f t="shared" si="301"/>
        <v>0</v>
      </c>
      <c r="AO77" s="186">
        <f t="shared" si="301"/>
        <v>0</v>
      </c>
      <c r="AP77" s="186">
        <f t="shared" si="301"/>
        <v>0</v>
      </c>
      <c r="AQ77" s="186">
        <f t="shared" si="301"/>
        <v>0</v>
      </c>
      <c r="AR77" s="186">
        <f t="shared" si="301"/>
        <v>0</v>
      </c>
      <c r="AS77" s="186">
        <f t="shared" si="301"/>
        <v>0</v>
      </c>
      <c r="AT77" s="186">
        <f t="shared" si="301"/>
        <v>0</v>
      </c>
      <c r="AU77" s="186">
        <f t="shared" si="301"/>
        <v>0</v>
      </c>
      <c r="AV77" s="186">
        <f t="shared" si="301"/>
        <v>0</v>
      </c>
      <c r="AW77" s="186">
        <f t="shared" si="301"/>
        <v>0</v>
      </c>
      <c r="AX77" s="186">
        <f t="shared" si="301"/>
        <v>0</v>
      </c>
      <c r="AY77" s="186">
        <f t="shared" si="301"/>
        <v>0</v>
      </c>
      <c r="AZ77" s="186">
        <f t="shared" si="301"/>
        <v>0</v>
      </c>
      <c r="BA77" s="186">
        <f t="shared" si="301"/>
        <v>0</v>
      </c>
      <c r="BB77" s="186">
        <f t="shared" si="301"/>
        <v>0</v>
      </c>
      <c r="BC77" s="186">
        <f t="shared" si="301"/>
        <v>0</v>
      </c>
      <c r="BD77" s="186">
        <f t="shared" si="301"/>
        <v>0</v>
      </c>
      <c r="BE77" s="186">
        <f t="shared" si="301"/>
        <v>0</v>
      </c>
      <c r="BF77" s="186">
        <f t="shared" si="301"/>
        <v>0</v>
      </c>
      <c r="BG77" s="186">
        <f t="shared" si="301"/>
        <v>0</v>
      </c>
      <c r="BH77" s="186">
        <f t="shared" si="301"/>
        <v>0</v>
      </c>
      <c r="BI77" s="186">
        <f t="shared" si="301"/>
        <v>0</v>
      </c>
      <c r="BJ77" s="186">
        <f t="shared" si="301"/>
        <v>0</v>
      </c>
      <c r="BK77" s="186">
        <f t="shared" si="301"/>
        <v>0</v>
      </c>
      <c r="BL77" s="157"/>
      <c r="BM77" s="158"/>
      <c r="BN77" s="158"/>
      <c r="BO77" s="158"/>
      <c r="BP77" s="158"/>
    </row>
    <row r="78" spans="1:68" ht="15.75" customHeight="1">
      <c r="A78" s="89"/>
      <c r="B78" s="89"/>
      <c r="C78" s="90" t="s">
        <v>271</v>
      </c>
      <c r="D78" s="91" t="s">
        <v>317</v>
      </c>
      <c r="E78" s="166"/>
      <c r="F78" s="166"/>
      <c r="G78" s="94" t="e">
        <f t="shared" si="233"/>
        <v>#DIV/0!</v>
      </c>
      <c r="H78" s="94" t="e">
        <f t="shared" si="234"/>
        <v>#DIV/0!</v>
      </c>
      <c r="I78" s="96"/>
      <c r="J78" s="190"/>
      <c r="K78" s="190"/>
      <c r="L78" s="190"/>
      <c r="M78" s="97">
        <f t="shared" ref="M78:O78" si="302">Y78+AB78+AE78+AH78+AK78+AN78+AQ78+AT78+AW78+AZ78+BC78+BF78</f>
        <v>0</v>
      </c>
      <c r="N78" s="97">
        <f t="shared" si="302"/>
        <v>0</v>
      </c>
      <c r="O78" s="97">
        <f t="shared" si="302"/>
        <v>0</v>
      </c>
      <c r="P78" s="82">
        <f t="shared" si="278"/>
        <v>0</v>
      </c>
      <c r="Q78" s="82">
        <f t="shared" ref="Q78:R78" si="303">IF(BJ78=0,SUM(Z78+AC78+AF78+AI78+AL78+AO78+AR78+AU78+AX78+BA78+BD78+BG78),BJ78)</f>
        <v>0</v>
      </c>
      <c r="R78" s="82">
        <f t="shared" si="303"/>
        <v>0</v>
      </c>
      <c r="S78" s="97">
        <f t="shared" ref="S78:T78" si="304">I78-M78</f>
        <v>0</v>
      </c>
      <c r="T78" s="97">
        <f t="shared" si="304"/>
        <v>0</v>
      </c>
      <c r="U78" s="97">
        <f t="shared" ref="U78:U79" si="305">L78-O78</f>
        <v>0</v>
      </c>
      <c r="V78" s="98" t="e">
        <f t="shared" ref="V78:W78" si="306">M78/I78</f>
        <v>#DIV/0!</v>
      </c>
      <c r="W78" s="98" t="e">
        <f t="shared" si="306"/>
        <v>#DIV/0!</v>
      </c>
      <c r="X78" s="98" t="e">
        <f t="shared" si="26"/>
        <v>#DIV/0!</v>
      </c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95">
        <v>0</v>
      </c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95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99"/>
      <c r="BM78" s="100"/>
      <c r="BN78" s="100"/>
      <c r="BO78" s="100"/>
      <c r="BP78" s="100"/>
    </row>
    <row r="79" spans="1:68" ht="15.75" customHeight="1">
      <c r="A79" s="89"/>
      <c r="B79" s="89"/>
      <c r="C79" s="90" t="s">
        <v>318</v>
      </c>
      <c r="D79" s="91" t="s">
        <v>319</v>
      </c>
      <c r="E79" s="166"/>
      <c r="F79" s="166"/>
      <c r="G79" s="94" t="e">
        <f t="shared" si="233"/>
        <v>#DIV/0!</v>
      </c>
      <c r="H79" s="94" t="e">
        <f t="shared" si="234"/>
        <v>#DIV/0!</v>
      </c>
      <c r="I79" s="96"/>
      <c r="J79" s="190"/>
      <c r="K79" s="190"/>
      <c r="L79" s="190"/>
      <c r="M79" s="97">
        <f t="shared" ref="M79:O79" si="307">Y79+AB79+AE79+AH79+AK79+AN79+AQ79+AT79+AW79+AZ79+BC79+BF79</f>
        <v>0</v>
      </c>
      <c r="N79" s="97">
        <f t="shared" si="307"/>
        <v>0</v>
      </c>
      <c r="O79" s="97">
        <f t="shared" si="307"/>
        <v>0</v>
      </c>
      <c r="P79" s="82">
        <f t="shared" si="278"/>
        <v>0</v>
      </c>
      <c r="Q79" s="82">
        <f t="shared" ref="Q79:R79" si="308">IF(BJ79=0,SUM(Z79+AC79+AF79+AI79+AL79+AO79+AR79+AU79+AX79+BA79+BD79+BG79),BJ79)</f>
        <v>0</v>
      </c>
      <c r="R79" s="82">
        <f t="shared" si="308"/>
        <v>0</v>
      </c>
      <c r="S79" s="97">
        <f t="shared" ref="S79:T79" si="309">I79-M79</f>
        <v>0</v>
      </c>
      <c r="T79" s="97">
        <f t="shared" si="309"/>
        <v>0</v>
      </c>
      <c r="U79" s="97">
        <f t="shared" si="305"/>
        <v>0</v>
      </c>
      <c r="V79" s="98" t="e">
        <f t="shared" ref="V79:W79" si="310">M79/I79</f>
        <v>#DIV/0!</v>
      </c>
      <c r="W79" s="98" t="e">
        <f t="shared" si="310"/>
        <v>#DIV/0!</v>
      </c>
      <c r="X79" s="98" t="e">
        <f t="shared" si="26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/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151"/>
      <c r="B80" s="151"/>
      <c r="C80" s="191"/>
      <c r="D80" s="153" t="s">
        <v>320</v>
      </c>
      <c r="E80" s="154">
        <f t="shared" ref="E80:F80" si="311">SUM(E81:E83)</f>
        <v>13808</v>
      </c>
      <c r="F80" s="154">
        <f t="shared" si="311"/>
        <v>0</v>
      </c>
      <c r="G80" s="192">
        <f t="shared" si="233"/>
        <v>0.27578215527230593</v>
      </c>
      <c r="H80" s="192">
        <f t="shared" si="234"/>
        <v>0</v>
      </c>
      <c r="I80" s="154">
        <f t="shared" ref="I80:O80" si="312">SUM(I81:I83)</f>
        <v>3808</v>
      </c>
      <c r="J80" s="154">
        <f t="shared" si="312"/>
        <v>0</v>
      </c>
      <c r="K80" s="154">
        <f t="shared" si="312"/>
        <v>0</v>
      </c>
      <c r="L80" s="154">
        <f t="shared" si="312"/>
        <v>0</v>
      </c>
      <c r="M80" s="154">
        <f t="shared" si="312"/>
        <v>0</v>
      </c>
      <c r="N80" s="154">
        <f t="shared" si="312"/>
        <v>0</v>
      </c>
      <c r="O80" s="154">
        <f t="shared" si="312"/>
        <v>0</v>
      </c>
      <c r="P80" s="81">
        <f t="shared" si="278"/>
        <v>0</v>
      </c>
      <c r="Q80" s="81">
        <f t="shared" ref="Q80:R80" si="313">IF(BJ80=0,SUM(Z80+AC80+AF80+AI80+AL80+AO80+AR80+AU80+AX80+BA80+BD80+BG80),BJ80)</f>
        <v>0</v>
      </c>
      <c r="R80" s="81">
        <f t="shared" si="313"/>
        <v>0</v>
      </c>
      <c r="S80" s="154">
        <f t="shared" ref="S80:U80" si="314">SUM(S81:S83)</f>
        <v>3808</v>
      </c>
      <c r="T80" s="154">
        <f t="shared" si="314"/>
        <v>0</v>
      </c>
      <c r="U80" s="154">
        <f t="shared" si="314"/>
        <v>0</v>
      </c>
      <c r="V80" s="193">
        <f t="shared" ref="V80:W80" si="315">M80/I80</f>
        <v>0</v>
      </c>
      <c r="W80" s="193" t="e">
        <f t="shared" si="315"/>
        <v>#DIV/0!</v>
      </c>
      <c r="X80" s="193" t="e">
        <f t="shared" si="26"/>
        <v>#DIV/0!</v>
      </c>
      <c r="Y80" s="154">
        <f t="shared" ref="Y80:BK80" si="316">SUM(Y81:Y83)</f>
        <v>0</v>
      </c>
      <c r="Z80" s="154">
        <f t="shared" si="316"/>
        <v>0</v>
      </c>
      <c r="AA80" s="154">
        <f t="shared" si="316"/>
        <v>0</v>
      </c>
      <c r="AB80" s="154">
        <f t="shared" si="316"/>
        <v>0</v>
      </c>
      <c r="AC80" s="154">
        <f t="shared" si="316"/>
        <v>0</v>
      </c>
      <c r="AD80" s="154">
        <f t="shared" si="316"/>
        <v>0</v>
      </c>
      <c r="AE80" s="154">
        <f t="shared" si="316"/>
        <v>0</v>
      </c>
      <c r="AF80" s="154">
        <f t="shared" si="316"/>
        <v>0</v>
      </c>
      <c r="AG80" s="154">
        <f t="shared" si="316"/>
        <v>0</v>
      </c>
      <c r="AH80" s="154">
        <f t="shared" si="316"/>
        <v>0</v>
      </c>
      <c r="AI80" s="154">
        <f t="shared" si="316"/>
        <v>0</v>
      </c>
      <c r="AJ80" s="154">
        <f t="shared" si="316"/>
        <v>0</v>
      </c>
      <c r="AK80" s="154">
        <f t="shared" si="316"/>
        <v>0</v>
      </c>
      <c r="AL80" s="154">
        <f t="shared" si="316"/>
        <v>0</v>
      </c>
      <c r="AM80" s="154">
        <f t="shared" si="316"/>
        <v>0</v>
      </c>
      <c r="AN80" s="154">
        <f t="shared" si="316"/>
        <v>0</v>
      </c>
      <c r="AO80" s="154">
        <f t="shared" si="316"/>
        <v>0</v>
      </c>
      <c r="AP80" s="154">
        <f t="shared" si="316"/>
        <v>0</v>
      </c>
      <c r="AQ80" s="154">
        <f t="shared" si="316"/>
        <v>0</v>
      </c>
      <c r="AR80" s="154">
        <f t="shared" si="316"/>
        <v>0</v>
      </c>
      <c r="AS80" s="154">
        <f t="shared" si="316"/>
        <v>0</v>
      </c>
      <c r="AT80" s="154">
        <f t="shared" si="316"/>
        <v>0</v>
      </c>
      <c r="AU80" s="154">
        <f t="shared" si="316"/>
        <v>0</v>
      </c>
      <c r="AV80" s="154">
        <f t="shared" si="316"/>
        <v>0</v>
      </c>
      <c r="AW80" s="154">
        <f t="shared" si="316"/>
        <v>0</v>
      </c>
      <c r="AX80" s="154">
        <f t="shared" si="316"/>
        <v>0</v>
      </c>
      <c r="AY80" s="154">
        <f t="shared" si="316"/>
        <v>0</v>
      </c>
      <c r="AZ80" s="154">
        <f t="shared" si="316"/>
        <v>0</v>
      </c>
      <c r="BA80" s="154">
        <f t="shared" si="316"/>
        <v>0</v>
      </c>
      <c r="BB80" s="154">
        <f t="shared" si="316"/>
        <v>0</v>
      </c>
      <c r="BC80" s="154">
        <f t="shared" si="316"/>
        <v>0</v>
      </c>
      <c r="BD80" s="154">
        <f t="shared" si="316"/>
        <v>0</v>
      </c>
      <c r="BE80" s="154">
        <f t="shared" si="316"/>
        <v>0</v>
      </c>
      <c r="BF80" s="154">
        <f t="shared" si="316"/>
        <v>0</v>
      </c>
      <c r="BG80" s="154">
        <f t="shared" si="316"/>
        <v>0</v>
      </c>
      <c r="BH80" s="154">
        <f t="shared" si="316"/>
        <v>0</v>
      </c>
      <c r="BI80" s="154">
        <f t="shared" si="316"/>
        <v>0</v>
      </c>
      <c r="BJ80" s="154">
        <f t="shared" si="316"/>
        <v>0</v>
      </c>
      <c r="BK80" s="154">
        <f t="shared" si="316"/>
        <v>0</v>
      </c>
      <c r="BL80" s="157"/>
      <c r="BM80" s="158"/>
      <c r="BN80" s="158"/>
      <c r="BO80" s="158"/>
      <c r="BP80" s="158"/>
    </row>
    <row r="81" spans="1:68" ht="15.75" customHeight="1">
      <c r="A81" s="89" t="s">
        <v>514</v>
      </c>
      <c r="B81" s="111"/>
      <c r="C81" s="90" t="s">
        <v>200</v>
      </c>
      <c r="D81" s="91" t="s">
        <v>201</v>
      </c>
      <c r="E81" s="166">
        <v>3808</v>
      </c>
      <c r="F81" s="166"/>
      <c r="G81" s="94" t="e">
        <f>I81/F81</f>
        <v>#DIV/0!</v>
      </c>
      <c r="H81" s="94" t="e">
        <f>M81/F81</f>
        <v>#DIV/0!</v>
      </c>
      <c r="I81" s="96">
        <v>3808</v>
      </c>
      <c r="J81" s="96"/>
      <c r="K81" s="96"/>
      <c r="L81" s="95"/>
      <c r="M81" s="97">
        <f t="shared" ref="M81:O81" si="317">Y81+AB81+AE81+AH81+AK81+AN81+AQ81+AT81+AW81+AZ81+BC81+BF81</f>
        <v>0</v>
      </c>
      <c r="N81" s="97">
        <f t="shared" si="317"/>
        <v>0</v>
      </c>
      <c r="O81" s="97">
        <f t="shared" si="317"/>
        <v>0</v>
      </c>
      <c r="P81" s="82">
        <f t="shared" si="278"/>
        <v>0</v>
      </c>
      <c r="Q81" s="82">
        <f t="shared" ref="Q81:R81" si="318">IF(BJ81=0,SUM(Z81+AC81+AF81+AI81+AL81+AO81+AR81+AU81+AX81+BA81+BD81+BG81),BJ81)</f>
        <v>0</v>
      </c>
      <c r="R81" s="82">
        <f t="shared" si="318"/>
        <v>0</v>
      </c>
      <c r="S81" s="97">
        <f t="shared" ref="S81:T81" si="319">I81-M81</f>
        <v>3808</v>
      </c>
      <c r="T81" s="97">
        <f t="shared" si="319"/>
        <v>0</v>
      </c>
      <c r="U81" s="97">
        <f t="shared" ref="U81:U83" si="320">L81-O81</f>
        <v>0</v>
      </c>
      <c r="V81" s="98">
        <f t="shared" ref="V81:W81" si="321">M81/I81</f>
        <v>0</v>
      </c>
      <c r="W81" s="98" t="e">
        <f t="shared" si="321"/>
        <v>#DIV/0!</v>
      </c>
      <c r="X81" s="98" t="e">
        <f t="shared" si="26"/>
        <v>#DIV/0!</v>
      </c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9"/>
      <c r="BM81" s="100"/>
      <c r="BN81" s="100"/>
      <c r="BO81" s="100"/>
      <c r="BP81" s="100"/>
    </row>
    <row r="82" spans="1:68" ht="15.75" customHeight="1">
      <c r="A82" s="89"/>
      <c r="B82" s="89"/>
      <c r="C82" s="90" t="s">
        <v>213</v>
      </c>
      <c r="D82" s="91" t="s">
        <v>74</v>
      </c>
      <c r="E82" s="166"/>
      <c r="F82" s="166"/>
      <c r="G82" s="94" t="e">
        <f t="shared" ref="G82:G89" si="322">I82/E82</f>
        <v>#DIV/0!</v>
      </c>
      <c r="H82" s="94" t="e">
        <f t="shared" ref="H82:H89" si="323">M82/E82</f>
        <v>#DIV/0!</v>
      </c>
      <c r="I82" s="96"/>
      <c r="J82" s="96"/>
      <c r="K82" s="96"/>
      <c r="L82" s="95"/>
      <c r="M82" s="97">
        <f t="shared" ref="M82:O82" si="324">Y82+AB82+AE82+AH82+AK82+AN82+AQ82+AT82+AW82+AZ82+BC82+BF82</f>
        <v>0</v>
      </c>
      <c r="N82" s="97">
        <f t="shared" si="324"/>
        <v>0</v>
      </c>
      <c r="O82" s="97">
        <f t="shared" si="324"/>
        <v>0</v>
      </c>
      <c r="P82" s="82">
        <f t="shared" si="278"/>
        <v>0</v>
      </c>
      <c r="Q82" s="82">
        <f t="shared" ref="Q82:R82" si="325">IF(BJ82=0,SUM(Z82+AC82+AF82+AI82+AL82+AO82+AR82+AU82+AX82+BA82+BD82+BG82),BJ82)</f>
        <v>0</v>
      </c>
      <c r="R82" s="82">
        <f t="shared" si="325"/>
        <v>0</v>
      </c>
      <c r="S82" s="97">
        <f t="shared" ref="S82:T82" si="326">I82-M82</f>
        <v>0</v>
      </c>
      <c r="T82" s="97">
        <f t="shared" si="326"/>
        <v>0</v>
      </c>
      <c r="U82" s="97">
        <f t="shared" si="320"/>
        <v>0</v>
      </c>
      <c r="V82" s="98" t="e">
        <f t="shared" ref="V82:W82" si="327">M82/I82</f>
        <v>#DIV/0!</v>
      </c>
      <c r="W82" s="98" t="e">
        <f t="shared" si="327"/>
        <v>#DIV/0!</v>
      </c>
      <c r="X82" s="98" t="e">
        <f t="shared" si="26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318</v>
      </c>
      <c r="D83" s="91" t="s">
        <v>321</v>
      </c>
      <c r="E83" s="194">
        <v>10000</v>
      </c>
      <c r="F83" s="195"/>
      <c r="G83" s="94">
        <f t="shared" si="322"/>
        <v>0</v>
      </c>
      <c r="H83" s="94">
        <f t="shared" si="323"/>
        <v>0</v>
      </c>
      <c r="I83" s="142"/>
      <c r="J83" s="96"/>
      <c r="K83" s="96"/>
      <c r="L83" s="95"/>
      <c r="M83" s="97">
        <f t="shared" ref="M83:O83" si="328">Y83+AB83+AE83+AH83+AK83+AN83+AQ83+AT83+AW83+AZ83+BC83+BF83</f>
        <v>0</v>
      </c>
      <c r="N83" s="97">
        <f t="shared" si="328"/>
        <v>0</v>
      </c>
      <c r="O83" s="97">
        <f t="shared" si="328"/>
        <v>0</v>
      </c>
      <c r="P83" s="82">
        <f t="shared" si="278"/>
        <v>0</v>
      </c>
      <c r="Q83" s="82">
        <f t="shared" ref="Q83:R83" si="329">IF(BJ83=0,SUM(Z83+AC83+AF83+AI83+AL83+AO83+AR83+AU83+AX83+BA83+BD83+BG83),BJ83)</f>
        <v>0</v>
      </c>
      <c r="R83" s="82">
        <f t="shared" si="329"/>
        <v>0</v>
      </c>
      <c r="S83" s="97">
        <f t="shared" ref="S83:T83" si="330">I83-M83</f>
        <v>0</v>
      </c>
      <c r="T83" s="97">
        <f t="shared" si="330"/>
        <v>0</v>
      </c>
      <c r="U83" s="97">
        <f t="shared" si="320"/>
        <v>0</v>
      </c>
      <c r="V83" s="98" t="e">
        <f t="shared" ref="V83:W83" si="331">M83/I83</f>
        <v>#DIV/0!</v>
      </c>
      <c r="W83" s="98" t="e">
        <f t="shared" si="331"/>
        <v>#DIV/0!</v>
      </c>
      <c r="X83" s="98" t="e">
        <f t="shared" si="26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103">
        <v>0</v>
      </c>
      <c r="BA83" s="96"/>
      <c r="BB83" s="96"/>
      <c r="BC83" s="96"/>
      <c r="BD83" s="96"/>
      <c r="BE83" s="96"/>
      <c r="BF83" s="103">
        <v>0</v>
      </c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151"/>
      <c r="B84" s="151"/>
      <c r="C84" s="191"/>
      <c r="D84" s="153" t="s">
        <v>322</v>
      </c>
      <c r="E84" s="154">
        <f>SUM(E85:E88)</f>
        <v>32329.200000000001</v>
      </c>
      <c r="F84" s="154">
        <f>SUM(F85:F87)</f>
        <v>0</v>
      </c>
      <c r="G84" s="192">
        <f t="shared" si="322"/>
        <v>0</v>
      </c>
      <c r="H84" s="192">
        <f t="shared" si="323"/>
        <v>0</v>
      </c>
      <c r="I84" s="154">
        <f t="shared" ref="I84:K84" si="332">SUM(I85:I88)</f>
        <v>0</v>
      </c>
      <c r="J84" s="154">
        <f t="shared" si="332"/>
        <v>73937.67</v>
      </c>
      <c r="K84" s="154">
        <f t="shared" si="332"/>
        <v>0</v>
      </c>
      <c r="L84" s="154">
        <f t="shared" ref="L84:M84" si="333">SUM(L85:L87)</f>
        <v>0</v>
      </c>
      <c r="M84" s="154">
        <f t="shared" si="333"/>
        <v>0</v>
      </c>
      <c r="N84" s="154">
        <f>SUM(N85:N88)</f>
        <v>15933.4</v>
      </c>
      <c r="O84" s="154">
        <f>SUM(O85:O87)</f>
        <v>0</v>
      </c>
      <c r="P84" s="81">
        <f t="shared" si="278"/>
        <v>0</v>
      </c>
      <c r="Q84" s="81">
        <f t="shared" ref="Q84:R84" si="334">IF(BJ84=0,SUM(Z84+AC84+AF84+AI84+AL84+AO84+AR84+AU84+AX84+BA84+BD84+BG84),BJ84)</f>
        <v>15933.4</v>
      </c>
      <c r="R84" s="81">
        <f t="shared" si="334"/>
        <v>0</v>
      </c>
      <c r="S84" s="154">
        <f t="shared" ref="S84:T84" si="335">SUM(S85:S88)</f>
        <v>0</v>
      </c>
      <c r="T84" s="154">
        <f t="shared" si="335"/>
        <v>58004.27</v>
      </c>
      <c r="U84" s="154">
        <f>SUM(U85:U87)</f>
        <v>0</v>
      </c>
      <c r="V84" s="193" t="e">
        <f t="shared" ref="V84:W84" si="336">M84/I84</f>
        <v>#DIV/0!</v>
      </c>
      <c r="W84" s="193">
        <f t="shared" si="336"/>
        <v>0.21549772937123932</v>
      </c>
      <c r="X84" s="193" t="e">
        <f t="shared" si="26"/>
        <v>#DIV/0!</v>
      </c>
      <c r="Y84" s="154">
        <f t="shared" ref="Y84:AH84" si="337">SUM(Y85:Y87)</f>
        <v>0</v>
      </c>
      <c r="Z84" s="154">
        <f t="shared" si="337"/>
        <v>4271.3999999999996</v>
      </c>
      <c r="AA84" s="154">
        <f t="shared" si="337"/>
        <v>0</v>
      </c>
      <c r="AB84" s="154">
        <f t="shared" si="337"/>
        <v>0</v>
      </c>
      <c r="AC84" s="154">
        <f t="shared" si="337"/>
        <v>6630</v>
      </c>
      <c r="AD84" s="154">
        <f t="shared" si="337"/>
        <v>0</v>
      </c>
      <c r="AE84" s="154">
        <f t="shared" si="337"/>
        <v>0</v>
      </c>
      <c r="AF84" s="154">
        <f t="shared" si="337"/>
        <v>3092</v>
      </c>
      <c r="AG84" s="154">
        <f t="shared" si="337"/>
        <v>0</v>
      </c>
      <c r="AH84" s="154">
        <f t="shared" si="337"/>
        <v>0</v>
      </c>
      <c r="AI84" s="154">
        <f>SUM(AI85:AI88)</f>
        <v>1940</v>
      </c>
      <c r="AJ84" s="154">
        <f t="shared" ref="AJ84:BK84" si="338">SUM(AJ85:AJ87)</f>
        <v>0</v>
      </c>
      <c r="AK84" s="154">
        <f t="shared" si="338"/>
        <v>0</v>
      </c>
      <c r="AL84" s="154">
        <f t="shared" si="338"/>
        <v>0</v>
      </c>
      <c r="AM84" s="154">
        <f t="shared" si="338"/>
        <v>0</v>
      </c>
      <c r="AN84" s="154">
        <f t="shared" si="338"/>
        <v>0</v>
      </c>
      <c r="AO84" s="154">
        <f t="shared" si="338"/>
        <v>0</v>
      </c>
      <c r="AP84" s="154">
        <f t="shared" si="338"/>
        <v>0</v>
      </c>
      <c r="AQ84" s="154">
        <f t="shared" si="338"/>
        <v>0</v>
      </c>
      <c r="AR84" s="154">
        <f t="shared" si="338"/>
        <v>0</v>
      </c>
      <c r="AS84" s="154">
        <f t="shared" si="338"/>
        <v>0</v>
      </c>
      <c r="AT84" s="154">
        <f t="shared" si="338"/>
        <v>0</v>
      </c>
      <c r="AU84" s="154">
        <f t="shared" si="338"/>
        <v>0</v>
      </c>
      <c r="AV84" s="154">
        <f t="shared" si="338"/>
        <v>0</v>
      </c>
      <c r="AW84" s="154">
        <f t="shared" si="338"/>
        <v>0</v>
      </c>
      <c r="AX84" s="154">
        <f t="shared" si="338"/>
        <v>0</v>
      </c>
      <c r="AY84" s="154">
        <f t="shared" si="338"/>
        <v>0</v>
      </c>
      <c r="AZ84" s="154">
        <f t="shared" si="338"/>
        <v>0</v>
      </c>
      <c r="BA84" s="154">
        <f t="shared" si="338"/>
        <v>0</v>
      </c>
      <c r="BB84" s="154">
        <f t="shared" si="338"/>
        <v>0</v>
      </c>
      <c r="BC84" s="154">
        <f t="shared" si="338"/>
        <v>0</v>
      </c>
      <c r="BD84" s="154">
        <f t="shared" si="338"/>
        <v>0</v>
      </c>
      <c r="BE84" s="154">
        <f t="shared" si="338"/>
        <v>0</v>
      </c>
      <c r="BF84" s="154">
        <f t="shared" si="338"/>
        <v>0</v>
      </c>
      <c r="BG84" s="154">
        <f t="shared" si="338"/>
        <v>0</v>
      </c>
      <c r="BH84" s="154">
        <f t="shared" si="338"/>
        <v>0</v>
      </c>
      <c r="BI84" s="154">
        <f t="shared" si="338"/>
        <v>0</v>
      </c>
      <c r="BJ84" s="154">
        <f t="shared" si="338"/>
        <v>0</v>
      </c>
      <c r="BK84" s="154">
        <f t="shared" si="338"/>
        <v>0</v>
      </c>
      <c r="BL84" s="157"/>
      <c r="BM84" s="158"/>
      <c r="BN84" s="158"/>
      <c r="BO84" s="158"/>
      <c r="BP84" s="158"/>
    </row>
    <row r="85" spans="1:68" ht="15.75" customHeight="1">
      <c r="A85" s="111"/>
      <c r="B85" s="111"/>
      <c r="C85" s="101" t="s">
        <v>318</v>
      </c>
      <c r="D85" s="91" t="s">
        <v>133</v>
      </c>
      <c r="E85" s="92">
        <v>10925.2</v>
      </c>
      <c r="F85" s="166"/>
      <c r="G85" s="94">
        <f t="shared" si="322"/>
        <v>0</v>
      </c>
      <c r="H85" s="94">
        <f t="shared" si="323"/>
        <v>0</v>
      </c>
      <c r="I85" s="142"/>
      <c r="J85" s="96"/>
      <c r="K85" s="96"/>
      <c r="L85" s="95"/>
      <c r="M85" s="97">
        <f t="shared" ref="M85:O85" si="339">Y85+AB85+AE85+AH85+AK85+AN85+AQ85+AT85+AW85+AZ85+BC85+BF85</f>
        <v>0</v>
      </c>
      <c r="N85" s="97">
        <f t="shared" si="339"/>
        <v>0</v>
      </c>
      <c r="O85" s="97">
        <f t="shared" si="339"/>
        <v>0</v>
      </c>
      <c r="P85" s="82">
        <f t="shared" si="278"/>
        <v>0</v>
      </c>
      <c r="Q85" s="82">
        <f t="shared" ref="Q85:R85" si="340">IF(BJ85=0,SUM(Z85+AC85+AF85+AI85+AL85+AO85+AR85+AU85+AX85+BA85+BD85+BG85),BJ85)</f>
        <v>0</v>
      </c>
      <c r="R85" s="82">
        <f t="shared" si="340"/>
        <v>0</v>
      </c>
      <c r="S85" s="97">
        <f t="shared" ref="S85:T85" si="341">I85-M85</f>
        <v>0</v>
      </c>
      <c r="T85" s="97">
        <f t="shared" si="341"/>
        <v>0</v>
      </c>
      <c r="U85" s="97">
        <f t="shared" ref="U85:U88" si="342">L85-O85</f>
        <v>0</v>
      </c>
      <c r="V85" s="98" t="e">
        <f t="shared" ref="V85:W85" si="343">M85/I85</f>
        <v>#DIV/0!</v>
      </c>
      <c r="W85" s="98" t="e">
        <f t="shared" si="343"/>
        <v>#DIV/0!</v>
      </c>
      <c r="X85" s="98" t="e">
        <f t="shared" si="26"/>
        <v>#DIV/0!</v>
      </c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9"/>
      <c r="BM85" s="100"/>
      <c r="BN85" s="100"/>
      <c r="BO85" s="100"/>
      <c r="BP85" s="100"/>
    </row>
    <row r="86" spans="1:68" ht="15.75" customHeight="1">
      <c r="A86" s="89"/>
      <c r="B86" s="89"/>
      <c r="C86" s="101" t="s">
        <v>323</v>
      </c>
      <c r="D86" s="91" t="s">
        <v>134</v>
      </c>
      <c r="E86" s="92">
        <v>3000</v>
      </c>
      <c r="F86" s="147"/>
      <c r="G86" s="94">
        <f t="shared" si="322"/>
        <v>0</v>
      </c>
      <c r="H86" s="94">
        <f t="shared" si="323"/>
        <v>0</v>
      </c>
      <c r="I86" s="95"/>
      <c r="J86" s="119"/>
      <c r="K86" s="119"/>
      <c r="L86" s="95"/>
      <c r="M86" s="97">
        <f t="shared" ref="M86:O86" si="344">Y86+AB86+AE86+AH86+AK86+AN86+AQ86+AT86+AW86+AZ86+BC86+BF86</f>
        <v>0</v>
      </c>
      <c r="N86" s="97">
        <f t="shared" si="344"/>
        <v>0</v>
      </c>
      <c r="O86" s="97">
        <f t="shared" si="344"/>
        <v>0</v>
      </c>
      <c r="P86" s="82">
        <f t="shared" si="278"/>
        <v>0</v>
      </c>
      <c r="Q86" s="82">
        <f t="shared" ref="Q86:R86" si="345">IF(BJ86=0,SUM(Z86+AC86+AF86+AI86+AL86+AO86+AR86+AU86+AX86+BA86+BD86+BG86),BJ86)</f>
        <v>0</v>
      </c>
      <c r="R86" s="82">
        <f t="shared" si="345"/>
        <v>0</v>
      </c>
      <c r="S86" s="97">
        <f t="shared" ref="S86:T86" si="346">I86-M86</f>
        <v>0</v>
      </c>
      <c r="T86" s="97">
        <f t="shared" si="346"/>
        <v>0</v>
      </c>
      <c r="U86" s="97">
        <f t="shared" si="342"/>
        <v>0</v>
      </c>
      <c r="V86" s="98" t="e">
        <f t="shared" ref="V86:W86" si="347">M86/I86</f>
        <v>#DIV/0!</v>
      </c>
      <c r="W86" s="98" t="e">
        <f t="shared" si="347"/>
        <v>#DIV/0!</v>
      </c>
      <c r="X86" s="98" t="e">
        <f t="shared" si="26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103">
        <v>0</v>
      </c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136" t="s">
        <v>324</v>
      </c>
      <c r="C87" s="101" t="s">
        <v>325</v>
      </c>
      <c r="D87" s="144" t="s">
        <v>135</v>
      </c>
      <c r="E87" s="92">
        <v>10000</v>
      </c>
      <c r="F87" s="147"/>
      <c r="G87" s="94">
        <f t="shared" si="322"/>
        <v>0</v>
      </c>
      <c r="H87" s="94">
        <f t="shared" si="323"/>
        <v>0</v>
      </c>
      <c r="I87" s="96"/>
      <c r="J87" s="117">
        <v>73937.67</v>
      </c>
      <c r="K87" s="117"/>
      <c r="L87" s="95"/>
      <c r="M87" s="97">
        <f t="shared" ref="M87:O87" si="348">Y87+AB87+AE87+AH87+AK87+AN87+AQ87+AT87+AW87+AZ87+BC87+BF87</f>
        <v>0</v>
      </c>
      <c r="N87" s="97">
        <f t="shared" si="348"/>
        <v>13993.4</v>
      </c>
      <c r="O87" s="97">
        <f t="shared" si="348"/>
        <v>0</v>
      </c>
      <c r="P87" s="82">
        <f t="shared" si="278"/>
        <v>0</v>
      </c>
      <c r="Q87" s="82">
        <f t="shared" ref="Q87:R87" si="349">IF(BJ87=0,SUM(Z87+AC87+AF87+AI87+AL87+AO87+AR87+AU87+AX87+BA87+BD87+BG87),BJ87)</f>
        <v>13993.4</v>
      </c>
      <c r="R87" s="82">
        <f t="shared" si="349"/>
        <v>0</v>
      </c>
      <c r="S87" s="97">
        <f t="shared" ref="S87:T87" si="350">I87-M87</f>
        <v>0</v>
      </c>
      <c r="T87" s="97">
        <f t="shared" si="350"/>
        <v>59944.27</v>
      </c>
      <c r="U87" s="97">
        <f t="shared" si="342"/>
        <v>0</v>
      </c>
      <c r="V87" s="98" t="e">
        <f t="shared" ref="V87:W87" si="351">M87/I87</f>
        <v>#DIV/0!</v>
      </c>
      <c r="W87" s="98">
        <f t="shared" si="351"/>
        <v>0.18925941269179838</v>
      </c>
      <c r="X87" s="98" t="e">
        <f t="shared" si="26"/>
        <v>#DIV/0!</v>
      </c>
      <c r="Y87" s="96"/>
      <c r="Z87" s="96">
        <f>363.4+2000+900+1008</f>
        <v>4271.3999999999996</v>
      </c>
      <c r="AA87" s="96"/>
      <c r="AB87" s="96"/>
      <c r="AC87" s="103">
        <f>490+210+2000+3930</f>
        <v>6630</v>
      </c>
      <c r="AD87" s="96"/>
      <c r="AE87" s="96"/>
      <c r="AF87" s="103">
        <f>500+2592</f>
        <v>3092</v>
      </c>
      <c r="AG87" s="96"/>
      <c r="AH87" s="96"/>
      <c r="AI87" s="103">
        <v>0</v>
      </c>
      <c r="AJ87" s="96"/>
      <c r="AK87" s="96"/>
      <c r="AL87" s="96"/>
      <c r="AM87" s="96"/>
      <c r="AN87" s="103">
        <v>0</v>
      </c>
      <c r="AO87" s="103"/>
      <c r="AP87" s="96"/>
      <c r="AQ87" s="103">
        <v>0</v>
      </c>
      <c r="AR87" s="96"/>
      <c r="AS87" s="96"/>
      <c r="AT87" s="96"/>
      <c r="AU87" s="96"/>
      <c r="AV87" s="96"/>
      <c r="AW87" s="103">
        <v>0</v>
      </c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136"/>
      <c r="B88" s="136"/>
      <c r="C88" s="101" t="s">
        <v>218</v>
      </c>
      <c r="D88" s="91" t="s">
        <v>326</v>
      </c>
      <c r="E88" s="92">
        <v>8404</v>
      </c>
      <c r="F88" s="147"/>
      <c r="G88" s="94">
        <f t="shared" si="322"/>
        <v>0</v>
      </c>
      <c r="H88" s="94">
        <f t="shared" si="323"/>
        <v>0</v>
      </c>
      <c r="I88" s="126"/>
      <c r="J88" s="126"/>
      <c r="K88" s="117"/>
      <c r="L88" s="95"/>
      <c r="M88" s="196">
        <f t="shared" ref="M88:N88" si="352">Y88+AE88+AH88+AK88+AN88+AQ88+AT88+AW88+AZ88+BC88+BF88</f>
        <v>0</v>
      </c>
      <c r="N88" s="97">
        <f t="shared" si="352"/>
        <v>1940</v>
      </c>
      <c r="O88" s="97">
        <f>AA88+AD88+AG88+AJ88+AM88+AP88+AS88+AV88+AY88+BB88+BE88+BH88</f>
        <v>0</v>
      </c>
      <c r="P88" s="82">
        <f t="shared" ref="P88:Q88" si="353">IF(BI88=0,SUM(Y88+AE88+AH88+AK88+AN88+AQ88+AT88+AW88+AZ88+BC88+BF88),BI88)</f>
        <v>0</v>
      </c>
      <c r="Q88" s="82">
        <f t="shared" si="353"/>
        <v>1940</v>
      </c>
      <c r="R88" s="82">
        <f>IF(BK88=0,SUM(AA88+AD88+AG88+AJ88+AM88+AP88+AS88+AV88+AY88+BB88+BE88+BH88),BK88)</f>
        <v>0</v>
      </c>
      <c r="S88" s="97">
        <f t="shared" ref="S88:T88" si="354">I88-M88</f>
        <v>0</v>
      </c>
      <c r="T88" s="97">
        <f t="shared" si="354"/>
        <v>-1940</v>
      </c>
      <c r="U88" s="97">
        <f t="shared" si="342"/>
        <v>0</v>
      </c>
      <c r="V88" s="98" t="e">
        <f t="shared" ref="V88:W88" si="355">M88/I39</f>
        <v>#DIV/0!</v>
      </c>
      <c r="W88" s="98">
        <f t="shared" si="355"/>
        <v>1.3623404165671831</v>
      </c>
      <c r="X88" s="98" t="e">
        <f t="shared" si="26"/>
        <v>#DIV/0!</v>
      </c>
      <c r="Y88" s="96"/>
      <c r="Z88" s="96"/>
      <c r="AA88" s="96"/>
      <c r="AB88" s="126"/>
      <c r="AC88" s="126"/>
      <c r="AD88" s="96"/>
      <c r="AE88" s="96"/>
      <c r="AF88" s="96"/>
      <c r="AG88" s="96"/>
      <c r="AH88" s="96"/>
      <c r="AI88" s="103">
        <f>500+1440</f>
        <v>1940</v>
      </c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51"/>
      <c r="B89" s="151"/>
      <c r="C89" s="191"/>
      <c r="D89" s="153" t="s">
        <v>327</v>
      </c>
      <c r="E89" s="154">
        <f t="shared" ref="E89:F89" si="356">SUM(E90:E95)</f>
        <v>69491.34</v>
      </c>
      <c r="F89" s="154">
        <f t="shared" si="356"/>
        <v>21041.95</v>
      </c>
      <c r="G89" s="192">
        <f t="shared" si="322"/>
        <v>4.0508644674286033E-2</v>
      </c>
      <c r="H89" s="192">
        <f t="shared" si="323"/>
        <v>3.2406915739428825E-2</v>
      </c>
      <c r="I89" s="154">
        <f t="shared" ref="I89:O89" si="357">SUM(I91:I95)</f>
        <v>2815</v>
      </c>
      <c r="J89" s="154">
        <f t="shared" si="357"/>
        <v>0</v>
      </c>
      <c r="K89" s="154">
        <f t="shared" si="357"/>
        <v>0</v>
      </c>
      <c r="L89" s="154">
        <f t="shared" si="357"/>
        <v>0</v>
      </c>
      <c r="M89" s="154">
        <f t="shared" si="357"/>
        <v>2252</v>
      </c>
      <c r="N89" s="154">
        <f t="shared" si="357"/>
        <v>0</v>
      </c>
      <c r="O89" s="154">
        <f t="shared" si="357"/>
        <v>0</v>
      </c>
      <c r="P89" s="81">
        <f t="shared" ref="P89:R89" si="358">IF(BI89=0,SUM(Y89+AB89+AE89+AH89+AK89+AN89+AQ89+AT89+AW89+AZ89+BC89+BF89),BI89)</f>
        <v>2815</v>
      </c>
      <c r="Q89" s="81">
        <f t="shared" si="358"/>
        <v>0</v>
      </c>
      <c r="R89" s="81">
        <f t="shared" si="358"/>
        <v>0</v>
      </c>
      <c r="S89" s="154">
        <f t="shared" ref="S89:U89" si="359">SUM(S91:S95)</f>
        <v>0</v>
      </c>
      <c r="T89" s="154">
        <f t="shared" si="359"/>
        <v>0</v>
      </c>
      <c r="U89" s="154">
        <f t="shared" si="359"/>
        <v>0</v>
      </c>
      <c r="V89" s="193">
        <f t="shared" ref="V89:W89" si="360">M89/I89</f>
        <v>0.8</v>
      </c>
      <c r="W89" s="193" t="e">
        <f t="shared" si="360"/>
        <v>#DIV/0!</v>
      </c>
      <c r="X89" s="193" t="e">
        <f t="shared" si="26"/>
        <v>#DIV/0!</v>
      </c>
      <c r="Y89" s="154">
        <f t="shared" ref="Y89:BK89" si="361">SUM(Y91:Y95)</f>
        <v>0</v>
      </c>
      <c r="Z89" s="154">
        <f t="shared" si="361"/>
        <v>0</v>
      </c>
      <c r="AA89" s="154">
        <f t="shared" si="361"/>
        <v>0</v>
      </c>
      <c r="AB89" s="154">
        <f t="shared" si="361"/>
        <v>0</v>
      </c>
      <c r="AC89" s="154">
        <f t="shared" si="361"/>
        <v>0</v>
      </c>
      <c r="AD89" s="154">
        <f t="shared" si="361"/>
        <v>0</v>
      </c>
      <c r="AE89" s="154">
        <f t="shared" si="361"/>
        <v>0</v>
      </c>
      <c r="AF89" s="154">
        <f t="shared" si="361"/>
        <v>0</v>
      </c>
      <c r="AG89" s="154">
        <f t="shared" si="361"/>
        <v>0</v>
      </c>
      <c r="AH89" s="154">
        <f t="shared" si="361"/>
        <v>0</v>
      </c>
      <c r="AI89" s="154">
        <f t="shared" si="361"/>
        <v>0</v>
      </c>
      <c r="AJ89" s="154">
        <f t="shared" si="361"/>
        <v>0</v>
      </c>
      <c r="AK89" s="154">
        <f t="shared" si="361"/>
        <v>0</v>
      </c>
      <c r="AL89" s="154">
        <f t="shared" si="361"/>
        <v>0</v>
      </c>
      <c r="AM89" s="154">
        <f t="shared" si="361"/>
        <v>0</v>
      </c>
      <c r="AN89" s="154">
        <f t="shared" si="361"/>
        <v>2815</v>
      </c>
      <c r="AO89" s="154">
        <f t="shared" si="361"/>
        <v>0</v>
      </c>
      <c r="AP89" s="154">
        <f t="shared" si="361"/>
        <v>0</v>
      </c>
      <c r="AQ89" s="154">
        <f t="shared" si="361"/>
        <v>0</v>
      </c>
      <c r="AR89" s="154">
        <f t="shared" si="361"/>
        <v>0</v>
      </c>
      <c r="AS89" s="154">
        <f t="shared" si="361"/>
        <v>0</v>
      </c>
      <c r="AT89" s="154">
        <f t="shared" si="361"/>
        <v>0</v>
      </c>
      <c r="AU89" s="154">
        <f t="shared" si="361"/>
        <v>0</v>
      </c>
      <c r="AV89" s="154">
        <f t="shared" si="361"/>
        <v>0</v>
      </c>
      <c r="AW89" s="154">
        <f t="shared" si="361"/>
        <v>0</v>
      </c>
      <c r="AX89" s="154">
        <f t="shared" si="361"/>
        <v>0</v>
      </c>
      <c r="AY89" s="154">
        <f t="shared" si="361"/>
        <v>0</v>
      </c>
      <c r="AZ89" s="154">
        <f t="shared" si="361"/>
        <v>0</v>
      </c>
      <c r="BA89" s="154">
        <f t="shared" si="361"/>
        <v>0</v>
      </c>
      <c r="BB89" s="154">
        <f t="shared" si="361"/>
        <v>0</v>
      </c>
      <c r="BC89" s="154">
        <f t="shared" si="361"/>
        <v>0</v>
      </c>
      <c r="BD89" s="154">
        <f t="shared" si="361"/>
        <v>0</v>
      </c>
      <c r="BE89" s="154">
        <f t="shared" si="361"/>
        <v>0</v>
      </c>
      <c r="BF89" s="154">
        <f t="shared" si="361"/>
        <v>0</v>
      </c>
      <c r="BG89" s="154">
        <f t="shared" si="361"/>
        <v>0</v>
      </c>
      <c r="BH89" s="154">
        <f t="shared" si="361"/>
        <v>0</v>
      </c>
      <c r="BI89" s="154">
        <f t="shared" si="361"/>
        <v>0</v>
      </c>
      <c r="BJ89" s="154">
        <f t="shared" si="361"/>
        <v>0</v>
      </c>
      <c r="BK89" s="154">
        <f t="shared" si="361"/>
        <v>0</v>
      </c>
      <c r="BL89" s="157"/>
      <c r="BM89" s="158"/>
      <c r="BN89" s="158"/>
      <c r="BO89" s="158"/>
      <c r="BP89" s="158"/>
    </row>
    <row r="90" spans="1:68" ht="15.75" customHeight="1">
      <c r="A90" s="168"/>
      <c r="B90" s="168"/>
      <c r="C90" s="169"/>
      <c r="D90" s="170" t="s">
        <v>328</v>
      </c>
      <c r="E90" s="171">
        <v>59491.34</v>
      </c>
      <c r="F90" s="172"/>
      <c r="G90" s="94"/>
      <c r="H90" s="94"/>
      <c r="I90" s="174"/>
      <c r="J90" s="174"/>
      <c r="K90" s="174"/>
      <c r="L90" s="174"/>
      <c r="M90" s="175"/>
      <c r="N90" s="175"/>
      <c r="O90" s="175"/>
      <c r="P90" s="82"/>
      <c r="Q90" s="82"/>
      <c r="R90" s="82"/>
      <c r="S90" s="175"/>
      <c r="T90" s="175"/>
      <c r="U90" s="175"/>
      <c r="V90" s="176"/>
      <c r="W90" s="176"/>
      <c r="X90" s="176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8"/>
      <c r="AO90" s="178"/>
      <c r="AP90" s="178"/>
      <c r="AQ90" s="178"/>
      <c r="AR90" s="178"/>
      <c r="AS90" s="178"/>
      <c r="AT90" s="178"/>
      <c r="AU90" s="178"/>
      <c r="AV90" s="178"/>
      <c r="AW90" s="178"/>
      <c r="AX90" s="178"/>
      <c r="AY90" s="178"/>
      <c r="AZ90" s="178"/>
      <c r="BA90" s="178"/>
      <c r="BB90" s="178"/>
      <c r="BC90" s="178"/>
      <c r="BD90" s="178"/>
      <c r="BE90" s="178"/>
      <c r="BF90" s="178"/>
      <c r="BG90" s="178"/>
      <c r="BH90" s="178"/>
      <c r="BI90" s="178"/>
      <c r="BJ90" s="178"/>
      <c r="BK90" s="178"/>
      <c r="BL90" s="180"/>
      <c r="BM90" s="181"/>
      <c r="BN90" s="181"/>
      <c r="BO90" s="181"/>
      <c r="BP90" s="181"/>
    </row>
    <row r="91" spans="1:68" ht="15.75" customHeight="1">
      <c r="A91" s="365" t="s">
        <v>659</v>
      </c>
      <c r="B91" s="197"/>
      <c r="C91" s="198" t="s">
        <v>165</v>
      </c>
      <c r="D91" s="199" t="s">
        <v>716</v>
      </c>
      <c r="E91" s="200">
        <v>10000</v>
      </c>
      <c r="F91" s="172"/>
      <c r="G91" s="94">
        <f>I91/E91</f>
        <v>0.22520000000000001</v>
      </c>
      <c r="H91" s="94">
        <f>M91/E91</f>
        <v>0.22520000000000001</v>
      </c>
      <c r="I91" s="366">
        <f>2252</f>
        <v>2252</v>
      </c>
      <c r="J91" s="174"/>
      <c r="K91" s="174"/>
      <c r="L91" s="174"/>
      <c r="M91" s="175">
        <f t="shared" ref="M91:O91" si="362">Y91+AB91+AE91+AH91+AK91+AN91+AQ91+AT91+AW91+AZ91+BC91+BF91</f>
        <v>2252</v>
      </c>
      <c r="N91" s="175">
        <f t="shared" si="362"/>
        <v>0</v>
      </c>
      <c r="O91" s="175">
        <f t="shared" si="362"/>
        <v>0</v>
      </c>
      <c r="P91" s="82">
        <f t="shared" ref="P91:R91" si="363">IF(BI91=0,SUM(Y91+AB91+AE91+AH91+AK91+AN91+AQ91+AT91+AW91+AZ91+BC91+BF91),BI91)</f>
        <v>2252</v>
      </c>
      <c r="Q91" s="82">
        <f t="shared" si="363"/>
        <v>0</v>
      </c>
      <c r="R91" s="82">
        <f t="shared" si="363"/>
        <v>0</v>
      </c>
      <c r="S91" s="175">
        <f t="shared" ref="S91:T91" si="364">I91-M91</f>
        <v>0</v>
      </c>
      <c r="T91" s="175">
        <f t="shared" si="364"/>
        <v>0</v>
      </c>
      <c r="U91" s="175">
        <f>L91-O91</f>
        <v>0</v>
      </c>
      <c r="V91" s="176">
        <f t="shared" ref="V91:W91" si="365">M91/I91</f>
        <v>1</v>
      </c>
      <c r="W91" s="176" t="e">
        <f t="shared" si="365"/>
        <v>#DIV/0!</v>
      </c>
      <c r="X91" s="176" t="e">
        <f>O91/L91</f>
        <v>#DIV/0!</v>
      </c>
      <c r="Y91" s="172"/>
      <c r="Z91" s="172"/>
      <c r="AA91" s="172"/>
      <c r="AB91" s="172"/>
      <c r="AC91" s="172"/>
      <c r="AD91" s="172"/>
      <c r="AE91" s="172"/>
      <c r="AF91" s="171">
        <v>0</v>
      </c>
      <c r="AG91" s="172"/>
      <c r="AH91" s="172"/>
      <c r="AI91" s="171">
        <v>0</v>
      </c>
      <c r="AJ91" s="172"/>
      <c r="AK91" s="172"/>
      <c r="AL91" s="171">
        <v>0</v>
      </c>
      <c r="AM91" s="172"/>
      <c r="AN91" s="178">
        <f>2252</f>
        <v>2252</v>
      </c>
      <c r="AO91" s="201">
        <v>0</v>
      </c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136"/>
      <c r="B92" s="136"/>
      <c r="C92" s="90" t="s">
        <v>165</v>
      </c>
      <c r="D92" s="122" t="s">
        <v>330</v>
      </c>
      <c r="E92" s="147"/>
      <c r="F92" s="147">
        <v>0</v>
      </c>
      <c r="G92" s="94"/>
      <c r="H92" s="94"/>
      <c r="I92" s="202"/>
      <c r="J92" s="203"/>
      <c r="K92" s="203"/>
      <c r="L92" s="145"/>
      <c r="M92" s="97"/>
      <c r="N92" s="97"/>
      <c r="O92" s="97"/>
      <c r="P92" s="82">
        <f t="shared" ref="P92:Q92" si="366">IF(BI92=0,SUM(Y92+AB92+AE92+AH92+AK92+AN92+AQ92+AT92+AW92+AZ92+BC92+BF92),BI92)</f>
        <v>0</v>
      </c>
      <c r="Q92" s="82">
        <f t="shared" si="366"/>
        <v>0</v>
      </c>
      <c r="R92" s="82"/>
      <c r="S92" s="97"/>
      <c r="T92" s="97"/>
      <c r="U92" s="97"/>
      <c r="V92" s="98"/>
      <c r="W92" s="98"/>
      <c r="X92" s="98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103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99"/>
      <c r="BM92" s="100"/>
      <c r="BN92" s="100"/>
      <c r="BO92" s="100"/>
      <c r="BP92" s="100"/>
    </row>
    <row r="93" spans="1:68" ht="15.75" customHeight="1">
      <c r="A93" s="89" t="s">
        <v>564</v>
      </c>
      <c r="B93" s="136"/>
      <c r="C93" s="90" t="s">
        <v>240</v>
      </c>
      <c r="D93" s="122" t="s">
        <v>331</v>
      </c>
      <c r="E93" s="147"/>
      <c r="F93" s="195">
        <v>21041.95</v>
      </c>
      <c r="G93" s="94"/>
      <c r="H93" s="94"/>
      <c r="I93" s="202">
        <f>563</f>
        <v>563</v>
      </c>
      <c r="J93" s="203"/>
      <c r="K93" s="203"/>
      <c r="L93" s="204"/>
      <c r="M93" s="97"/>
      <c r="N93" s="97"/>
      <c r="O93" s="97"/>
      <c r="P93" s="82">
        <f t="shared" ref="P93:Q93" si="367">IF(BI93=0,SUM(Y93+AB93+AE93+AH93+AK93+AN93+AQ93+AT93+AW93+AZ93+BC93+BF93),BI93)</f>
        <v>563</v>
      </c>
      <c r="Q93" s="82">
        <f t="shared" si="367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103">
        <f>563</f>
        <v>563</v>
      </c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89"/>
      <c r="C94" s="90" t="s">
        <v>332</v>
      </c>
      <c r="D94" s="91" t="s">
        <v>333</v>
      </c>
      <c r="E94" s="166"/>
      <c r="F94" s="166"/>
      <c r="G94" s="94" t="e">
        <f t="shared" ref="G94:G116" si="368">I94/E94</f>
        <v>#DIV/0!</v>
      </c>
      <c r="H94" s="94" t="e">
        <f t="shared" ref="H94:H116" si="369">M94/E94</f>
        <v>#DIV/0!</v>
      </c>
      <c r="I94" s="96"/>
      <c r="J94" s="96"/>
      <c r="K94" s="96"/>
      <c r="L94" s="96"/>
      <c r="M94" s="97">
        <f t="shared" ref="M94:O94" si="370">Y94+AB94+AE94+AH94+AK94+AN94+AQ94+AT94+AW94+AZ94+BC94+BF94</f>
        <v>0</v>
      </c>
      <c r="N94" s="97">
        <f t="shared" si="370"/>
        <v>0</v>
      </c>
      <c r="O94" s="97">
        <f t="shared" si="370"/>
        <v>0</v>
      </c>
      <c r="P94" s="82">
        <f t="shared" ref="P94:R94" si="371">IF(BI94=0,SUM(Y94+AB94+AE94+AH94+AK94+AN94+AQ94+AT94+AW94+AZ94+BC94+BF94),BI94)</f>
        <v>0</v>
      </c>
      <c r="Q94" s="82">
        <f t="shared" si="371"/>
        <v>0</v>
      </c>
      <c r="R94" s="82">
        <f t="shared" si="371"/>
        <v>0</v>
      </c>
      <c r="S94" s="97">
        <f t="shared" ref="S94:T94" si="372">I94-M94</f>
        <v>0</v>
      </c>
      <c r="T94" s="97">
        <f t="shared" si="372"/>
        <v>0</v>
      </c>
      <c r="U94" s="97">
        <f t="shared" ref="U94:U95" si="373">L94-O94</f>
        <v>0</v>
      </c>
      <c r="V94" s="98" t="e">
        <f t="shared" ref="V94:W94" si="374">M94/I94</f>
        <v>#DIV/0!</v>
      </c>
      <c r="W94" s="98" t="e">
        <f t="shared" si="374"/>
        <v>#DIV/0!</v>
      </c>
      <c r="X94" s="98" t="e">
        <f t="shared" ref="X94:X102" si="375">O94/L94</f>
        <v>#DIV/0!</v>
      </c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161</v>
      </c>
      <c r="D95" s="91" t="s">
        <v>317</v>
      </c>
      <c r="E95" s="166"/>
      <c r="F95" s="166"/>
      <c r="G95" s="94" t="e">
        <f t="shared" si="368"/>
        <v>#DIV/0!</v>
      </c>
      <c r="H95" s="94" t="e">
        <f t="shared" si="369"/>
        <v>#DIV/0!</v>
      </c>
      <c r="I95" s="96"/>
      <c r="J95" s="96"/>
      <c r="K95" s="96"/>
      <c r="L95" s="96"/>
      <c r="M95" s="97">
        <f t="shared" ref="M95:O95" si="376">Y95+AB95+AE95+AH95+AK95+AN95+AQ95+AT95+AW95+AZ95+BC95+BF95</f>
        <v>0</v>
      </c>
      <c r="N95" s="97">
        <f t="shared" si="376"/>
        <v>0</v>
      </c>
      <c r="O95" s="97">
        <f t="shared" si="376"/>
        <v>0</v>
      </c>
      <c r="P95" s="82">
        <f t="shared" ref="P95:R95" si="377">IF(BI95=0,SUM(Y95+AB95+AE95+AH95+AK95+AN95+AQ95+AT95+AW95+AZ95+BC95+BF95),BI95)</f>
        <v>0</v>
      </c>
      <c r="Q95" s="82">
        <f t="shared" si="377"/>
        <v>0</v>
      </c>
      <c r="R95" s="82">
        <f t="shared" si="377"/>
        <v>0</v>
      </c>
      <c r="S95" s="97">
        <f t="shared" ref="S95:T95" si="378">I95-M95</f>
        <v>0</v>
      </c>
      <c r="T95" s="97">
        <f t="shared" si="378"/>
        <v>0</v>
      </c>
      <c r="U95" s="97">
        <f t="shared" si="373"/>
        <v>0</v>
      </c>
      <c r="V95" s="98" t="e">
        <f t="shared" ref="V95:W95" si="379">M95/I95</f>
        <v>#DIV/0!</v>
      </c>
      <c r="W95" s="98" t="e">
        <f t="shared" si="379"/>
        <v>#DIV/0!</v>
      </c>
      <c r="X95" s="98" t="e">
        <f t="shared" si="375"/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6"/>
      <c r="B96" s="86"/>
      <c r="C96" s="86" t="s">
        <v>334</v>
      </c>
      <c r="D96" s="86"/>
      <c r="E96" s="87">
        <f t="shared" ref="E96:F96" si="380">E97+E114+E119+E145+E150+E154</f>
        <v>273274.02</v>
      </c>
      <c r="F96" s="87">
        <f t="shared" si="380"/>
        <v>1183964.47</v>
      </c>
      <c r="G96" s="107">
        <f t="shared" si="368"/>
        <v>2.9454158869547862</v>
      </c>
      <c r="H96" s="107">
        <f t="shared" si="369"/>
        <v>0.14195557265194839</v>
      </c>
      <c r="I96" s="87">
        <f t="shared" ref="I96:O96" si="381">I97+I114+I119+I145+I150+I154</f>
        <v>804905.64</v>
      </c>
      <c r="J96" s="87">
        <f t="shared" si="381"/>
        <v>751131.49</v>
      </c>
      <c r="K96" s="87">
        <f t="shared" si="381"/>
        <v>0</v>
      </c>
      <c r="L96" s="87">
        <f t="shared" si="381"/>
        <v>0</v>
      </c>
      <c r="M96" s="87">
        <f t="shared" si="381"/>
        <v>38792.769999999997</v>
      </c>
      <c r="N96" s="87">
        <f t="shared" si="381"/>
        <v>499087.07</v>
      </c>
      <c r="O96" s="87">
        <f t="shared" si="381"/>
        <v>0</v>
      </c>
      <c r="P96" s="87">
        <f t="shared" ref="P96:R96" si="382">IF(BI96=0,SUM(Y96+AB96+AE96+AH96+AK96+AN96+AQ96+AT96+AW96+AZ96+BC96+BF96),BI96)</f>
        <v>38792.769999999997</v>
      </c>
      <c r="Q96" s="87">
        <f t="shared" si="382"/>
        <v>499087.07000000007</v>
      </c>
      <c r="R96" s="87">
        <f t="shared" si="382"/>
        <v>0</v>
      </c>
      <c r="S96" s="87">
        <f t="shared" ref="S96:U96" si="383">S97+S114+S119+S145+S150+S154</f>
        <v>766112.87000000011</v>
      </c>
      <c r="T96" s="87">
        <f t="shared" si="383"/>
        <v>252044.41999999998</v>
      </c>
      <c r="U96" s="87">
        <f t="shared" si="383"/>
        <v>0</v>
      </c>
      <c r="V96" s="88">
        <f t="shared" ref="V96:W96" si="384">M96/I96</f>
        <v>4.8195425739593518E-2</v>
      </c>
      <c r="W96" s="88">
        <f t="shared" si="384"/>
        <v>0.66444700647552402</v>
      </c>
      <c r="X96" s="88" t="e">
        <f t="shared" si="375"/>
        <v>#DIV/0!</v>
      </c>
      <c r="Y96" s="87">
        <f t="shared" ref="Y96:BK96" si="385">Y97+Y114+Y119+Y145+Y150+Y154</f>
        <v>0</v>
      </c>
      <c r="Z96" s="87">
        <f t="shared" si="385"/>
        <v>53060</v>
      </c>
      <c r="AA96" s="87">
        <f t="shared" si="385"/>
        <v>0</v>
      </c>
      <c r="AB96" s="87">
        <f t="shared" si="385"/>
        <v>0</v>
      </c>
      <c r="AC96" s="87">
        <f t="shared" si="385"/>
        <v>61206.74</v>
      </c>
      <c r="AD96" s="87">
        <f t="shared" si="385"/>
        <v>0</v>
      </c>
      <c r="AE96" s="87">
        <f t="shared" si="385"/>
        <v>0</v>
      </c>
      <c r="AF96" s="87">
        <f t="shared" si="385"/>
        <v>63661.509999999995</v>
      </c>
      <c r="AG96" s="87">
        <f t="shared" si="385"/>
        <v>0</v>
      </c>
      <c r="AH96" s="87">
        <f t="shared" si="385"/>
        <v>0</v>
      </c>
      <c r="AI96" s="87">
        <f t="shared" si="385"/>
        <v>166468.45000000001</v>
      </c>
      <c r="AJ96" s="87">
        <f t="shared" si="385"/>
        <v>0</v>
      </c>
      <c r="AK96" s="87">
        <f t="shared" si="385"/>
        <v>0</v>
      </c>
      <c r="AL96" s="87">
        <f t="shared" si="385"/>
        <v>54407.4</v>
      </c>
      <c r="AM96" s="87">
        <f t="shared" si="385"/>
        <v>0</v>
      </c>
      <c r="AN96" s="87">
        <f t="shared" si="385"/>
        <v>38792.769999999997</v>
      </c>
      <c r="AO96" s="87">
        <f t="shared" si="385"/>
        <v>100282.97</v>
      </c>
      <c r="AP96" s="87">
        <f t="shared" si="385"/>
        <v>0</v>
      </c>
      <c r="AQ96" s="87">
        <f t="shared" si="385"/>
        <v>0</v>
      </c>
      <c r="AR96" s="87">
        <f t="shared" si="385"/>
        <v>0</v>
      </c>
      <c r="AS96" s="87">
        <f t="shared" si="385"/>
        <v>0</v>
      </c>
      <c r="AT96" s="87">
        <f t="shared" si="385"/>
        <v>0</v>
      </c>
      <c r="AU96" s="87">
        <f t="shared" si="385"/>
        <v>0</v>
      </c>
      <c r="AV96" s="87">
        <f t="shared" si="385"/>
        <v>0</v>
      </c>
      <c r="AW96" s="87">
        <f t="shared" si="385"/>
        <v>0</v>
      </c>
      <c r="AX96" s="87">
        <f t="shared" si="385"/>
        <v>0</v>
      </c>
      <c r="AY96" s="87">
        <f t="shared" si="385"/>
        <v>0</v>
      </c>
      <c r="AZ96" s="87">
        <f t="shared" si="385"/>
        <v>0</v>
      </c>
      <c r="BA96" s="87">
        <f t="shared" si="385"/>
        <v>0</v>
      </c>
      <c r="BB96" s="87">
        <f t="shared" si="385"/>
        <v>0</v>
      </c>
      <c r="BC96" s="87">
        <f t="shared" si="385"/>
        <v>0</v>
      </c>
      <c r="BD96" s="87">
        <f t="shared" si="385"/>
        <v>0</v>
      </c>
      <c r="BE96" s="87">
        <f t="shared" si="385"/>
        <v>0</v>
      </c>
      <c r="BF96" s="87">
        <f t="shared" si="385"/>
        <v>0</v>
      </c>
      <c r="BG96" s="87">
        <f t="shared" si="385"/>
        <v>0</v>
      </c>
      <c r="BH96" s="87">
        <f t="shared" si="385"/>
        <v>0</v>
      </c>
      <c r="BI96" s="87">
        <f t="shared" si="385"/>
        <v>0</v>
      </c>
      <c r="BJ96" s="87">
        <f t="shared" si="385"/>
        <v>0</v>
      </c>
      <c r="BK96" s="87">
        <f t="shared" si="385"/>
        <v>0</v>
      </c>
      <c r="BL96" s="149"/>
      <c r="BM96" s="150"/>
      <c r="BN96" s="150"/>
      <c r="BO96" s="150"/>
      <c r="BP96" s="150"/>
    </row>
    <row r="97" spans="1:68" ht="15.75" customHeight="1">
      <c r="A97" s="151"/>
      <c r="B97" s="151"/>
      <c r="C97" s="152"/>
      <c r="D97" s="153" t="s">
        <v>302</v>
      </c>
      <c r="E97" s="154">
        <f t="shared" ref="E97:F97" si="386">SUM(E98:E113)</f>
        <v>97800</v>
      </c>
      <c r="F97" s="154">
        <f t="shared" si="386"/>
        <v>10000</v>
      </c>
      <c r="G97" s="192">
        <f t="shared" si="368"/>
        <v>0.86464212678936603</v>
      </c>
      <c r="H97" s="192">
        <f t="shared" si="369"/>
        <v>7.077914110429448E-2</v>
      </c>
      <c r="I97" s="154">
        <f t="shared" ref="I97:O97" si="387">SUM(I98:I113)</f>
        <v>84562</v>
      </c>
      <c r="J97" s="154">
        <f t="shared" si="387"/>
        <v>75763.899999999994</v>
      </c>
      <c r="K97" s="154">
        <f t="shared" si="387"/>
        <v>0</v>
      </c>
      <c r="L97" s="154">
        <f t="shared" si="387"/>
        <v>0</v>
      </c>
      <c r="M97" s="154">
        <f t="shared" si="387"/>
        <v>6922.2</v>
      </c>
      <c r="N97" s="154">
        <f t="shared" si="387"/>
        <v>55767</v>
      </c>
      <c r="O97" s="154">
        <f t="shared" si="387"/>
        <v>0</v>
      </c>
      <c r="P97" s="81">
        <f t="shared" ref="P97:R97" si="388">IF(BI97=0,SUM(Y97+AB97+AE97+AH97+AK97+AN97+AQ97+AT97+AW97+AZ97+BC97+BF97),BI97)</f>
        <v>6922.2</v>
      </c>
      <c r="Q97" s="81">
        <f t="shared" si="388"/>
        <v>55767</v>
      </c>
      <c r="R97" s="81">
        <f t="shared" si="388"/>
        <v>0</v>
      </c>
      <c r="S97" s="154">
        <f t="shared" ref="S97:U97" si="389">SUM(S98:S113)</f>
        <v>77639.8</v>
      </c>
      <c r="T97" s="154">
        <f t="shared" si="389"/>
        <v>19996.900000000001</v>
      </c>
      <c r="U97" s="154">
        <f t="shared" si="389"/>
        <v>0</v>
      </c>
      <c r="V97" s="193">
        <f t="shared" ref="V97:W97" si="390">M97/I97</f>
        <v>8.1859464061871764E-2</v>
      </c>
      <c r="W97" s="193">
        <f t="shared" si="390"/>
        <v>0.73606295346464479</v>
      </c>
      <c r="X97" s="193" t="e">
        <f t="shared" si="375"/>
        <v>#DIV/0!</v>
      </c>
      <c r="Y97" s="154">
        <f t="shared" ref="Y97:BK97" si="391">SUM(Y98:Y113)</f>
        <v>0</v>
      </c>
      <c r="Z97" s="154">
        <f t="shared" si="391"/>
        <v>52560</v>
      </c>
      <c r="AA97" s="154">
        <f t="shared" si="391"/>
        <v>0</v>
      </c>
      <c r="AB97" s="154">
        <f t="shared" si="391"/>
        <v>0</v>
      </c>
      <c r="AC97" s="154">
        <f t="shared" si="391"/>
        <v>0</v>
      </c>
      <c r="AD97" s="154">
        <f t="shared" si="391"/>
        <v>0</v>
      </c>
      <c r="AE97" s="154">
        <f t="shared" si="391"/>
        <v>0</v>
      </c>
      <c r="AF97" s="154">
        <f t="shared" si="391"/>
        <v>0</v>
      </c>
      <c r="AG97" s="154">
        <f t="shared" si="391"/>
        <v>0</v>
      </c>
      <c r="AH97" s="154">
        <f t="shared" si="391"/>
        <v>0</v>
      </c>
      <c r="AI97" s="154">
        <f t="shared" si="391"/>
        <v>0</v>
      </c>
      <c r="AJ97" s="154">
        <f t="shared" si="391"/>
        <v>0</v>
      </c>
      <c r="AK97" s="154">
        <f t="shared" si="391"/>
        <v>0</v>
      </c>
      <c r="AL97" s="154">
        <f t="shared" si="391"/>
        <v>3207</v>
      </c>
      <c r="AM97" s="154">
        <f t="shared" si="391"/>
        <v>0</v>
      </c>
      <c r="AN97" s="154">
        <f t="shared" si="391"/>
        <v>6922.2</v>
      </c>
      <c r="AO97" s="154">
        <f t="shared" si="391"/>
        <v>0</v>
      </c>
      <c r="AP97" s="154">
        <f t="shared" si="391"/>
        <v>0</v>
      </c>
      <c r="AQ97" s="154">
        <f t="shared" si="391"/>
        <v>0</v>
      </c>
      <c r="AR97" s="154">
        <f t="shared" si="391"/>
        <v>0</v>
      </c>
      <c r="AS97" s="154">
        <f t="shared" si="391"/>
        <v>0</v>
      </c>
      <c r="AT97" s="154">
        <f t="shared" si="391"/>
        <v>0</v>
      </c>
      <c r="AU97" s="154">
        <f t="shared" si="391"/>
        <v>0</v>
      </c>
      <c r="AV97" s="154">
        <f t="shared" si="391"/>
        <v>0</v>
      </c>
      <c r="AW97" s="154">
        <f t="shared" si="391"/>
        <v>0</v>
      </c>
      <c r="AX97" s="154">
        <f t="shared" si="391"/>
        <v>0</v>
      </c>
      <c r="AY97" s="154">
        <f t="shared" si="391"/>
        <v>0</v>
      </c>
      <c r="AZ97" s="154">
        <f t="shared" si="391"/>
        <v>0</v>
      </c>
      <c r="BA97" s="154">
        <f t="shared" si="391"/>
        <v>0</v>
      </c>
      <c r="BB97" s="154">
        <f t="shared" si="391"/>
        <v>0</v>
      </c>
      <c r="BC97" s="154">
        <f t="shared" si="391"/>
        <v>0</v>
      </c>
      <c r="BD97" s="154">
        <f t="shared" si="391"/>
        <v>0</v>
      </c>
      <c r="BE97" s="154">
        <f t="shared" si="391"/>
        <v>0</v>
      </c>
      <c r="BF97" s="154">
        <f t="shared" si="391"/>
        <v>0</v>
      </c>
      <c r="BG97" s="154">
        <f t="shared" si="391"/>
        <v>0</v>
      </c>
      <c r="BH97" s="154">
        <f t="shared" si="391"/>
        <v>0</v>
      </c>
      <c r="BI97" s="154">
        <f t="shared" si="391"/>
        <v>0</v>
      </c>
      <c r="BJ97" s="154">
        <f t="shared" si="391"/>
        <v>0</v>
      </c>
      <c r="BK97" s="154">
        <f t="shared" si="391"/>
        <v>0</v>
      </c>
      <c r="BL97" s="157"/>
      <c r="BM97" s="158"/>
      <c r="BN97" s="158"/>
      <c r="BO97" s="158"/>
      <c r="BP97" s="158"/>
    </row>
    <row r="98" spans="1:68" ht="15.75" customHeight="1">
      <c r="A98" s="89" t="s">
        <v>516</v>
      </c>
      <c r="B98" s="205"/>
      <c r="C98" s="90" t="s">
        <v>200</v>
      </c>
      <c r="D98" s="91" t="s">
        <v>201</v>
      </c>
      <c r="E98" s="166">
        <v>4500</v>
      </c>
      <c r="F98" s="166"/>
      <c r="G98" s="94">
        <f t="shared" si="368"/>
        <v>1</v>
      </c>
      <c r="H98" s="94">
        <f t="shared" si="369"/>
        <v>0</v>
      </c>
      <c r="I98" s="96">
        <v>4500</v>
      </c>
      <c r="J98" s="96"/>
      <c r="K98" s="96"/>
      <c r="L98" s="96"/>
      <c r="M98" s="97">
        <f t="shared" ref="M98:O98" si="392">Y98+AB98+AE98+AH98+AK98+AN98+AQ98+AT98+AW98+AZ98+BC98+BF98</f>
        <v>0</v>
      </c>
      <c r="N98" s="97">
        <f t="shared" si="392"/>
        <v>0</v>
      </c>
      <c r="O98" s="97">
        <f t="shared" si="392"/>
        <v>0</v>
      </c>
      <c r="P98" s="97">
        <f t="shared" ref="P98:R98" si="393">IF(BI98=0,SUM(Y98+AB98+AE98+AH98+AK98+AN98+AQ98+AT98+AW98+AZ98+BC98+BF98),BI98)</f>
        <v>0</v>
      </c>
      <c r="Q98" s="97">
        <f t="shared" si="393"/>
        <v>0</v>
      </c>
      <c r="R98" s="97">
        <f t="shared" si="393"/>
        <v>0</v>
      </c>
      <c r="S98" s="97">
        <f t="shared" ref="S98:T98" si="394">I98-M98</f>
        <v>4500</v>
      </c>
      <c r="T98" s="97">
        <f t="shared" si="394"/>
        <v>0</v>
      </c>
      <c r="U98" s="97">
        <f t="shared" ref="U98:U113" si="395">L98-O98</f>
        <v>0</v>
      </c>
      <c r="V98" s="98">
        <f t="shared" ref="V98:W98" si="396">M98/I98</f>
        <v>0</v>
      </c>
      <c r="W98" s="98" t="e">
        <f t="shared" si="396"/>
        <v>#DIV/0!</v>
      </c>
      <c r="X98" s="98" t="e">
        <f t="shared" si="375"/>
        <v>#DIV/0!</v>
      </c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9"/>
      <c r="BM98" s="100"/>
      <c r="BN98" s="100"/>
      <c r="BO98" s="100"/>
      <c r="BP98" s="100"/>
    </row>
    <row r="99" spans="1:68" ht="15.75" customHeight="1">
      <c r="A99" s="89" t="s">
        <v>517</v>
      </c>
      <c r="B99" s="205"/>
      <c r="C99" s="90" t="s">
        <v>335</v>
      </c>
      <c r="D99" s="91" t="s">
        <v>336</v>
      </c>
      <c r="E99" s="166">
        <v>2500</v>
      </c>
      <c r="F99" s="166"/>
      <c r="G99" s="94">
        <f t="shared" si="368"/>
        <v>1</v>
      </c>
      <c r="H99" s="94">
        <f t="shared" si="369"/>
        <v>0</v>
      </c>
      <c r="I99" s="96">
        <v>2500</v>
      </c>
      <c r="J99" s="96"/>
      <c r="K99" s="96"/>
      <c r="L99" s="96"/>
      <c r="M99" s="97">
        <f t="shared" ref="M99:O99" si="397">Y99+AB99+AE99+AH99+AK99+AN99+AQ99+AT99+AW99+AZ99+BC99+BF99</f>
        <v>0</v>
      </c>
      <c r="N99" s="97">
        <f t="shared" si="397"/>
        <v>0</v>
      </c>
      <c r="O99" s="97">
        <f t="shared" si="397"/>
        <v>0</v>
      </c>
      <c r="P99" s="97">
        <f t="shared" ref="P99:R99" si="398">IF(BI99=0,SUM(Y99+AB99+AE99+AH99+AK99+AN99+AQ99+AT99+AW99+AZ99+BC99+BF99),BI99)</f>
        <v>0</v>
      </c>
      <c r="Q99" s="97">
        <f t="shared" si="398"/>
        <v>0</v>
      </c>
      <c r="R99" s="97">
        <f t="shared" si="398"/>
        <v>0</v>
      </c>
      <c r="S99" s="97">
        <f t="shared" ref="S99:T99" si="399">I99-M99</f>
        <v>2500</v>
      </c>
      <c r="T99" s="97">
        <f t="shared" si="399"/>
        <v>0</v>
      </c>
      <c r="U99" s="97">
        <f t="shared" si="395"/>
        <v>0</v>
      </c>
      <c r="V99" s="98">
        <f t="shared" ref="V99:W99" si="400">M99/I99</f>
        <v>0</v>
      </c>
      <c r="W99" s="98" t="e">
        <f t="shared" si="400"/>
        <v>#DIV/0!</v>
      </c>
      <c r="X99" s="98" t="e">
        <f t="shared" si="375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/>
      <c r="B100" s="206"/>
      <c r="C100" s="90" t="s">
        <v>213</v>
      </c>
      <c r="D100" s="91" t="s">
        <v>74</v>
      </c>
      <c r="E100" s="166"/>
      <c r="F100" s="166"/>
      <c r="G100" s="94" t="e">
        <f t="shared" si="368"/>
        <v>#DIV/0!</v>
      </c>
      <c r="H100" s="94" t="e">
        <f t="shared" si="369"/>
        <v>#DIV/0!</v>
      </c>
      <c r="I100" s="96"/>
      <c r="J100" s="96"/>
      <c r="K100" s="96"/>
      <c r="L100" s="96"/>
      <c r="M100" s="97">
        <f t="shared" ref="M100:O100" si="401">Y100+AB100+AE100+AH100+AK100+AN100+AQ100+AT100+AW100+AZ100+BC100+BF100</f>
        <v>0</v>
      </c>
      <c r="N100" s="97">
        <f t="shared" si="401"/>
        <v>0</v>
      </c>
      <c r="O100" s="97">
        <f t="shared" si="401"/>
        <v>0</v>
      </c>
      <c r="P100" s="97">
        <f t="shared" ref="P100:R100" si="402">IF(BI100=0,SUM(Y100+AB100+AE100+AH100+AK100+AN100+AQ100+AT100+AW100+AZ100+BC100+BF100),BI100)</f>
        <v>0</v>
      </c>
      <c r="Q100" s="97">
        <f t="shared" si="402"/>
        <v>0</v>
      </c>
      <c r="R100" s="97">
        <f t="shared" si="402"/>
        <v>0</v>
      </c>
      <c r="S100" s="97">
        <f t="shared" ref="S100:T100" si="403">I100-M100</f>
        <v>0</v>
      </c>
      <c r="T100" s="97">
        <f t="shared" si="403"/>
        <v>0</v>
      </c>
      <c r="U100" s="97">
        <f t="shared" si="395"/>
        <v>0</v>
      </c>
      <c r="V100" s="98" t="e">
        <f t="shared" ref="V100:W100" si="404">M100/I100</f>
        <v>#DIV/0!</v>
      </c>
      <c r="W100" s="98" t="e">
        <f t="shared" si="404"/>
        <v>#DIV/0!</v>
      </c>
      <c r="X100" s="98" t="e">
        <f t="shared" si="375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/>
      <c r="D101" s="207" t="s">
        <v>717</v>
      </c>
      <c r="E101" s="208"/>
      <c r="F101" s="208"/>
      <c r="G101" s="94" t="e">
        <f t="shared" si="368"/>
        <v>#DIV/0!</v>
      </c>
      <c r="H101" s="94" t="e">
        <f t="shared" si="369"/>
        <v>#DIV/0!</v>
      </c>
      <c r="I101" s="202"/>
      <c r="J101" s="204"/>
      <c r="K101" s="204"/>
      <c r="L101" s="202"/>
      <c r="M101" s="97">
        <f t="shared" ref="M101:O101" si="405">Y101+AB101+AE101+AH101+AK101+AN101+AQ101+AT101+AW101+AZ101+BC101+BF101</f>
        <v>0</v>
      </c>
      <c r="N101" s="97">
        <f t="shared" si="405"/>
        <v>0</v>
      </c>
      <c r="O101" s="97">
        <f t="shared" si="405"/>
        <v>0</v>
      </c>
      <c r="P101" s="97">
        <f t="shared" ref="P101:R101" si="406">IF(BI101=0,SUM(Y101+AB101+AE101+AH101+AK101+AN101+AQ101+AT101+AW101+AZ101+BC101+BF101),BI101)</f>
        <v>0</v>
      </c>
      <c r="Q101" s="97">
        <f t="shared" si="406"/>
        <v>0</v>
      </c>
      <c r="R101" s="97">
        <f t="shared" si="406"/>
        <v>0</v>
      </c>
      <c r="S101" s="97">
        <f t="shared" ref="S101:T101" si="407">I101-M101</f>
        <v>0</v>
      </c>
      <c r="T101" s="97">
        <f t="shared" si="407"/>
        <v>0</v>
      </c>
      <c r="U101" s="97">
        <f t="shared" si="395"/>
        <v>0</v>
      </c>
      <c r="V101" s="98" t="e">
        <f t="shared" ref="V101:W101" si="408">M101/I101</f>
        <v>#DIV/0!</v>
      </c>
      <c r="W101" s="98" t="e">
        <f t="shared" si="408"/>
        <v>#DIV/0!</v>
      </c>
      <c r="X101" s="98" t="e">
        <f t="shared" si="375"/>
        <v>#DIV/0!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9"/>
      <c r="BG101" s="204"/>
      <c r="BH101" s="204"/>
      <c r="BI101" s="209"/>
      <c r="BJ101" s="204"/>
      <c r="BK101" s="204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 t="s">
        <v>240</v>
      </c>
      <c r="D102" s="210" t="s">
        <v>718</v>
      </c>
      <c r="E102" s="166"/>
      <c r="F102" s="147"/>
      <c r="G102" s="94" t="e">
        <f t="shared" si="368"/>
        <v>#DIV/0!</v>
      </c>
      <c r="H102" s="94" t="e">
        <f t="shared" si="369"/>
        <v>#DIV/0!</v>
      </c>
      <c r="I102" s="96"/>
      <c r="J102" s="96"/>
      <c r="K102" s="96"/>
      <c r="L102" s="96"/>
      <c r="M102" s="97">
        <f t="shared" ref="M102:O102" si="409">Y102+AB102+AE102+AH102+AK102+AN102+AQ102+AT102+AW102+AZ102+BC102+BF102</f>
        <v>0</v>
      </c>
      <c r="N102" s="97">
        <f t="shared" si="409"/>
        <v>0</v>
      </c>
      <c r="O102" s="97">
        <f t="shared" si="409"/>
        <v>0</v>
      </c>
      <c r="P102" s="97">
        <f t="shared" ref="P102:R102" si="410">IF(BI102=0,SUM(Y102+AB102+AE102+AH102+AK102+AN102+AQ102+AT102+AW102+AZ102+BC102+BF102),BI102)</f>
        <v>0</v>
      </c>
      <c r="Q102" s="97">
        <f t="shared" si="410"/>
        <v>0</v>
      </c>
      <c r="R102" s="97">
        <f t="shared" si="410"/>
        <v>0</v>
      </c>
      <c r="S102" s="97">
        <f t="shared" ref="S102:T102" si="411">I102-M102</f>
        <v>0</v>
      </c>
      <c r="T102" s="97">
        <f t="shared" si="411"/>
        <v>0</v>
      </c>
      <c r="U102" s="97">
        <f t="shared" si="395"/>
        <v>0</v>
      </c>
      <c r="V102" s="98" t="e">
        <f t="shared" ref="V102:W102" si="412">M102/I102</f>
        <v>#DIV/0!</v>
      </c>
      <c r="W102" s="98" t="e">
        <f t="shared" si="412"/>
        <v>#DIV/0!</v>
      </c>
      <c r="X102" s="98" t="e">
        <f t="shared" si="375"/>
        <v>#DIV/0!</v>
      </c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161</v>
      </c>
      <c r="D103" s="91" t="s">
        <v>339</v>
      </c>
      <c r="E103" s="166">
        <v>800</v>
      </c>
      <c r="F103" s="166"/>
      <c r="G103" s="94">
        <f t="shared" si="368"/>
        <v>0</v>
      </c>
      <c r="H103" s="94">
        <f t="shared" si="369"/>
        <v>0</v>
      </c>
      <c r="I103" s="96"/>
      <c r="J103" s="96"/>
      <c r="K103" s="96"/>
      <c r="L103" s="96"/>
      <c r="M103" s="97">
        <f t="shared" ref="M103:O103" si="413">Y103+AB103+AE103+AH103+AK103+AN103+AQ103+AT103+AW103+AZ103+BC103+BF103</f>
        <v>0</v>
      </c>
      <c r="N103" s="97">
        <f t="shared" si="413"/>
        <v>0</v>
      </c>
      <c r="O103" s="97">
        <f t="shared" si="413"/>
        <v>0</v>
      </c>
      <c r="P103" s="97">
        <f t="shared" ref="P103:R103" si="414">IF(BI103=0,SUM(Y103+AB103+AE103+AH103+AK103+AN103+AQ103+AT103+AW103+AZ103+BC103+BF103),BI103)</f>
        <v>0</v>
      </c>
      <c r="Q103" s="97">
        <f t="shared" si="414"/>
        <v>0</v>
      </c>
      <c r="R103" s="97">
        <f t="shared" si="414"/>
        <v>0</v>
      </c>
      <c r="S103" s="97">
        <f t="shared" ref="S103:T103" si="415">I103-M103</f>
        <v>0</v>
      </c>
      <c r="T103" s="97">
        <f t="shared" si="415"/>
        <v>0</v>
      </c>
      <c r="U103" s="97">
        <f t="shared" si="395"/>
        <v>0</v>
      </c>
      <c r="V103" s="98" t="e">
        <f t="shared" ref="V103:W103" si="416">M103/I103</f>
        <v>#DIV/0!</v>
      </c>
      <c r="W103" s="98" t="e">
        <f t="shared" si="416"/>
        <v>#DIV/0!</v>
      </c>
      <c r="X103" s="98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103">
        <v>0</v>
      </c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340</v>
      </c>
      <c r="D104" s="91" t="s">
        <v>341</v>
      </c>
      <c r="E104" s="166"/>
      <c r="F104" s="166"/>
      <c r="G104" s="94" t="e">
        <f t="shared" si="368"/>
        <v>#DIV/0!</v>
      </c>
      <c r="H104" s="94" t="e">
        <f t="shared" si="369"/>
        <v>#DIV/0!</v>
      </c>
      <c r="I104" s="96"/>
      <c r="J104" s="96"/>
      <c r="K104" s="96"/>
      <c r="L104" s="96"/>
      <c r="M104" s="97">
        <f t="shared" ref="M104:O104" si="417">Y104+AB104+AE104+AH104+AK104+AN104+AQ104+AT104+AW104+AZ104+BC104+BF104</f>
        <v>0</v>
      </c>
      <c r="N104" s="97">
        <f t="shared" si="417"/>
        <v>0</v>
      </c>
      <c r="O104" s="97">
        <f t="shared" si="417"/>
        <v>0</v>
      </c>
      <c r="P104" s="97">
        <f t="shared" ref="P104:R104" si="418">IF(BI104=0,SUM(Y104+AB104+AE104+AH104+AK104+AN104+AQ104+AT104+AW104+AZ104+BC104+BF104),BI104)</f>
        <v>0</v>
      </c>
      <c r="Q104" s="97">
        <f t="shared" si="418"/>
        <v>0</v>
      </c>
      <c r="R104" s="97">
        <f t="shared" si="418"/>
        <v>0</v>
      </c>
      <c r="S104" s="97">
        <f t="shared" ref="S104:T104" si="419">I104-M104</f>
        <v>0</v>
      </c>
      <c r="T104" s="97">
        <f t="shared" si="419"/>
        <v>0</v>
      </c>
      <c r="U104" s="97">
        <f t="shared" si="395"/>
        <v>0</v>
      </c>
      <c r="V104" s="98" t="e">
        <f t="shared" ref="V104:W104" si="420">M104/I104</f>
        <v>#DIV/0!</v>
      </c>
      <c r="W104" s="98" t="e">
        <f t="shared" si="420"/>
        <v>#DIV/0!</v>
      </c>
      <c r="X104" s="98" t="e">
        <f t="shared" ref="X104:X116" si="421">O104/L104</f>
        <v>#DIV/0!</v>
      </c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101" t="s">
        <v>268</v>
      </c>
      <c r="D105" s="91" t="s">
        <v>140</v>
      </c>
      <c r="E105" s="92">
        <v>15000</v>
      </c>
      <c r="F105" s="166"/>
      <c r="G105" s="94">
        <f t="shared" si="368"/>
        <v>0</v>
      </c>
      <c r="H105" s="94">
        <f t="shared" si="369"/>
        <v>0</v>
      </c>
      <c r="I105" s="96"/>
      <c r="J105" s="96"/>
      <c r="K105" s="96"/>
      <c r="L105" s="96"/>
      <c r="M105" s="97">
        <f t="shared" ref="M105:O105" si="422">Y105+AB105+AE105+AH105+AK105+AN105+AQ105+AT105+AW105+AZ105+BC105+BF105</f>
        <v>0</v>
      </c>
      <c r="N105" s="97">
        <f t="shared" si="422"/>
        <v>0</v>
      </c>
      <c r="O105" s="97">
        <f t="shared" si="422"/>
        <v>0</v>
      </c>
      <c r="P105" s="97">
        <f t="shared" ref="P105:R105" si="423">IF(BI105=0,SUM(Y105+AB105+AE105+AH105+AK105+AN105+AQ105+AT105+AW105+AZ105+BC105+BF105),BI105)</f>
        <v>0</v>
      </c>
      <c r="Q105" s="97">
        <f t="shared" si="423"/>
        <v>0</v>
      </c>
      <c r="R105" s="97">
        <f t="shared" si="423"/>
        <v>0</v>
      </c>
      <c r="S105" s="97">
        <f t="shared" ref="S105:T105" si="424">I105-M105</f>
        <v>0</v>
      </c>
      <c r="T105" s="97">
        <f t="shared" si="424"/>
        <v>0</v>
      </c>
      <c r="U105" s="97">
        <f t="shared" si="395"/>
        <v>0</v>
      </c>
      <c r="V105" s="98" t="e">
        <f t="shared" ref="V105:W105" si="425">M105/I105</f>
        <v>#DIV/0!</v>
      </c>
      <c r="W105" s="98" t="e">
        <f t="shared" si="425"/>
        <v>#DIV/0!</v>
      </c>
      <c r="X105" s="98" t="e">
        <f t="shared" si="421"/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354" t="s">
        <v>614</v>
      </c>
      <c r="B106" s="211"/>
      <c r="C106" s="101" t="s">
        <v>229</v>
      </c>
      <c r="D106" s="122" t="s">
        <v>342</v>
      </c>
      <c r="E106" s="116">
        <v>70000</v>
      </c>
      <c r="F106" s="166"/>
      <c r="G106" s="94">
        <f t="shared" si="368"/>
        <v>1.1080285714285714</v>
      </c>
      <c r="H106" s="94">
        <f t="shared" si="369"/>
        <v>9.8888571428571423E-2</v>
      </c>
      <c r="I106" s="103">
        <f>2502+75060</f>
        <v>77562</v>
      </c>
      <c r="J106" s="96"/>
      <c r="K106" s="96"/>
      <c r="L106" s="96"/>
      <c r="M106" s="97">
        <f t="shared" ref="M106:O106" si="426">Y106+AB106+AE106+AH106+AK106+AN106+AQ106+AT106+AW106+AZ106+BC106+BF106</f>
        <v>6922.2</v>
      </c>
      <c r="N106" s="97">
        <f t="shared" si="426"/>
        <v>0</v>
      </c>
      <c r="O106" s="97">
        <f t="shared" si="426"/>
        <v>0</v>
      </c>
      <c r="P106" s="97">
        <f t="shared" ref="P106:R106" si="427">IF(BI106=0,SUM(Y106+AB106+AE106+AH106+AK106+AN106+AQ106+AT106+AW106+AZ106+BC106+BF106),BI106)</f>
        <v>6922.2</v>
      </c>
      <c r="Q106" s="97">
        <f t="shared" si="427"/>
        <v>0</v>
      </c>
      <c r="R106" s="97">
        <f t="shared" si="427"/>
        <v>0</v>
      </c>
      <c r="S106" s="97">
        <f t="shared" ref="S106:S113" si="428">I106-M106</f>
        <v>70639.8</v>
      </c>
      <c r="T106" s="97">
        <f>J106-N106-K106</f>
        <v>0</v>
      </c>
      <c r="U106" s="97">
        <f t="shared" si="395"/>
        <v>0</v>
      </c>
      <c r="V106" s="98">
        <f t="shared" ref="V106:W106" si="429">M106/I106</f>
        <v>8.924731182795699E-2</v>
      </c>
      <c r="W106" s="98" t="e">
        <f t="shared" si="429"/>
        <v>#DIV/0!</v>
      </c>
      <c r="X106" s="98" t="e">
        <f t="shared" si="421"/>
        <v>#DIV/0!</v>
      </c>
      <c r="Y106" s="96"/>
      <c r="Z106" s="103">
        <v>0</v>
      </c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103">
        <f>6421.8+500.4</f>
        <v>6922.2</v>
      </c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89"/>
      <c r="B107" s="206"/>
      <c r="C107" s="101" t="s">
        <v>318</v>
      </c>
      <c r="D107" s="122" t="s">
        <v>153</v>
      </c>
      <c r="E107" s="92">
        <v>2000</v>
      </c>
      <c r="F107" s="166"/>
      <c r="G107" s="94">
        <f t="shared" si="368"/>
        <v>0</v>
      </c>
      <c r="H107" s="94">
        <f t="shared" si="369"/>
        <v>0</v>
      </c>
      <c r="I107" s="96"/>
      <c r="J107" s="96"/>
      <c r="K107" s="96"/>
      <c r="L107" s="96"/>
      <c r="M107" s="97">
        <f t="shared" ref="M107:O107" si="430">Y107+AB107+AE107+AH107+AK107+AN107+AQ107+AT107+AW107+AZ107+BC107+BF107</f>
        <v>0</v>
      </c>
      <c r="N107" s="97">
        <f t="shared" si="430"/>
        <v>0</v>
      </c>
      <c r="O107" s="97">
        <f t="shared" si="430"/>
        <v>0</v>
      </c>
      <c r="P107" s="97">
        <f t="shared" ref="P107:R107" si="431">IF(BI107=0,SUM(Y107+AB107+AE107+AH107+AK107+AN107+AQ107+AT107+AW107+AZ107+BC107+BF107),BI107)</f>
        <v>0</v>
      </c>
      <c r="Q107" s="97">
        <f t="shared" si="431"/>
        <v>0</v>
      </c>
      <c r="R107" s="97">
        <f t="shared" si="431"/>
        <v>0</v>
      </c>
      <c r="S107" s="97">
        <f t="shared" si="428"/>
        <v>0</v>
      </c>
      <c r="T107" s="97">
        <f t="shared" ref="T107:T113" si="432">J107-N107</f>
        <v>0</v>
      </c>
      <c r="U107" s="97">
        <f t="shared" si="395"/>
        <v>0</v>
      </c>
      <c r="V107" s="98" t="e">
        <f t="shared" ref="V107:W107" si="433">M107/I107</f>
        <v>#DIV/0!</v>
      </c>
      <c r="W107" s="98" t="e">
        <f t="shared" si="433"/>
        <v>#DIV/0!</v>
      </c>
      <c r="X107" s="98" t="e">
        <f t="shared" si="421"/>
        <v>#DIV/0!</v>
      </c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 t="s">
        <v>343</v>
      </c>
      <c r="C108" s="101" t="s">
        <v>344</v>
      </c>
      <c r="D108" s="122" t="s">
        <v>719</v>
      </c>
      <c r="E108" s="92">
        <v>3000</v>
      </c>
      <c r="F108" s="93">
        <v>10000</v>
      </c>
      <c r="G108" s="94">
        <f t="shared" si="368"/>
        <v>0</v>
      </c>
      <c r="H108" s="94">
        <f t="shared" si="369"/>
        <v>0</v>
      </c>
      <c r="I108" s="96"/>
      <c r="J108" s="96">
        <v>19996.900000000001</v>
      </c>
      <c r="K108" s="96"/>
      <c r="L108" s="96"/>
      <c r="M108" s="97">
        <f t="shared" ref="M108:O108" si="434">Y108+AB108+AE108+AH108+AK108+AN108+AQ108+AT108+AW108+AZ108+BC108+BF108</f>
        <v>0</v>
      </c>
      <c r="N108" s="97">
        <f t="shared" si="434"/>
        <v>0</v>
      </c>
      <c r="O108" s="97">
        <f t="shared" si="434"/>
        <v>0</v>
      </c>
      <c r="P108" s="97">
        <f t="shared" ref="P108:R108" si="435">IF(BI108=0,SUM(Y108+AB108+AE108+AH108+AK108+AN108+AQ108+AT108+AW108+AZ108+BC108+BF108),BI108)</f>
        <v>0</v>
      </c>
      <c r="Q108" s="97">
        <f t="shared" si="435"/>
        <v>0</v>
      </c>
      <c r="R108" s="97">
        <f t="shared" si="435"/>
        <v>0</v>
      </c>
      <c r="S108" s="97">
        <f t="shared" si="428"/>
        <v>0</v>
      </c>
      <c r="T108" s="97">
        <f t="shared" si="432"/>
        <v>19996.900000000001</v>
      </c>
      <c r="U108" s="97">
        <f t="shared" si="395"/>
        <v>0</v>
      </c>
      <c r="V108" s="98" t="e">
        <f t="shared" ref="V108:W108" si="436">M108/I108</f>
        <v>#DIV/0!</v>
      </c>
      <c r="W108" s="98">
        <f t="shared" si="436"/>
        <v>0</v>
      </c>
      <c r="X108" s="98" t="e">
        <f t="shared" si="421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346</v>
      </c>
      <c r="C109" s="90" t="s">
        <v>347</v>
      </c>
      <c r="D109" s="91" t="s">
        <v>720</v>
      </c>
      <c r="E109" s="92"/>
      <c r="F109" s="93"/>
      <c r="G109" s="94" t="e">
        <f t="shared" si="368"/>
        <v>#DIV/0!</v>
      </c>
      <c r="H109" s="94" t="e">
        <f t="shared" si="369"/>
        <v>#DIV/0!</v>
      </c>
      <c r="I109" s="96"/>
      <c r="J109" s="117">
        <v>52560</v>
      </c>
      <c r="K109" s="117"/>
      <c r="L109" s="96"/>
      <c r="M109" s="97">
        <f t="shared" ref="M109:O109" si="437">Y109+AB109+AE109+AH109+AK109+AN109+AQ109+AT109+AW109+AZ109+BC109+BF109</f>
        <v>0</v>
      </c>
      <c r="N109" s="97">
        <f t="shared" si="437"/>
        <v>52560</v>
      </c>
      <c r="O109" s="97">
        <f t="shared" si="437"/>
        <v>0</v>
      </c>
      <c r="P109" s="97">
        <f t="shared" ref="P109:R109" si="438">IF(BI109=0,SUM(Y109+AB109+AE109+AH109+AK109+AN109+AQ109+AT109+AW109+AZ109+BC109+BF109),BI109)</f>
        <v>0</v>
      </c>
      <c r="Q109" s="97">
        <f t="shared" si="438"/>
        <v>52560</v>
      </c>
      <c r="R109" s="97">
        <f t="shared" si="438"/>
        <v>0</v>
      </c>
      <c r="S109" s="97">
        <f t="shared" si="428"/>
        <v>0</v>
      </c>
      <c r="T109" s="97">
        <f t="shared" si="432"/>
        <v>0</v>
      </c>
      <c r="U109" s="97">
        <f t="shared" si="395"/>
        <v>0</v>
      </c>
      <c r="V109" s="98" t="e">
        <f t="shared" ref="V109:W109" si="439">M109/I109</f>
        <v>#DIV/0!</v>
      </c>
      <c r="W109" s="98">
        <f t="shared" si="439"/>
        <v>1</v>
      </c>
      <c r="X109" s="98" t="e">
        <f t="shared" si="421"/>
        <v>#DIV/0!</v>
      </c>
      <c r="Y109" s="96"/>
      <c r="Z109" s="103">
        <v>52560</v>
      </c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103">
        <v>0</v>
      </c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6.5" customHeight="1">
      <c r="A110" s="89"/>
      <c r="B110" s="206"/>
      <c r="C110" s="90" t="s">
        <v>349</v>
      </c>
      <c r="D110" s="122" t="s">
        <v>721</v>
      </c>
      <c r="E110" s="166"/>
      <c r="F110" s="147"/>
      <c r="G110" s="94" t="e">
        <f t="shared" si="368"/>
        <v>#DIV/0!</v>
      </c>
      <c r="H110" s="94" t="e">
        <f t="shared" si="369"/>
        <v>#DIV/0!</v>
      </c>
      <c r="I110" s="96"/>
      <c r="J110" s="96"/>
      <c r="K110" s="96"/>
      <c r="L110" s="96"/>
      <c r="M110" s="97">
        <f t="shared" ref="M110:O110" si="440">Y110+AB110+AE110+AH110+AK110+AN110+AQ110+AT110+AW110+AZ110+BC110+BF110</f>
        <v>0</v>
      </c>
      <c r="N110" s="97">
        <f t="shared" si="440"/>
        <v>0</v>
      </c>
      <c r="O110" s="97">
        <f t="shared" si="440"/>
        <v>0</v>
      </c>
      <c r="P110" s="97">
        <f t="shared" ref="P110:R110" si="441">IF(BI110=0,SUM(Y110+AB110+AE110+AH110+AK110+AN110+AQ110+AT110+AW110+AZ110+BC110+BF110),BI110)</f>
        <v>0</v>
      </c>
      <c r="Q110" s="97">
        <f t="shared" si="441"/>
        <v>0</v>
      </c>
      <c r="R110" s="97">
        <f t="shared" si="441"/>
        <v>0</v>
      </c>
      <c r="S110" s="97">
        <f t="shared" si="428"/>
        <v>0</v>
      </c>
      <c r="T110" s="97">
        <f t="shared" si="432"/>
        <v>0</v>
      </c>
      <c r="U110" s="97">
        <f t="shared" si="395"/>
        <v>0</v>
      </c>
      <c r="V110" s="98" t="e">
        <f t="shared" ref="V110:W110" si="442">M110/I110</f>
        <v>#DIV/0!</v>
      </c>
      <c r="W110" s="98" t="e">
        <f t="shared" si="442"/>
        <v>#DIV/0!</v>
      </c>
      <c r="X110" s="98" t="e">
        <f t="shared" si="421"/>
        <v>#DIV/0!</v>
      </c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7.25" customHeight="1">
      <c r="A111" s="89"/>
      <c r="B111" s="206"/>
      <c r="C111" s="90" t="s">
        <v>318</v>
      </c>
      <c r="D111" s="212" t="s">
        <v>722</v>
      </c>
      <c r="E111" s="166"/>
      <c r="F111" s="213"/>
      <c r="G111" s="94" t="e">
        <f t="shared" si="368"/>
        <v>#DIV/0!</v>
      </c>
      <c r="H111" s="94" t="e">
        <f t="shared" si="369"/>
        <v>#DIV/0!</v>
      </c>
      <c r="I111" s="96"/>
      <c r="J111" s="96"/>
      <c r="K111" s="96"/>
      <c r="L111" s="96"/>
      <c r="M111" s="97">
        <f t="shared" ref="M111:O111" si="443">Y111+AB111+AE111+AH111+AK111+AN111+AQ111+AT111+AW111+AZ111+BC111+BF111</f>
        <v>0</v>
      </c>
      <c r="N111" s="97">
        <f t="shared" si="443"/>
        <v>0</v>
      </c>
      <c r="O111" s="97">
        <f t="shared" si="443"/>
        <v>0</v>
      </c>
      <c r="P111" s="97">
        <f t="shared" ref="P111:R111" si="444">IF(BI111=0,SUM(Y111+AB111+AE111+AH111+AK111+AN111+AQ111+AT111+AW111+AZ111+BC111+BF111),BI111)</f>
        <v>0</v>
      </c>
      <c r="Q111" s="97">
        <f t="shared" si="444"/>
        <v>0</v>
      </c>
      <c r="R111" s="97">
        <f t="shared" si="444"/>
        <v>0</v>
      </c>
      <c r="S111" s="97">
        <f t="shared" si="428"/>
        <v>0</v>
      </c>
      <c r="T111" s="97">
        <f t="shared" si="432"/>
        <v>0</v>
      </c>
      <c r="U111" s="97">
        <f t="shared" si="395"/>
        <v>0</v>
      </c>
      <c r="V111" s="98" t="e">
        <f t="shared" ref="V111:W111" si="445">M111/I111</f>
        <v>#DIV/0!</v>
      </c>
      <c r="W111" s="98" t="e">
        <f t="shared" si="445"/>
        <v>#DIV/0!</v>
      </c>
      <c r="X111" s="98" t="e">
        <f t="shared" si="421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5.75" customHeight="1">
      <c r="A112" s="89"/>
      <c r="B112" s="206" t="s">
        <v>352</v>
      </c>
      <c r="C112" s="90" t="s">
        <v>323</v>
      </c>
      <c r="D112" s="91" t="s">
        <v>353</v>
      </c>
      <c r="E112" s="166">
        <v>0</v>
      </c>
      <c r="F112" s="166">
        <v>0</v>
      </c>
      <c r="G112" s="94" t="e">
        <f t="shared" si="368"/>
        <v>#DIV/0!</v>
      </c>
      <c r="H112" s="94" t="e">
        <f t="shared" si="369"/>
        <v>#DIV/0!</v>
      </c>
      <c r="I112" s="96"/>
      <c r="J112" s="96">
        <v>3207</v>
      </c>
      <c r="K112" s="96"/>
      <c r="L112" s="214"/>
      <c r="M112" s="97">
        <f t="shared" ref="M112:O112" si="446">Y112+AB112+AE112+AH112+AK112+AN112+AQ112+AT112+AW112+AZ112+BC112+BF112</f>
        <v>0</v>
      </c>
      <c r="N112" s="97">
        <f t="shared" si="446"/>
        <v>3207</v>
      </c>
      <c r="O112" s="97">
        <f t="shared" si="446"/>
        <v>0</v>
      </c>
      <c r="P112" s="97">
        <f t="shared" ref="P112:R112" si="447">IF(BI112=0,SUM(Y112+AB112+AE112+AH112+AK112+AN112+AQ112+AT112+AW112+AZ112+BC112+BF112),BI112)</f>
        <v>0</v>
      </c>
      <c r="Q112" s="97">
        <f t="shared" si="447"/>
        <v>3207</v>
      </c>
      <c r="R112" s="97">
        <f t="shared" si="447"/>
        <v>0</v>
      </c>
      <c r="S112" s="97">
        <f t="shared" si="428"/>
        <v>0</v>
      </c>
      <c r="T112" s="97">
        <f t="shared" si="432"/>
        <v>0</v>
      </c>
      <c r="U112" s="97">
        <f t="shared" si="395"/>
        <v>0</v>
      </c>
      <c r="V112" s="98" t="e">
        <f t="shared" ref="V112:W112" si="448">M112/I112</f>
        <v>#DIV/0!</v>
      </c>
      <c r="W112" s="98">
        <f t="shared" si="448"/>
        <v>1</v>
      </c>
      <c r="X112" s="98" t="e">
        <f t="shared" si="421"/>
        <v>#DIV/0!</v>
      </c>
      <c r="Y112" s="96"/>
      <c r="Z112" s="96"/>
      <c r="AA112" s="96"/>
      <c r="AB112" s="96"/>
      <c r="AC112" s="96"/>
      <c r="AD112" s="96"/>
      <c r="AE112" s="215"/>
      <c r="AF112" s="96"/>
      <c r="AG112" s="96"/>
      <c r="AH112" s="96"/>
      <c r="AI112" s="96"/>
      <c r="AJ112" s="96"/>
      <c r="AK112" s="96"/>
      <c r="AL112" s="103">
        <v>3207</v>
      </c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216"/>
      <c r="B113" s="216"/>
      <c r="C113" s="217" t="s">
        <v>354</v>
      </c>
      <c r="D113" s="144" t="s">
        <v>355</v>
      </c>
      <c r="E113" s="213"/>
      <c r="F113" s="213"/>
      <c r="G113" s="155" t="e">
        <f t="shared" si="368"/>
        <v>#DIV/0!</v>
      </c>
      <c r="H113" s="155" t="e">
        <f t="shared" si="369"/>
        <v>#DIV/0!</v>
      </c>
      <c r="I113" s="218"/>
      <c r="J113" s="219"/>
      <c r="K113" s="219"/>
      <c r="L113" s="219"/>
      <c r="M113" s="82">
        <f t="shared" ref="M113:O113" si="449">Y113+AB113+AE113+AH113+AK113+AN113+AQ113+AT113+AW113+AZ113+BC113+BF113</f>
        <v>0</v>
      </c>
      <c r="N113" s="82">
        <f t="shared" si="449"/>
        <v>0</v>
      </c>
      <c r="O113" s="82">
        <f t="shared" si="449"/>
        <v>0</v>
      </c>
      <c r="P113" s="97">
        <f t="shared" ref="P113:R113" si="450">IF(BI113=0,SUM(Y113+AB113+AE113+AH113+AK113+AN113+AQ113+AT113+AW113+AZ113+BC113+BF113),BI113)</f>
        <v>0</v>
      </c>
      <c r="Q113" s="97">
        <f t="shared" si="450"/>
        <v>0</v>
      </c>
      <c r="R113" s="97">
        <f t="shared" si="450"/>
        <v>0</v>
      </c>
      <c r="S113" s="97">
        <f t="shared" si="428"/>
        <v>0</v>
      </c>
      <c r="T113" s="97">
        <f t="shared" si="432"/>
        <v>0</v>
      </c>
      <c r="U113" s="97">
        <f t="shared" si="395"/>
        <v>0</v>
      </c>
      <c r="V113" s="79" t="e">
        <f t="shared" ref="V113:W113" si="451">M113/I113</f>
        <v>#DIV/0!</v>
      </c>
      <c r="W113" s="79" t="e">
        <f t="shared" si="451"/>
        <v>#DIV/0!</v>
      </c>
      <c r="X113" s="79" t="e">
        <f t="shared" si="421"/>
        <v>#DIV/0!</v>
      </c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  <c r="AL113" s="219"/>
      <c r="AM113" s="219"/>
      <c r="AN113" s="219"/>
      <c r="AO113" s="219"/>
      <c r="AP113" s="219"/>
      <c r="AQ113" s="219"/>
      <c r="AR113" s="219"/>
      <c r="AS113" s="219"/>
      <c r="AT113" s="219"/>
      <c r="AU113" s="219"/>
      <c r="AV113" s="219"/>
      <c r="AW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J113" s="219"/>
      <c r="BK113" s="219"/>
      <c r="BL113" s="220"/>
      <c r="BM113" s="221"/>
      <c r="BN113" s="221"/>
      <c r="BO113" s="221"/>
      <c r="BP113" s="221"/>
    </row>
    <row r="114" spans="1:68" ht="15.75" customHeight="1">
      <c r="A114" s="182"/>
      <c r="B114" s="182"/>
      <c r="C114" s="222"/>
      <c r="D114" s="184" t="s">
        <v>356</v>
      </c>
      <c r="E114" s="186">
        <f t="shared" ref="E114:F114" si="452">SUM(E115:E118)</f>
        <v>23296.54</v>
      </c>
      <c r="F114" s="186">
        <f t="shared" si="452"/>
        <v>0</v>
      </c>
      <c r="G114" s="223">
        <f t="shared" si="368"/>
        <v>1.133215490368956</v>
      </c>
      <c r="H114" s="223">
        <f t="shared" si="369"/>
        <v>0</v>
      </c>
      <c r="I114" s="186">
        <f t="shared" ref="I114:J114" si="453">SUM(I115:I118)</f>
        <v>26400</v>
      </c>
      <c r="J114" s="186">
        <f t="shared" si="453"/>
        <v>0</v>
      </c>
      <c r="K114" s="186"/>
      <c r="L114" s="186">
        <f t="shared" ref="L114:O114" si="454">SUM(L115:L118)</f>
        <v>0</v>
      </c>
      <c r="M114" s="186">
        <f t="shared" si="454"/>
        <v>0</v>
      </c>
      <c r="N114" s="186">
        <f t="shared" si="454"/>
        <v>0</v>
      </c>
      <c r="O114" s="186">
        <f t="shared" si="454"/>
        <v>0</v>
      </c>
      <c r="P114" s="186">
        <f t="shared" ref="P114:R114" si="455">IF(BI114=0,SUM(Y114+AB114+AE114+AH114+AK114+AN114+AQ114+AT114+AW114+AZ114+BC114+BF114),BI114)</f>
        <v>0</v>
      </c>
      <c r="Q114" s="186">
        <f t="shared" si="455"/>
        <v>0</v>
      </c>
      <c r="R114" s="186">
        <f t="shared" si="455"/>
        <v>0</v>
      </c>
      <c r="S114" s="186">
        <f t="shared" ref="S114:U114" si="456">SUM(S115:S118)</f>
        <v>26400</v>
      </c>
      <c r="T114" s="186">
        <f t="shared" si="456"/>
        <v>0</v>
      </c>
      <c r="U114" s="186">
        <f t="shared" si="456"/>
        <v>0</v>
      </c>
      <c r="V114" s="189">
        <f t="shared" ref="V114:W114" si="457">M114/I114</f>
        <v>0</v>
      </c>
      <c r="W114" s="189" t="e">
        <f t="shared" si="457"/>
        <v>#DIV/0!</v>
      </c>
      <c r="X114" s="189" t="e">
        <f t="shared" si="421"/>
        <v>#DIV/0!</v>
      </c>
      <c r="Y114" s="186">
        <f t="shared" ref="Y114:BK114" si="458">SUM(Y115:Y118)</f>
        <v>0</v>
      </c>
      <c r="Z114" s="186">
        <f t="shared" si="458"/>
        <v>0</v>
      </c>
      <c r="AA114" s="186">
        <f t="shared" si="458"/>
        <v>0</v>
      </c>
      <c r="AB114" s="186">
        <f t="shared" si="458"/>
        <v>0</v>
      </c>
      <c r="AC114" s="186">
        <f t="shared" si="458"/>
        <v>0</v>
      </c>
      <c r="AD114" s="186">
        <f t="shared" si="458"/>
        <v>0</v>
      </c>
      <c r="AE114" s="186">
        <f t="shared" si="458"/>
        <v>0</v>
      </c>
      <c r="AF114" s="186">
        <f t="shared" si="458"/>
        <v>0</v>
      </c>
      <c r="AG114" s="186">
        <f t="shared" si="458"/>
        <v>0</v>
      </c>
      <c r="AH114" s="186">
        <f t="shared" si="458"/>
        <v>0</v>
      </c>
      <c r="AI114" s="186">
        <f t="shared" si="458"/>
        <v>0</v>
      </c>
      <c r="AJ114" s="186">
        <f t="shared" si="458"/>
        <v>0</v>
      </c>
      <c r="AK114" s="186">
        <f t="shared" si="458"/>
        <v>0</v>
      </c>
      <c r="AL114" s="186">
        <f t="shared" si="458"/>
        <v>0</v>
      </c>
      <c r="AM114" s="186">
        <f t="shared" si="458"/>
        <v>0</v>
      </c>
      <c r="AN114" s="186">
        <f t="shared" si="458"/>
        <v>0</v>
      </c>
      <c r="AO114" s="186">
        <f t="shared" si="458"/>
        <v>0</v>
      </c>
      <c r="AP114" s="186">
        <f t="shared" si="458"/>
        <v>0</v>
      </c>
      <c r="AQ114" s="186">
        <f t="shared" si="458"/>
        <v>0</v>
      </c>
      <c r="AR114" s="186">
        <f t="shared" si="458"/>
        <v>0</v>
      </c>
      <c r="AS114" s="186">
        <f t="shared" si="458"/>
        <v>0</v>
      </c>
      <c r="AT114" s="186">
        <f t="shared" si="458"/>
        <v>0</v>
      </c>
      <c r="AU114" s="186">
        <f t="shared" si="458"/>
        <v>0</v>
      </c>
      <c r="AV114" s="186">
        <f t="shared" si="458"/>
        <v>0</v>
      </c>
      <c r="AW114" s="186">
        <f t="shared" si="458"/>
        <v>0</v>
      </c>
      <c r="AX114" s="186">
        <f t="shared" si="458"/>
        <v>0</v>
      </c>
      <c r="AY114" s="186">
        <f t="shared" si="458"/>
        <v>0</v>
      </c>
      <c r="AZ114" s="186">
        <f t="shared" si="458"/>
        <v>0</v>
      </c>
      <c r="BA114" s="186">
        <f t="shared" si="458"/>
        <v>0</v>
      </c>
      <c r="BB114" s="186">
        <f t="shared" si="458"/>
        <v>0</v>
      </c>
      <c r="BC114" s="186">
        <f t="shared" si="458"/>
        <v>0</v>
      </c>
      <c r="BD114" s="186">
        <f t="shared" si="458"/>
        <v>0</v>
      </c>
      <c r="BE114" s="186">
        <f t="shared" si="458"/>
        <v>0</v>
      </c>
      <c r="BF114" s="186">
        <f t="shared" si="458"/>
        <v>0</v>
      </c>
      <c r="BG114" s="186">
        <f t="shared" si="458"/>
        <v>0</v>
      </c>
      <c r="BH114" s="186">
        <f t="shared" si="458"/>
        <v>0</v>
      </c>
      <c r="BI114" s="186">
        <f t="shared" si="458"/>
        <v>0</v>
      </c>
      <c r="BJ114" s="186">
        <f t="shared" si="458"/>
        <v>0</v>
      </c>
      <c r="BK114" s="186">
        <f t="shared" si="458"/>
        <v>0</v>
      </c>
      <c r="BL114" s="157"/>
      <c r="BM114" s="158"/>
      <c r="BN114" s="158"/>
      <c r="BO114" s="158"/>
      <c r="BP114" s="158"/>
    </row>
    <row r="115" spans="1:68" ht="15.75" customHeight="1">
      <c r="A115" s="354" t="s">
        <v>667</v>
      </c>
      <c r="B115" s="89"/>
      <c r="C115" s="90" t="s">
        <v>357</v>
      </c>
      <c r="D115" s="91" t="s">
        <v>358</v>
      </c>
      <c r="E115" s="194">
        <v>18000</v>
      </c>
      <c r="F115" s="166"/>
      <c r="G115" s="94">
        <f t="shared" si="368"/>
        <v>1.4666666666666666</v>
      </c>
      <c r="H115" s="94">
        <f t="shared" si="369"/>
        <v>0</v>
      </c>
      <c r="I115" s="367">
        <v>26400</v>
      </c>
      <c r="J115" s="96"/>
      <c r="K115" s="96"/>
      <c r="L115" s="95"/>
      <c r="M115" s="97">
        <f t="shared" ref="M115:O115" si="459">Y115+AB115+AE115+AH115+AK115+AN115+AQ115+AT115+AW115+AZ115+BC115+BF115</f>
        <v>0</v>
      </c>
      <c r="N115" s="97">
        <f t="shared" si="459"/>
        <v>0</v>
      </c>
      <c r="O115" s="97">
        <f t="shared" si="459"/>
        <v>0</v>
      </c>
      <c r="P115" s="97">
        <f t="shared" ref="P115:R115" si="460">IF(BI115=0,SUM(Y115+AB115+AE115+AH115+AK115+AN115+AQ115+AT115+AW115+AZ115+BC115+BF115),BI115)</f>
        <v>0</v>
      </c>
      <c r="Q115" s="97">
        <f t="shared" si="460"/>
        <v>0</v>
      </c>
      <c r="R115" s="97">
        <f t="shared" si="460"/>
        <v>0</v>
      </c>
      <c r="S115" s="97">
        <f t="shared" ref="S115:T115" si="461">I115-M115</f>
        <v>26400</v>
      </c>
      <c r="T115" s="97">
        <f t="shared" si="461"/>
        <v>0</v>
      </c>
      <c r="U115" s="97">
        <f t="shared" ref="U115:U118" si="462">L115-O115</f>
        <v>0</v>
      </c>
      <c r="V115" s="98">
        <f t="shared" ref="V115:W115" si="463">M115/I115</f>
        <v>0</v>
      </c>
      <c r="W115" s="98" t="e">
        <f t="shared" si="463"/>
        <v>#DIV/0!</v>
      </c>
      <c r="X115" s="98" t="e">
        <f t="shared" si="421"/>
        <v>#DIV/0!</v>
      </c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103">
        <v>0</v>
      </c>
      <c r="BG115" s="96"/>
      <c r="BH115" s="96"/>
      <c r="BI115" s="96"/>
      <c r="BJ115" s="96"/>
      <c r="BK115" s="96"/>
      <c r="BL115" s="99"/>
      <c r="BM115" s="100"/>
      <c r="BN115" s="100"/>
      <c r="BO115" s="100"/>
      <c r="BP115" s="100"/>
    </row>
    <row r="116" spans="1:68" ht="15.75" customHeight="1">
      <c r="A116" s="89"/>
      <c r="B116" s="89"/>
      <c r="C116" s="90" t="s">
        <v>359</v>
      </c>
      <c r="D116" s="91" t="s">
        <v>360</v>
      </c>
      <c r="E116" s="194">
        <v>5296.54</v>
      </c>
      <c r="F116" s="166"/>
      <c r="G116" s="94">
        <f t="shared" si="368"/>
        <v>0</v>
      </c>
      <c r="H116" s="94">
        <f t="shared" si="369"/>
        <v>0</v>
      </c>
      <c r="I116" s="96"/>
      <c r="J116" s="96"/>
      <c r="K116" s="96"/>
      <c r="L116" s="95"/>
      <c r="M116" s="97">
        <f t="shared" ref="M116:O116" si="464">Y116+AB116+AE116+AH116+AK116+AN116+AQ116+AT116+AW116+AZ116+BC116+BF116</f>
        <v>0</v>
      </c>
      <c r="N116" s="97">
        <f t="shared" si="464"/>
        <v>0</v>
      </c>
      <c r="O116" s="97">
        <f t="shared" si="464"/>
        <v>0</v>
      </c>
      <c r="P116" s="97">
        <f t="shared" ref="P116:R116" si="465">IF(BI116=0,SUM(Y116+AB116+AE116+AH116+AK116+AN116+AQ116+AT116+AW116+AZ116+BC116+BF116),BI116)</f>
        <v>0</v>
      </c>
      <c r="Q116" s="97">
        <f t="shared" si="465"/>
        <v>0</v>
      </c>
      <c r="R116" s="97">
        <f t="shared" si="465"/>
        <v>0</v>
      </c>
      <c r="S116" s="97">
        <f t="shared" ref="S116:T116" si="466">I116-M116</f>
        <v>0</v>
      </c>
      <c r="T116" s="97">
        <f t="shared" si="466"/>
        <v>0</v>
      </c>
      <c r="U116" s="97">
        <f t="shared" si="462"/>
        <v>0</v>
      </c>
      <c r="V116" s="98" t="e">
        <f t="shared" ref="V116:W116" si="467">M116/I116</f>
        <v>#DIV/0!</v>
      </c>
      <c r="W116" s="98" t="e">
        <f t="shared" si="467"/>
        <v>#DIV/0!</v>
      </c>
      <c r="X116" s="98" t="e">
        <f t="shared" si="421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/>
      <c r="D117" s="91" t="s">
        <v>361</v>
      </c>
      <c r="E117" s="166"/>
      <c r="F117" s="166"/>
      <c r="G117" s="94"/>
      <c r="H117" s="94"/>
      <c r="I117" s="96"/>
      <c r="J117" s="96"/>
      <c r="K117" s="96"/>
      <c r="L117" s="95"/>
      <c r="M117" s="97">
        <f t="shared" ref="M117:O117" si="468">Y117+AB117+AE117+AH117+AK117+AN117+AQ117+AT117+AW117+AZ117+BC117+BF117</f>
        <v>0</v>
      </c>
      <c r="N117" s="97">
        <f t="shared" si="468"/>
        <v>0</v>
      </c>
      <c r="O117" s="97">
        <f t="shared" si="468"/>
        <v>0</v>
      </c>
      <c r="P117" s="97">
        <f t="shared" ref="P117:R117" si="469">IF(BI117=0,SUM(Y117+AB117+AE117+AH117+AK117+AN117+AQ117+AT117+AW117+AZ117+BC117+BF117),BI117)</f>
        <v>0</v>
      </c>
      <c r="Q117" s="97">
        <f t="shared" si="469"/>
        <v>0</v>
      </c>
      <c r="R117" s="97">
        <f t="shared" si="469"/>
        <v>0</v>
      </c>
      <c r="S117" s="97">
        <f t="shared" ref="S117:T117" si="470">I117-M117</f>
        <v>0</v>
      </c>
      <c r="T117" s="97">
        <f t="shared" si="470"/>
        <v>0</v>
      </c>
      <c r="U117" s="97">
        <f t="shared" si="462"/>
        <v>0</v>
      </c>
      <c r="V117" s="98" t="e">
        <f t="shared" ref="V117:V127" si="471">M117/I117</f>
        <v>#DIV/0!</v>
      </c>
      <c r="W117" s="98"/>
      <c r="X117" s="98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 t="s">
        <v>318</v>
      </c>
      <c r="D118" s="91" t="s">
        <v>362</v>
      </c>
      <c r="E118" s="166"/>
      <c r="F118" s="166"/>
      <c r="G118" s="94" t="e">
        <f>I118/E118</f>
        <v>#DIV/0!</v>
      </c>
      <c r="H118" s="94" t="e">
        <f t="shared" ref="H118:H127" si="472">M118/E118</f>
        <v>#DIV/0!</v>
      </c>
      <c r="I118" s="96"/>
      <c r="J118" s="96"/>
      <c r="K118" s="96"/>
      <c r="L118" s="95"/>
      <c r="M118" s="97">
        <f t="shared" ref="M118:O118" si="473">Y118+AB118+AE118+AH118+AK118+AN118+AQ118+AT118+AW118+AZ118+BC118+BF118</f>
        <v>0</v>
      </c>
      <c r="N118" s="97">
        <f t="shared" si="473"/>
        <v>0</v>
      </c>
      <c r="O118" s="97">
        <f t="shared" si="473"/>
        <v>0</v>
      </c>
      <c r="P118" s="97">
        <f t="shared" ref="P118:R118" si="474">IF(BI118=0,SUM(Y118+AB118+AE118+AH118+AK118+AN118+AQ118+AT118+AW118+AZ118+BC118+BF118),BI118)</f>
        <v>0</v>
      </c>
      <c r="Q118" s="97">
        <f t="shared" si="474"/>
        <v>0</v>
      </c>
      <c r="R118" s="97">
        <f t="shared" si="474"/>
        <v>0</v>
      </c>
      <c r="S118" s="97">
        <f t="shared" ref="S118:T118" si="475">I118-M118</f>
        <v>0</v>
      </c>
      <c r="T118" s="97">
        <f t="shared" si="475"/>
        <v>0</v>
      </c>
      <c r="U118" s="97">
        <f t="shared" si="462"/>
        <v>0</v>
      </c>
      <c r="V118" s="98" t="e">
        <f t="shared" si="471"/>
        <v>#DIV/0!</v>
      </c>
      <c r="W118" s="98" t="e">
        <f t="shared" ref="W118:W127" si="476">N118/J118</f>
        <v>#DIV/0!</v>
      </c>
      <c r="X118" s="98" t="e">
        <f t="shared" ref="X118:X127" si="477">O118/L118</f>
        <v>#DIV/0!</v>
      </c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182"/>
      <c r="B119" s="182"/>
      <c r="C119" s="222"/>
      <c r="D119" s="224" t="s">
        <v>363</v>
      </c>
      <c r="E119" s="186">
        <f t="shared" ref="E119:G119" si="478">E120+E130+E136+E140</f>
        <v>152177.47999999998</v>
      </c>
      <c r="F119" s="186">
        <f t="shared" si="478"/>
        <v>1173964.47</v>
      </c>
      <c r="G119" s="225" t="e">
        <f t="shared" si="478"/>
        <v>#DIV/0!</v>
      </c>
      <c r="H119" s="223">
        <f t="shared" si="472"/>
        <v>0.20943026524029706</v>
      </c>
      <c r="I119" s="186">
        <f t="shared" ref="I119:U119" si="479">I120+I130+I136+I140</f>
        <v>689037.1</v>
      </c>
      <c r="J119" s="186">
        <f t="shared" si="479"/>
        <v>665873.97</v>
      </c>
      <c r="K119" s="186">
        <f t="shared" si="479"/>
        <v>0</v>
      </c>
      <c r="L119" s="186">
        <f t="shared" si="479"/>
        <v>0</v>
      </c>
      <c r="M119" s="186">
        <f t="shared" si="479"/>
        <v>31870.57</v>
      </c>
      <c r="N119" s="186">
        <f t="shared" si="479"/>
        <v>442820.07</v>
      </c>
      <c r="O119" s="186">
        <f t="shared" si="479"/>
        <v>0</v>
      </c>
      <c r="P119" s="186">
        <f t="shared" si="479"/>
        <v>31870.57</v>
      </c>
      <c r="Q119" s="186">
        <f t="shared" si="479"/>
        <v>442820.07</v>
      </c>
      <c r="R119" s="186">
        <f t="shared" si="479"/>
        <v>0</v>
      </c>
      <c r="S119" s="186">
        <f t="shared" si="479"/>
        <v>657166.53</v>
      </c>
      <c r="T119" s="186">
        <f t="shared" si="479"/>
        <v>223053.9</v>
      </c>
      <c r="U119" s="186">
        <f t="shared" si="479"/>
        <v>0</v>
      </c>
      <c r="V119" s="189">
        <f t="shared" si="471"/>
        <v>4.6253779368338806E-2</v>
      </c>
      <c r="W119" s="189">
        <f t="shared" si="476"/>
        <v>0.66502084471029854</v>
      </c>
      <c r="X119" s="189" t="e">
        <f t="shared" si="477"/>
        <v>#DIV/0!</v>
      </c>
      <c r="Y119" s="186">
        <f t="shared" ref="Y119:BK119" si="480">Y120+Y130+Y136+Y140</f>
        <v>0</v>
      </c>
      <c r="Z119" s="186">
        <f t="shared" si="480"/>
        <v>0</v>
      </c>
      <c r="AA119" s="186">
        <f t="shared" si="480"/>
        <v>0</v>
      </c>
      <c r="AB119" s="186">
        <f t="shared" si="480"/>
        <v>0</v>
      </c>
      <c r="AC119" s="186">
        <f t="shared" si="480"/>
        <v>61206.74</v>
      </c>
      <c r="AD119" s="186">
        <f t="shared" si="480"/>
        <v>0</v>
      </c>
      <c r="AE119" s="186">
        <f t="shared" si="480"/>
        <v>0</v>
      </c>
      <c r="AF119" s="186">
        <f t="shared" si="480"/>
        <v>63661.509999999995</v>
      </c>
      <c r="AG119" s="186">
        <f t="shared" si="480"/>
        <v>0</v>
      </c>
      <c r="AH119" s="186">
        <f t="shared" si="480"/>
        <v>0</v>
      </c>
      <c r="AI119" s="186">
        <f t="shared" si="480"/>
        <v>166468.45000000001</v>
      </c>
      <c r="AJ119" s="186">
        <f t="shared" si="480"/>
        <v>0</v>
      </c>
      <c r="AK119" s="186">
        <f t="shared" si="480"/>
        <v>0</v>
      </c>
      <c r="AL119" s="186">
        <f t="shared" si="480"/>
        <v>51200.4</v>
      </c>
      <c r="AM119" s="186">
        <f t="shared" si="480"/>
        <v>0</v>
      </c>
      <c r="AN119" s="186">
        <f t="shared" si="480"/>
        <v>31870.57</v>
      </c>
      <c r="AO119" s="186">
        <f t="shared" si="480"/>
        <v>100282.97</v>
      </c>
      <c r="AP119" s="186">
        <f t="shared" si="480"/>
        <v>0</v>
      </c>
      <c r="AQ119" s="186">
        <f t="shared" si="480"/>
        <v>0</v>
      </c>
      <c r="AR119" s="186">
        <f t="shared" si="480"/>
        <v>0</v>
      </c>
      <c r="AS119" s="186">
        <f t="shared" si="480"/>
        <v>0</v>
      </c>
      <c r="AT119" s="186">
        <f t="shared" si="480"/>
        <v>0</v>
      </c>
      <c r="AU119" s="186">
        <f t="shared" si="480"/>
        <v>0</v>
      </c>
      <c r="AV119" s="186">
        <f t="shared" si="480"/>
        <v>0</v>
      </c>
      <c r="AW119" s="186">
        <f t="shared" si="480"/>
        <v>0</v>
      </c>
      <c r="AX119" s="186">
        <f t="shared" si="480"/>
        <v>0</v>
      </c>
      <c r="AY119" s="186">
        <f t="shared" si="480"/>
        <v>0</v>
      </c>
      <c r="AZ119" s="186">
        <f t="shared" si="480"/>
        <v>0</v>
      </c>
      <c r="BA119" s="186">
        <f t="shared" si="480"/>
        <v>0</v>
      </c>
      <c r="BB119" s="186">
        <f t="shared" si="480"/>
        <v>0</v>
      </c>
      <c r="BC119" s="186">
        <f t="shared" si="480"/>
        <v>0</v>
      </c>
      <c r="BD119" s="186">
        <f t="shared" si="480"/>
        <v>0</v>
      </c>
      <c r="BE119" s="186">
        <f t="shared" si="480"/>
        <v>0</v>
      </c>
      <c r="BF119" s="186">
        <f t="shared" si="480"/>
        <v>0</v>
      </c>
      <c r="BG119" s="186">
        <f t="shared" si="480"/>
        <v>0</v>
      </c>
      <c r="BH119" s="186">
        <f t="shared" si="480"/>
        <v>0</v>
      </c>
      <c r="BI119" s="186">
        <f t="shared" si="480"/>
        <v>0</v>
      </c>
      <c r="BJ119" s="186">
        <f t="shared" si="480"/>
        <v>0</v>
      </c>
      <c r="BK119" s="186">
        <f t="shared" si="480"/>
        <v>0</v>
      </c>
      <c r="BL119" s="226"/>
      <c r="BM119" s="227"/>
      <c r="BN119" s="227"/>
      <c r="BO119" s="227"/>
      <c r="BP119" s="227"/>
    </row>
    <row r="120" spans="1:68" ht="15.75" customHeight="1">
      <c r="A120" s="228"/>
      <c r="B120" s="228"/>
      <c r="C120" s="229"/>
      <c r="D120" s="230" t="s">
        <v>364</v>
      </c>
      <c r="E120" s="231">
        <f t="shared" ref="E120:F120" si="481">SUM(E121:E129)</f>
        <v>152177.47999999998</v>
      </c>
      <c r="F120" s="231">
        <f t="shared" si="481"/>
        <v>0</v>
      </c>
      <c r="G120" s="187">
        <f t="shared" ref="G120:G127" si="482">I120/E120</f>
        <v>1.3259214175448302</v>
      </c>
      <c r="H120" s="187">
        <f t="shared" si="472"/>
        <v>0</v>
      </c>
      <c r="I120" s="231">
        <f t="shared" ref="I120:O120" si="483">SUM(I121:I129)</f>
        <v>201775.38</v>
      </c>
      <c r="J120" s="231">
        <f t="shared" si="483"/>
        <v>457969.89</v>
      </c>
      <c r="K120" s="231">
        <f t="shared" si="483"/>
        <v>0</v>
      </c>
      <c r="L120" s="231">
        <f t="shared" si="483"/>
        <v>0</v>
      </c>
      <c r="M120" s="231">
        <f t="shared" si="483"/>
        <v>0</v>
      </c>
      <c r="N120" s="231">
        <f t="shared" si="483"/>
        <v>234915.99</v>
      </c>
      <c r="O120" s="231">
        <f t="shared" si="483"/>
        <v>0</v>
      </c>
      <c r="P120" s="232">
        <f t="shared" ref="P120:R120" si="484">IF(BI120=0,SUM(Y120+AB120+AE120+AH120+AK120+AN120+AQ120+AT120+AW120+AZ120+BC120+BF120),BI120)</f>
        <v>0</v>
      </c>
      <c r="Q120" s="232">
        <f t="shared" si="484"/>
        <v>234915.99</v>
      </c>
      <c r="R120" s="232">
        <f t="shared" si="484"/>
        <v>0</v>
      </c>
      <c r="S120" s="231">
        <f t="shared" ref="S120:U120" si="485">SUM(S121:S129)</f>
        <v>201775.38</v>
      </c>
      <c r="T120" s="231">
        <f t="shared" si="485"/>
        <v>223053.9</v>
      </c>
      <c r="U120" s="231">
        <f t="shared" si="485"/>
        <v>0</v>
      </c>
      <c r="V120" s="188">
        <f t="shared" si="471"/>
        <v>0</v>
      </c>
      <c r="W120" s="188">
        <f t="shared" si="476"/>
        <v>0.51295073132427982</v>
      </c>
      <c r="X120" s="188" t="e">
        <f t="shared" si="477"/>
        <v>#DIV/0!</v>
      </c>
      <c r="Y120" s="231">
        <f t="shared" ref="Y120:BK120" si="486">SUM(Y121:Y129)</f>
        <v>0</v>
      </c>
      <c r="Z120" s="231">
        <f t="shared" si="486"/>
        <v>0</v>
      </c>
      <c r="AA120" s="231">
        <f t="shared" si="486"/>
        <v>0</v>
      </c>
      <c r="AB120" s="231">
        <f t="shared" si="486"/>
        <v>0</v>
      </c>
      <c r="AC120" s="231">
        <f t="shared" si="486"/>
        <v>61206.74</v>
      </c>
      <c r="AD120" s="231">
        <f t="shared" si="486"/>
        <v>0</v>
      </c>
      <c r="AE120" s="231">
        <f t="shared" si="486"/>
        <v>0</v>
      </c>
      <c r="AF120" s="231">
        <f t="shared" si="486"/>
        <v>0</v>
      </c>
      <c r="AG120" s="231">
        <f t="shared" si="486"/>
        <v>0</v>
      </c>
      <c r="AH120" s="231">
        <f t="shared" si="486"/>
        <v>0</v>
      </c>
      <c r="AI120" s="231">
        <f t="shared" si="486"/>
        <v>95054.76</v>
      </c>
      <c r="AJ120" s="231">
        <f t="shared" si="486"/>
        <v>0</v>
      </c>
      <c r="AK120" s="231">
        <f t="shared" si="486"/>
        <v>0</v>
      </c>
      <c r="AL120" s="231">
        <f t="shared" si="486"/>
        <v>21848.15</v>
      </c>
      <c r="AM120" s="231">
        <f t="shared" si="486"/>
        <v>0</v>
      </c>
      <c r="AN120" s="231">
        <f t="shared" si="486"/>
        <v>0</v>
      </c>
      <c r="AO120" s="231">
        <f t="shared" si="486"/>
        <v>56806.34</v>
      </c>
      <c r="AP120" s="231">
        <f t="shared" si="486"/>
        <v>0</v>
      </c>
      <c r="AQ120" s="231">
        <f t="shared" si="486"/>
        <v>0</v>
      </c>
      <c r="AR120" s="231">
        <f t="shared" si="486"/>
        <v>0</v>
      </c>
      <c r="AS120" s="231">
        <f t="shared" si="486"/>
        <v>0</v>
      </c>
      <c r="AT120" s="231">
        <f t="shared" si="486"/>
        <v>0</v>
      </c>
      <c r="AU120" s="231">
        <f t="shared" si="486"/>
        <v>0</v>
      </c>
      <c r="AV120" s="231">
        <f t="shared" si="486"/>
        <v>0</v>
      </c>
      <c r="AW120" s="231">
        <f t="shared" si="486"/>
        <v>0</v>
      </c>
      <c r="AX120" s="231">
        <f t="shared" si="486"/>
        <v>0</v>
      </c>
      <c r="AY120" s="231">
        <f t="shared" si="486"/>
        <v>0</v>
      </c>
      <c r="AZ120" s="231">
        <f t="shared" si="486"/>
        <v>0</v>
      </c>
      <c r="BA120" s="231">
        <f t="shared" si="486"/>
        <v>0</v>
      </c>
      <c r="BB120" s="231">
        <f t="shared" si="486"/>
        <v>0</v>
      </c>
      <c r="BC120" s="231">
        <f t="shared" si="486"/>
        <v>0</v>
      </c>
      <c r="BD120" s="231">
        <f t="shared" si="486"/>
        <v>0</v>
      </c>
      <c r="BE120" s="231">
        <f t="shared" si="486"/>
        <v>0</v>
      </c>
      <c r="BF120" s="231">
        <f t="shared" si="486"/>
        <v>0</v>
      </c>
      <c r="BG120" s="231">
        <f t="shared" si="486"/>
        <v>0</v>
      </c>
      <c r="BH120" s="231">
        <f t="shared" si="486"/>
        <v>0</v>
      </c>
      <c r="BI120" s="231">
        <f t="shared" si="486"/>
        <v>0</v>
      </c>
      <c r="BJ120" s="231">
        <f t="shared" si="486"/>
        <v>0</v>
      </c>
      <c r="BK120" s="231">
        <f t="shared" si="486"/>
        <v>0</v>
      </c>
      <c r="BL120" s="233"/>
      <c r="BM120" s="234"/>
      <c r="BN120" s="234"/>
      <c r="BO120" s="234"/>
      <c r="BP120" s="234"/>
    </row>
    <row r="121" spans="1:68" ht="15.75" customHeight="1">
      <c r="A121" s="360" t="s">
        <v>723</v>
      </c>
      <c r="B121" s="111"/>
      <c r="C121" s="90" t="s">
        <v>365</v>
      </c>
      <c r="D121" s="91" t="s">
        <v>143</v>
      </c>
      <c r="E121" s="194">
        <v>116482.68</v>
      </c>
      <c r="F121" s="166"/>
      <c r="G121" s="94">
        <f t="shared" si="482"/>
        <v>1.7322350412954099</v>
      </c>
      <c r="H121" s="94">
        <f t="shared" si="472"/>
        <v>0</v>
      </c>
      <c r="I121" s="103">
        <v>201775.38</v>
      </c>
      <c r="J121" s="96"/>
      <c r="K121" s="96"/>
      <c r="L121" s="96"/>
      <c r="M121" s="97">
        <f t="shared" ref="M121:O121" si="487">Y121+AB121+AE121+AH121+AK121+AN121+AQ121+AT121+AW121+AZ121+BC121+BF121</f>
        <v>0</v>
      </c>
      <c r="N121" s="97">
        <f t="shared" si="487"/>
        <v>0</v>
      </c>
      <c r="O121" s="97">
        <f t="shared" si="487"/>
        <v>0</v>
      </c>
      <c r="P121" s="97">
        <f t="shared" ref="P121:R121" si="488">IF(BI121=0,SUM(Y121+AB121+AE121+AH121+AK121+AN121+AQ121+AT121+AW121+AZ121+BC121+BF121),BI121)</f>
        <v>0</v>
      </c>
      <c r="Q121" s="97">
        <f t="shared" si="488"/>
        <v>0</v>
      </c>
      <c r="R121" s="97">
        <f t="shared" si="488"/>
        <v>0</v>
      </c>
      <c r="S121" s="97">
        <f t="shared" ref="S121:T121" si="489">I121-M121</f>
        <v>201775.38</v>
      </c>
      <c r="T121" s="97">
        <f t="shared" si="489"/>
        <v>0</v>
      </c>
      <c r="U121" s="97">
        <f t="shared" ref="U121:U129" si="490">L121-O121</f>
        <v>0</v>
      </c>
      <c r="V121" s="94">
        <f t="shared" si="471"/>
        <v>0</v>
      </c>
      <c r="W121" s="94" t="e">
        <f t="shared" si="476"/>
        <v>#DIV/0!</v>
      </c>
      <c r="X121" s="94" t="e">
        <f t="shared" si="477"/>
        <v>#DIV/0!</v>
      </c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119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9"/>
      <c r="BM121" s="100"/>
      <c r="BN121" s="100"/>
      <c r="BO121" s="100"/>
      <c r="BP121" s="100"/>
    </row>
    <row r="122" spans="1:68" ht="15.75" customHeight="1">
      <c r="A122" s="111"/>
      <c r="B122" s="111"/>
      <c r="C122" s="90" t="s">
        <v>318</v>
      </c>
      <c r="D122" s="91" t="s">
        <v>366</v>
      </c>
      <c r="E122" s="166"/>
      <c r="F122" s="166"/>
      <c r="G122" s="94" t="e">
        <f t="shared" si="482"/>
        <v>#DIV/0!</v>
      </c>
      <c r="H122" s="94" t="e">
        <f t="shared" si="472"/>
        <v>#DIV/0!</v>
      </c>
      <c r="I122" s="96"/>
      <c r="J122" s="96"/>
      <c r="K122" s="96"/>
      <c r="L122" s="96"/>
      <c r="M122" s="97">
        <f t="shared" ref="M122:O122" si="491">Y122+AB122+AE122+AH122+AK122+AN122+AQ122+AT122+AW122+AZ122+BC122+BF122</f>
        <v>0</v>
      </c>
      <c r="N122" s="97">
        <f t="shared" si="491"/>
        <v>0</v>
      </c>
      <c r="O122" s="97">
        <f t="shared" si="491"/>
        <v>0</v>
      </c>
      <c r="P122" s="97">
        <f t="shared" ref="P122:R122" si="492">IF(BI122=0,SUM(Y122+AB122+AE122+AH122+AK122+AN122+AQ122+AT122+AW122+AZ122+BC122+BF122),BI122)</f>
        <v>0</v>
      </c>
      <c r="Q122" s="97">
        <f t="shared" si="492"/>
        <v>0</v>
      </c>
      <c r="R122" s="97">
        <f t="shared" si="492"/>
        <v>0</v>
      </c>
      <c r="S122" s="97">
        <f t="shared" ref="S122:T122" si="493">I122-M122</f>
        <v>0</v>
      </c>
      <c r="T122" s="97">
        <f t="shared" si="493"/>
        <v>0</v>
      </c>
      <c r="U122" s="97">
        <f t="shared" si="490"/>
        <v>0</v>
      </c>
      <c r="V122" s="94" t="e">
        <f t="shared" si="471"/>
        <v>#DIV/0!</v>
      </c>
      <c r="W122" s="94" t="e">
        <f t="shared" si="476"/>
        <v>#DIV/0!</v>
      </c>
      <c r="X122" s="94" t="e">
        <f t="shared" si="477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367</v>
      </c>
      <c r="D123" s="91" t="s">
        <v>368</v>
      </c>
      <c r="E123" s="166"/>
      <c r="F123" s="166"/>
      <c r="G123" s="94" t="e">
        <f t="shared" si="482"/>
        <v>#DIV/0!</v>
      </c>
      <c r="H123" s="94" t="e">
        <f t="shared" si="472"/>
        <v>#DIV/0!</v>
      </c>
      <c r="I123" s="96"/>
      <c r="J123" s="96"/>
      <c r="K123" s="96"/>
      <c r="L123" s="96"/>
      <c r="M123" s="97">
        <f t="shared" ref="M123:O123" si="494">Y123+AB123+AE123+AH123+AK123+AN123+AQ123+AT123+AW123+AZ123+BC123+BF123</f>
        <v>0</v>
      </c>
      <c r="N123" s="97">
        <f t="shared" si="494"/>
        <v>0</v>
      </c>
      <c r="O123" s="97">
        <f t="shared" si="494"/>
        <v>0</v>
      </c>
      <c r="P123" s="97">
        <f t="shared" ref="P123:R123" si="495">IF(BI123=0,SUM(Y123+AB123+AE123+AH123+AK123+AN123+AQ123+AT123+AW123+AZ123+BC123+BF123),BI123)</f>
        <v>0</v>
      </c>
      <c r="Q123" s="97">
        <f t="shared" si="495"/>
        <v>0</v>
      </c>
      <c r="R123" s="97">
        <f t="shared" si="495"/>
        <v>0</v>
      </c>
      <c r="S123" s="97">
        <f t="shared" ref="S123:T123" si="496">I123-M123</f>
        <v>0</v>
      </c>
      <c r="T123" s="97">
        <f t="shared" si="496"/>
        <v>0</v>
      </c>
      <c r="U123" s="97">
        <f t="shared" si="490"/>
        <v>0</v>
      </c>
      <c r="V123" s="94" t="e">
        <f t="shared" si="471"/>
        <v>#DIV/0!</v>
      </c>
      <c r="W123" s="94" t="e">
        <f t="shared" si="476"/>
        <v>#DIV/0!</v>
      </c>
      <c r="X123" s="94" t="e">
        <f t="shared" si="477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8" customHeight="1">
      <c r="A124" s="111"/>
      <c r="B124" s="111"/>
      <c r="C124" s="90" t="s">
        <v>161</v>
      </c>
      <c r="D124" s="91" t="s">
        <v>369</v>
      </c>
      <c r="E124" s="166"/>
      <c r="F124" s="166"/>
      <c r="G124" s="94" t="e">
        <f t="shared" si="482"/>
        <v>#DIV/0!</v>
      </c>
      <c r="H124" s="94" t="e">
        <f t="shared" si="472"/>
        <v>#DIV/0!</v>
      </c>
      <c r="I124" s="96"/>
      <c r="J124" s="96"/>
      <c r="K124" s="96"/>
      <c r="L124" s="96"/>
      <c r="M124" s="97">
        <f t="shared" ref="M124:O124" si="497">Y124+AB124+AE124+AH124+AK124+AN124+AQ124+AT124+AW124+AZ124+BC124+BF124</f>
        <v>0</v>
      </c>
      <c r="N124" s="97">
        <f t="shared" si="497"/>
        <v>0</v>
      </c>
      <c r="O124" s="97">
        <f t="shared" si="497"/>
        <v>0</v>
      </c>
      <c r="P124" s="97">
        <f t="shared" ref="P124:R124" si="498">IF(BI124=0,SUM(Y124+AB124+AE124+AH124+AK124+AN124+AQ124+AT124+AW124+AZ124+BC124+BF124),BI124)</f>
        <v>0</v>
      </c>
      <c r="Q124" s="97">
        <f t="shared" si="498"/>
        <v>0</v>
      </c>
      <c r="R124" s="97">
        <f t="shared" si="498"/>
        <v>0</v>
      </c>
      <c r="S124" s="97">
        <f t="shared" ref="S124:T124" si="499">I124-M124</f>
        <v>0</v>
      </c>
      <c r="T124" s="97">
        <f t="shared" si="499"/>
        <v>0</v>
      </c>
      <c r="U124" s="97">
        <f t="shared" si="490"/>
        <v>0</v>
      </c>
      <c r="V124" s="94" t="e">
        <f t="shared" si="471"/>
        <v>#DIV/0!</v>
      </c>
      <c r="W124" s="94" t="e">
        <f t="shared" si="476"/>
        <v>#DIV/0!</v>
      </c>
      <c r="X124" s="94" t="e">
        <f t="shared" si="477"/>
        <v>#DIV/0!</v>
      </c>
      <c r="Y124" s="96"/>
      <c r="Z124" s="103">
        <v>0</v>
      </c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5.75" customHeight="1">
      <c r="A125" s="111"/>
      <c r="B125" s="143" t="s">
        <v>370</v>
      </c>
      <c r="C125" s="90" t="s">
        <v>161</v>
      </c>
      <c r="D125" s="91" t="s">
        <v>724</v>
      </c>
      <c r="E125" s="166"/>
      <c r="F125" s="166"/>
      <c r="G125" s="94" t="e">
        <f t="shared" si="482"/>
        <v>#DIV/0!</v>
      </c>
      <c r="H125" s="94" t="e">
        <f t="shared" si="472"/>
        <v>#DIV/0!</v>
      </c>
      <c r="I125" s="96"/>
      <c r="J125" s="235">
        <f>2187.61+388.49+200+59.9+14.5+358.9+1990</f>
        <v>5199.4000000000005</v>
      </c>
      <c r="K125" s="117"/>
      <c r="L125" s="96"/>
      <c r="M125" s="97">
        <f t="shared" ref="M125:O125" si="500">Y125+AB125+AE125+AH125+AK125+AN125+AQ125+AT125+AW125+AZ125+BC125+BF125</f>
        <v>0</v>
      </c>
      <c r="N125" s="97">
        <f t="shared" si="500"/>
        <v>0</v>
      </c>
      <c r="O125" s="97">
        <f t="shared" si="500"/>
        <v>0</v>
      </c>
      <c r="P125" s="97">
        <f t="shared" ref="P125:R125" si="501">IF(BI125=0,SUM(Y125+AB125+AE125+AH125+AK125+AN125+AQ125+AT125+AW125+AZ125+BC125+BF125),BI125)</f>
        <v>0</v>
      </c>
      <c r="Q125" s="97">
        <f t="shared" si="501"/>
        <v>0</v>
      </c>
      <c r="R125" s="97">
        <f t="shared" si="501"/>
        <v>0</v>
      </c>
      <c r="S125" s="97">
        <f t="shared" ref="S125:T125" si="502">I125-M125</f>
        <v>0</v>
      </c>
      <c r="T125" s="97">
        <f t="shared" si="502"/>
        <v>5199.4000000000005</v>
      </c>
      <c r="U125" s="97">
        <f t="shared" si="490"/>
        <v>0</v>
      </c>
      <c r="V125" s="94" t="e">
        <f t="shared" si="471"/>
        <v>#DIV/0!</v>
      </c>
      <c r="W125" s="94">
        <f t="shared" si="476"/>
        <v>0</v>
      </c>
      <c r="X125" s="94" t="e">
        <f t="shared" si="477"/>
        <v>#DIV/0!</v>
      </c>
      <c r="Y125" s="96"/>
      <c r="Z125" s="96"/>
      <c r="AA125" s="96"/>
      <c r="AB125" s="96"/>
      <c r="AC125" s="103">
        <v>0</v>
      </c>
      <c r="AD125" s="96"/>
      <c r="AE125" s="96"/>
      <c r="AF125" s="103">
        <v>0</v>
      </c>
      <c r="AG125" s="96"/>
      <c r="AH125" s="96"/>
      <c r="AI125" s="96"/>
      <c r="AJ125" s="96"/>
      <c r="AK125" s="96"/>
      <c r="AL125" s="103">
        <v>0</v>
      </c>
      <c r="AM125" s="96"/>
      <c r="AN125" s="96"/>
      <c r="AO125" s="96"/>
      <c r="AP125" s="96"/>
      <c r="AQ125" s="96"/>
      <c r="AR125" s="103">
        <v>0</v>
      </c>
      <c r="AS125" s="96"/>
      <c r="AT125" s="119"/>
      <c r="AU125" s="103">
        <v>0</v>
      </c>
      <c r="AV125" s="96"/>
      <c r="AW125" s="96"/>
      <c r="AX125" s="103">
        <v>0</v>
      </c>
      <c r="AY125" s="96"/>
      <c r="AZ125" s="96"/>
      <c r="BA125" s="103">
        <v>0</v>
      </c>
      <c r="BB125" s="96"/>
      <c r="BC125" s="96"/>
      <c r="BD125" s="96"/>
      <c r="BE125" s="96"/>
      <c r="BF125" s="96"/>
      <c r="BG125" s="103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11"/>
      <c r="C126" s="90" t="s">
        <v>372</v>
      </c>
      <c r="D126" s="91" t="s">
        <v>373</v>
      </c>
      <c r="E126" s="194">
        <v>35694.800000000003</v>
      </c>
      <c r="F126" s="166"/>
      <c r="G126" s="94">
        <f t="shared" si="482"/>
        <v>0</v>
      </c>
      <c r="H126" s="94">
        <f t="shared" si="472"/>
        <v>0</v>
      </c>
      <c r="I126" s="96"/>
      <c r="J126" s="96"/>
      <c r="K126" s="96"/>
      <c r="L126" s="96"/>
      <c r="M126" s="97">
        <f t="shared" ref="M126:O126" si="503">Y126+AB126+AE126+AH126+AK126+AN126+AQ126+AT126+AW126+AZ126+BC126+BF126</f>
        <v>0</v>
      </c>
      <c r="N126" s="97">
        <f t="shared" si="503"/>
        <v>0</v>
      </c>
      <c r="O126" s="97">
        <f t="shared" si="503"/>
        <v>0</v>
      </c>
      <c r="P126" s="97">
        <f t="shared" ref="P126:R126" si="504">IF(BI126=0,SUM(Y126+AB126+AE126+AH126+AK126+AN126+AQ126+AT126+AW126+AZ126+BC126+BF126),BI126)</f>
        <v>0</v>
      </c>
      <c r="Q126" s="97">
        <f t="shared" si="504"/>
        <v>0</v>
      </c>
      <c r="R126" s="97">
        <f t="shared" si="504"/>
        <v>0</v>
      </c>
      <c r="S126" s="97">
        <f t="shared" ref="S126:T126" si="505">I126-M126</f>
        <v>0</v>
      </c>
      <c r="T126" s="97">
        <f t="shared" si="505"/>
        <v>0</v>
      </c>
      <c r="U126" s="97">
        <f t="shared" si="490"/>
        <v>0</v>
      </c>
      <c r="V126" s="94" t="e">
        <f t="shared" si="471"/>
        <v>#DIV/0!</v>
      </c>
      <c r="W126" s="94" t="e">
        <f t="shared" si="476"/>
        <v>#DIV/0!</v>
      </c>
      <c r="X126" s="94" t="e">
        <f t="shared" si="477"/>
        <v>#DIV/0!</v>
      </c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119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36"/>
      <c r="C127" s="90" t="s">
        <v>374</v>
      </c>
      <c r="D127" s="141" t="s">
        <v>375</v>
      </c>
      <c r="E127" s="166"/>
      <c r="F127" s="166"/>
      <c r="G127" s="94" t="e">
        <f t="shared" si="482"/>
        <v>#DIV/0!</v>
      </c>
      <c r="H127" s="94" t="e">
        <f t="shared" si="472"/>
        <v>#DIV/0!</v>
      </c>
      <c r="I127" s="96"/>
      <c r="J127" s="96"/>
      <c r="K127" s="96"/>
      <c r="L127" s="96"/>
      <c r="M127" s="97">
        <f t="shared" ref="M127:O127" si="506">Y127+AB127+AE127+AH127+AK127+AN127+AQ127+AT127+AW127+AZ127+BC127+BF127</f>
        <v>0</v>
      </c>
      <c r="N127" s="97">
        <f t="shared" si="506"/>
        <v>0</v>
      </c>
      <c r="O127" s="97">
        <f t="shared" si="506"/>
        <v>0</v>
      </c>
      <c r="P127" s="97">
        <f t="shared" ref="P127:R127" si="507">IF(BI127=0,SUM(Y127+AB127+AE127+AH127+AK127+AN127+AQ127+AT127+AW127+AZ127+BC127+BF127),BI127)</f>
        <v>0</v>
      </c>
      <c r="Q127" s="97">
        <f t="shared" si="507"/>
        <v>0</v>
      </c>
      <c r="R127" s="97">
        <f t="shared" si="507"/>
        <v>0</v>
      </c>
      <c r="S127" s="97">
        <f t="shared" ref="S127:T127" si="508">I127-M127</f>
        <v>0</v>
      </c>
      <c r="T127" s="97">
        <f t="shared" si="508"/>
        <v>0</v>
      </c>
      <c r="U127" s="97">
        <f t="shared" si="490"/>
        <v>0</v>
      </c>
      <c r="V127" s="94" t="e">
        <f t="shared" si="471"/>
        <v>#DIV/0!</v>
      </c>
      <c r="W127" s="94" t="e">
        <f t="shared" si="476"/>
        <v>#DIV/0!</v>
      </c>
      <c r="X127" s="94" t="e">
        <f t="shared" si="477"/>
        <v>#DIV/0!</v>
      </c>
      <c r="Y127" s="96"/>
      <c r="Z127" s="96"/>
      <c r="AA127" s="96"/>
      <c r="AB127" s="96"/>
      <c r="AC127" s="96"/>
      <c r="AD127" s="96"/>
      <c r="AE127" s="96"/>
      <c r="AF127" s="103">
        <v>0</v>
      </c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 t="s">
        <v>376</v>
      </c>
      <c r="C128" s="90" t="s">
        <v>114</v>
      </c>
      <c r="D128" s="141" t="s">
        <v>725</v>
      </c>
      <c r="E128" s="166"/>
      <c r="F128" s="166"/>
      <c r="G128" s="94"/>
      <c r="H128" s="94"/>
      <c r="I128" s="96"/>
      <c r="J128" s="96">
        <v>452770.49</v>
      </c>
      <c r="K128" s="96"/>
      <c r="L128" s="145"/>
      <c r="M128" s="97">
        <f t="shared" ref="M128:O128" si="509">Y128+AB128+AE128+AH128+AK128+AN128+AQ128+AT128+AW128+AZ128+BC128+BF128</f>
        <v>0</v>
      </c>
      <c r="N128" s="97">
        <f t="shared" si="509"/>
        <v>234915.99</v>
      </c>
      <c r="O128" s="97">
        <f t="shared" si="509"/>
        <v>0</v>
      </c>
      <c r="P128" s="97">
        <f t="shared" ref="P128:R128" si="510">IF(BI128=0,SUM(Y128+AB128+AE128+AH128+AK128+AN128+AQ128+AT128+AW128+AZ128+BC128+BF128),BI128)</f>
        <v>0</v>
      </c>
      <c r="Q128" s="97">
        <f t="shared" si="510"/>
        <v>234915.99</v>
      </c>
      <c r="R128" s="97">
        <f t="shared" si="510"/>
        <v>0</v>
      </c>
      <c r="S128" s="97">
        <f t="shared" ref="S128:T128" si="511">I128-M128</f>
        <v>0</v>
      </c>
      <c r="T128" s="97">
        <f t="shared" si="511"/>
        <v>217854.5</v>
      </c>
      <c r="U128" s="97">
        <f t="shared" si="490"/>
        <v>0</v>
      </c>
      <c r="V128" s="94"/>
      <c r="W128" s="94"/>
      <c r="X128" s="94"/>
      <c r="Y128" s="96"/>
      <c r="Z128" s="96"/>
      <c r="AA128" s="96"/>
      <c r="AB128" s="96"/>
      <c r="AC128" s="96">
        <f>61206.74</f>
        <v>61206.74</v>
      </c>
      <c r="AD128" s="96"/>
      <c r="AE128" s="96"/>
      <c r="AF128" s="96"/>
      <c r="AG128" s="96"/>
      <c r="AH128" s="96"/>
      <c r="AI128" s="103">
        <f>95054.76</f>
        <v>95054.76</v>
      </c>
      <c r="AJ128" s="96"/>
      <c r="AK128" s="96"/>
      <c r="AL128" s="103">
        <v>21848.15</v>
      </c>
      <c r="AM128" s="96"/>
      <c r="AN128" s="96"/>
      <c r="AO128" s="260">
        <v>56806.34</v>
      </c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11"/>
      <c r="C129" s="90"/>
      <c r="D129" s="236" t="s">
        <v>378</v>
      </c>
      <c r="E129" s="166"/>
      <c r="F129" s="166">
        <v>0</v>
      </c>
      <c r="G129" s="94" t="e">
        <f t="shared" ref="G129:G136" si="512">I129/E129</f>
        <v>#DIV/0!</v>
      </c>
      <c r="H129" s="94" t="e">
        <f t="shared" ref="H129:H136" si="513">M129/E129</f>
        <v>#DIV/0!</v>
      </c>
      <c r="I129" s="96"/>
      <c r="J129" s="96"/>
      <c r="K129" s="96"/>
      <c r="L129" s="237"/>
      <c r="M129" s="97">
        <f t="shared" ref="M129:O129" si="514">Y129+AB129+AE129+AH129+AK129+AN129+AQ129+AT129+AW129+AZ129+BC129+BF129</f>
        <v>0</v>
      </c>
      <c r="N129" s="97">
        <f t="shared" si="514"/>
        <v>0</v>
      </c>
      <c r="O129" s="97">
        <f t="shared" si="514"/>
        <v>0</v>
      </c>
      <c r="P129" s="97">
        <f t="shared" ref="P129:R129" si="515">IF(BI129=0,SUM(Y129+AB129+AE129+AH129+AK129+AN129+AQ129+AT129+AW129+AZ129+BC129+BF129),BI129)</f>
        <v>0</v>
      </c>
      <c r="Q129" s="97">
        <f t="shared" si="515"/>
        <v>0</v>
      </c>
      <c r="R129" s="97">
        <f t="shared" si="515"/>
        <v>0</v>
      </c>
      <c r="S129" s="97">
        <f t="shared" ref="S129:T129" si="516">I129-M129</f>
        <v>0</v>
      </c>
      <c r="T129" s="97">
        <f t="shared" si="516"/>
        <v>0</v>
      </c>
      <c r="U129" s="97">
        <f t="shared" si="490"/>
        <v>0</v>
      </c>
      <c r="V129" s="94" t="e">
        <f t="shared" ref="V129:W129" si="517">M129/I129</f>
        <v>#DIV/0!</v>
      </c>
      <c r="W129" s="94" t="e">
        <f t="shared" si="517"/>
        <v>#DIV/0!</v>
      </c>
      <c r="X129" s="94" t="e">
        <f>O129/L129</f>
        <v>#DIV/0!</v>
      </c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119"/>
      <c r="AU129" s="96"/>
      <c r="AV129" s="96"/>
      <c r="AW129" s="96"/>
      <c r="AX129" s="96"/>
      <c r="AY129" s="96"/>
      <c r="AZ129" s="96"/>
      <c r="BA129" s="96"/>
      <c r="BB129" s="103">
        <v>0</v>
      </c>
      <c r="BC129" s="96"/>
      <c r="BD129" s="96"/>
      <c r="BE129" s="103">
        <v>0</v>
      </c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228"/>
      <c r="B130" s="228"/>
      <c r="C130" s="229"/>
      <c r="D130" s="230" t="s">
        <v>379</v>
      </c>
      <c r="E130" s="231">
        <f t="shared" ref="E130:F130" si="518">SUM(E131:E135)</f>
        <v>0</v>
      </c>
      <c r="F130" s="231">
        <f t="shared" si="518"/>
        <v>216000</v>
      </c>
      <c r="G130" s="187" t="e">
        <f t="shared" si="512"/>
        <v>#DIV/0!</v>
      </c>
      <c r="H130" s="187" t="e">
        <f t="shared" si="513"/>
        <v>#DIV/0!</v>
      </c>
      <c r="I130" s="231">
        <f t="shared" ref="I130:O130" si="519">SUM(I131:I135)</f>
        <v>204403</v>
      </c>
      <c r="J130" s="231">
        <f t="shared" si="519"/>
        <v>0</v>
      </c>
      <c r="K130" s="231">
        <f t="shared" si="519"/>
        <v>0</v>
      </c>
      <c r="L130" s="231">
        <f t="shared" si="519"/>
        <v>0</v>
      </c>
      <c r="M130" s="231">
        <f t="shared" si="519"/>
        <v>0</v>
      </c>
      <c r="N130" s="238">
        <f t="shared" si="519"/>
        <v>0</v>
      </c>
      <c r="O130" s="238">
        <f t="shared" si="519"/>
        <v>0</v>
      </c>
      <c r="P130" s="238">
        <f t="shared" ref="P130:R130" si="520">IF(BI130=0,SUM(Y130+AB130+AE130+AH130+AK130+AN130+AQ130+AT130+AW130+AZ130+BC130+BF130),BI130)</f>
        <v>0</v>
      </c>
      <c r="Q130" s="238">
        <f t="shared" si="520"/>
        <v>0</v>
      </c>
      <c r="R130" s="238">
        <f t="shared" si="520"/>
        <v>0</v>
      </c>
      <c r="S130" s="238">
        <f t="shared" ref="S130:BK130" si="521">SUM(S131:S135)</f>
        <v>204403</v>
      </c>
      <c r="T130" s="238">
        <f t="shared" si="521"/>
        <v>0</v>
      </c>
      <c r="U130" s="238">
        <f t="shared" si="521"/>
        <v>0</v>
      </c>
      <c r="V130" s="238" t="e">
        <f t="shared" si="521"/>
        <v>#DIV/0!</v>
      </c>
      <c r="W130" s="238" t="e">
        <f t="shared" si="521"/>
        <v>#DIV/0!</v>
      </c>
      <c r="X130" s="238" t="e">
        <f t="shared" si="521"/>
        <v>#DIV/0!</v>
      </c>
      <c r="Y130" s="231">
        <f t="shared" si="521"/>
        <v>0</v>
      </c>
      <c r="Z130" s="231">
        <f t="shared" si="521"/>
        <v>0</v>
      </c>
      <c r="AA130" s="231">
        <f t="shared" si="521"/>
        <v>0</v>
      </c>
      <c r="AB130" s="231">
        <f t="shared" si="521"/>
        <v>0</v>
      </c>
      <c r="AC130" s="231">
        <f t="shared" si="521"/>
        <v>0</v>
      </c>
      <c r="AD130" s="231">
        <f t="shared" si="521"/>
        <v>0</v>
      </c>
      <c r="AE130" s="231">
        <f t="shared" si="521"/>
        <v>0</v>
      </c>
      <c r="AF130" s="231">
        <f t="shared" si="521"/>
        <v>0</v>
      </c>
      <c r="AG130" s="231">
        <f t="shared" si="521"/>
        <v>0</v>
      </c>
      <c r="AH130" s="231">
        <f t="shared" si="521"/>
        <v>0</v>
      </c>
      <c r="AI130" s="231">
        <f t="shared" si="521"/>
        <v>0</v>
      </c>
      <c r="AJ130" s="231">
        <f t="shared" si="521"/>
        <v>0</v>
      </c>
      <c r="AK130" s="231">
        <f t="shared" si="521"/>
        <v>0</v>
      </c>
      <c r="AL130" s="231">
        <f t="shared" si="521"/>
        <v>0</v>
      </c>
      <c r="AM130" s="231">
        <f t="shared" si="521"/>
        <v>0</v>
      </c>
      <c r="AN130" s="231">
        <f t="shared" si="521"/>
        <v>0</v>
      </c>
      <c r="AO130" s="231">
        <f t="shared" si="521"/>
        <v>0</v>
      </c>
      <c r="AP130" s="231">
        <f t="shared" si="521"/>
        <v>0</v>
      </c>
      <c r="AQ130" s="231">
        <f t="shared" si="521"/>
        <v>0</v>
      </c>
      <c r="AR130" s="231">
        <f t="shared" si="521"/>
        <v>0</v>
      </c>
      <c r="AS130" s="231">
        <f t="shared" si="521"/>
        <v>0</v>
      </c>
      <c r="AT130" s="231">
        <f t="shared" si="521"/>
        <v>0</v>
      </c>
      <c r="AU130" s="231">
        <f t="shared" si="521"/>
        <v>0</v>
      </c>
      <c r="AV130" s="231">
        <f t="shared" si="521"/>
        <v>0</v>
      </c>
      <c r="AW130" s="231">
        <f t="shared" si="521"/>
        <v>0</v>
      </c>
      <c r="AX130" s="231">
        <f t="shared" si="521"/>
        <v>0</v>
      </c>
      <c r="AY130" s="231">
        <f t="shared" si="521"/>
        <v>0</v>
      </c>
      <c r="AZ130" s="231">
        <f t="shared" si="521"/>
        <v>0</v>
      </c>
      <c r="BA130" s="231">
        <f t="shared" si="521"/>
        <v>0</v>
      </c>
      <c r="BB130" s="231">
        <f t="shared" si="521"/>
        <v>0</v>
      </c>
      <c r="BC130" s="231">
        <f t="shared" si="521"/>
        <v>0</v>
      </c>
      <c r="BD130" s="231">
        <f t="shared" si="521"/>
        <v>0</v>
      </c>
      <c r="BE130" s="231">
        <f t="shared" si="521"/>
        <v>0</v>
      </c>
      <c r="BF130" s="231">
        <f t="shared" si="521"/>
        <v>0</v>
      </c>
      <c r="BG130" s="231">
        <f t="shared" si="521"/>
        <v>0</v>
      </c>
      <c r="BH130" s="231">
        <f t="shared" si="521"/>
        <v>0</v>
      </c>
      <c r="BI130" s="231">
        <f t="shared" si="521"/>
        <v>0</v>
      </c>
      <c r="BJ130" s="231">
        <f t="shared" si="521"/>
        <v>0</v>
      </c>
      <c r="BK130" s="231">
        <f t="shared" si="521"/>
        <v>0</v>
      </c>
      <c r="BL130" s="233"/>
      <c r="BM130" s="234"/>
      <c r="BN130" s="234"/>
      <c r="BO130" s="234"/>
      <c r="BP130" s="234"/>
    </row>
    <row r="131" spans="1:68" ht="15.75" customHeight="1">
      <c r="A131" s="360" t="s">
        <v>670</v>
      </c>
      <c r="B131" s="111"/>
      <c r="C131" s="90" t="s">
        <v>380</v>
      </c>
      <c r="D131" s="91" t="s">
        <v>381</v>
      </c>
      <c r="E131" s="166"/>
      <c r="F131" s="166">
        <v>216000</v>
      </c>
      <c r="G131" s="94" t="e">
        <f t="shared" si="512"/>
        <v>#DIV/0!</v>
      </c>
      <c r="H131" s="94" t="e">
        <f t="shared" si="513"/>
        <v>#DIV/0!</v>
      </c>
      <c r="I131" s="103">
        <f>12000+192403</f>
        <v>204403</v>
      </c>
      <c r="J131" s="96"/>
      <c r="K131" s="96"/>
      <c r="L131" s="96"/>
      <c r="M131" s="97">
        <f t="shared" ref="M131:O131" si="522">Y131+AB131+AE131+AH131+AK131+AN131+AQ131+AT131+AW131+AZ131+BC131+BF131</f>
        <v>0</v>
      </c>
      <c r="N131" s="97">
        <f t="shared" si="522"/>
        <v>0</v>
      </c>
      <c r="O131" s="97">
        <f t="shared" si="522"/>
        <v>0</v>
      </c>
      <c r="P131" s="97">
        <f t="shared" ref="P131:R131" si="523">IF(BI131=0,SUM(Y131+AB131+AE131+AH131+AK131+AN131+AQ131+AT131+AW131+AZ131+BC131+BF131),BI131)</f>
        <v>0</v>
      </c>
      <c r="Q131" s="97">
        <f t="shared" si="523"/>
        <v>0</v>
      </c>
      <c r="R131" s="97">
        <f t="shared" si="523"/>
        <v>0</v>
      </c>
      <c r="S131" s="97">
        <f t="shared" ref="S131:T131" si="524">I131-M131</f>
        <v>204403</v>
      </c>
      <c r="T131" s="97">
        <f t="shared" si="524"/>
        <v>0</v>
      </c>
      <c r="U131" s="97">
        <f t="shared" ref="U131:U135" si="525">L131-O131</f>
        <v>0</v>
      </c>
      <c r="V131" s="98">
        <f t="shared" ref="V131:W131" si="526">M131/I131</f>
        <v>0</v>
      </c>
      <c r="W131" s="98" t="e">
        <f t="shared" si="526"/>
        <v>#DIV/0!</v>
      </c>
      <c r="X131" s="98" t="e">
        <f t="shared" ref="X131:X135" si="527">O131/L131</f>
        <v>#DIV/0!</v>
      </c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103">
        <v>0</v>
      </c>
      <c r="AK131" s="96"/>
      <c r="AL131" s="96"/>
      <c r="AM131" s="103">
        <v>0</v>
      </c>
      <c r="AN131" s="96"/>
      <c r="AO131" s="96"/>
      <c r="AP131" s="103">
        <v>0</v>
      </c>
      <c r="AQ131" s="96"/>
      <c r="AR131" s="96"/>
      <c r="AS131" s="96"/>
      <c r="AT131" s="119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9"/>
      <c r="BM131" s="100"/>
      <c r="BN131" s="100"/>
      <c r="BO131" s="100"/>
      <c r="BP131" s="100"/>
    </row>
    <row r="132" spans="1:68" ht="15.75" customHeight="1">
      <c r="A132" s="89"/>
      <c r="B132" s="89"/>
      <c r="C132" s="90" t="s">
        <v>380</v>
      </c>
      <c r="D132" s="91" t="s">
        <v>382</v>
      </c>
      <c r="E132" s="166"/>
      <c r="F132" s="166"/>
      <c r="G132" s="94" t="e">
        <f t="shared" si="512"/>
        <v>#DIV/0!</v>
      </c>
      <c r="H132" s="94" t="e">
        <f t="shared" si="513"/>
        <v>#DIV/0!</v>
      </c>
      <c r="I132" s="96"/>
      <c r="J132" s="96"/>
      <c r="K132" s="96"/>
      <c r="L132" s="83"/>
      <c r="M132" s="97">
        <f t="shared" ref="M132:O132" si="528">Y132+AB132+AE132+AH132+AK132+AN132+AQ132+AT132+AW132+AZ132+BC132+BF132</f>
        <v>0</v>
      </c>
      <c r="N132" s="97">
        <f t="shared" si="528"/>
        <v>0</v>
      </c>
      <c r="O132" s="97">
        <f t="shared" si="528"/>
        <v>0</v>
      </c>
      <c r="P132" s="97">
        <f t="shared" ref="P132:R132" si="529">IF(BI132=0,SUM(Y132+AB132+AE132+AH132+AK132+AN132+AQ132+AT132+AW132+AZ132+BC132+BF132),BI132)</f>
        <v>0</v>
      </c>
      <c r="Q132" s="97">
        <f t="shared" si="529"/>
        <v>0</v>
      </c>
      <c r="R132" s="97">
        <f t="shared" si="529"/>
        <v>0</v>
      </c>
      <c r="S132" s="97">
        <f t="shared" ref="S132:T132" si="530">I132-M132</f>
        <v>0</v>
      </c>
      <c r="T132" s="97">
        <f t="shared" si="530"/>
        <v>0</v>
      </c>
      <c r="U132" s="97">
        <f t="shared" si="525"/>
        <v>0</v>
      </c>
      <c r="V132" s="98" t="e">
        <f t="shared" ref="V132:W132" si="531">M132/I132</f>
        <v>#DIV/0!</v>
      </c>
      <c r="W132" s="98" t="e">
        <f t="shared" si="531"/>
        <v>#DIV/0!</v>
      </c>
      <c r="X132" s="98" t="e">
        <f t="shared" si="527"/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5"/>
      <c r="AJ132" s="96"/>
      <c r="AK132" s="96"/>
      <c r="AL132" s="95"/>
      <c r="AM132" s="96"/>
      <c r="AN132" s="96"/>
      <c r="AO132" s="95"/>
      <c r="AP132" s="95"/>
      <c r="AQ132" s="96"/>
      <c r="AR132" s="96"/>
      <c r="AS132" s="95"/>
      <c r="AT132" s="96"/>
      <c r="AU132" s="95"/>
      <c r="AV132" s="95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383</v>
      </c>
      <c r="E133" s="166"/>
      <c r="F133" s="166"/>
      <c r="G133" s="94" t="e">
        <f t="shared" si="512"/>
        <v>#DIV/0!</v>
      </c>
      <c r="H133" s="94" t="e">
        <f t="shared" si="513"/>
        <v>#DIV/0!</v>
      </c>
      <c r="I133" s="96"/>
      <c r="J133" s="96"/>
      <c r="K133" s="96"/>
      <c r="L133" s="96"/>
      <c r="M133" s="97">
        <f t="shared" ref="M133:O133" si="532">Y133+AB133+AE133+AH133+AK133+AN133+AQ133+AT133+AW133+AZ133+BC133+BF133</f>
        <v>0</v>
      </c>
      <c r="N133" s="97">
        <f t="shared" si="532"/>
        <v>0</v>
      </c>
      <c r="O133" s="97">
        <f t="shared" si="532"/>
        <v>0</v>
      </c>
      <c r="P133" s="97">
        <f t="shared" ref="P133:R133" si="533">IF(BI133=0,SUM(Y133+AB133+AE133+AH133+AK133+AN133+AQ133+AT133+AW133+AZ133+BC133+BF133),BI133)</f>
        <v>0</v>
      </c>
      <c r="Q133" s="97">
        <f t="shared" si="533"/>
        <v>0</v>
      </c>
      <c r="R133" s="97">
        <f t="shared" si="533"/>
        <v>0</v>
      </c>
      <c r="S133" s="97">
        <f t="shared" ref="S133:T133" si="534">I133-M133</f>
        <v>0</v>
      </c>
      <c r="T133" s="97">
        <f t="shared" si="534"/>
        <v>0</v>
      </c>
      <c r="U133" s="97">
        <f t="shared" si="525"/>
        <v>0</v>
      </c>
      <c r="V133" s="98" t="e">
        <f t="shared" ref="V133:W133" si="535">M133/I133</f>
        <v>#DIV/0!</v>
      </c>
      <c r="W133" s="98" t="e">
        <f t="shared" si="535"/>
        <v>#DIV/0!</v>
      </c>
      <c r="X133" s="98" t="e">
        <f t="shared" si="527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384</v>
      </c>
      <c r="E134" s="166"/>
      <c r="F134" s="166"/>
      <c r="G134" s="94" t="e">
        <f t="shared" si="512"/>
        <v>#DIV/0!</v>
      </c>
      <c r="H134" s="94" t="e">
        <f t="shared" si="513"/>
        <v>#DIV/0!</v>
      </c>
      <c r="I134" s="96"/>
      <c r="J134" s="96"/>
      <c r="K134" s="96"/>
      <c r="L134" s="96"/>
      <c r="M134" s="97">
        <f t="shared" ref="M134:O134" si="536">Y134+AB134+AE134+AH134+AK134+AN134+AQ134+AT134+AW134+AZ134+BC134+BF134</f>
        <v>0</v>
      </c>
      <c r="N134" s="97">
        <f t="shared" si="536"/>
        <v>0</v>
      </c>
      <c r="O134" s="97">
        <f t="shared" si="536"/>
        <v>0</v>
      </c>
      <c r="P134" s="97">
        <f t="shared" ref="P134:R134" si="537">IF(BI134=0,SUM(Y134+AB134+AE134+AH134+AK134+AN134+AQ134+AT134+AW134+AZ134+BC134+BF134),BI134)</f>
        <v>0</v>
      </c>
      <c r="Q134" s="97">
        <f t="shared" si="537"/>
        <v>0</v>
      </c>
      <c r="R134" s="97">
        <f t="shared" si="537"/>
        <v>0</v>
      </c>
      <c r="S134" s="97">
        <f t="shared" ref="S134:T134" si="538">I134-M134</f>
        <v>0</v>
      </c>
      <c r="T134" s="97">
        <f t="shared" si="538"/>
        <v>0</v>
      </c>
      <c r="U134" s="97">
        <f t="shared" si="525"/>
        <v>0</v>
      </c>
      <c r="V134" s="98" t="e">
        <f t="shared" ref="V134:W134" si="539">M134/I134</f>
        <v>#DIV/0!</v>
      </c>
      <c r="W134" s="98" t="e">
        <f t="shared" si="539"/>
        <v>#DIV/0!</v>
      </c>
      <c r="X134" s="98" t="e">
        <f t="shared" si="527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385</v>
      </c>
      <c r="D135" s="91" t="s">
        <v>386</v>
      </c>
      <c r="E135" s="166"/>
      <c r="F135" s="166"/>
      <c r="G135" s="94" t="e">
        <f t="shared" si="512"/>
        <v>#DIV/0!</v>
      </c>
      <c r="H135" s="94" t="e">
        <f t="shared" si="513"/>
        <v>#DIV/0!</v>
      </c>
      <c r="I135" s="96"/>
      <c r="J135" s="96"/>
      <c r="K135" s="96"/>
      <c r="L135" s="239"/>
      <c r="M135" s="97">
        <f t="shared" ref="M135:O135" si="540">Y135+AB135+AE135+AH135+AK135+AN135+AQ135+AT135+AW135+AZ135+BC135+BF135</f>
        <v>0</v>
      </c>
      <c r="N135" s="97">
        <f t="shared" si="540"/>
        <v>0</v>
      </c>
      <c r="O135" s="97">
        <f t="shared" si="540"/>
        <v>0</v>
      </c>
      <c r="P135" s="97">
        <f t="shared" ref="P135:R135" si="541">IF(BI135=0,SUM(Y135+AB135+AE135+AH135+AK135+AN135+AQ135+AT135+AW135+AZ135+BC135+BF135),BI135)</f>
        <v>0</v>
      </c>
      <c r="Q135" s="97">
        <f t="shared" si="541"/>
        <v>0</v>
      </c>
      <c r="R135" s="97">
        <f t="shared" si="541"/>
        <v>0</v>
      </c>
      <c r="S135" s="97">
        <f t="shared" ref="S135:T135" si="542">I135-M135</f>
        <v>0</v>
      </c>
      <c r="T135" s="97">
        <f t="shared" si="542"/>
        <v>0</v>
      </c>
      <c r="U135" s="97">
        <f t="shared" si="525"/>
        <v>0</v>
      </c>
      <c r="V135" s="98" t="e">
        <f t="shared" ref="V135:W135" si="543">M135/I135</f>
        <v>#DIV/0!</v>
      </c>
      <c r="W135" s="98" t="e">
        <f t="shared" si="543"/>
        <v>#DIV/0!</v>
      </c>
      <c r="X135" s="98" t="e">
        <f t="shared" si="527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  <c r="AQ135" s="96"/>
      <c r="AR135" s="96"/>
      <c r="AS135" s="96"/>
      <c r="AT135" s="96"/>
      <c r="AU135" s="96"/>
      <c r="AV135" s="96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240"/>
      <c r="B136" s="240"/>
      <c r="C136" s="229"/>
      <c r="D136" s="241" t="s">
        <v>387</v>
      </c>
      <c r="E136" s="242">
        <f t="shared" ref="E136:F136" si="544">SUM(E137:E139)</f>
        <v>0</v>
      </c>
      <c r="F136" s="242">
        <f t="shared" si="544"/>
        <v>867964.47</v>
      </c>
      <c r="G136" s="187" t="e">
        <f t="shared" si="512"/>
        <v>#DIV/0!</v>
      </c>
      <c r="H136" s="187" t="e">
        <f t="shared" si="513"/>
        <v>#DIV/0!</v>
      </c>
      <c r="I136" s="242">
        <f t="shared" ref="I136:O136" si="545">SUM(I137:I139)</f>
        <v>282858.71999999997</v>
      </c>
      <c r="J136" s="242">
        <f t="shared" si="545"/>
        <v>203666.88</v>
      </c>
      <c r="K136" s="242">
        <f t="shared" si="545"/>
        <v>0</v>
      </c>
      <c r="L136" s="242">
        <f t="shared" si="545"/>
        <v>0</v>
      </c>
      <c r="M136" s="242">
        <f t="shared" si="545"/>
        <v>31870.57</v>
      </c>
      <c r="N136" s="243">
        <f t="shared" si="545"/>
        <v>203666.88</v>
      </c>
      <c r="O136" s="243">
        <f t="shared" si="545"/>
        <v>0</v>
      </c>
      <c r="P136" s="243">
        <f t="shared" ref="P136:R136" si="546">IF(BI136=0,SUM(Y136+AB136+AE136+AH136+AK136+AN136+AQ136+AT136+AW136+AZ136+BC136+BF136),BI136)</f>
        <v>31870.57</v>
      </c>
      <c r="Q136" s="243">
        <f t="shared" si="546"/>
        <v>203666.88</v>
      </c>
      <c r="R136" s="243">
        <f t="shared" si="546"/>
        <v>0</v>
      </c>
      <c r="S136" s="242">
        <f t="shared" ref="S136:BK136" si="547">SUM(S137:S139)</f>
        <v>250988.14999999997</v>
      </c>
      <c r="T136" s="186">
        <f t="shared" si="547"/>
        <v>0</v>
      </c>
      <c r="U136" s="186">
        <f t="shared" si="547"/>
        <v>0</v>
      </c>
      <c r="V136" s="186" t="e">
        <f t="shared" si="547"/>
        <v>#DIV/0!</v>
      </c>
      <c r="W136" s="186" t="e">
        <f t="shared" si="547"/>
        <v>#DIV/0!</v>
      </c>
      <c r="X136" s="186" t="e">
        <f t="shared" si="547"/>
        <v>#DIV/0!</v>
      </c>
      <c r="Y136" s="242">
        <f t="shared" si="547"/>
        <v>0</v>
      </c>
      <c r="Z136" s="242">
        <f t="shared" si="547"/>
        <v>0</v>
      </c>
      <c r="AA136" s="242">
        <f t="shared" si="547"/>
        <v>0</v>
      </c>
      <c r="AB136" s="242">
        <f t="shared" si="547"/>
        <v>0</v>
      </c>
      <c r="AC136" s="242">
        <f t="shared" si="547"/>
        <v>0</v>
      </c>
      <c r="AD136" s="242">
        <f t="shared" si="547"/>
        <v>0</v>
      </c>
      <c r="AE136" s="242">
        <f t="shared" si="547"/>
        <v>0</v>
      </c>
      <c r="AF136" s="242">
        <f t="shared" si="547"/>
        <v>59424.31</v>
      </c>
      <c r="AG136" s="242">
        <f t="shared" si="547"/>
        <v>0</v>
      </c>
      <c r="AH136" s="242">
        <f t="shared" si="547"/>
        <v>0</v>
      </c>
      <c r="AI136" s="242">
        <f t="shared" si="547"/>
        <v>71413.69</v>
      </c>
      <c r="AJ136" s="242">
        <f t="shared" si="547"/>
        <v>0</v>
      </c>
      <c r="AK136" s="242">
        <f t="shared" si="547"/>
        <v>0</v>
      </c>
      <c r="AL136" s="242">
        <f t="shared" si="547"/>
        <v>29352.25</v>
      </c>
      <c r="AM136" s="242">
        <f t="shared" si="547"/>
        <v>0</v>
      </c>
      <c r="AN136" s="242">
        <f t="shared" si="547"/>
        <v>31870.57</v>
      </c>
      <c r="AO136" s="242">
        <f t="shared" si="547"/>
        <v>43476.63</v>
      </c>
      <c r="AP136" s="242">
        <f t="shared" si="547"/>
        <v>0</v>
      </c>
      <c r="AQ136" s="242">
        <f t="shared" si="547"/>
        <v>0</v>
      </c>
      <c r="AR136" s="242">
        <f t="shared" si="547"/>
        <v>0</v>
      </c>
      <c r="AS136" s="242">
        <f t="shared" si="547"/>
        <v>0</v>
      </c>
      <c r="AT136" s="242">
        <f t="shared" si="547"/>
        <v>0</v>
      </c>
      <c r="AU136" s="242">
        <f t="shared" si="547"/>
        <v>0</v>
      </c>
      <c r="AV136" s="242">
        <f t="shared" si="547"/>
        <v>0</v>
      </c>
      <c r="AW136" s="242">
        <f t="shared" si="547"/>
        <v>0</v>
      </c>
      <c r="AX136" s="242">
        <f t="shared" si="547"/>
        <v>0</v>
      </c>
      <c r="AY136" s="242">
        <f t="shared" si="547"/>
        <v>0</v>
      </c>
      <c r="AZ136" s="242">
        <f t="shared" si="547"/>
        <v>0</v>
      </c>
      <c r="BA136" s="242">
        <f t="shared" si="547"/>
        <v>0</v>
      </c>
      <c r="BB136" s="242">
        <f t="shared" si="547"/>
        <v>0</v>
      </c>
      <c r="BC136" s="242">
        <f t="shared" si="547"/>
        <v>0</v>
      </c>
      <c r="BD136" s="242">
        <f t="shared" si="547"/>
        <v>0</v>
      </c>
      <c r="BE136" s="242">
        <f t="shared" si="547"/>
        <v>0</v>
      </c>
      <c r="BF136" s="242">
        <f t="shared" si="547"/>
        <v>0</v>
      </c>
      <c r="BG136" s="242">
        <f t="shared" si="547"/>
        <v>0</v>
      </c>
      <c r="BH136" s="242">
        <f t="shared" si="547"/>
        <v>0</v>
      </c>
      <c r="BI136" s="242">
        <f t="shared" si="547"/>
        <v>0</v>
      </c>
      <c r="BJ136" s="242">
        <f t="shared" si="547"/>
        <v>0</v>
      </c>
      <c r="BK136" s="242">
        <f t="shared" si="547"/>
        <v>0</v>
      </c>
      <c r="BL136" s="233"/>
      <c r="BM136" s="234"/>
      <c r="BN136" s="234"/>
      <c r="BO136" s="234"/>
      <c r="BP136" s="234"/>
    </row>
    <row r="137" spans="1:68" ht="15.75" customHeight="1">
      <c r="A137" s="89"/>
      <c r="B137" s="206" t="s">
        <v>206</v>
      </c>
      <c r="C137" s="101" t="s">
        <v>388</v>
      </c>
      <c r="D137" s="91" t="s">
        <v>138</v>
      </c>
      <c r="E137" s="92">
        <v>0</v>
      </c>
      <c r="F137" s="195"/>
      <c r="G137" s="94" t="e">
        <f t="shared" ref="G137:G138" si="548">I137/#REF!</f>
        <v>#REF!</v>
      </c>
      <c r="H137" s="94" t="e">
        <f t="shared" ref="H137:H138" si="549">M137/#REF!</f>
        <v>#REF!</v>
      </c>
      <c r="I137" s="96"/>
      <c r="J137" s="96">
        <v>193192.78</v>
      </c>
      <c r="K137" s="96"/>
      <c r="L137" s="96"/>
      <c r="M137" s="97">
        <f t="shared" ref="M137:O137" si="550">Y137+AB137+AE137+AH137+AK137+AN137+AQ137+AT137+AW137+AZ137+BC137+BF137</f>
        <v>0</v>
      </c>
      <c r="N137" s="97">
        <f t="shared" si="550"/>
        <v>193192.78</v>
      </c>
      <c r="O137" s="97">
        <f t="shared" si="550"/>
        <v>0</v>
      </c>
      <c r="P137" s="97">
        <f t="shared" ref="P137:R137" si="551">IF(BI137=0,SUM(Y137+AB137+AE137+AH137+AK137+AN137+AQ137+AT137+AW137+AZ137+BC137+BF137),BI137)</f>
        <v>0</v>
      </c>
      <c r="Q137" s="97">
        <f t="shared" si="551"/>
        <v>193192.78</v>
      </c>
      <c r="R137" s="97">
        <f t="shared" si="551"/>
        <v>0</v>
      </c>
      <c r="S137" s="97">
        <f t="shared" ref="S137:T137" si="552">I137-M137</f>
        <v>0</v>
      </c>
      <c r="T137" s="97">
        <f t="shared" si="552"/>
        <v>0</v>
      </c>
      <c r="U137" s="97">
        <f t="shared" ref="U137:U139" si="553">L137-O137</f>
        <v>0</v>
      </c>
      <c r="V137" s="98" t="e">
        <f t="shared" ref="V137:W137" si="554">M137/I137</f>
        <v>#DIV/0!</v>
      </c>
      <c r="W137" s="98">
        <f t="shared" si="554"/>
        <v>1</v>
      </c>
      <c r="X137" s="98" t="e">
        <f t="shared" ref="X137:X139" si="555">O137/L137</f>
        <v>#DIV/0!</v>
      </c>
      <c r="Y137" s="96"/>
      <c r="Z137" s="96"/>
      <c r="AA137" s="96"/>
      <c r="AB137" s="96"/>
      <c r="AC137" s="96"/>
      <c r="AD137" s="96"/>
      <c r="AE137" s="96"/>
      <c r="AF137" s="96">
        <f>59424.31</f>
        <v>59424.31</v>
      </c>
      <c r="AG137" s="96"/>
      <c r="AH137" s="96"/>
      <c r="AI137" s="96">
        <f>31947.84+39465.85</f>
        <v>71413.69</v>
      </c>
      <c r="AJ137" s="96"/>
      <c r="AK137" s="96"/>
      <c r="AL137" s="103">
        <v>29352.25</v>
      </c>
      <c r="AM137" s="96"/>
      <c r="AN137" s="96"/>
      <c r="AO137" s="260">
        <v>33002.53</v>
      </c>
      <c r="AP137" s="96"/>
      <c r="AQ137" s="96"/>
      <c r="AR137" s="96"/>
      <c r="AS137" s="96"/>
      <c r="AT137" s="96"/>
      <c r="AU137" s="96"/>
      <c r="AV137" s="96"/>
      <c r="AW137" s="96"/>
      <c r="AX137" s="96"/>
      <c r="AY137" s="96"/>
      <c r="AZ137" s="96"/>
      <c r="BA137" s="96"/>
      <c r="BB137" s="96"/>
      <c r="BC137" s="96"/>
      <c r="BD137" s="96"/>
      <c r="BE137" s="96"/>
      <c r="BF137" s="96"/>
      <c r="BG137" s="96"/>
      <c r="BH137" s="96"/>
      <c r="BI137" s="96"/>
      <c r="BJ137" s="96"/>
      <c r="BK137" s="96"/>
      <c r="BL137" s="99"/>
      <c r="BM137" s="100"/>
      <c r="BN137" s="100"/>
      <c r="BO137" s="100"/>
      <c r="BP137" s="100"/>
    </row>
    <row r="138" spans="1:68" ht="15.75" customHeight="1">
      <c r="A138" s="89"/>
      <c r="B138" s="206"/>
      <c r="C138" s="101" t="s">
        <v>388</v>
      </c>
      <c r="D138" s="122" t="s">
        <v>139</v>
      </c>
      <c r="E138" s="92"/>
      <c r="F138" s="195">
        <v>400000</v>
      </c>
      <c r="G138" s="94" t="e">
        <f t="shared" si="548"/>
        <v>#REF!</v>
      </c>
      <c r="H138" s="94" t="e">
        <f t="shared" si="549"/>
        <v>#REF!</v>
      </c>
      <c r="I138" s="119"/>
      <c r="J138" s="96"/>
      <c r="K138" s="96"/>
      <c r="L138" s="202"/>
      <c r="M138" s="97">
        <f t="shared" ref="M138:O138" si="556">Y138+AB138+AE138+AH138+AK138+AN138+AQ138+AT138+AW138+AZ138+BC138+BF138</f>
        <v>0</v>
      </c>
      <c r="N138" s="97">
        <f t="shared" si="556"/>
        <v>0</v>
      </c>
      <c r="O138" s="97">
        <f t="shared" si="556"/>
        <v>0</v>
      </c>
      <c r="P138" s="97">
        <f t="shared" ref="P138:R138" si="557">IF(BI138=0,SUM(Y138+AB138+AE138+AH138+AK138+AN138+AQ138+AT138+AW138+AZ138+BC138+BF138),BI138)</f>
        <v>0</v>
      </c>
      <c r="Q138" s="97">
        <f t="shared" si="557"/>
        <v>0</v>
      </c>
      <c r="R138" s="97">
        <f t="shared" si="557"/>
        <v>0</v>
      </c>
      <c r="S138" s="97">
        <f t="shared" ref="S138:T138" si="558">I138-M138</f>
        <v>0</v>
      </c>
      <c r="T138" s="97">
        <f t="shared" si="558"/>
        <v>0</v>
      </c>
      <c r="U138" s="97">
        <f t="shared" si="553"/>
        <v>0</v>
      </c>
      <c r="V138" s="98" t="e">
        <f t="shared" ref="V138:W138" si="559">M138/I138</f>
        <v>#DIV/0!</v>
      </c>
      <c r="W138" s="98" t="e">
        <f t="shared" si="559"/>
        <v>#DIV/0!</v>
      </c>
      <c r="X138" s="98" t="e">
        <f t="shared" si="555"/>
        <v>#DIV/0!</v>
      </c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129"/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354" t="s">
        <v>671</v>
      </c>
      <c r="B139" s="206" t="s">
        <v>389</v>
      </c>
      <c r="C139" s="90"/>
      <c r="D139" s="122" t="s">
        <v>139</v>
      </c>
      <c r="E139" s="166"/>
      <c r="F139" s="166">
        <v>467964.47</v>
      </c>
      <c r="G139" s="94" t="e">
        <f t="shared" ref="G139:G143" si="560">I139/E139</f>
        <v>#DIV/0!</v>
      </c>
      <c r="H139" s="94" t="e">
        <f t="shared" ref="H139:H143" si="561">M139/E139</f>
        <v>#DIV/0!</v>
      </c>
      <c r="I139" s="103">
        <v>282858.71999999997</v>
      </c>
      <c r="J139" s="96">
        <v>10474.1</v>
      </c>
      <c r="K139" s="96"/>
      <c r="L139" s="244"/>
      <c r="M139" s="97">
        <f t="shared" ref="M139:O139" si="562">Y139+AB139+AE139+AH139+AK139+AN139+AQ139+AT139+AW139+AZ139+BC139+BF139</f>
        <v>31870.57</v>
      </c>
      <c r="N139" s="97">
        <f t="shared" si="562"/>
        <v>10474.099999999999</v>
      </c>
      <c r="O139" s="97">
        <f t="shared" si="562"/>
        <v>0</v>
      </c>
      <c r="P139" s="97">
        <f t="shared" ref="P139:R139" si="563">IF(BI139=0,SUM(Y139+AB139+AE139+AH139+AK139+AN139+AQ139+AT139+AW139+AZ139+BC139+BF139),BI139)</f>
        <v>31870.57</v>
      </c>
      <c r="Q139" s="97">
        <f t="shared" si="563"/>
        <v>10474.099999999999</v>
      </c>
      <c r="R139" s="97">
        <f t="shared" si="563"/>
        <v>0</v>
      </c>
      <c r="S139" s="97">
        <f t="shared" ref="S139:T139" si="564">I139-M139</f>
        <v>250988.14999999997</v>
      </c>
      <c r="T139" s="97">
        <f t="shared" si="564"/>
        <v>0</v>
      </c>
      <c r="U139" s="97">
        <f t="shared" si="553"/>
        <v>0</v>
      </c>
      <c r="V139" s="98">
        <f t="shared" ref="V139:W139" si="565">M139/I139</f>
        <v>0.11267310408531865</v>
      </c>
      <c r="W139" s="98">
        <f t="shared" si="565"/>
        <v>0.99999999999999978</v>
      </c>
      <c r="X139" s="98" t="e">
        <f t="shared" si="555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103">
        <v>31870.57</v>
      </c>
      <c r="AO139" s="260">
        <f>1807.54+8666.56</f>
        <v>10474.099999999999</v>
      </c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240"/>
      <c r="B140" s="240"/>
      <c r="C140" s="229"/>
      <c r="D140" s="241" t="s">
        <v>390</v>
      </c>
      <c r="E140" s="242">
        <f t="shared" ref="E140:F140" si="566">SUM(E141:E143)</f>
        <v>0</v>
      </c>
      <c r="F140" s="242">
        <f t="shared" si="566"/>
        <v>90000</v>
      </c>
      <c r="G140" s="187" t="e">
        <f t="shared" si="560"/>
        <v>#DIV/0!</v>
      </c>
      <c r="H140" s="187" t="e">
        <f t="shared" si="561"/>
        <v>#DIV/0!</v>
      </c>
      <c r="I140" s="242">
        <f>SUM(I141:I143)</f>
        <v>0</v>
      </c>
      <c r="J140" s="242">
        <f t="shared" ref="J140:K140" si="567">SUM(J141:J144)</f>
        <v>4237.2</v>
      </c>
      <c r="K140" s="242">
        <f t="shared" si="567"/>
        <v>0</v>
      </c>
      <c r="L140" s="242">
        <f t="shared" ref="L140:M140" si="568">SUM(L141:L143)</f>
        <v>0</v>
      </c>
      <c r="M140" s="242">
        <f t="shared" si="568"/>
        <v>0</v>
      </c>
      <c r="N140" s="243">
        <f>SUM(N141:N144)</f>
        <v>4237.2</v>
      </c>
      <c r="O140" s="243">
        <f>SUM(O141:O143)</f>
        <v>0</v>
      </c>
      <c r="P140" s="243">
        <f t="shared" ref="P140:R140" si="569">IF(BI140=0,SUM(Y140+AB140+AE140+AH140+AK140+AN140+AQ140+AT140+AW140+AZ140+BC140+BF140),BI140)</f>
        <v>0</v>
      </c>
      <c r="Q140" s="243">
        <f t="shared" si="569"/>
        <v>4237.2</v>
      </c>
      <c r="R140" s="243">
        <f t="shared" si="569"/>
        <v>0</v>
      </c>
      <c r="S140" s="242">
        <f t="shared" ref="S140:AE140" si="570">SUM(S141:S143)</f>
        <v>0</v>
      </c>
      <c r="T140" s="186">
        <f t="shared" si="570"/>
        <v>0</v>
      </c>
      <c r="U140" s="186">
        <f t="shared" si="570"/>
        <v>0</v>
      </c>
      <c r="V140" s="186" t="e">
        <f t="shared" si="570"/>
        <v>#DIV/0!</v>
      </c>
      <c r="W140" s="186" t="e">
        <f t="shared" si="570"/>
        <v>#DIV/0!</v>
      </c>
      <c r="X140" s="186" t="e">
        <f t="shared" si="570"/>
        <v>#DIV/0!</v>
      </c>
      <c r="Y140" s="242">
        <f t="shared" si="570"/>
        <v>0</v>
      </c>
      <c r="Z140" s="242">
        <f t="shared" si="570"/>
        <v>0</v>
      </c>
      <c r="AA140" s="242">
        <f t="shared" si="570"/>
        <v>0</v>
      </c>
      <c r="AB140" s="242">
        <f t="shared" si="570"/>
        <v>0</v>
      </c>
      <c r="AC140" s="242">
        <f t="shared" si="570"/>
        <v>0</v>
      </c>
      <c r="AD140" s="242">
        <f t="shared" si="570"/>
        <v>0</v>
      </c>
      <c r="AE140" s="242">
        <f t="shared" si="570"/>
        <v>0</v>
      </c>
      <c r="AF140" s="242">
        <f>SUM(AF141:AF144)</f>
        <v>4237.2</v>
      </c>
      <c r="AG140" s="242">
        <f t="shared" ref="AG140:BK140" si="571">SUM(AG141:AG143)</f>
        <v>0</v>
      </c>
      <c r="AH140" s="242">
        <f t="shared" si="571"/>
        <v>0</v>
      </c>
      <c r="AI140" s="242">
        <f t="shared" si="571"/>
        <v>0</v>
      </c>
      <c r="AJ140" s="242">
        <f t="shared" si="571"/>
        <v>0</v>
      </c>
      <c r="AK140" s="242">
        <f t="shared" si="571"/>
        <v>0</v>
      </c>
      <c r="AL140" s="242">
        <f t="shared" si="571"/>
        <v>0</v>
      </c>
      <c r="AM140" s="242">
        <f t="shared" si="571"/>
        <v>0</v>
      </c>
      <c r="AN140" s="242">
        <f t="shared" si="571"/>
        <v>0</v>
      </c>
      <c r="AO140" s="242">
        <f t="shared" si="571"/>
        <v>0</v>
      </c>
      <c r="AP140" s="242">
        <f t="shared" si="571"/>
        <v>0</v>
      </c>
      <c r="AQ140" s="242">
        <f t="shared" si="571"/>
        <v>0</v>
      </c>
      <c r="AR140" s="242">
        <f t="shared" si="571"/>
        <v>0</v>
      </c>
      <c r="AS140" s="242">
        <f t="shared" si="571"/>
        <v>0</v>
      </c>
      <c r="AT140" s="242">
        <f t="shared" si="571"/>
        <v>0</v>
      </c>
      <c r="AU140" s="242">
        <f t="shared" si="571"/>
        <v>0</v>
      </c>
      <c r="AV140" s="242">
        <f t="shared" si="571"/>
        <v>0</v>
      </c>
      <c r="AW140" s="242">
        <f t="shared" si="571"/>
        <v>0</v>
      </c>
      <c r="AX140" s="242">
        <f t="shared" si="571"/>
        <v>0</v>
      </c>
      <c r="AY140" s="242">
        <f t="shared" si="571"/>
        <v>0</v>
      </c>
      <c r="AZ140" s="242">
        <f t="shared" si="571"/>
        <v>0</v>
      </c>
      <c r="BA140" s="242">
        <f t="shared" si="571"/>
        <v>0</v>
      </c>
      <c r="BB140" s="242">
        <f t="shared" si="571"/>
        <v>0</v>
      </c>
      <c r="BC140" s="242">
        <f t="shared" si="571"/>
        <v>0</v>
      </c>
      <c r="BD140" s="242">
        <f t="shared" si="571"/>
        <v>0</v>
      </c>
      <c r="BE140" s="242">
        <f t="shared" si="571"/>
        <v>0</v>
      </c>
      <c r="BF140" s="242">
        <f t="shared" si="571"/>
        <v>0</v>
      </c>
      <c r="BG140" s="242">
        <f t="shared" si="571"/>
        <v>0</v>
      </c>
      <c r="BH140" s="242">
        <f t="shared" si="571"/>
        <v>0</v>
      </c>
      <c r="BI140" s="242">
        <f t="shared" si="571"/>
        <v>0</v>
      </c>
      <c r="BJ140" s="242">
        <f t="shared" si="571"/>
        <v>0</v>
      </c>
      <c r="BK140" s="242">
        <f t="shared" si="571"/>
        <v>0</v>
      </c>
      <c r="BL140" s="233"/>
      <c r="BM140" s="234"/>
      <c r="BN140" s="234"/>
      <c r="BO140" s="234"/>
      <c r="BP140" s="234"/>
    </row>
    <row r="141" spans="1:68" ht="15.75" customHeight="1">
      <c r="A141" s="89"/>
      <c r="B141" s="89"/>
      <c r="C141" s="90" t="s">
        <v>388</v>
      </c>
      <c r="D141" s="122" t="s">
        <v>726</v>
      </c>
      <c r="E141" s="166"/>
      <c r="F141" s="147">
        <v>90000</v>
      </c>
      <c r="G141" s="94" t="e">
        <f t="shared" si="560"/>
        <v>#DIV/0!</v>
      </c>
      <c r="H141" s="94" t="e">
        <f t="shared" si="561"/>
        <v>#DIV/0!</v>
      </c>
      <c r="I141" s="96"/>
      <c r="J141" s="96"/>
      <c r="K141" s="96"/>
      <c r="L141" s="202"/>
      <c r="M141" s="97">
        <f t="shared" ref="M141:O141" si="572">Y141+AB141+AE141+AH141+AK141+AN141+AQ141+AT141+AW141+AZ141+BC141+BF141</f>
        <v>0</v>
      </c>
      <c r="N141" s="97">
        <f t="shared" si="572"/>
        <v>0</v>
      </c>
      <c r="O141" s="97">
        <f t="shared" si="572"/>
        <v>0</v>
      </c>
      <c r="P141" s="97">
        <f t="shared" ref="P141:R141" si="573">IF(BI141=0,SUM(Y141+AB141+AE141+AH141+AK141+AN141+AQ141+AT141+AW141+AZ141+BC141+BF141),BI141)</f>
        <v>0</v>
      </c>
      <c r="Q141" s="97">
        <f t="shared" si="573"/>
        <v>0</v>
      </c>
      <c r="R141" s="97">
        <f t="shared" si="573"/>
        <v>0</v>
      </c>
      <c r="S141" s="97">
        <f t="shared" ref="S141:T141" si="574">I141-M141</f>
        <v>0</v>
      </c>
      <c r="T141" s="97">
        <f t="shared" si="574"/>
        <v>0</v>
      </c>
      <c r="U141" s="97">
        <f t="shared" ref="U141:U143" si="575">L141-O141</f>
        <v>0</v>
      </c>
      <c r="V141" s="98" t="e">
        <f t="shared" ref="V141:W141" si="576">M141/I141</f>
        <v>#DIV/0!</v>
      </c>
      <c r="W141" s="98" t="e">
        <f t="shared" si="576"/>
        <v>#DIV/0!</v>
      </c>
      <c r="X141" s="98" t="e">
        <f t="shared" ref="X141:X143" si="577">O141/L141</f>
        <v>#DIV/0!</v>
      </c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  <c r="AQ141" s="96"/>
      <c r="AR141" s="96"/>
      <c r="AS141" s="96"/>
      <c r="AT141" s="96"/>
      <c r="AU141" s="96"/>
      <c r="AV141" s="96"/>
      <c r="AW141" s="96"/>
      <c r="AX141" s="96"/>
      <c r="AY141" s="96"/>
      <c r="AZ141" s="96"/>
      <c r="BA141" s="96"/>
      <c r="BB141" s="96"/>
      <c r="BC141" s="96"/>
      <c r="BD141" s="96"/>
      <c r="BE141" s="96"/>
      <c r="BF141" s="96"/>
      <c r="BG141" s="96"/>
      <c r="BH141" s="96"/>
      <c r="BI141" s="96"/>
      <c r="BJ141" s="96"/>
      <c r="BK141" s="96"/>
      <c r="BL141" s="99"/>
      <c r="BM141" s="100"/>
      <c r="BN141" s="100"/>
      <c r="BO141" s="100"/>
      <c r="BP141" s="100"/>
    </row>
    <row r="142" spans="1:68" ht="15.75" customHeight="1">
      <c r="A142" s="89"/>
      <c r="B142" s="89"/>
      <c r="C142" s="90" t="s">
        <v>385</v>
      </c>
      <c r="D142" s="91" t="s">
        <v>392</v>
      </c>
      <c r="E142" s="166"/>
      <c r="F142" s="166"/>
      <c r="G142" s="94" t="e">
        <f t="shared" si="560"/>
        <v>#DIV/0!</v>
      </c>
      <c r="H142" s="94" t="e">
        <f t="shared" si="561"/>
        <v>#DIV/0!</v>
      </c>
      <c r="I142" s="202"/>
      <c r="J142" s="96"/>
      <c r="K142" s="96"/>
      <c r="L142" s="202"/>
      <c r="M142" s="97">
        <f t="shared" ref="M142:O142" si="578">Y142+AB142+AE142+AH142+AK142+AN142+AQ142+AT142+AW142+AZ142+BC142+BF142</f>
        <v>0</v>
      </c>
      <c r="N142" s="97">
        <f t="shared" si="578"/>
        <v>0</v>
      </c>
      <c r="O142" s="97">
        <f t="shared" si="578"/>
        <v>0</v>
      </c>
      <c r="P142" s="97">
        <f t="shared" ref="P142:R142" si="579">IF(BI142=0,SUM(Y142+AB142+AE142+AH142+AK142+AN142+AQ142+AT142+AW142+AZ142+BC142+BF142),BI142)</f>
        <v>0</v>
      </c>
      <c r="Q142" s="97">
        <f t="shared" si="579"/>
        <v>0</v>
      </c>
      <c r="R142" s="97">
        <f t="shared" si="579"/>
        <v>0</v>
      </c>
      <c r="S142" s="97">
        <f t="shared" ref="S142:T142" si="580">I142-M142</f>
        <v>0</v>
      </c>
      <c r="T142" s="97">
        <f t="shared" si="580"/>
        <v>0</v>
      </c>
      <c r="U142" s="97">
        <f t="shared" si="575"/>
        <v>0</v>
      </c>
      <c r="V142" s="98" t="e">
        <f t="shared" ref="V142:W142" si="581">M142/I142</f>
        <v>#DIV/0!</v>
      </c>
      <c r="W142" s="98" t="e">
        <f t="shared" si="581"/>
        <v>#DIV/0!</v>
      </c>
      <c r="X142" s="98" t="e">
        <f t="shared" si="577"/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103">
        <v>0</v>
      </c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393</v>
      </c>
      <c r="E143" s="166"/>
      <c r="F143" s="166"/>
      <c r="G143" s="94" t="e">
        <f t="shared" si="560"/>
        <v>#DIV/0!</v>
      </c>
      <c r="H143" s="94" t="e">
        <f t="shared" si="561"/>
        <v>#DIV/0!</v>
      </c>
      <c r="I143" s="96"/>
      <c r="J143" s="96"/>
      <c r="K143" s="96"/>
      <c r="L143" s="244"/>
      <c r="M143" s="97">
        <f t="shared" ref="M143:O143" si="582">Y143+AB143+AE143+AH143+AK143+AN143+AQ143+AT143+AW143+AZ143+BC143+BF143</f>
        <v>0</v>
      </c>
      <c r="N143" s="97">
        <f t="shared" si="582"/>
        <v>0</v>
      </c>
      <c r="O143" s="97">
        <f t="shared" si="582"/>
        <v>0</v>
      </c>
      <c r="P143" s="97">
        <f t="shared" ref="P143:R143" si="583">IF(BI143=0,SUM(Y143+AB143+AE143+AH143+AK143+AN143+AQ143+AT143+AW143+AZ143+BC143+BF143),BI143)</f>
        <v>0</v>
      </c>
      <c r="Q143" s="97">
        <f t="shared" si="583"/>
        <v>0</v>
      </c>
      <c r="R143" s="97">
        <f t="shared" si="583"/>
        <v>0</v>
      </c>
      <c r="S143" s="97">
        <f t="shared" ref="S143:T143" si="584">I143-M143</f>
        <v>0</v>
      </c>
      <c r="T143" s="97">
        <f t="shared" si="584"/>
        <v>0</v>
      </c>
      <c r="U143" s="97">
        <f t="shared" si="575"/>
        <v>0</v>
      </c>
      <c r="V143" s="98" t="e">
        <f t="shared" ref="V143:W143" si="585">M143/I143</f>
        <v>#DIV/0!</v>
      </c>
      <c r="W143" s="98" t="e">
        <f t="shared" si="585"/>
        <v>#DIV/0!</v>
      </c>
      <c r="X143" s="98" t="e">
        <f t="shared" si="577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96"/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206" t="s">
        <v>394</v>
      </c>
      <c r="C144" s="90" t="s">
        <v>395</v>
      </c>
      <c r="D144" s="91" t="s">
        <v>396</v>
      </c>
      <c r="E144" s="166"/>
      <c r="F144" s="166"/>
      <c r="G144" s="94"/>
      <c r="H144" s="94"/>
      <c r="I144" s="96"/>
      <c r="J144" s="96">
        <v>4237.2</v>
      </c>
      <c r="K144" s="96"/>
      <c r="L144" s="244"/>
      <c r="M144" s="97"/>
      <c r="N144" s="97">
        <f t="shared" ref="N144:O144" si="586">Z144+AC144+AF144+AI144+AL144+AO144+AR144+AU144+AX144+BA144+BD144+BG144</f>
        <v>4237.2</v>
      </c>
      <c r="O144" s="97">
        <f t="shared" si="586"/>
        <v>0</v>
      </c>
      <c r="P144" s="97">
        <f t="shared" ref="P144:Q144" si="587">IF(BI144=0,SUM(Y144+AB144+AE144+AH144+AK144+AN144+AQ144+AT144+AW144+AZ144+BC144+BF144),BI144)</f>
        <v>0</v>
      </c>
      <c r="Q144" s="97">
        <f t="shared" si="587"/>
        <v>4237.2</v>
      </c>
      <c r="R144" s="97"/>
      <c r="S144" s="97"/>
      <c r="T144" s="97"/>
      <c r="U144" s="97"/>
      <c r="V144" s="98"/>
      <c r="W144" s="98"/>
      <c r="X144" s="98"/>
      <c r="Y144" s="96"/>
      <c r="Z144" s="96"/>
      <c r="AA144" s="96"/>
      <c r="AB144" s="96"/>
      <c r="AC144" s="96"/>
      <c r="AD144" s="96"/>
      <c r="AE144" s="96"/>
      <c r="AF144" s="103">
        <f>3088+1149.2</f>
        <v>4237.2</v>
      </c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182"/>
      <c r="B145" s="182"/>
      <c r="C145" s="222"/>
      <c r="D145" s="224" t="s">
        <v>397</v>
      </c>
      <c r="E145" s="186">
        <f t="shared" ref="E145:F145" si="588">SUM(E146:E149)</f>
        <v>0</v>
      </c>
      <c r="F145" s="186">
        <f t="shared" si="588"/>
        <v>0</v>
      </c>
      <c r="G145" s="223" t="e">
        <f t="shared" ref="G145:G147" si="589">I145/E145</f>
        <v>#DIV/0!</v>
      </c>
      <c r="H145" s="187" t="e">
        <f t="shared" ref="H145:H147" si="590">M145/E145</f>
        <v>#DIV/0!</v>
      </c>
      <c r="I145" s="186">
        <f t="shared" ref="I145:O145" si="591">SUM(I146:I149)</f>
        <v>0</v>
      </c>
      <c r="J145" s="186">
        <f t="shared" si="591"/>
        <v>500</v>
      </c>
      <c r="K145" s="186">
        <f t="shared" si="591"/>
        <v>0</v>
      </c>
      <c r="L145" s="186">
        <f t="shared" si="591"/>
        <v>0</v>
      </c>
      <c r="M145" s="186">
        <f t="shared" si="591"/>
        <v>0</v>
      </c>
      <c r="N145" s="186">
        <f t="shared" si="591"/>
        <v>500</v>
      </c>
      <c r="O145" s="186">
        <f t="shared" si="591"/>
        <v>0</v>
      </c>
      <c r="P145" s="245">
        <f t="shared" ref="P145:R145" si="592">IF(BI145=0,SUM(Y145+AB145+AE145+AH145+AK145+AN145+AQ145+AT145+AW145+AZ145+BC145+BF145),BI145)</f>
        <v>0</v>
      </c>
      <c r="Q145" s="245">
        <f t="shared" si="592"/>
        <v>500</v>
      </c>
      <c r="R145" s="245">
        <f t="shared" si="592"/>
        <v>0</v>
      </c>
      <c r="S145" s="186">
        <f t="shared" ref="S145:U145" si="593">SUM(S146:S149)</f>
        <v>0</v>
      </c>
      <c r="T145" s="186">
        <f t="shared" si="593"/>
        <v>0</v>
      </c>
      <c r="U145" s="186">
        <f t="shared" si="593"/>
        <v>0</v>
      </c>
      <c r="V145" s="189" t="e">
        <f t="shared" ref="V145:W145" si="594">M145/I145</f>
        <v>#DIV/0!</v>
      </c>
      <c r="W145" s="189">
        <f t="shared" si="594"/>
        <v>1</v>
      </c>
      <c r="X145" s="189" t="e">
        <f t="shared" ref="X145:X147" si="595">O145/L145</f>
        <v>#DIV/0!</v>
      </c>
      <c r="Y145" s="186">
        <f t="shared" ref="Y145:BK145" si="596">SUM(Y146:Y149)</f>
        <v>0</v>
      </c>
      <c r="Z145" s="186">
        <f t="shared" si="596"/>
        <v>500</v>
      </c>
      <c r="AA145" s="186">
        <f t="shared" si="596"/>
        <v>0</v>
      </c>
      <c r="AB145" s="186">
        <f t="shared" si="596"/>
        <v>0</v>
      </c>
      <c r="AC145" s="186">
        <f t="shared" si="596"/>
        <v>0</v>
      </c>
      <c r="AD145" s="186">
        <f t="shared" si="596"/>
        <v>0</v>
      </c>
      <c r="AE145" s="186">
        <f t="shared" si="596"/>
        <v>0</v>
      </c>
      <c r="AF145" s="186">
        <f t="shared" si="596"/>
        <v>0</v>
      </c>
      <c r="AG145" s="186">
        <f t="shared" si="596"/>
        <v>0</v>
      </c>
      <c r="AH145" s="186">
        <f t="shared" si="596"/>
        <v>0</v>
      </c>
      <c r="AI145" s="186">
        <f t="shared" si="596"/>
        <v>0</v>
      </c>
      <c r="AJ145" s="186">
        <f t="shared" si="596"/>
        <v>0</v>
      </c>
      <c r="AK145" s="186">
        <f t="shared" si="596"/>
        <v>0</v>
      </c>
      <c r="AL145" s="186">
        <f t="shared" si="596"/>
        <v>0</v>
      </c>
      <c r="AM145" s="186">
        <f t="shared" si="596"/>
        <v>0</v>
      </c>
      <c r="AN145" s="186">
        <f t="shared" si="596"/>
        <v>0</v>
      </c>
      <c r="AO145" s="186">
        <f t="shared" si="596"/>
        <v>0</v>
      </c>
      <c r="AP145" s="186">
        <f t="shared" si="596"/>
        <v>0</v>
      </c>
      <c r="AQ145" s="186">
        <f t="shared" si="596"/>
        <v>0</v>
      </c>
      <c r="AR145" s="186">
        <f t="shared" si="596"/>
        <v>0</v>
      </c>
      <c r="AS145" s="186">
        <f t="shared" si="596"/>
        <v>0</v>
      </c>
      <c r="AT145" s="186">
        <f t="shared" si="596"/>
        <v>0</v>
      </c>
      <c r="AU145" s="186">
        <f t="shared" si="596"/>
        <v>0</v>
      </c>
      <c r="AV145" s="186">
        <f t="shared" si="596"/>
        <v>0</v>
      </c>
      <c r="AW145" s="186">
        <f t="shared" si="596"/>
        <v>0</v>
      </c>
      <c r="AX145" s="186">
        <f t="shared" si="596"/>
        <v>0</v>
      </c>
      <c r="AY145" s="186">
        <f t="shared" si="596"/>
        <v>0</v>
      </c>
      <c r="AZ145" s="186">
        <f t="shared" si="596"/>
        <v>0</v>
      </c>
      <c r="BA145" s="186">
        <f t="shared" si="596"/>
        <v>0</v>
      </c>
      <c r="BB145" s="186">
        <f t="shared" si="596"/>
        <v>0</v>
      </c>
      <c r="BC145" s="186">
        <f t="shared" si="596"/>
        <v>0</v>
      </c>
      <c r="BD145" s="186">
        <f t="shared" si="596"/>
        <v>0</v>
      </c>
      <c r="BE145" s="186">
        <f t="shared" si="596"/>
        <v>0</v>
      </c>
      <c r="BF145" s="186">
        <f t="shared" si="596"/>
        <v>0</v>
      </c>
      <c r="BG145" s="186">
        <f t="shared" si="596"/>
        <v>0</v>
      </c>
      <c r="BH145" s="186">
        <f t="shared" si="596"/>
        <v>0</v>
      </c>
      <c r="BI145" s="186">
        <f t="shared" si="596"/>
        <v>0</v>
      </c>
      <c r="BJ145" s="186">
        <f t="shared" si="596"/>
        <v>0</v>
      </c>
      <c r="BK145" s="186">
        <f t="shared" si="596"/>
        <v>0</v>
      </c>
      <c r="BL145" s="157"/>
      <c r="BM145" s="158"/>
      <c r="BN145" s="158"/>
      <c r="BO145" s="158"/>
      <c r="BP145" s="158"/>
    </row>
    <row r="146" spans="1:68" ht="15.75" customHeight="1">
      <c r="A146" s="89"/>
      <c r="B146" s="89"/>
      <c r="C146" s="90" t="s">
        <v>318</v>
      </c>
      <c r="D146" s="91" t="s">
        <v>366</v>
      </c>
      <c r="E146" s="166"/>
      <c r="F146" s="166"/>
      <c r="G146" s="94" t="e">
        <f t="shared" si="589"/>
        <v>#DIV/0!</v>
      </c>
      <c r="H146" s="94" t="e">
        <f t="shared" si="590"/>
        <v>#DIV/0!</v>
      </c>
      <c r="I146" s="142"/>
      <c r="J146" s="96"/>
      <c r="K146" s="96"/>
      <c r="L146" s="202"/>
      <c r="M146" s="97">
        <f t="shared" ref="M146:O146" si="597">Y146+AB146+AE146+AH146+AK146+AN146+AQ146+AT146+AW146+AZ146+BC146+BF146</f>
        <v>0</v>
      </c>
      <c r="N146" s="97">
        <f t="shared" si="597"/>
        <v>0</v>
      </c>
      <c r="O146" s="97">
        <f t="shared" si="597"/>
        <v>0</v>
      </c>
      <c r="P146" s="97">
        <f t="shared" ref="P146:R146" si="598">IF(BI146=0,SUM(Y146+AB146+AE146+AH146+AK146+AN146+AQ146+AT146+AW146+AZ146+BC146+BF146),BI146)</f>
        <v>0</v>
      </c>
      <c r="Q146" s="97">
        <f t="shared" si="598"/>
        <v>0</v>
      </c>
      <c r="R146" s="97">
        <f t="shared" si="598"/>
        <v>0</v>
      </c>
      <c r="S146" s="97">
        <f t="shared" ref="S146:T146" si="599">I146-M146</f>
        <v>0</v>
      </c>
      <c r="T146" s="97">
        <f t="shared" si="599"/>
        <v>0</v>
      </c>
      <c r="U146" s="97">
        <f t="shared" ref="U146:U147" si="600">L146-O146</f>
        <v>0</v>
      </c>
      <c r="V146" s="98" t="e">
        <f t="shared" ref="V146:W146" si="601">M146/I146</f>
        <v>#DIV/0!</v>
      </c>
      <c r="W146" s="98" t="e">
        <f t="shared" si="601"/>
        <v>#DIV/0!</v>
      </c>
      <c r="X146" s="98" t="e">
        <f t="shared" si="595"/>
        <v>#DIV/0!</v>
      </c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9"/>
      <c r="BM146" s="100"/>
      <c r="BN146" s="100"/>
      <c r="BO146" s="100"/>
      <c r="BP146" s="100"/>
    </row>
    <row r="147" spans="1:68" ht="15.75" customHeight="1">
      <c r="A147" s="89"/>
      <c r="B147" s="89"/>
      <c r="C147" s="90" t="s">
        <v>367</v>
      </c>
      <c r="D147" s="91" t="s">
        <v>398</v>
      </c>
      <c r="E147" s="166"/>
      <c r="F147" s="166"/>
      <c r="G147" s="94" t="e">
        <f t="shared" si="589"/>
        <v>#DIV/0!</v>
      </c>
      <c r="H147" s="94" t="e">
        <f t="shared" si="590"/>
        <v>#DIV/0!</v>
      </c>
      <c r="I147" s="119"/>
      <c r="J147" s="96"/>
      <c r="K147" s="96"/>
      <c r="L147" s="202"/>
      <c r="M147" s="97">
        <f t="shared" ref="M147:O147" si="602">Y147+AB147+AE147+AH147+AK147+AN147+AQ147+AT147+AW147+AZ147+BC147+BF147</f>
        <v>0</v>
      </c>
      <c r="N147" s="97">
        <f t="shared" si="602"/>
        <v>0</v>
      </c>
      <c r="O147" s="97">
        <f t="shared" si="602"/>
        <v>0</v>
      </c>
      <c r="P147" s="97">
        <f t="shared" ref="P147:R147" si="603">IF(BI147=0,SUM(Y147+AB147+AE147+AH147+AK147+AN147+AQ147+AT147+AW147+AZ147+BC147+BF147),BI147)</f>
        <v>0</v>
      </c>
      <c r="Q147" s="97">
        <f t="shared" si="603"/>
        <v>0</v>
      </c>
      <c r="R147" s="97">
        <f t="shared" si="603"/>
        <v>0</v>
      </c>
      <c r="S147" s="97">
        <f t="shared" ref="S147:T147" si="604">I147-M147</f>
        <v>0</v>
      </c>
      <c r="T147" s="97">
        <f t="shared" si="604"/>
        <v>0</v>
      </c>
      <c r="U147" s="97">
        <f t="shared" si="600"/>
        <v>0</v>
      </c>
      <c r="V147" s="98" t="e">
        <f t="shared" ref="V147:W147" si="605">M147/I147</f>
        <v>#DIV/0!</v>
      </c>
      <c r="W147" s="98" t="e">
        <f t="shared" si="605"/>
        <v>#DIV/0!</v>
      </c>
      <c r="X147" s="98" t="e">
        <f t="shared" si="595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206" t="s">
        <v>399</v>
      </c>
      <c r="C148" s="90" t="s">
        <v>323</v>
      </c>
      <c r="D148" s="91" t="s">
        <v>353</v>
      </c>
      <c r="E148" s="166"/>
      <c r="F148" s="166"/>
      <c r="G148" s="94"/>
      <c r="H148" s="94"/>
      <c r="I148" s="119"/>
      <c r="J148" s="96">
        <v>500</v>
      </c>
      <c r="K148" s="96"/>
      <c r="L148" s="202"/>
      <c r="M148" s="97"/>
      <c r="N148" s="97">
        <f t="shared" ref="N148:O148" si="606">Z148+AC148+AF148+AI148+AL148+AO148+AR148+AU148+AX148+BA148+BD148+BG148</f>
        <v>500</v>
      </c>
      <c r="O148" s="97">
        <f t="shared" si="606"/>
        <v>0</v>
      </c>
      <c r="P148" s="97">
        <f t="shared" ref="P148:R148" si="607">IF(BI148=0,SUM(Y148+AB148+AE148+AH148+AK148+AN148+AQ148+AT148+AW148+AZ148+BC148+BF148),BI148)</f>
        <v>0</v>
      </c>
      <c r="Q148" s="97">
        <f t="shared" si="607"/>
        <v>500</v>
      </c>
      <c r="R148" s="97">
        <f t="shared" si="607"/>
        <v>0</v>
      </c>
      <c r="S148" s="97"/>
      <c r="T148" s="97"/>
      <c r="U148" s="97"/>
      <c r="V148" s="98"/>
      <c r="W148" s="98"/>
      <c r="X148" s="98"/>
      <c r="Y148" s="96"/>
      <c r="Z148" s="103">
        <v>500</v>
      </c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89"/>
      <c r="C149" s="90" t="s">
        <v>318</v>
      </c>
      <c r="D149" s="91" t="s">
        <v>400</v>
      </c>
      <c r="E149" s="166"/>
      <c r="F149" s="166"/>
      <c r="G149" s="94" t="e">
        <f t="shared" ref="G149:G151" si="608">I149/E149</f>
        <v>#DIV/0!</v>
      </c>
      <c r="H149" s="94" t="e">
        <f t="shared" ref="H149:H151" si="609">M149/E149</f>
        <v>#DIV/0!</v>
      </c>
      <c r="I149" s="96"/>
      <c r="J149" s="96"/>
      <c r="K149" s="96"/>
      <c r="L149" s="96"/>
      <c r="M149" s="97">
        <f t="shared" ref="M149:O149" si="610">Y149+AB149+AE149+AH149+AK149+AN149+AQ149+AT149+AW149+AZ149+BC149+BF149</f>
        <v>0</v>
      </c>
      <c r="N149" s="97">
        <f t="shared" si="610"/>
        <v>0</v>
      </c>
      <c r="O149" s="97">
        <f t="shared" si="610"/>
        <v>0</v>
      </c>
      <c r="P149" s="97">
        <f t="shared" ref="P149:R149" si="611">IF(BI149=0,SUM(Y149+AB149+AE149+AH149+AK149+AN149+AQ149+AT149+AW149+AZ149+BC149+BF149),BI149)</f>
        <v>0</v>
      </c>
      <c r="Q149" s="97">
        <f t="shared" si="611"/>
        <v>0</v>
      </c>
      <c r="R149" s="97">
        <f t="shared" si="611"/>
        <v>0</v>
      </c>
      <c r="S149" s="97">
        <f t="shared" ref="S149:T149" si="612">I149-M149</f>
        <v>0</v>
      </c>
      <c r="T149" s="97">
        <f t="shared" si="612"/>
        <v>0</v>
      </c>
      <c r="U149" s="97">
        <f>L149-O149</f>
        <v>0</v>
      </c>
      <c r="V149" s="98" t="e">
        <f t="shared" ref="V149:W149" si="613">M149/I149</f>
        <v>#DIV/0!</v>
      </c>
      <c r="W149" s="98" t="e">
        <f t="shared" si="613"/>
        <v>#DIV/0!</v>
      </c>
      <c r="X149" s="98" t="e">
        <f t="shared" ref="X149:X156" si="614">O149/L149</f>
        <v>#DIV/0!</v>
      </c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246"/>
      <c r="B150" s="246"/>
      <c r="C150" s="247"/>
      <c r="D150" s="248" t="s">
        <v>401</v>
      </c>
      <c r="E150" s="249">
        <f t="shared" ref="E150:F150" si="615">SUM(E151:E153)</f>
        <v>0</v>
      </c>
      <c r="F150" s="249">
        <f t="shared" si="615"/>
        <v>0</v>
      </c>
      <c r="G150" s="223" t="e">
        <f t="shared" si="608"/>
        <v>#DIV/0!</v>
      </c>
      <c r="H150" s="187" t="e">
        <f t="shared" si="609"/>
        <v>#DIV/0!</v>
      </c>
      <c r="I150" s="249">
        <f t="shared" ref="I150:O150" si="616">SUM(I151:I153)</f>
        <v>0</v>
      </c>
      <c r="J150" s="249">
        <f t="shared" si="616"/>
        <v>293.62</v>
      </c>
      <c r="K150" s="249">
        <f t="shared" si="616"/>
        <v>0</v>
      </c>
      <c r="L150" s="249">
        <f t="shared" si="616"/>
        <v>0</v>
      </c>
      <c r="M150" s="249">
        <f t="shared" si="616"/>
        <v>0</v>
      </c>
      <c r="N150" s="249">
        <f t="shared" si="616"/>
        <v>0</v>
      </c>
      <c r="O150" s="249">
        <f t="shared" si="616"/>
        <v>0</v>
      </c>
      <c r="P150" s="238">
        <f t="shared" ref="P150:R150" si="617">IF(BI150=0,SUM(Y150+AB150+AE150+AH150+AK150+AN150+AQ150+AT150+AW150+AZ150+BC150+BF150),BI150)</f>
        <v>0</v>
      </c>
      <c r="Q150" s="238">
        <f t="shared" si="617"/>
        <v>0</v>
      </c>
      <c r="R150" s="238">
        <f t="shared" si="617"/>
        <v>0</v>
      </c>
      <c r="S150" s="249">
        <f t="shared" ref="S150:U150" si="618">SUM(S151:S153)</f>
        <v>0</v>
      </c>
      <c r="T150" s="249">
        <f t="shared" si="618"/>
        <v>293.62</v>
      </c>
      <c r="U150" s="249">
        <f t="shared" si="618"/>
        <v>0</v>
      </c>
      <c r="V150" s="250" t="e">
        <f t="shared" ref="V150:W150" si="619">M150/I150</f>
        <v>#DIV/0!</v>
      </c>
      <c r="W150" s="250">
        <f t="shared" si="619"/>
        <v>0</v>
      </c>
      <c r="X150" s="250" t="e">
        <f t="shared" si="614"/>
        <v>#DIV/0!</v>
      </c>
      <c r="Y150" s="249">
        <f t="shared" ref="Y150:BK150" si="620">SUM(Y151:Y153)</f>
        <v>0</v>
      </c>
      <c r="Z150" s="249">
        <f t="shared" si="620"/>
        <v>0</v>
      </c>
      <c r="AA150" s="249">
        <f t="shared" si="620"/>
        <v>0</v>
      </c>
      <c r="AB150" s="249">
        <f t="shared" si="620"/>
        <v>0</v>
      </c>
      <c r="AC150" s="249">
        <f t="shared" si="620"/>
        <v>0</v>
      </c>
      <c r="AD150" s="249">
        <f t="shared" si="620"/>
        <v>0</v>
      </c>
      <c r="AE150" s="249">
        <f t="shared" si="620"/>
        <v>0</v>
      </c>
      <c r="AF150" s="249">
        <f t="shared" si="620"/>
        <v>0</v>
      </c>
      <c r="AG150" s="249">
        <f t="shared" si="620"/>
        <v>0</v>
      </c>
      <c r="AH150" s="249">
        <f t="shared" si="620"/>
        <v>0</v>
      </c>
      <c r="AI150" s="249">
        <f t="shared" si="620"/>
        <v>0</v>
      </c>
      <c r="AJ150" s="249">
        <f t="shared" si="620"/>
        <v>0</v>
      </c>
      <c r="AK150" s="249">
        <f t="shared" si="620"/>
        <v>0</v>
      </c>
      <c r="AL150" s="249">
        <f t="shared" si="620"/>
        <v>0</v>
      </c>
      <c r="AM150" s="249">
        <f t="shared" si="620"/>
        <v>0</v>
      </c>
      <c r="AN150" s="249">
        <f t="shared" si="620"/>
        <v>0</v>
      </c>
      <c r="AO150" s="249">
        <f t="shared" si="620"/>
        <v>0</v>
      </c>
      <c r="AP150" s="249">
        <f t="shared" si="620"/>
        <v>0</v>
      </c>
      <c r="AQ150" s="249">
        <f t="shared" si="620"/>
        <v>0</v>
      </c>
      <c r="AR150" s="249">
        <f t="shared" si="620"/>
        <v>0</v>
      </c>
      <c r="AS150" s="249">
        <f t="shared" si="620"/>
        <v>0</v>
      </c>
      <c r="AT150" s="249">
        <f t="shared" si="620"/>
        <v>0</v>
      </c>
      <c r="AU150" s="249">
        <f t="shared" si="620"/>
        <v>0</v>
      </c>
      <c r="AV150" s="249">
        <f t="shared" si="620"/>
        <v>0</v>
      </c>
      <c r="AW150" s="249">
        <f t="shared" si="620"/>
        <v>0</v>
      </c>
      <c r="AX150" s="249">
        <f t="shared" si="620"/>
        <v>0</v>
      </c>
      <c r="AY150" s="249">
        <f t="shared" si="620"/>
        <v>0</v>
      </c>
      <c r="AZ150" s="249">
        <f t="shared" si="620"/>
        <v>0</v>
      </c>
      <c r="BA150" s="249">
        <f t="shared" si="620"/>
        <v>0</v>
      </c>
      <c r="BB150" s="249">
        <f t="shared" si="620"/>
        <v>0</v>
      </c>
      <c r="BC150" s="249">
        <f t="shared" si="620"/>
        <v>0</v>
      </c>
      <c r="BD150" s="249">
        <f t="shared" si="620"/>
        <v>0</v>
      </c>
      <c r="BE150" s="249">
        <f t="shared" si="620"/>
        <v>0</v>
      </c>
      <c r="BF150" s="249">
        <f t="shared" si="620"/>
        <v>0</v>
      </c>
      <c r="BG150" s="249">
        <f t="shared" si="620"/>
        <v>0</v>
      </c>
      <c r="BH150" s="249">
        <f t="shared" si="620"/>
        <v>0</v>
      </c>
      <c r="BI150" s="249">
        <f t="shared" si="620"/>
        <v>0</v>
      </c>
      <c r="BJ150" s="249">
        <f t="shared" si="620"/>
        <v>0</v>
      </c>
      <c r="BK150" s="249">
        <f t="shared" si="620"/>
        <v>0</v>
      </c>
      <c r="BL150" s="233"/>
      <c r="BM150" s="234"/>
      <c r="BN150" s="234"/>
      <c r="BO150" s="234"/>
      <c r="BP150" s="234"/>
    </row>
    <row r="151" spans="1:68" ht="15.75" customHeight="1">
      <c r="A151" s="89"/>
      <c r="B151" s="131" t="s">
        <v>402</v>
      </c>
      <c r="C151" s="90" t="s">
        <v>403</v>
      </c>
      <c r="D151" s="91" t="s">
        <v>404</v>
      </c>
      <c r="E151" s="166"/>
      <c r="F151" s="166"/>
      <c r="G151" s="94" t="e">
        <f t="shared" si="608"/>
        <v>#DIV/0!</v>
      </c>
      <c r="H151" s="94" t="e">
        <f t="shared" si="609"/>
        <v>#DIV/0!</v>
      </c>
      <c r="I151" s="142"/>
      <c r="J151" s="131">
        <v>293.62</v>
      </c>
      <c r="K151" s="204"/>
      <c r="L151" s="202"/>
      <c r="M151" s="97">
        <f t="shared" ref="M151:O151" si="621">Y151+AB151+AE151+AH151+AK151+AN151+AQ151+AT151+AW151+AZ151+BC151+BF151</f>
        <v>0</v>
      </c>
      <c r="N151" s="97">
        <f t="shared" si="621"/>
        <v>0</v>
      </c>
      <c r="O151" s="97">
        <f t="shared" si="621"/>
        <v>0</v>
      </c>
      <c r="P151" s="97">
        <f t="shared" ref="P151:R151" si="622">IF(BI151=0,SUM(Y151+AB151+AE151+AH151+AK151+AN151+AQ151+AT151+AW151+AZ151+BC151+BF151),BI151)</f>
        <v>0</v>
      </c>
      <c r="Q151" s="97">
        <f t="shared" si="622"/>
        <v>0</v>
      </c>
      <c r="R151" s="97">
        <f t="shared" si="622"/>
        <v>0</v>
      </c>
      <c r="S151" s="97">
        <f t="shared" ref="S151:T151" si="623">I151-M151</f>
        <v>0</v>
      </c>
      <c r="T151" s="97">
        <f t="shared" si="623"/>
        <v>293.62</v>
      </c>
      <c r="U151" s="97">
        <f t="shared" ref="U151:U153" si="624">L151-O151</f>
        <v>0</v>
      </c>
      <c r="V151" s="98" t="e">
        <f t="shared" ref="V151:W151" si="625">M151/I151</f>
        <v>#DIV/0!</v>
      </c>
      <c r="W151" s="98">
        <f t="shared" si="625"/>
        <v>0</v>
      </c>
      <c r="X151" s="98" t="e">
        <f t="shared" si="614"/>
        <v>#DIV/0!</v>
      </c>
      <c r="Y151" s="96"/>
      <c r="Z151" s="96"/>
      <c r="AA151" s="96"/>
      <c r="AB151" s="96"/>
      <c r="AC151" s="103">
        <v>0</v>
      </c>
      <c r="AD151" s="96"/>
      <c r="AE151" s="96"/>
      <c r="AF151" s="103">
        <v>0</v>
      </c>
      <c r="AG151" s="96"/>
      <c r="AH151" s="96"/>
      <c r="AI151" s="96"/>
      <c r="AJ151" s="96"/>
      <c r="AK151" s="96"/>
      <c r="AL151" s="103">
        <v>0</v>
      </c>
      <c r="AM151" s="96"/>
      <c r="AN151" s="96"/>
      <c r="AO151" s="96"/>
      <c r="AP151" s="96"/>
      <c r="AQ151" s="96"/>
      <c r="AR151" s="103">
        <v>0</v>
      </c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9"/>
      <c r="BM151" s="100"/>
      <c r="BN151" s="100"/>
      <c r="BO151" s="100"/>
      <c r="BP151" s="100"/>
    </row>
    <row r="152" spans="1:68" ht="15.75" customHeight="1">
      <c r="A152" s="89"/>
      <c r="B152" s="136"/>
      <c r="C152" s="90" t="s">
        <v>161</v>
      </c>
      <c r="D152" s="91" t="s">
        <v>405</v>
      </c>
      <c r="E152" s="166"/>
      <c r="F152" s="166"/>
      <c r="G152" s="94"/>
      <c r="H152" s="94"/>
      <c r="I152" s="142"/>
      <c r="J152" s="204"/>
      <c r="K152" s="204"/>
      <c r="L152" s="202"/>
      <c r="M152" s="97">
        <f t="shared" ref="M152:O152" si="626">Y152+AB152+AE152+AH152+AK152+AN152+AQ152+AT152+AW152+AZ152+BC152+BF152</f>
        <v>0</v>
      </c>
      <c r="N152" s="97">
        <f t="shared" si="626"/>
        <v>0</v>
      </c>
      <c r="O152" s="97">
        <f t="shared" si="626"/>
        <v>0</v>
      </c>
      <c r="P152" s="97">
        <f t="shared" ref="P152:R152" si="627">IF(BI152=0,SUM(Y152+AB152+AE152+AH152+AK152+AN152+AQ152+AT152+AW152+AZ152+BC152+BF152),BI152)</f>
        <v>0</v>
      </c>
      <c r="Q152" s="97">
        <f t="shared" si="627"/>
        <v>0</v>
      </c>
      <c r="R152" s="97">
        <f t="shared" si="627"/>
        <v>0</v>
      </c>
      <c r="S152" s="97">
        <f t="shared" ref="S152:T152" si="628">I152-M152</f>
        <v>0</v>
      </c>
      <c r="T152" s="97">
        <f t="shared" si="628"/>
        <v>0</v>
      </c>
      <c r="U152" s="97">
        <f t="shared" si="624"/>
        <v>0</v>
      </c>
      <c r="V152" s="98" t="e">
        <f t="shared" ref="V152:W152" si="629">M152/I152</f>
        <v>#DIV/0!</v>
      </c>
      <c r="W152" s="98" t="e">
        <f t="shared" si="629"/>
        <v>#DIV/0!</v>
      </c>
      <c r="X152" s="98" t="e">
        <f t="shared" si="614"/>
        <v>#DIV/0!</v>
      </c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6"/>
      <c r="AO152" s="96"/>
      <c r="AP152" s="96"/>
      <c r="AQ152" s="96"/>
      <c r="AR152" s="96"/>
      <c r="AS152" s="96"/>
      <c r="AT152" s="103">
        <v>0</v>
      </c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89"/>
      <c r="C153" s="90" t="s">
        <v>298</v>
      </c>
      <c r="D153" s="91" t="s">
        <v>406</v>
      </c>
      <c r="E153" s="166"/>
      <c r="F153" s="166"/>
      <c r="G153" s="94" t="e">
        <f t="shared" ref="G153:G156" si="630">I153/E153</f>
        <v>#DIV/0!</v>
      </c>
      <c r="H153" s="94" t="e">
        <f t="shared" ref="H153:H156" si="631">M153/E153</f>
        <v>#DIV/0!</v>
      </c>
      <c r="I153" s="96"/>
      <c r="J153" s="96"/>
      <c r="K153" s="96"/>
      <c r="L153" s="96"/>
      <c r="M153" s="97">
        <f t="shared" ref="M153:O153" si="632">Y153+AB153+AE153+AH153+AK153+AN153+AQ153+AT153+AW153+AZ153+BC153+BF153</f>
        <v>0</v>
      </c>
      <c r="N153" s="97">
        <f t="shared" si="632"/>
        <v>0</v>
      </c>
      <c r="O153" s="97">
        <f t="shared" si="632"/>
        <v>0</v>
      </c>
      <c r="P153" s="97">
        <f t="shared" ref="P153:R153" si="633">IF(BI153=0,SUM(Y153+AB153+AE153+AH153+AK153+AN153+AQ153+AT153+AW153+AZ153+BC153+BF153),BI153)</f>
        <v>0</v>
      </c>
      <c r="Q153" s="97">
        <f t="shared" si="633"/>
        <v>0</v>
      </c>
      <c r="R153" s="97">
        <f t="shared" si="633"/>
        <v>0</v>
      </c>
      <c r="S153" s="97">
        <f t="shared" ref="S153:T153" si="634">I153-M153</f>
        <v>0</v>
      </c>
      <c r="T153" s="97">
        <f t="shared" si="634"/>
        <v>0</v>
      </c>
      <c r="U153" s="97">
        <f t="shared" si="624"/>
        <v>0</v>
      </c>
      <c r="V153" s="98" t="e">
        <f t="shared" ref="V153:W153" si="635">M153/I153</f>
        <v>#DIV/0!</v>
      </c>
      <c r="W153" s="98" t="e">
        <f t="shared" si="635"/>
        <v>#DIV/0!</v>
      </c>
      <c r="X153" s="98" t="e">
        <f t="shared" si="614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96"/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246"/>
      <c r="B154" s="246"/>
      <c r="C154" s="247"/>
      <c r="D154" s="248" t="s">
        <v>407</v>
      </c>
      <c r="E154" s="249">
        <f t="shared" ref="E154:F154" si="636">SUM(E155:E158)</f>
        <v>0</v>
      </c>
      <c r="F154" s="249">
        <f t="shared" si="636"/>
        <v>0</v>
      </c>
      <c r="G154" s="223" t="e">
        <f t="shared" si="630"/>
        <v>#DIV/0!</v>
      </c>
      <c r="H154" s="187" t="e">
        <f t="shared" si="631"/>
        <v>#DIV/0!</v>
      </c>
      <c r="I154" s="249">
        <f t="shared" ref="I154:O154" si="637">SUM(I155:I158)</f>
        <v>4906.54</v>
      </c>
      <c r="J154" s="249">
        <f t="shared" si="637"/>
        <v>8700</v>
      </c>
      <c r="K154" s="249">
        <f t="shared" si="637"/>
        <v>0</v>
      </c>
      <c r="L154" s="249">
        <f t="shared" si="637"/>
        <v>0</v>
      </c>
      <c r="M154" s="249">
        <f t="shared" si="637"/>
        <v>0</v>
      </c>
      <c r="N154" s="249">
        <f t="shared" si="637"/>
        <v>0</v>
      </c>
      <c r="O154" s="249">
        <f t="shared" si="637"/>
        <v>0</v>
      </c>
      <c r="P154" s="238">
        <f t="shared" ref="P154:R154" si="638">IF(BI154=0,SUM(Y154+AB154+AE154+AH154+AK154+AN154+AQ154+AT154+AW154+AZ154+BC154+BF154),BI154)</f>
        <v>0</v>
      </c>
      <c r="Q154" s="238">
        <f t="shared" si="638"/>
        <v>0</v>
      </c>
      <c r="R154" s="238">
        <f t="shared" si="638"/>
        <v>0</v>
      </c>
      <c r="S154" s="249">
        <f t="shared" ref="S154:U154" si="639">SUM(S155:S158)</f>
        <v>4906.54</v>
      </c>
      <c r="T154" s="249">
        <f t="shared" si="639"/>
        <v>8700</v>
      </c>
      <c r="U154" s="249">
        <f t="shared" si="639"/>
        <v>0</v>
      </c>
      <c r="V154" s="250">
        <f t="shared" ref="V154:W154" si="640">M154/I154</f>
        <v>0</v>
      </c>
      <c r="W154" s="250">
        <f t="shared" si="640"/>
        <v>0</v>
      </c>
      <c r="X154" s="250" t="e">
        <f t="shared" si="614"/>
        <v>#DIV/0!</v>
      </c>
      <c r="Y154" s="249">
        <f t="shared" ref="Y154:BK154" si="641">SUM(Y155:Y158)</f>
        <v>0</v>
      </c>
      <c r="Z154" s="249">
        <f t="shared" si="641"/>
        <v>0</v>
      </c>
      <c r="AA154" s="249">
        <f t="shared" si="641"/>
        <v>0</v>
      </c>
      <c r="AB154" s="249">
        <f t="shared" si="641"/>
        <v>0</v>
      </c>
      <c r="AC154" s="249">
        <f t="shared" si="641"/>
        <v>0</v>
      </c>
      <c r="AD154" s="249">
        <f t="shared" si="641"/>
        <v>0</v>
      </c>
      <c r="AE154" s="249">
        <f t="shared" si="641"/>
        <v>0</v>
      </c>
      <c r="AF154" s="249">
        <f t="shared" si="641"/>
        <v>0</v>
      </c>
      <c r="AG154" s="249">
        <f t="shared" si="641"/>
        <v>0</v>
      </c>
      <c r="AH154" s="249">
        <f t="shared" si="641"/>
        <v>0</v>
      </c>
      <c r="AI154" s="249">
        <f t="shared" si="641"/>
        <v>0</v>
      </c>
      <c r="AJ154" s="249">
        <f t="shared" si="641"/>
        <v>0</v>
      </c>
      <c r="AK154" s="249">
        <f t="shared" si="641"/>
        <v>0</v>
      </c>
      <c r="AL154" s="249">
        <f t="shared" si="641"/>
        <v>0</v>
      </c>
      <c r="AM154" s="249">
        <f t="shared" si="641"/>
        <v>0</v>
      </c>
      <c r="AN154" s="249">
        <f t="shared" si="641"/>
        <v>0</v>
      </c>
      <c r="AO154" s="249">
        <f t="shared" si="641"/>
        <v>0</v>
      </c>
      <c r="AP154" s="249">
        <f t="shared" si="641"/>
        <v>0</v>
      </c>
      <c r="AQ154" s="249">
        <f t="shared" si="641"/>
        <v>0</v>
      </c>
      <c r="AR154" s="249">
        <f t="shared" si="641"/>
        <v>0</v>
      </c>
      <c r="AS154" s="249">
        <f t="shared" si="641"/>
        <v>0</v>
      </c>
      <c r="AT154" s="249">
        <f t="shared" si="641"/>
        <v>0</v>
      </c>
      <c r="AU154" s="249">
        <f t="shared" si="641"/>
        <v>0</v>
      </c>
      <c r="AV154" s="249">
        <f t="shared" si="641"/>
        <v>0</v>
      </c>
      <c r="AW154" s="249">
        <f t="shared" si="641"/>
        <v>0</v>
      </c>
      <c r="AX154" s="249">
        <f t="shared" si="641"/>
        <v>0</v>
      </c>
      <c r="AY154" s="249">
        <f t="shared" si="641"/>
        <v>0</v>
      </c>
      <c r="AZ154" s="249">
        <f t="shared" si="641"/>
        <v>0</v>
      </c>
      <c r="BA154" s="249">
        <f t="shared" si="641"/>
        <v>0</v>
      </c>
      <c r="BB154" s="249">
        <f t="shared" si="641"/>
        <v>0</v>
      </c>
      <c r="BC154" s="249">
        <f t="shared" si="641"/>
        <v>0</v>
      </c>
      <c r="BD154" s="249">
        <f t="shared" si="641"/>
        <v>0</v>
      </c>
      <c r="BE154" s="249">
        <f t="shared" si="641"/>
        <v>0</v>
      </c>
      <c r="BF154" s="249">
        <f t="shared" si="641"/>
        <v>0</v>
      </c>
      <c r="BG154" s="249">
        <f t="shared" si="641"/>
        <v>0</v>
      </c>
      <c r="BH154" s="249">
        <f t="shared" si="641"/>
        <v>0</v>
      </c>
      <c r="BI154" s="249">
        <f t="shared" si="641"/>
        <v>0</v>
      </c>
      <c r="BJ154" s="249">
        <f t="shared" si="641"/>
        <v>0</v>
      </c>
      <c r="BK154" s="249">
        <f t="shared" si="641"/>
        <v>0</v>
      </c>
      <c r="BL154" s="233"/>
      <c r="BM154" s="234"/>
      <c r="BN154" s="234"/>
      <c r="BO154" s="234"/>
      <c r="BP154" s="234"/>
    </row>
    <row r="155" spans="1:68" ht="15.75" customHeight="1">
      <c r="A155" s="89"/>
      <c r="B155" s="89"/>
      <c r="C155" s="90" t="s">
        <v>161</v>
      </c>
      <c r="D155" s="91" t="s">
        <v>408</v>
      </c>
      <c r="E155" s="166"/>
      <c r="F155" s="251"/>
      <c r="G155" s="94" t="e">
        <f t="shared" si="630"/>
        <v>#DIV/0!</v>
      </c>
      <c r="H155" s="94" t="e">
        <f t="shared" si="631"/>
        <v>#DIV/0!</v>
      </c>
      <c r="I155" s="96"/>
      <c r="J155" s="96"/>
      <c r="K155" s="96"/>
      <c r="L155" s="95"/>
      <c r="M155" s="97">
        <f t="shared" ref="M155:O155" si="642">Y155+AB155+AE155+AH155+AK155+AN155+AQ155+AT155+AW155+AZ155+BC155+BF155</f>
        <v>0</v>
      </c>
      <c r="N155" s="97">
        <f t="shared" si="642"/>
        <v>0</v>
      </c>
      <c r="O155" s="97">
        <f t="shared" si="642"/>
        <v>0</v>
      </c>
      <c r="P155" s="97">
        <f t="shared" ref="P155:R155" si="643">IF(BI155=0,SUM(Y155+AB155+AE155+AH155+AK155+AN155+AQ155+AT155+AW155+AZ155+BC155+BF155),BI155)</f>
        <v>0</v>
      </c>
      <c r="Q155" s="97">
        <f t="shared" si="643"/>
        <v>0</v>
      </c>
      <c r="R155" s="97">
        <f t="shared" si="643"/>
        <v>0</v>
      </c>
      <c r="S155" s="97">
        <f t="shared" ref="S155:T155" si="644">I155-M155</f>
        <v>0</v>
      </c>
      <c r="T155" s="97">
        <f t="shared" si="644"/>
        <v>0</v>
      </c>
      <c r="U155" s="97">
        <f t="shared" ref="U155:U158" si="645">L155-O155</f>
        <v>0</v>
      </c>
      <c r="V155" s="98" t="e">
        <f t="shared" ref="V155:W155" si="646">M155/I155</f>
        <v>#DIV/0!</v>
      </c>
      <c r="W155" s="98" t="e">
        <f t="shared" si="646"/>
        <v>#DIV/0!</v>
      </c>
      <c r="X155" s="98" t="e">
        <f t="shared" si="614"/>
        <v>#DIV/0!</v>
      </c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6"/>
      <c r="AO155" s="96"/>
      <c r="AP155" s="96"/>
      <c r="AQ155" s="96"/>
      <c r="AR155" s="96"/>
      <c r="AS155" s="96"/>
      <c r="AT155" s="96"/>
      <c r="AU155" s="96"/>
      <c r="AV155" s="96"/>
      <c r="AW155" s="96"/>
      <c r="AX155" s="96"/>
      <c r="AY155" s="96"/>
      <c r="AZ155" s="96"/>
      <c r="BA155" s="96"/>
      <c r="BB155" s="96"/>
      <c r="BC155" s="96"/>
      <c r="BD155" s="96"/>
      <c r="BE155" s="96"/>
      <c r="BF155" s="95"/>
      <c r="BG155" s="96"/>
      <c r="BH155" s="96"/>
      <c r="BI155" s="95"/>
      <c r="BJ155" s="96"/>
      <c r="BK155" s="96"/>
      <c r="BL155" s="99"/>
      <c r="BM155" s="100"/>
      <c r="BN155" s="100"/>
      <c r="BO155" s="100"/>
      <c r="BP155" s="100"/>
    </row>
    <row r="156" spans="1:68" ht="15.75" customHeight="1">
      <c r="A156" s="89"/>
      <c r="B156" s="143" t="s">
        <v>409</v>
      </c>
      <c r="C156" s="90"/>
      <c r="D156" s="91" t="s">
        <v>410</v>
      </c>
      <c r="E156" s="166"/>
      <c r="F156" s="166"/>
      <c r="G156" s="94" t="e">
        <f t="shared" si="630"/>
        <v>#DIV/0!</v>
      </c>
      <c r="H156" s="94" t="e">
        <f t="shared" si="631"/>
        <v>#DIV/0!</v>
      </c>
      <c r="I156" s="96"/>
      <c r="J156" s="167">
        <v>8700</v>
      </c>
      <c r="K156" s="117"/>
      <c r="L156" s="95"/>
      <c r="M156" s="97">
        <f t="shared" ref="M156:O156" si="647">Y156+AB156+AE156+AH156+AK156+AN156+AQ156+AT156+AW156+AZ156+BC156+BF156</f>
        <v>0</v>
      </c>
      <c r="N156" s="97">
        <f t="shared" si="647"/>
        <v>0</v>
      </c>
      <c r="O156" s="97">
        <f t="shared" si="647"/>
        <v>0</v>
      </c>
      <c r="P156" s="97">
        <f t="shared" ref="P156:R156" si="648">IF(BI156=0,SUM(Y156+AB156+AE156+AH156+AK156+AN156+AQ156+AT156+AW156+AZ156+BC156+BF156),BI156)</f>
        <v>0</v>
      </c>
      <c r="Q156" s="97">
        <f t="shared" si="648"/>
        <v>0</v>
      </c>
      <c r="R156" s="97">
        <f t="shared" si="648"/>
        <v>0</v>
      </c>
      <c r="S156" s="97">
        <f t="shared" ref="S156:T156" si="649">I156-M156</f>
        <v>0</v>
      </c>
      <c r="T156" s="97">
        <f t="shared" si="649"/>
        <v>8700</v>
      </c>
      <c r="U156" s="97">
        <f t="shared" si="645"/>
        <v>0</v>
      </c>
      <c r="V156" s="98" t="e">
        <f t="shared" ref="V156:W156" si="650">M156/I156</f>
        <v>#DIV/0!</v>
      </c>
      <c r="W156" s="98">
        <f t="shared" si="650"/>
        <v>0</v>
      </c>
      <c r="X156" s="98" t="e">
        <f t="shared" si="614"/>
        <v>#DIV/0!</v>
      </c>
      <c r="Y156" s="252"/>
      <c r="Z156" s="96"/>
      <c r="AA156" s="96"/>
      <c r="AB156" s="96"/>
      <c r="AC156" s="96"/>
      <c r="AD156" s="96"/>
      <c r="AE156" s="96"/>
      <c r="AF156" s="103">
        <v>0</v>
      </c>
      <c r="AG156" s="96"/>
      <c r="AH156" s="96"/>
      <c r="AI156" s="103">
        <v>0</v>
      </c>
      <c r="AJ156" s="96"/>
      <c r="AK156" s="96"/>
      <c r="AL156" s="96"/>
      <c r="AM156" s="96"/>
      <c r="AN156" s="96"/>
      <c r="AO156" s="96"/>
      <c r="AP156" s="96"/>
      <c r="AQ156" s="96"/>
      <c r="AR156" s="96"/>
      <c r="AS156" s="202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6"/>
      <c r="BG156" s="96"/>
      <c r="BH156" s="96"/>
      <c r="BI156" s="96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21"/>
      <c r="B157" s="136"/>
      <c r="C157" s="90"/>
      <c r="D157" s="91" t="s">
        <v>411</v>
      </c>
      <c r="E157" s="166"/>
      <c r="F157" s="21"/>
      <c r="G157" s="94"/>
      <c r="H157" s="94"/>
      <c r="I157" s="96"/>
      <c r="J157" s="117"/>
      <c r="K157" s="117"/>
      <c r="L157" s="95"/>
      <c r="M157" s="97">
        <f t="shared" ref="M157:O157" si="651">Y157+AB157+AE157+AH157+AK157+AN157+AQ157+AT157+AW157+AZ157+BC157+BF157</f>
        <v>0</v>
      </c>
      <c r="N157" s="97">
        <f t="shared" si="651"/>
        <v>0</v>
      </c>
      <c r="O157" s="97">
        <f t="shared" si="651"/>
        <v>0</v>
      </c>
      <c r="P157" s="97">
        <f t="shared" ref="P157:R157" si="652">IF(BI157=0,SUM(Y157+AB157+AE157+AH157+AK157+AN157+AQ157+AT157+AW157+AZ157+BC157+BF157),BI157)</f>
        <v>0</v>
      </c>
      <c r="Q157" s="97">
        <f t="shared" si="652"/>
        <v>0</v>
      </c>
      <c r="R157" s="97">
        <f t="shared" si="652"/>
        <v>0</v>
      </c>
      <c r="S157" s="97">
        <f t="shared" ref="S157:T157" si="653">I157-M157</f>
        <v>0</v>
      </c>
      <c r="T157" s="97">
        <f t="shared" si="653"/>
        <v>0</v>
      </c>
      <c r="U157" s="97">
        <f t="shared" si="645"/>
        <v>0</v>
      </c>
      <c r="V157" s="98"/>
      <c r="W157" s="98"/>
      <c r="X157" s="98"/>
      <c r="Y157" s="252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360" t="s">
        <v>673</v>
      </c>
      <c r="B158" s="89"/>
      <c r="C158" s="90" t="s">
        <v>165</v>
      </c>
      <c r="D158" s="207" t="s">
        <v>412</v>
      </c>
      <c r="E158" s="208"/>
      <c r="F158" s="208"/>
      <c r="G158" s="94" t="e">
        <f t="shared" ref="G158:G178" si="654">I158/E158</f>
        <v>#DIV/0!</v>
      </c>
      <c r="H158" s="94" t="e">
        <f t="shared" ref="H158:H178" si="655">M158/E158</f>
        <v>#DIV/0!</v>
      </c>
      <c r="I158" s="368">
        <f>3906.54+1000</f>
        <v>4906.54</v>
      </c>
      <c r="J158" s="204"/>
      <c r="K158" s="204"/>
      <c r="L158" s="202"/>
      <c r="M158" s="97">
        <f t="shared" ref="M158:N158" si="656">Y158+AB158+AE158+AH158+AK158+AN158+AQ158+AT158+AW158+AZ158+BC158+BF158</f>
        <v>0</v>
      </c>
      <c r="N158" s="97">
        <f t="shared" si="656"/>
        <v>0</v>
      </c>
      <c r="O158" s="97"/>
      <c r="P158" s="97">
        <f t="shared" ref="P158:Q158" si="657">IF(BI158=0,SUM(Y158+AB158+AE158+AH158+AK158+AN158+AQ158+AT158+AW158+AZ158+BC158+BF158),BI158)</f>
        <v>0</v>
      </c>
      <c r="Q158" s="97">
        <f t="shared" si="657"/>
        <v>0</v>
      </c>
      <c r="R158" s="97"/>
      <c r="S158" s="97">
        <f t="shared" ref="S158:T158" si="658">I158-M158</f>
        <v>4906.54</v>
      </c>
      <c r="T158" s="97">
        <f t="shared" si="658"/>
        <v>0</v>
      </c>
      <c r="U158" s="97">
        <f t="shared" si="645"/>
        <v>0</v>
      </c>
      <c r="V158" s="98">
        <f t="shared" ref="V158:W158" si="659">M158/I158</f>
        <v>0</v>
      </c>
      <c r="W158" s="98" t="e">
        <f t="shared" si="659"/>
        <v>#DIV/0!</v>
      </c>
      <c r="X158" s="98" t="e">
        <f t="shared" ref="X158:X169" si="660">O158/L158</f>
        <v>#DIV/0!</v>
      </c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 t="s">
        <v>413</v>
      </c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99"/>
      <c r="BM158" s="100"/>
      <c r="BN158" s="100"/>
      <c r="BO158" s="100"/>
      <c r="BP158" s="100"/>
    </row>
    <row r="159" spans="1:68" ht="15.75" customHeight="1">
      <c r="A159" s="86"/>
      <c r="B159" s="86"/>
      <c r="C159" s="86" t="s">
        <v>414</v>
      </c>
      <c r="D159" s="86"/>
      <c r="E159" s="87">
        <f t="shared" ref="E159:F159" si="661">E160+E168+E183</f>
        <v>121389.6</v>
      </c>
      <c r="F159" s="87">
        <f t="shared" si="661"/>
        <v>36000</v>
      </c>
      <c r="G159" s="107">
        <f t="shared" si="654"/>
        <v>0.11615492595741315</v>
      </c>
      <c r="H159" s="107">
        <f t="shared" si="655"/>
        <v>0</v>
      </c>
      <c r="I159" s="87">
        <f t="shared" ref="I159:O159" si="662">I160+I168+I183</f>
        <v>14100</v>
      </c>
      <c r="J159" s="87">
        <f t="shared" si="662"/>
        <v>984.93000000000006</v>
      </c>
      <c r="K159" s="87">
        <f t="shared" si="662"/>
        <v>0</v>
      </c>
      <c r="L159" s="87">
        <f t="shared" si="662"/>
        <v>0</v>
      </c>
      <c r="M159" s="87">
        <f t="shared" si="662"/>
        <v>0</v>
      </c>
      <c r="N159" s="87">
        <f t="shared" si="662"/>
        <v>626.89</v>
      </c>
      <c r="O159" s="87">
        <f t="shared" si="662"/>
        <v>0</v>
      </c>
      <c r="P159" s="87">
        <f t="shared" ref="P159:R159" si="663">IF(BI159=0,SUM(Y159+AB159+AE159+AH159+AK159+AN159+AQ159+AT159+AW159+AZ159+BC159+BF159),BI159)</f>
        <v>0</v>
      </c>
      <c r="Q159" s="87">
        <f t="shared" si="663"/>
        <v>626.89</v>
      </c>
      <c r="R159" s="87">
        <f t="shared" si="663"/>
        <v>0</v>
      </c>
      <c r="S159" s="87">
        <f t="shared" ref="S159:U159" si="664">S160+S168+S183</f>
        <v>1500</v>
      </c>
      <c r="T159" s="87">
        <f t="shared" si="664"/>
        <v>358.04</v>
      </c>
      <c r="U159" s="87">
        <f t="shared" si="664"/>
        <v>0</v>
      </c>
      <c r="V159" s="88">
        <f t="shared" ref="V159:W159" si="665">M159/I159</f>
        <v>0</v>
      </c>
      <c r="W159" s="88">
        <f t="shared" si="665"/>
        <v>0.6364817804310966</v>
      </c>
      <c r="X159" s="88" t="e">
        <f t="shared" si="660"/>
        <v>#DIV/0!</v>
      </c>
      <c r="Y159" s="87">
        <f t="shared" ref="Y159:BK159" si="666">Y160+Y168+Y183</f>
        <v>0</v>
      </c>
      <c r="Z159" s="87">
        <f t="shared" si="666"/>
        <v>250</v>
      </c>
      <c r="AA159" s="87">
        <f t="shared" si="666"/>
        <v>0</v>
      </c>
      <c r="AB159" s="87">
        <f t="shared" si="666"/>
        <v>0</v>
      </c>
      <c r="AC159" s="87">
        <f t="shared" si="666"/>
        <v>0</v>
      </c>
      <c r="AD159" s="87">
        <f t="shared" si="666"/>
        <v>0</v>
      </c>
      <c r="AE159" s="87">
        <f t="shared" si="666"/>
        <v>0</v>
      </c>
      <c r="AF159" s="87">
        <f t="shared" si="666"/>
        <v>0</v>
      </c>
      <c r="AG159" s="87">
        <f t="shared" si="666"/>
        <v>0</v>
      </c>
      <c r="AH159" s="87">
        <f t="shared" si="666"/>
        <v>0</v>
      </c>
      <c r="AI159" s="87">
        <f t="shared" si="666"/>
        <v>376.89</v>
      </c>
      <c r="AJ159" s="87">
        <f t="shared" si="666"/>
        <v>0</v>
      </c>
      <c r="AK159" s="87">
        <f t="shared" si="666"/>
        <v>0</v>
      </c>
      <c r="AL159" s="87">
        <f t="shared" si="666"/>
        <v>0</v>
      </c>
      <c r="AM159" s="87">
        <f t="shared" si="666"/>
        <v>0</v>
      </c>
      <c r="AN159" s="87">
        <f t="shared" si="666"/>
        <v>0</v>
      </c>
      <c r="AO159" s="87">
        <f t="shared" si="666"/>
        <v>0</v>
      </c>
      <c r="AP159" s="87">
        <f t="shared" si="666"/>
        <v>0</v>
      </c>
      <c r="AQ159" s="87">
        <f t="shared" si="666"/>
        <v>0</v>
      </c>
      <c r="AR159" s="87">
        <f t="shared" si="666"/>
        <v>0</v>
      </c>
      <c r="AS159" s="87">
        <f t="shared" si="666"/>
        <v>0</v>
      </c>
      <c r="AT159" s="87">
        <f t="shared" si="666"/>
        <v>0</v>
      </c>
      <c r="AU159" s="87">
        <f t="shared" si="666"/>
        <v>0</v>
      </c>
      <c r="AV159" s="87">
        <f t="shared" si="666"/>
        <v>0</v>
      </c>
      <c r="AW159" s="87">
        <f t="shared" si="666"/>
        <v>0</v>
      </c>
      <c r="AX159" s="87">
        <f t="shared" si="666"/>
        <v>0</v>
      </c>
      <c r="AY159" s="87">
        <f t="shared" si="666"/>
        <v>0</v>
      </c>
      <c r="AZ159" s="87">
        <f t="shared" si="666"/>
        <v>0</v>
      </c>
      <c r="BA159" s="87">
        <f t="shared" si="666"/>
        <v>0</v>
      </c>
      <c r="BB159" s="87">
        <f t="shared" si="666"/>
        <v>0</v>
      </c>
      <c r="BC159" s="87">
        <f t="shared" si="666"/>
        <v>0</v>
      </c>
      <c r="BD159" s="87">
        <f t="shared" si="666"/>
        <v>0</v>
      </c>
      <c r="BE159" s="87">
        <f t="shared" si="666"/>
        <v>0</v>
      </c>
      <c r="BF159" s="87">
        <f t="shared" si="666"/>
        <v>0</v>
      </c>
      <c r="BG159" s="87">
        <f t="shared" si="666"/>
        <v>0</v>
      </c>
      <c r="BH159" s="87">
        <f t="shared" si="666"/>
        <v>0</v>
      </c>
      <c r="BI159" s="87">
        <f t="shared" si="666"/>
        <v>0</v>
      </c>
      <c r="BJ159" s="87">
        <f t="shared" si="666"/>
        <v>0</v>
      </c>
      <c r="BK159" s="87">
        <f t="shared" si="666"/>
        <v>0</v>
      </c>
      <c r="BL159" s="149"/>
      <c r="BM159" s="150"/>
      <c r="BN159" s="150"/>
      <c r="BO159" s="150"/>
      <c r="BP159" s="150"/>
    </row>
    <row r="160" spans="1:68" ht="15.75" customHeight="1">
      <c r="A160" s="253"/>
      <c r="B160" s="253"/>
      <c r="C160" s="183"/>
      <c r="D160" s="254" t="s">
        <v>415</v>
      </c>
      <c r="E160" s="255">
        <f t="shared" ref="E160:F160" si="667">E161+E165</f>
        <v>36444.800000000003</v>
      </c>
      <c r="F160" s="255">
        <f t="shared" si="667"/>
        <v>0</v>
      </c>
      <c r="G160" s="223">
        <f t="shared" si="654"/>
        <v>4.1158135042584948E-2</v>
      </c>
      <c r="H160" s="223">
        <f t="shared" si="655"/>
        <v>0</v>
      </c>
      <c r="I160" s="255">
        <f t="shared" ref="I160:O160" si="668">I161+I165</f>
        <v>1500</v>
      </c>
      <c r="J160" s="255">
        <f t="shared" si="668"/>
        <v>0</v>
      </c>
      <c r="K160" s="255">
        <f t="shared" si="668"/>
        <v>0</v>
      </c>
      <c r="L160" s="255">
        <f t="shared" si="668"/>
        <v>0</v>
      </c>
      <c r="M160" s="255">
        <f t="shared" si="668"/>
        <v>0</v>
      </c>
      <c r="N160" s="255">
        <f t="shared" si="668"/>
        <v>0</v>
      </c>
      <c r="O160" s="255">
        <f t="shared" si="668"/>
        <v>0</v>
      </c>
      <c r="P160" s="245">
        <f t="shared" ref="P160:R160" si="669">IF(BI160=0,SUM(Y160+AB160+AE160+AH160+AK160+AN160+AQ160+AT160+AW160+AZ160+BC160+BF160),BI160)</f>
        <v>0</v>
      </c>
      <c r="Q160" s="245">
        <f t="shared" si="669"/>
        <v>0</v>
      </c>
      <c r="R160" s="245">
        <f t="shared" si="669"/>
        <v>0</v>
      </c>
      <c r="S160" s="255">
        <f t="shared" ref="S160:U160" si="670">S161+S165</f>
        <v>1500</v>
      </c>
      <c r="T160" s="255">
        <f t="shared" si="670"/>
        <v>0</v>
      </c>
      <c r="U160" s="255">
        <f t="shared" si="670"/>
        <v>0</v>
      </c>
      <c r="V160" s="256">
        <f t="shared" ref="V160:W160" si="671">M160/I160</f>
        <v>0</v>
      </c>
      <c r="W160" s="256" t="e">
        <f t="shared" si="671"/>
        <v>#DIV/0!</v>
      </c>
      <c r="X160" s="256" t="e">
        <f t="shared" si="660"/>
        <v>#DIV/0!</v>
      </c>
      <c r="Y160" s="255">
        <f t="shared" ref="Y160:BK160" si="672">Y161+Y165</f>
        <v>0</v>
      </c>
      <c r="Z160" s="255">
        <f t="shared" si="672"/>
        <v>0</v>
      </c>
      <c r="AA160" s="255">
        <f t="shared" si="672"/>
        <v>0</v>
      </c>
      <c r="AB160" s="255">
        <f t="shared" si="672"/>
        <v>0</v>
      </c>
      <c r="AC160" s="255">
        <f t="shared" si="672"/>
        <v>0</v>
      </c>
      <c r="AD160" s="255">
        <f t="shared" si="672"/>
        <v>0</v>
      </c>
      <c r="AE160" s="255">
        <f t="shared" si="672"/>
        <v>0</v>
      </c>
      <c r="AF160" s="255">
        <f t="shared" si="672"/>
        <v>0</v>
      </c>
      <c r="AG160" s="255">
        <f t="shared" si="672"/>
        <v>0</v>
      </c>
      <c r="AH160" s="255">
        <f t="shared" si="672"/>
        <v>0</v>
      </c>
      <c r="AI160" s="255">
        <f t="shared" si="672"/>
        <v>0</v>
      </c>
      <c r="AJ160" s="255">
        <f t="shared" si="672"/>
        <v>0</v>
      </c>
      <c r="AK160" s="255">
        <f t="shared" si="672"/>
        <v>0</v>
      </c>
      <c r="AL160" s="255">
        <f t="shared" si="672"/>
        <v>0</v>
      </c>
      <c r="AM160" s="255">
        <f t="shared" si="672"/>
        <v>0</v>
      </c>
      <c r="AN160" s="255">
        <f t="shared" si="672"/>
        <v>0</v>
      </c>
      <c r="AO160" s="255">
        <f t="shared" si="672"/>
        <v>0</v>
      </c>
      <c r="AP160" s="255">
        <f t="shared" si="672"/>
        <v>0</v>
      </c>
      <c r="AQ160" s="255">
        <f t="shared" si="672"/>
        <v>0</v>
      </c>
      <c r="AR160" s="255">
        <f t="shared" si="672"/>
        <v>0</v>
      </c>
      <c r="AS160" s="255">
        <f t="shared" si="672"/>
        <v>0</v>
      </c>
      <c r="AT160" s="255">
        <f t="shared" si="672"/>
        <v>0</v>
      </c>
      <c r="AU160" s="255">
        <f t="shared" si="672"/>
        <v>0</v>
      </c>
      <c r="AV160" s="255">
        <f t="shared" si="672"/>
        <v>0</v>
      </c>
      <c r="AW160" s="255">
        <f t="shared" si="672"/>
        <v>0</v>
      </c>
      <c r="AX160" s="255">
        <f t="shared" si="672"/>
        <v>0</v>
      </c>
      <c r="AY160" s="255">
        <f t="shared" si="672"/>
        <v>0</v>
      </c>
      <c r="AZ160" s="255">
        <f t="shared" si="672"/>
        <v>0</v>
      </c>
      <c r="BA160" s="255">
        <f t="shared" si="672"/>
        <v>0</v>
      </c>
      <c r="BB160" s="255">
        <f t="shared" si="672"/>
        <v>0</v>
      </c>
      <c r="BC160" s="255">
        <f t="shared" si="672"/>
        <v>0</v>
      </c>
      <c r="BD160" s="255">
        <f t="shared" si="672"/>
        <v>0</v>
      </c>
      <c r="BE160" s="255">
        <f t="shared" si="672"/>
        <v>0</v>
      </c>
      <c r="BF160" s="255">
        <f t="shared" si="672"/>
        <v>0</v>
      </c>
      <c r="BG160" s="255">
        <f t="shared" si="672"/>
        <v>0</v>
      </c>
      <c r="BH160" s="255">
        <f t="shared" si="672"/>
        <v>0</v>
      </c>
      <c r="BI160" s="255">
        <f t="shared" si="672"/>
        <v>0</v>
      </c>
      <c r="BJ160" s="255">
        <f t="shared" si="672"/>
        <v>0</v>
      </c>
      <c r="BK160" s="255">
        <f t="shared" si="672"/>
        <v>0</v>
      </c>
      <c r="BL160" s="157"/>
      <c r="BM160" s="158"/>
      <c r="BN160" s="158"/>
      <c r="BO160" s="158"/>
      <c r="BP160" s="158"/>
    </row>
    <row r="161" spans="1:68" ht="15.75" customHeight="1">
      <c r="A161" s="240"/>
      <c r="B161" s="240"/>
      <c r="C161" s="229"/>
      <c r="D161" s="257" t="s">
        <v>416</v>
      </c>
      <c r="E161" s="231">
        <f t="shared" ref="E161:F161" si="673">SUM(E162:E164)</f>
        <v>36444.800000000003</v>
      </c>
      <c r="F161" s="231">
        <f t="shared" si="673"/>
        <v>0</v>
      </c>
      <c r="G161" s="187">
        <f t="shared" si="654"/>
        <v>4.1158135042584948E-2</v>
      </c>
      <c r="H161" s="187">
        <f t="shared" si="655"/>
        <v>0</v>
      </c>
      <c r="I161" s="231">
        <f t="shared" ref="I161:O161" si="674">SUM(I162:I164)</f>
        <v>1500</v>
      </c>
      <c r="J161" s="231">
        <f t="shared" si="674"/>
        <v>0</v>
      </c>
      <c r="K161" s="231">
        <f t="shared" si="674"/>
        <v>0</v>
      </c>
      <c r="L161" s="231">
        <f t="shared" si="674"/>
        <v>0</v>
      </c>
      <c r="M161" s="231">
        <f t="shared" si="674"/>
        <v>0</v>
      </c>
      <c r="N161" s="231">
        <f t="shared" si="674"/>
        <v>0</v>
      </c>
      <c r="O161" s="231">
        <f t="shared" si="674"/>
        <v>0</v>
      </c>
      <c r="P161" s="258">
        <f t="shared" ref="P161:R161" si="675">IF(BI161=0,SUM(Y161+AB161+AE161+AH161+AK161+AN161+AQ161+AT161+AW161+AZ161+BC161+BF161),BI161)</f>
        <v>0</v>
      </c>
      <c r="Q161" s="258">
        <f t="shared" si="675"/>
        <v>0</v>
      </c>
      <c r="R161" s="258">
        <f t="shared" si="675"/>
        <v>0</v>
      </c>
      <c r="S161" s="231">
        <f t="shared" ref="S161:U161" si="676">SUM(S162:S164)</f>
        <v>1500</v>
      </c>
      <c r="T161" s="231">
        <f t="shared" si="676"/>
        <v>0</v>
      </c>
      <c r="U161" s="231">
        <f t="shared" si="676"/>
        <v>0</v>
      </c>
      <c r="V161" s="259">
        <f t="shared" ref="V161:W161" si="677">M161/I161</f>
        <v>0</v>
      </c>
      <c r="W161" s="259" t="e">
        <f t="shared" si="677"/>
        <v>#DIV/0!</v>
      </c>
      <c r="X161" s="259" t="e">
        <f t="shared" si="660"/>
        <v>#DIV/0!</v>
      </c>
      <c r="Y161" s="231">
        <f t="shared" ref="Y161:BK161" si="678">SUM(Y162:Y164)</f>
        <v>0</v>
      </c>
      <c r="Z161" s="231">
        <f t="shared" si="678"/>
        <v>0</v>
      </c>
      <c r="AA161" s="231">
        <f t="shared" si="678"/>
        <v>0</v>
      </c>
      <c r="AB161" s="231">
        <f t="shared" si="678"/>
        <v>0</v>
      </c>
      <c r="AC161" s="231">
        <f t="shared" si="678"/>
        <v>0</v>
      </c>
      <c r="AD161" s="231">
        <f t="shared" si="678"/>
        <v>0</v>
      </c>
      <c r="AE161" s="231">
        <f t="shared" si="678"/>
        <v>0</v>
      </c>
      <c r="AF161" s="231">
        <f t="shared" si="678"/>
        <v>0</v>
      </c>
      <c r="AG161" s="231">
        <f t="shared" si="678"/>
        <v>0</v>
      </c>
      <c r="AH161" s="231">
        <f t="shared" si="678"/>
        <v>0</v>
      </c>
      <c r="AI161" s="231">
        <f t="shared" si="678"/>
        <v>0</v>
      </c>
      <c r="AJ161" s="231">
        <f t="shared" si="678"/>
        <v>0</v>
      </c>
      <c r="AK161" s="231">
        <f t="shared" si="678"/>
        <v>0</v>
      </c>
      <c r="AL161" s="231">
        <f t="shared" si="678"/>
        <v>0</v>
      </c>
      <c r="AM161" s="231">
        <f t="shared" si="678"/>
        <v>0</v>
      </c>
      <c r="AN161" s="231">
        <f t="shared" si="678"/>
        <v>0</v>
      </c>
      <c r="AO161" s="231">
        <f t="shared" si="678"/>
        <v>0</v>
      </c>
      <c r="AP161" s="231">
        <f t="shared" si="678"/>
        <v>0</v>
      </c>
      <c r="AQ161" s="231">
        <f t="shared" si="678"/>
        <v>0</v>
      </c>
      <c r="AR161" s="231">
        <f t="shared" si="678"/>
        <v>0</v>
      </c>
      <c r="AS161" s="231">
        <f t="shared" si="678"/>
        <v>0</v>
      </c>
      <c r="AT161" s="231">
        <f t="shared" si="678"/>
        <v>0</v>
      </c>
      <c r="AU161" s="231">
        <f t="shared" si="678"/>
        <v>0</v>
      </c>
      <c r="AV161" s="231">
        <f t="shared" si="678"/>
        <v>0</v>
      </c>
      <c r="AW161" s="231">
        <f t="shared" si="678"/>
        <v>0</v>
      </c>
      <c r="AX161" s="231">
        <f t="shared" si="678"/>
        <v>0</v>
      </c>
      <c r="AY161" s="231">
        <f t="shared" si="678"/>
        <v>0</v>
      </c>
      <c r="AZ161" s="231">
        <f t="shared" si="678"/>
        <v>0</v>
      </c>
      <c r="BA161" s="231">
        <f t="shared" si="678"/>
        <v>0</v>
      </c>
      <c r="BB161" s="231">
        <f t="shared" si="678"/>
        <v>0</v>
      </c>
      <c r="BC161" s="231">
        <f t="shared" si="678"/>
        <v>0</v>
      </c>
      <c r="BD161" s="231">
        <f t="shared" si="678"/>
        <v>0</v>
      </c>
      <c r="BE161" s="231">
        <f t="shared" si="678"/>
        <v>0</v>
      </c>
      <c r="BF161" s="231">
        <f t="shared" si="678"/>
        <v>0</v>
      </c>
      <c r="BG161" s="231">
        <f t="shared" si="678"/>
        <v>0</v>
      </c>
      <c r="BH161" s="231">
        <f t="shared" si="678"/>
        <v>0</v>
      </c>
      <c r="BI161" s="231">
        <f t="shared" si="678"/>
        <v>0</v>
      </c>
      <c r="BJ161" s="231">
        <f t="shared" si="678"/>
        <v>0</v>
      </c>
      <c r="BK161" s="231">
        <f t="shared" si="678"/>
        <v>0</v>
      </c>
      <c r="BL161" s="233"/>
      <c r="BM161" s="234"/>
      <c r="BN161" s="234"/>
      <c r="BO161" s="234"/>
      <c r="BP161" s="234"/>
    </row>
    <row r="162" spans="1:68" ht="16.5" customHeight="1">
      <c r="A162" s="89"/>
      <c r="B162" s="89"/>
      <c r="C162" s="90" t="s">
        <v>357</v>
      </c>
      <c r="D162" s="91" t="s">
        <v>417</v>
      </c>
      <c r="E162" s="194">
        <v>34944.800000000003</v>
      </c>
      <c r="F162" s="166"/>
      <c r="G162" s="94">
        <f t="shared" si="654"/>
        <v>0</v>
      </c>
      <c r="H162" s="94">
        <f t="shared" si="655"/>
        <v>0</v>
      </c>
      <c r="I162" s="142">
        <v>0</v>
      </c>
      <c r="J162" s="96"/>
      <c r="K162" s="96"/>
      <c r="L162" s="96"/>
      <c r="M162" s="97">
        <f t="shared" ref="M162:O162" si="679">Y162+AB162+AE162+AH162+AK162+AN162+AQ162+AT162+AW162+AZ162+BC162+BF162</f>
        <v>0</v>
      </c>
      <c r="N162" s="97">
        <f t="shared" si="679"/>
        <v>0</v>
      </c>
      <c r="O162" s="97">
        <f t="shared" si="679"/>
        <v>0</v>
      </c>
      <c r="P162" s="97">
        <f t="shared" ref="P162:R162" si="680">IF(BI162=0,SUM(Y162+AB162+AE162+AH162+AK162+AN162+AQ162+AT162+AW162+AZ162+BC162+BF162),BI162)</f>
        <v>0</v>
      </c>
      <c r="Q162" s="97">
        <f t="shared" si="680"/>
        <v>0</v>
      </c>
      <c r="R162" s="97">
        <f t="shared" si="680"/>
        <v>0</v>
      </c>
      <c r="S162" s="138">
        <f t="shared" ref="S162:T162" si="681">I162-M162</f>
        <v>0</v>
      </c>
      <c r="T162" s="97">
        <f t="shared" si="681"/>
        <v>0</v>
      </c>
      <c r="U162" s="97">
        <f t="shared" ref="U162:U164" si="682">L162-O162</f>
        <v>0</v>
      </c>
      <c r="V162" s="98" t="e">
        <f t="shared" ref="V162:W162" si="683">M162/I162</f>
        <v>#DIV/0!</v>
      </c>
      <c r="W162" s="98" t="e">
        <f t="shared" si="683"/>
        <v>#DIV/0!</v>
      </c>
      <c r="X162" s="98" t="e">
        <f t="shared" si="660"/>
        <v>#DIV/0!</v>
      </c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6"/>
      <c r="AO162" s="96"/>
      <c r="AP162" s="96"/>
      <c r="AQ162" s="96"/>
      <c r="AR162" s="96"/>
      <c r="AS162" s="96"/>
      <c r="AT162" s="96"/>
      <c r="AU162" s="96"/>
      <c r="AV162" s="96"/>
      <c r="AW162" s="96"/>
      <c r="AX162" s="96"/>
      <c r="AY162" s="96"/>
      <c r="AZ162" s="96"/>
      <c r="BA162" s="96"/>
      <c r="BB162" s="96"/>
      <c r="BC162" s="96"/>
      <c r="BD162" s="96"/>
      <c r="BE162" s="96"/>
      <c r="BF162" s="260">
        <v>0</v>
      </c>
      <c r="BG162" s="96"/>
      <c r="BH162" s="96"/>
      <c r="BI162" s="96"/>
      <c r="BJ162" s="96"/>
      <c r="BK162" s="96"/>
      <c r="BL162" s="99"/>
      <c r="BM162" s="100"/>
      <c r="BN162" s="100"/>
      <c r="BO162" s="100"/>
      <c r="BP162" s="100"/>
    </row>
    <row r="163" spans="1:68" ht="15.75" customHeight="1">
      <c r="A163" s="89" t="s">
        <v>527</v>
      </c>
      <c r="B163" s="111"/>
      <c r="C163" s="90" t="s">
        <v>200</v>
      </c>
      <c r="D163" s="91" t="s">
        <v>201</v>
      </c>
      <c r="E163" s="166">
        <v>1500</v>
      </c>
      <c r="F163" s="166"/>
      <c r="G163" s="94">
        <f t="shared" si="654"/>
        <v>1</v>
      </c>
      <c r="H163" s="94">
        <f t="shared" si="655"/>
        <v>0</v>
      </c>
      <c r="I163" s="95">
        <v>1500</v>
      </c>
      <c r="J163" s="96"/>
      <c r="K163" s="96"/>
      <c r="L163" s="261"/>
      <c r="M163" s="97">
        <f t="shared" ref="M163:O163" si="684">Y163+AB163+AE163+AH163+AK163+AN163+AQ163+AT163+AW163+AZ163+BC163+BF163</f>
        <v>0</v>
      </c>
      <c r="N163" s="97">
        <f t="shared" si="684"/>
        <v>0</v>
      </c>
      <c r="O163" s="97">
        <f t="shared" si="684"/>
        <v>0</v>
      </c>
      <c r="P163" s="97">
        <f t="shared" ref="P163:R163" si="685">IF(BI163=0,SUM(Y163+AB163+AE163+AH163+AK163+AN163+AQ163+AT163+AW163+AZ163+BC163+BF163),BI163)</f>
        <v>0</v>
      </c>
      <c r="Q163" s="97">
        <f t="shared" si="685"/>
        <v>0</v>
      </c>
      <c r="R163" s="97">
        <f t="shared" si="685"/>
        <v>0</v>
      </c>
      <c r="S163" s="97">
        <f t="shared" ref="S163:T163" si="686">I163-M163</f>
        <v>1500</v>
      </c>
      <c r="T163" s="97">
        <f t="shared" si="686"/>
        <v>0</v>
      </c>
      <c r="U163" s="97">
        <f t="shared" si="682"/>
        <v>0</v>
      </c>
      <c r="V163" s="98">
        <f t="shared" ref="V163:W163" si="687">M163/I163</f>
        <v>0</v>
      </c>
      <c r="W163" s="98" t="e">
        <f t="shared" si="687"/>
        <v>#DIV/0!</v>
      </c>
      <c r="X163" s="98" t="e">
        <f t="shared" si="660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96"/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/>
      <c r="B164" s="89"/>
      <c r="C164" s="90" t="s">
        <v>213</v>
      </c>
      <c r="D164" s="91" t="s">
        <v>74</v>
      </c>
      <c r="E164" s="166"/>
      <c r="F164" s="166"/>
      <c r="G164" s="94" t="e">
        <f t="shared" si="654"/>
        <v>#DIV/0!</v>
      </c>
      <c r="H164" s="94" t="e">
        <f t="shared" si="655"/>
        <v>#DIV/0!</v>
      </c>
      <c r="I164" s="95"/>
      <c r="J164" s="96"/>
      <c r="K164" s="96"/>
      <c r="L164" s="95"/>
      <c r="M164" s="97">
        <f t="shared" ref="M164:O164" si="688">Y164+AB164+AE164+AH164+AK164+AN164+AQ164+AT164+AW164+AZ164+BC164+BF164</f>
        <v>0</v>
      </c>
      <c r="N164" s="97">
        <f t="shared" si="688"/>
        <v>0</v>
      </c>
      <c r="O164" s="97">
        <f t="shared" si="688"/>
        <v>0</v>
      </c>
      <c r="P164" s="97">
        <f t="shared" ref="P164:R164" si="689">IF(BI164=0,SUM(Y164+AB164+AE164+AH164+AK164+AN164+AQ164+AT164+AW164+AZ164+BC164+BF164),BI164)</f>
        <v>0</v>
      </c>
      <c r="Q164" s="97">
        <f t="shared" si="689"/>
        <v>0</v>
      </c>
      <c r="R164" s="97">
        <f t="shared" si="689"/>
        <v>0</v>
      </c>
      <c r="S164" s="97">
        <f t="shared" ref="S164:T164" si="690">I164-M164</f>
        <v>0</v>
      </c>
      <c r="T164" s="97">
        <f t="shared" si="690"/>
        <v>0</v>
      </c>
      <c r="U164" s="97">
        <f t="shared" si="682"/>
        <v>0</v>
      </c>
      <c r="V164" s="98" t="e">
        <f t="shared" ref="V164:W164" si="691">M164/I164</f>
        <v>#DIV/0!</v>
      </c>
      <c r="W164" s="98" t="e">
        <f t="shared" si="691"/>
        <v>#DIV/0!</v>
      </c>
      <c r="X164" s="98" t="e">
        <f t="shared" si="660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240"/>
      <c r="B165" s="240"/>
      <c r="C165" s="229"/>
      <c r="D165" s="230" t="s">
        <v>418</v>
      </c>
      <c r="E165" s="231">
        <f t="shared" ref="E165:F165" si="692">SUM(E166:E167)</f>
        <v>0</v>
      </c>
      <c r="F165" s="231">
        <f t="shared" si="692"/>
        <v>0</v>
      </c>
      <c r="G165" s="188" t="e">
        <f t="shared" si="654"/>
        <v>#DIV/0!</v>
      </c>
      <c r="H165" s="188" t="e">
        <f t="shared" si="655"/>
        <v>#DIV/0!</v>
      </c>
      <c r="I165" s="231">
        <f t="shared" ref="I165:O165" si="693">SUM(I166:I167)</f>
        <v>0</v>
      </c>
      <c r="J165" s="231">
        <f t="shared" si="693"/>
        <v>0</v>
      </c>
      <c r="K165" s="231">
        <f t="shared" si="693"/>
        <v>0</v>
      </c>
      <c r="L165" s="231">
        <f t="shared" si="693"/>
        <v>0</v>
      </c>
      <c r="M165" s="231">
        <f t="shared" si="693"/>
        <v>0</v>
      </c>
      <c r="N165" s="231">
        <f t="shared" si="693"/>
        <v>0</v>
      </c>
      <c r="O165" s="231">
        <f t="shared" si="693"/>
        <v>0</v>
      </c>
      <c r="P165" s="258">
        <f t="shared" ref="P165:R165" si="694">IF(BI165=0,SUM(Y165+AB165+AE165+AH165+AK165+AN165+AQ165+AT165+AW165+AZ165+BC165+BF165),BI165)</f>
        <v>0</v>
      </c>
      <c r="Q165" s="258">
        <f t="shared" si="694"/>
        <v>0</v>
      </c>
      <c r="R165" s="258">
        <f t="shared" si="694"/>
        <v>0</v>
      </c>
      <c r="S165" s="231">
        <f t="shared" ref="S165:U165" si="695">SUM(S166:S167)</f>
        <v>0</v>
      </c>
      <c r="T165" s="231">
        <f t="shared" si="695"/>
        <v>0</v>
      </c>
      <c r="U165" s="231">
        <f t="shared" si="695"/>
        <v>0</v>
      </c>
      <c r="V165" s="259" t="e">
        <f t="shared" ref="V165:W165" si="696">M165/I165</f>
        <v>#DIV/0!</v>
      </c>
      <c r="W165" s="259" t="e">
        <f t="shared" si="696"/>
        <v>#DIV/0!</v>
      </c>
      <c r="X165" s="259" t="e">
        <f t="shared" si="660"/>
        <v>#DIV/0!</v>
      </c>
      <c r="Y165" s="231">
        <f t="shared" ref="Y165:BK165" si="697">SUM(Y166:Y167)</f>
        <v>0</v>
      </c>
      <c r="Z165" s="231">
        <f t="shared" si="697"/>
        <v>0</v>
      </c>
      <c r="AA165" s="231">
        <f t="shared" si="697"/>
        <v>0</v>
      </c>
      <c r="AB165" s="231">
        <f t="shared" si="697"/>
        <v>0</v>
      </c>
      <c r="AC165" s="231">
        <f t="shared" si="697"/>
        <v>0</v>
      </c>
      <c r="AD165" s="231">
        <f t="shared" si="697"/>
        <v>0</v>
      </c>
      <c r="AE165" s="231">
        <f t="shared" si="697"/>
        <v>0</v>
      </c>
      <c r="AF165" s="231">
        <f t="shared" si="697"/>
        <v>0</v>
      </c>
      <c r="AG165" s="231">
        <f t="shared" si="697"/>
        <v>0</v>
      </c>
      <c r="AH165" s="231">
        <f t="shared" si="697"/>
        <v>0</v>
      </c>
      <c r="AI165" s="231">
        <f t="shared" si="697"/>
        <v>0</v>
      </c>
      <c r="AJ165" s="231">
        <f t="shared" si="697"/>
        <v>0</v>
      </c>
      <c r="AK165" s="231">
        <f t="shared" si="697"/>
        <v>0</v>
      </c>
      <c r="AL165" s="231">
        <f t="shared" si="697"/>
        <v>0</v>
      </c>
      <c r="AM165" s="231">
        <f t="shared" si="697"/>
        <v>0</v>
      </c>
      <c r="AN165" s="231">
        <f t="shared" si="697"/>
        <v>0</v>
      </c>
      <c r="AO165" s="231">
        <f t="shared" si="697"/>
        <v>0</v>
      </c>
      <c r="AP165" s="231">
        <f t="shared" si="697"/>
        <v>0</v>
      </c>
      <c r="AQ165" s="231">
        <f t="shared" si="697"/>
        <v>0</v>
      </c>
      <c r="AR165" s="231">
        <f t="shared" si="697"/>
        <v>0</v>
      </c>
      <c r="AS165" s="231">
        <f t="shared" si="697"/>
        <v>0</v>
      </c>
      <c r="AT165" s="231">
        <f t="shared" si="697"/>
        <v>0</v>
      </c>
      <c r="AU165" s="231">
        <f t="shared" si="697"/>
        <v>0</v>
      </c>
      <c r="AV165" s="231">
        <f t="shared" si="697"/>
        <v>0</v>
      </c>
      <c r="AW165" s="231">
        <f t="shared" si="697"/>
        <v>0</v>
      </c>
      <c r="AX165" s="231">
        <f t="shared" si="697"/>
        <v>0</v>
      </c>
      <c r="AY165" s="231">
        <f t="shared" si="697"/>
        <v>0</v>
      </c>
      <c r="AZ165" s="231">
        <f t="shared" si="697"/>
        <v>0</v>
      </c>
      <c r="BA165" s="231">
        <f t="shared" si="697"/>
        <v>0</v>
      </c>
      <c r="BB165" s="231">
        <f t="shared" si="697"/>
        <v>0</v>
      </c>
      <c r="BC165" s="231">
        <f t="shared" si="697"/>
        <v>0</v>
      </c>
      <c r="BD165" s="231">
        <f t="shared" si="697"/>
        <v>0</v>
      </c>
      <c r="BE165" s="231">
        <f t="shared" si="697"/>
        <v>0</v>
      </c>
      <c r="BF165" s="231">
        <f t="shared" si="697"/>
        <v>0</v>
      </c>
      <c r="BG165" s="231">
        <f t="shared" si="697"/>
        <v>0</v>
      </c>
      <c r="BH165" s="231">
        <f t="shared" si="697"/>
        <v>0</v>
      </c>
      <c r="BI165" s="231">
        <f t="shared" si="697"/>
        <v>0</v>
      </c>
      <c r="BJ165" s="231">
        <f t="shared" si="697"/>
        <v>0</v>
      </c>
      <c r="BK165" s="231">
        <f t="shared" si="697"/>
        <v>0</v>
      </c>
      <c r="BL165" s="233"/>
      <c r="BM165" s="234"/>
      <c r="BN165" s="234"/>
      <c r="BO165" s="234"/>
      <c r="BP165" s="234"/>
    </row>
    <row r="166" spans="1:68" ht="15.75" customHeight="1">
      <c r="A166" s="89"/>
      <c r="B166" s="89"/>
      <c r="C166" s="90" t="s">
        <v>357</v>
      </c>
      <c r="D166" s="91" t="s">
        <v>419</v>
      </c>
      <c r="E166" s="166"/>
      <c r="F166" s="166"/>
      <c r="G166" s="94" t="e">
        <f t="shared" si="654"/>
        <v>#DIV/0!</v>
      </c>
      <c r="H166" s="94" t="e">
        <f t="shared" si="655"/>
        <v>#DIV/0!</v>
      </c>
      <c r="I166" s="95"/>
      <c r="J166" s="96"/>
      <c r="K166" s="96"/>
      <c r="L166" s="95"/>
      <c r="M166" s="97">
        <f t="shared" ref="M166:O166" si="698">Y166+AB166+AE166+AH166+AK166+AN166+AQ166+AT166+AW166+AZ166+BC166+BF166</f>
        <v>0</v>
      </c>
      <c r="N166" s="97">
        <f t="shared" si="698"/>
        <v>0</v>
      </c>
      <c r="O166" s="97">
        <f t="shared" si="698"/>
        <v>0</v>
      </c>
      <c r="P166" s="97">
        <f t="shared" ref="P166:R166" si="699">IF(BI166=0,SUM(Y166+AB166+AE166+AH166+AK166+AN166+AQ166+AT166+AW166+AZ166+BC166+BF166),BI166)</f>
        <v>0</v>
      </c>
      <c r="Q166" s="97">
        <f t="shared" si="699"/>
        <v>0</v>
      </c>
      <c r="R166" s="97">
        <f t="shared" si="699"/>
        <v>0</v>
      </c>
      <c r="S166" s="97">
        <f t="shared" ref="S166:T166" si="700">I166-M166</f>
        <v>0</v>
      </c>
      <c r="T166" s="97">
        <f t="shared" si="700"/>
        <v>0</v>
      </c>
      <c r="U166" s="97">
        <f t="shared" ref="U166:U167" si="701">L166-O166</f>
        <v>0</v>
      </c>
      <c r="V166" s="98" t="e">
        <f t="shared" ref="V166:W166" si="702">M166/I166</f>
        <v>#DIV/0!</v>
      </c>
      <c r="W166" s="98" t="e">
        <f t="shared" si="702"/>
        <v>#DIV/0!</v>
      </c>
      <c r="X166" s="98" t="e">
        <f t="shared" si="660"/>
        <v>#DIV/0!</v>
      </c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6"/>
      <c r="AO166" s="96"/>
      <c r="AP166" s="96"/>
      <c r="AQ166" s="96"/>
      <c r="AR166" s="96"/>
      <c r="AS166" s="96"/>
      <c r="AT166" s="96"/>
      <c r="AU166" s="96"/>
      <c r="AV166" s="96"/>
      <c r="AW166" s="96"/>
      <c r="AX166" s="96"/>
      <c r="AY166" s="96"/>
      <c r="AZ166" s="96"/>
      <c r="BA166" s="96"/>
      <c r="BB166" s="96"/>
      <c r="BC166" s="96"/>
      <c r="BD166" s="96"/>
      <c r="BE166" s="96"/>
      <c r="BF166" s="96"/>
      <c r="BG166" s="96"/>
      <c r="BH166" s="96"/>
      <c r="BI166" s="96"/>
      <c r="BJ166" s="96"/>
      <c r="BK166" s="96"/>
      <c r="BL166" s="99"/>
      <c r="BM166" s="100"/>
      <c r="BN166" s="100"/>
      <c r="BO166" s="100"/>
      <c r="BP166" s="100"/>
    </row>
    <row r="167" spans="1:68" ht="15.75" customHeight="1">
      <c r="A167" s="89"/>
      <c r="B167" s="89"/>
      <c r="C167" s="101"/>
      <c r="D167" s="91"/>
      <c r="E167" s="166"/>
      <c r="F167" s="262"/>
      <c r="G167" s="94" t="e">
        <f t="shared" si="654"/>
        <v>#DIV/0!</v>
      </c>
      <c r="H167" s="94" t="e">
        <f t="shared" si="655"/>
        <v>#DIV/0!</v>
      </c>
      <c r="I167" s="95"/>
      <c r="J167" s="96"/>
      <c r="K167" s="96"/>
      <c r="L167" s="95"/>
      <c r="M167" s="97"/>
      <c r="N167" s="97">
        <f t="shared" ref="N167:O167" si="703">Z167+AC167+AF167+AI167+AL167+AO167+AR167+AU167+AX167+BA167+BD167+BG167</f>
        <v>0</v>
      </c>
      <c r="O167" s="97">
        <f t="shared" si="703"/>
        <v>0</v>
      </c>
      <c r="P167" s="97">
        <f t="shared" ref="P167:R167" si="704">IF(BI167=0,SUM(Y167+AB167+AE167+AH167+AK167+AN167+AQ167+AT167+AW167+AZ167+BC167+BF167),BI167)</f>
        <v>0</v>
      </c>
      <c r="Q167" s="97">
        <f t="shared" si="704"/>
        <v>0</v>
      </c>
      <c r="R167" s="97">
        <f t="shared" si="704"/>
        <v>0</v>
      </c>
      <c r="S167" s="97">
        <f t="shared" ref="S167:T167" si="705">I167-M167</f>
        <v>0</v>
      </c>
      <c r="T167" s="97">
        <f t="shared" si="705"/>
        <v>0</v>
      </c>
      <c r="U167" s="97">
        <f t="shared" si="701"/>
        <v>0</v>
      </c>
      <c r="V167" s="98" t="e">
        <f t="shared" ref="V167:W167" si="706">M167/I167</f>
        <v>#DIV/0!</v>
      </c>
      <c r="W167" s="98" t="e">
        <f t="shared" si="706"/>
        <v>#DIV/0!</v>
      </c>
      <c r="X167" s="98" t="e">
        <f t="shared" si="660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253"/>
      <c r="B168" s="253"/>
      <c r="C168" s="183"/>
      <c r="D168" s="254" t="s">
        <v>420</v>
      </c>
      <c r="E168" s="255">
        <f t="shared" ref="E168:F168" si="707">E169+E176</f>
        <v>84944.8</v>
      </c>
      <c r="F168" s="255">
        <f t="shared" si="707"/>
        <v>36000</v>
      </c>
      <c r="G168" s="223">
        <f t="shared" si="654"/>
        <v>0.14833162241832343</v>
      </c>
      <c r="H168" s="223">
        <f t="shared" si="655"/>
        <v>0</v>
      </c>
      <c r="I168" s="255">
        <f t="shared" ref="I168:O168" si="708">I169+I176</f>
        <v>12600</v>
      </c>
      <c r="J168" s="255">
        <f t="shared" si="708"/>
        <v>250</v>
      </c>
      <c r="K168" s="255">
        <f t="shared" si="708"/>
        <v>0</v>
      </c>
      <c r="L168" s="255">
        <f t="shared" si="708"/>
        <v>0</v>
      </c>
      <c r="M168" s="255">
        <f t="shared" si="708"/>
        <v>0</v>
      </c>
      <c r="N168" s="255">
        <f t="shared" si="708"/>
        <v>250</v>
      </c>
      <c r="O168" s="255">
        <f t="shared" si="708"/>
        <v>0</v>
      </c>
      <c r="P168" s="255">
        <f t="shared" ref="P168:R168" si="709">IF(BI168=0,SUM(Y168+AB168+AE168+AH168+AK168+AN168+AQ168+AT168+AW168+AZ168+BC168+BF168),BI168)</f>
        <v>0</v>
      </c>
      <c r="Q168" s="255">
        <f t="shared" si="709"/>
        <v>250</v>
      </c>
      <c r="R168" s="255">
        <f t="shared" si="709"/>
        <v>0</v>
      </c>
      <c r="S168" s="255">
        <f t="shared" ref="S168:U168" si="710">S169+S176</f>
        <v>0</v>
      </c>
      <c r="T168" s="255">
        <f t="shared" si="710"/>
        <v>0</v>
      </c>
      <c r="U168" s="255">
        <f t="shared" si="710"/>
        <v>0</v>
      </c>
      <c r="V168" s="256">
        <f t="shared" ref="V168:W168" si="711">M168/I168</f>
        <v>0</v>
      </c>
      <c r="W168" s="256">
        <f t="shared" si="711"/>
        <v>1</v>
      </c>
      <c r="X168" s="256" t="e">
        <f t="shared" si="660"/>
        <v>#DIV/0!</v>
      </c>
      <c r="Y168" s="255">
        <f t="shared" ref="Y168:BK168" si="712">Y169+Y176</f>
        <v>0</v>
      </c>
      <c r="Z168" s="255">
        <f t="shared" si="712"/>
        <v>250</v>
      </c>
      <c r="AA168" s="255">
        <f t="shared" si="712"/>
        <v>0</v>
      </c>
      <c r="AB168" s="255">
        <f t="shared" si="712"/>
        <v>0</v>
      </c>
      <c r="AC168" s="255">
        <f t="shared" si="712"/>
        <v>0</v>
      </c>
      <c r="AD168" s="255">
        <f t="shared" si="712"/>
        <v>0</v>
      </c>
      <c r="AE168" s="255">
        <f t="shared" si="712"/>
        <v>0</v>
      </c>
      <c r="AF168" s="255">
        <f t="shared" si="712"/>
        <v>0</v>
      </c>
      <c r="AG168" s="255">
        <f t="shared" si="712"/>
        <v>0</v>
      </c>
      <c r="AH168" s="255">
        <f t="shared" si="712"/>
        <v>0</v>
      </c>
      <c r="AI168" s="255">
        <f t="shared" si="712"/>
        <v>0</v>
      </c>
      <c r="AJ168" s="255">
        <f t="shared" si="712"/>
        <v>0</v>
      </c>
      <c r="AK168" s="255">
        <f t="shared" si="712"/>
        <v>0</v>
      </c>
      <c r="AL168" s="255">
        <f t="shared" si="712"/>
        <v>0</v>
      </c>
      <c r="AM168" s="255">
        <f t="shared" si="712"/>
        <v>0</v>
      </c>
      <c r="AN168" s="255">
        <f t="shared" si="712"/>
        <v>0</v>
      </c>
      <c r="AO168" s="255">
        <f t="shared" si="712"/>
        <v>0</v>
      </c>
      <c r="AP168" s="255">
        <f t="shared" si="712"/>
        <v>0</v>
      </c>
      <c r="AQ168" s="255">
        <f t="shared" si="712"/>
        <v>0</v>
      </c>
      <c r="AR168" s="255">
        <f t="shared" si="712"/>
        <v>0</v>
      </c>
      <c r="AS168" s="255">
        <f t="shared" si="712"/>
        <v>0</v>
      </c>
      <c r="AT168" s="255">
        <f t="shared" si="712"/>
        <v>0</v>
      </c>
      <c r="AU168" s="255">
        <f t="shared" si="712"/>
        <v>0</v>
      </c>
      <c r="AV168" s="255">
        <f t="shared" si="712"/>
        <v>0</v>
      </c>
      <c r="AW168" s="255">
        <f t="shared" si="712"/>
        <v>0</v>
      </c>
      <c r="AX168" s="255">
        <f t="shared" si="712"/>
        <v>0</v>
      </c>
      <c r="AY168" s="255">
        <f t="shared" si="712"/>
        <v>0</v>
      </c>
      <c r="AZ168" s="255">
        <f t="shared" si="712"/>
        <v>0</v>
      </c>
      <c r="BA168" s="255">
        <f t="shared" si="712"/>
        <v>0</v>
      </c>
      <c r="BB168" s="255">
        <f t="shared" si="712"/>
        <v>0</v>
      </c>
      <c r="BC168" s="255">
        <f t="shared" si="712"/>
        <v>0</v>
      </c>
      <c r="BD168" s="255">
        <f t="shared" si="712"/>
        <v>0</v>
      </c>
      <c r="BE168" s="255">
        <f t="shared" si="712"/>
        <v>0</v>
      </c>
      <c r="BF168" s="255">
        <f t="shared" si="712"/>
        <v>0</v>
      </c>
      <c r="BG168" s="255">
        <f t="shared" si="712"/>
        <v>0</v>
      </c>
      <c r="BH168" s="255">
        <f t="shared" si="712"/>
        <v>0</v>
      </c>
      <c r="BI168" s="255">
        <f t="shared" si="712"/>
        <v>0</v>
      </c>
      <c r="BJ168" s="255">
        <f t="shared" si="712"/>
        <v>0</v>
      </c>
      <c r="BK168" s="255">
        <f t="shared" si="712"/>
        <v>0</v>
      </c>
      <c r="BL168" s="157"/>
      <c r="BM168" s="158"/>
      <c r="BN168" s="158"/>
      <c r="BO168" s="158"/>
      <c r="BP168" s="158"/>
    </row>
    <row r="169" spans="1:68" ht="15.75" customHeight="1">
      <c r="A169" s="240"/>
      <c r="B169" s="240"/>
      <c r="C169" s="229"/>
      <c r="D169" s="230" t="s">
        <v>421</v>
      </c>
      <c r="E169" s="231">
        <f>SUM(E170:E175)</f>
        <v>84944.8</v>
      </c>
      <c r="F169" s="231">
        <f>SUM(F170:F174)</f>
        <v>0</v>
      </c>
      <c r="G169" s="188">
        <f t="shared" si="654"/>
        <v>0.14833162241832343</v>
      </c>
      <c r="H169" s="188">
        <f t="shared" si="655"/>
        <v>0</v>
      </c>
      <c r="I169" s="231">
        <f t="shared" ref="I169:K169" si="713">SUM(I170:I175)</f>
        <v>12600</v>
      </c>
      <c r="J169" s="231">
        <f t="shared" si="713"/>
        <v>250</v>
      </c>
      <c r="K169" s="231">
        <f t="shared" si="713"/>
        <v>0</v>
      </c>
      <c r="L169" s="231">
        <f t="shared" ref="L169:M169" si="714">SUM(L170:L174)</f>
        <v>0</v>
      </c>
      <c r="M169" s="231">
        <f t="shared" si="714"/>
        <v>0</v>
      </c>
      <c r="N169" s="231">
        <f>SUM(N170:N175)</f>
        <v>250</v>
      </c>
      <c r="O169" s="231">
        <f>SUM(O170:O174)</f>
        <v>0</v>
      </c>
      <c r="P169" s="232">
        <f t="shared" ref="P169:R169" si="715">IF(BI169=0,SUM(Y169+AB169+AE169+AH169+AK169+AN169+AQ169+AT169+AW169+AZ169+BC169+BF169),BI169)</f>
        <v>0</v>
      </c>
      <c r="Q169" s="232">
        <f t="shared" si="715"/>
        <v>250</v>
      </c>
      <c r="R169" s="232">
        <f t="shared" si="715"/>
        <v>0</v>
      </c>
      <c r="S169" s="231">
        <f t="shared" ref="S169:T169" si="716">SUM(S170:S175)</f>
        <v>0</v>
      </c>
      <c r="T169" s="231">
        <f t="shared" si="716"/>
        <v>0</v>
      </c>
      <c r="U169" s="231">
        <f>SUM(U170:U174)</f>
        <v>0</v>
      </c>
      <c r="V169" s="259">
        <f t="shared" ref="V169:W169" si="717">M169/I169</f>
        <v>0</v>
      </c>
      <c r="W169" s="259">
        <f t="shared" si="717"/>
        <v>1</v>
      </c>
      <c r="X169" s="259" t="e">
        <f t="shared" si="660"/>
        <v>#DIV/0!</v>
      </c>
      <c r="Y169" s="231">
        <f>SUM(Y170:Y174)</f>
        <v>0</v>
      </c>
      <c r="Z169" s="231">
        <f>SUM(Z170:Z175)</f>
        <v>250</v>
      </c>
      <c r="AA169" s="231">
        <f t="shared" ref="AA169:AE169" si="718">SUM(AA170:AA174)</f>
        <v>0</v>
      </c>
      <c r="AB169" s="231">
        <f t="shared" si="718"/>
        <v>0</v>
      </c>
      <c r="AC169" s="231">
        <f t="shared" si="718"/>
        <v>0</v>
      </c>
      <c r="AD169" s="231">
        <f t="shared" si="718"/>
        <v>0</v>
      </c>
      <c r="AE169" s="231">
        <f t="shared" si="718"/>
        <v>0</v>
      </c>
      <c r="AF169" s="231">
        <f>SUM(AF170:AF175)</f>
        <v>0</v>
      </c>
      <c r="AG169" s="231">
        <f t="shared" ref="AG169:BK169" si="719">SUM(AG170:AG174)</f>
        <v>0</v>
      </c>
      <c r="AH169" s="231">
        <f t="shared" si="719"/>
        <v>0</v>
      </c>
      <c r="AI169" s="231">
        <f t="shared" si="719"/>
        <v>0</v>
      </c>
      <c r="AJ169" s="231">
        <f t="shared" si="719"/>
        <v>0</v>
      </c>
      <c r="AK169" s="231">
        <f t="shared" si="719"/>
        <v>0</v>
      </c>
      <c r="AL169" s="231">
        <f t="shared" si="719"/>
        <v>0</v>
      </c>
      <c r="AM169" s="231">
        <f t="shared" si="719"/>
        <v>0</v>
      </c>
      <c r="AN169" s="231">
        <f t="shared" si="719"/>
        <v>0</v>
      </c>
      <c r="AO169" s="231">
        <f t="shared" si="719"/>
        <v>0</v>
      </c>
      <c r="AP169" s="231">
        <f t="shared" si="719"/>
        <v>0</v>
      </c>
      <c r="AQ169" s="231">
        <f t="shared" si="719"/>
        <v>0</v>
      </c>
      <c r="AR169" s="231">
        <f t="shared" si="719"/>
        <v>0</v>
      </c>
      <c r="AS169" s="231">
        <f t="shared" si="719"/>
        <v>0</v>
      </c>
      <c r="AT169" s="231">
        <f t="shared" si="719"/>
        <v>0</v>
      </c>
      <c r="AU169" s="231">
        <f t="shared" si="719"/>
        <v>0</v>
      </c>
      <c r="AV169" s="231">
        <f t="shared" si="719"/>
        <v>0</v>
      </c>
      <c r="AW169" s="231">
        <f t="shared" si="719"/>
        <v>0</v>
      </c>
      <c r="AX169" s="231">
        <f t="shared" si="719"/>
        <v>0</v>
      </c>
      <c r="AY169" s="231">
        <f t="shared" si="719"/>
        <v>0</v>
      </c>
      <c r="AZ169" s="231">
        <f t="shared" si="719"/>
        <v>0</v>
      </c>
      <c r="BA169" s="231">
        <f t="shared" si="719"/>
        <v>0</v>
      </c>
      <c r="BB169" s="231">
        <f t="shared" si="719"/>
        <v>0</v>
      </c>
      <c r="BC169" s="231">
        <f t="shared" si="719"/>
        <v>0</v>
      </c>
      <c r="BD169" s="231">
        <f t="shared" si="719"/>
        <v>0</v>
      </c>
      <c r="BE169" s="231">
        <f t="shared" si="719"/>
        <v>0</v>
      </c>
      <c r="BF169" s="231">
        <f t="shared" si="719"/>
        <v>0</v>
      </c>
      <c r="BG169" s="231">
        <f t="shared" si="719"/>
        <v>0</v>
      </c>
      <c r="BH169" s="231">
        <f t="shared" si="719"/>
        <v>0</v>
      </c>
      <c r="BI169" s="231">
        <f t="shared" si="719"/>
        <v>0</v>
      </c>
      <c r="BJ169" s="231">
        <f t="shared" si="719"/>
        <v>0</v>
      </c>
      <c r="BK169" s="231">
        <f t="shared" si="719"/>
        <v>0</v>
      </c>
      <c r="BL169" s="233"/>
      <c r="BM169" s="234"/>
      <c r="BN169" s="234"/>
      <c r="BO169" s="234"/>
      <c r="BP169" s="234"/>
    </row>
    <row r="170" spans="1:68" ht="15.75" customHeight="1">
      <c r="A170" s="89"/>
      <c r="B170" s="89"/>
      <c r="C170" s="101" t="s">
        <v>359</v>
      </c>
      <c r="D170" s="91" t="s">
        <v>422</v>
      </c>
      <c r="E170" s="166">
        <v>14944.8</v>
      </c>
      <c r="F170" s="166"/>
      <c r="G170" s="94">
        <f t="shared" si="654"/>
        <v>0</v>
      </c>
      <c r="H170" s="94">
        <f t="shared" si="655"/>
        <v>0</v>
      </c>
      <c r="I170" s="95"/>
      <c r="J170" s="95"/>
      <c r="K170" s="95"/>
      <c r="L170" s="263"/>
      <c r="M170" s="97"/>
      <c r="N170" s="97">
        <f t="shared" ref="N170:N171" si="720">Z170+AC170+AF170+AI170+AL170+AO170+AR170+AU170+AX170+BA170+BD170+BG170</f>
        <v>0</v>
      </c>
      <c r="O170" s="97"/>
      <c r="P170" s="82"/>
      <c r="Q170" s="82"/>
      <c r="R170" s="82"/>
      <c r="S170" s="97"/>
      <c r="T170" s="97"/>
      <c r="U170" s="97"/>
      <c r="V170" s="98"/>
      <c r="W170" s="98"/>
      <c r="X170" s="98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6"/>
      <c r="AO170" s="96"/>
      <c r="AP170" s="96"/>
      <c r="AQ170" s="96"/>
      <c r="AR170" s="96"/>
      <c r="AS170" s="96"/>
      <c r="AT170" s="96"/>
      <c r="AU170" s="96"/>
      <c r="AV170" s="96"/>
      <c r="AW170" s="96"/>
      <c r="AX170" s="96"/>
      <c r="AY170" s="96"/>
      <c r="AZ170" s="96"/>
      <c r="BA170" s="96"/>
      <c r="BB170" s="96"/>
      <c r="BC170" s="96"/>
      <c r="BD170" s="96"/>
      <c r="BE170" s="96"/>
      <c r="BF170" s="96"/>
      <c r="BG170" s="96"/>
      <c r="BH170" s="96"/>
      <c r="BI170" s="96"/>
      <c r="BJ170" s="96"/>
      <c r="BK170" s="96"/>
      <c r="BL170" s="99"/>
      <c r="BM170" s="100"/>
      <c r="BN170" s="100"/>
      <c r="BO170" s="100"/>
      <c r="BP170" s="100"/>
    </row>
    <row r="171" spans="1:68" ht="15.75" customHeight="1">
      <c r="A171" s="354" t="s">
        <v>727</v>
      </c>
      <c r="B171" s="89"/>
      <c r="C171" s="90" t="s">
        <v>357</v>
      </c>
      <c r="D171" s="91" t="s">
        <v>423</v>
      </c>
      <c r="E171" s="166">
        <v>20000</v>
      </c>
      <c r="F171" s="166"/>
      <c r="G171" s="94">
        <f t="shared" si="654"/>
        <v>0.63</v>
      </c>
      <c r="H171" s="94">
        <f t="shared" si="655"/>
        <v>0</v>
      </c>
      <c r="I171" s="355">
        <v>12600</v>
      </c>
      <c r="J171" s="95"/>
      <c r="K171" s="95"/>
      <c r="L171" s="263"/>
      <c r="M171" s="97"/>
      <c r="N171" s="97">
        <f t="shared" si="720"/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89"/>
      <c r="B172" s="89"/>
      <c r="C172" s="90" t="s">
        <v>200</v>
      </c>
      <c r="D172" s="91" t="s">
        <v>201</v>
      </c>
      <c r="E172" s="166">
        <v>0</v>
      </c>
      <c r="F172" s="166"/>
      <c r="G172" s="94" t="e">
        <f t="shared" si="654"/>
        <v>#DIV/0!</v>
      </c>
      <c r="H172" s="94" t="e">
        <f t="shared" si="655"/>
        <v>#DIV/0!</v>
      </c>
      <c r="I172" s="95"/>
      <c r="J172" s="95"/>
      <c r="K172" s="95"/>
      <c r="L172" s="202"/>
      <c r="M172" s="97">
        <f t="shared" ref="M172:O172" si="721">Y172+AB172+AE172+AH172+AK172+AN172+AQ172+AT172+AW172+AZ172+BC172+BF172</f>
        <v>0</v>
      </c>
      <c r="N172" s="97">
        <f t="shared" si="721"/>
        <v>0</v>
      </c>
      <c r="O172" s="97">
        <f t="shared" si="721"/>
        <v>0</v>
      </c>
      <c r="P172" s="97">
        <f t="shared" ref="P172:R172" si="722">IF(BI172=0,SUM(Y172+AB172+AE172+AH172+AK172+AN172+AQ172+AT172+AW172+AZ172+BC172+BF172),BI172)</f>
        <v>0</v>
      </c>
      <c r="Q172" s="97">
        <f t="shared" si="722"/>
        <v>0</v>
      </c>
      <c r="R172" s="97">
        <f t="shared" si="722"/>
        <v>0</v>
      </c>
      <c r="S172" s="97">
        <f t="shared" ref="S172:T172" si="723">I172-M172</f>
        <v>0</v>
      </c>
      <c r="T172" s="97">
        <f t="shared" si="723"/>
        <v>0</v>
      </c>
      <c r="U172" s="97">
        <f t="shared" ref="U172:U175" si="724">L172-O172</f>
        <v>0</v>
      </c>
      <c r="V172" s="98" t="e">
        <f t="shared" ref="V172:W172" si="725">M172/I172</f>
        <v>#DIV/0!</v>
      </c>
      <c r="W172" s="98" t="e">
        <f t="shared" si="725"/>
        <v>#DIV/0!</v>
      </c>
      <c r="X172" s="98" t="e">
        <f t="shared" ref="X172:X187" si="726">O172/L172</f>
        <v>#DIV/0!</v>
      </c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103">
        <v>0</v>
      </c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101" t="s">
        <v>424</v>
      </c>
      <c r="D173" s="91" t="s">
        <v>425</v>
      </c>
      <c r="E173" s="166">
        <v>44000</v>
      </c>
      <c r="F173" s="166"/>
      <c r="G173" s="94">
        <f t="shared" si="654"/>
        <v>0</v>
      </c>
      <c r="H173" s="94">
        <f t="shared" si="655"/>
        <v>0</v>
      </c>
      <c r="I173" s="139">
        <v>0</v>
      </c>
      <c r="J173" s="95"/>
      <c r="K173" s="95"/>
      <c r="L173" s="202"/>
      <c r="M173" s="97">
        <f t="shared" ref="M173:O173" si="727">Y173+AB173+AE173+AH173+AK173+AN173+AQ173+AT173+AW173+AZ173+BC173+BF173</f>
        <v>0</v>
      </c>
      <c r="N173" s="97">
        <f t="shared" si="727"/>
        <v>0</v>
      </c>
      <c r="O173" s="97">
        <f t="shared" si="727"/>
        <v>0</v>
      </c>
      <c r="P173" s="97">
        <f t="shared" ref="P173:R173" si="728">IF(BI173=0,SUM(Y173+AB173+AE173+AH173+AK173+AN173+AQ173+AT173+AW173+AZ173+BC173+BF173),BI173)</f>
        <v>0</v>
      </c>
      <c r="Q173" s="97">
        <f t="shared" si="728"/>
        <v>0</v>
      </c>
      <c r="R173" s="97">
        <f t="shared" si="728"/>
        <v>0</v>
      </c>
      <c r="S173" s="138">
        <f t="shared" ref="S173:T173" si="729">I173-M173</f>
        <v>0</v>
      </c>
      <c r="T173" s="97">
        <f t="shared" si="729"/>
        <v>0</v>
      </c>
      <c r="U173" s="97">
        <f t="shared" si="724"/>
        <v>0</v>
      </c>
      <c r="V173" s="98" t="e">
        <f t="shared" ref="V173:W173" si="730">M173/I173</f>
        <v>#DIV/0!</v>
      </c>
      <c r="W173" s="98" t="e">
        <f t="shared" si="730"/>
        <v>#DIV/0!</v>
      </c>
      <c r="X173" s="98" t="e">
        <f t="shared" si="726"/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264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129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359</v>
      </c>
      <c r="D174" s="91" t="s">
        <v>160</v>
      </c>
      <c r="E174" s="92">
        <v>6000</v>
      </c>
      <c r="F174" s="166"/>
      <c r="G174" s="94">
        <f t="shared" si="654"/>
        <v>0</v>
      </c>
      <c r="H174" s="94">
        <f t="shared" si="655"/>
        <v>0</v>
      </c>
      <c r="I174" s="95">
        <v>0</v>
      </c>
      <c r="J174" s="95"/>
      <c r="K174" s="95"/>
      <c r="L174" s="202"/>
      <c r="M174" s="97">
        <f t="shared" ref="M174:O174" si="731">Y174+AB174+AE174+AH174+AK174+AN174+AQ174+AT174+AW174+AZ174+BC174+BF174</f>
        <v>0</v>
      </c>
      <c r="N174" s="97">
        <f t="shared" si="731"/>
        <v>0</v>
      </c>
      <c r="O174" s="97">
        <f t="shared" si="731"/>
        <v>0</v>
      </c>
      <c r="P174" s="97">
        <f t="shared" ref="P174:R174" si="732">IF(BI174=0,SUM(Y174+AB174+AE174+AH174+AK174+AN174+AQ174+AT174+AW174+AZ174+BC174+BF174),BI174)</f>
        <v>0</v>
      </c>
      <c r="Q174" s="97">
        <f t="shared" si="732"/>
        <v>0</v>
      </c>
      <c r="R174" s="97">
        <f t="shared" si="732"/>
        <v>0</v>
      </c>
      <c r="S174" s="97">
        <f t="shared" ref="S174:T174" si="733">I174-M174</f>
        <v>0</v>
      </c>
      <c r="T174" s="97">
        <f t="shared" si="733"/>
        <v>0</v>
      </c>
      <c r="U174" s="97">
        <f t="shared" si="724"/>
        <v>0</v>
      </c>
      <c r="V174" s="98" t="e">
        <f t="shared" ref="V174:W174" si="734">M174/I174</f>
        <v>#DIV/0!</v>
      </c>
      <c r="W174" s="98" t="e">
        <f t="shared" si="734"/>
        <v>#DIV/0!</v>
      </c>
      <c r="X174" s="98" t="e">
        <f t="shared" si="726"/>
        <v>#DIV/0!</v>
      </c>
      <c r="Y174" s="96"/>
      <c r="Z174" s="96"/>
      <c r="AA174" s="96"/>
      <c r="AB174" s="103">
        <v>0</v>
      </c>
      <c r="AC174" s="96"/>
      <c r="AD174" s="96"/>
      <c r="AE174" s="96"/>
      <c r="AF174" s="96"/>
      <c r="AG174" s="96"/>
      <c r="AH174" s="103">
        <v>0</v>
      </c>
      <c r="AI174" s="96"/>
      <c r="AJ174" s="96"/>
      <c r="AK174" s="103">
        <v>0</v>
      </c>
      <c r="AL174" s="96"/>
      <c r="AM174" s="96"/>
      <c r="AN174" s="103">
        <v>0</v>
      </c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96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89"/>
      <c r="B175" s="206" t="s">
        <v>426</v>
      </c>
      <c r="C175" s="101" t="s">
        <v>323</v>
      </c>
      <c r="D175" s="91" t="s">
        <v>353</v>
      </c>
      <c r="E175" s="92"/>
      <c r="F175" s="166"/>
      <c r="G175" s="94" t="e">
        <f t="shared" si="654"/>
        <v>#DIV/0!</v>
      </c>
      <c r="H175" s="94" t="e">
        <f t="shared" si="655"/>
        <v>#DIV/0!</v>
      </c>
      <c r="I175" s="95"/>
      <c r="J175" s="146">
        <v>250</v>
      </c>
      <c r="K175" s="146"/>
      <c r="L175" s="202"/>
      <c r="M175" s="97">
        <f t="shared" ref="M175:O175" si="735">Y175+AB175+AE175+AH175+AK175+AN175+AQ175+AT175+AW175+AZ175+BC175+BF175</f>
        <v>0</v>
      </c>
      <c r="N175" s="97">
        <f t="shared" si="735"/>
        <v>250</v>
      </c>
      <c r="O175" s="97">
        <f t="shared" si="735"/>
        <v>0</v>
      </c>
      <c r="P175" s="97">
        <f t="shared" ref="P175:R175" si="736">IF(BI175=0,SUM(Y175+AB175+AE175+AH175+AK175+AN175+AQ175+AT175+AW175+AZ175+BC175+BF175),BI175)</f>
        <v>0</v>
      </c>
      <c r="Q175" s="97">
        <f t="shared" si="736"/>
        <v>250</v>
      </c>
      <c r="R175" s="97">
        <f t="shared" si="736"/>
        <v>0</v>
      </c>
      <c r="S175" s="97">
        <f>I175-M175</f>
        <v>0</v>
      </c>
      <c r="T175" s="97">
        <f>J175-N175-K175</f>
        <v>0</v>
      </c>
      <c r="U175" s="97">
        <f t="shared" si="724"/>
        <v>0</v>
      </c>
      <c r="V175" s="98" t="e">
        <f t="shared" ref="V175:W175" si="737">M175/I175</f>
        <v>#DIV/0!</v>
      </c>
      <c r="W175" s="98">
        <f t="shared" si="737"/>
        <v>1</v>
      </c>
      <c r="X175" s="98" t="e">
        <f t="shared" si="726"/>
        <v>#DIV/0!</v>
      </c>
      <c r="Y175" s="96"/>
      <c r="Z175" s="103">
        <v>250</v>
      </c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6"/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240"/>
      <c r="B176" s="240"/>
      <c r="C176" s="229"/>
      <c r="D176" s="230" t="s">
        <v>427</v>
      </c>
      <c r="E176" s="231">
        <f t="shared" ref="E176:F176" si="738">SUM(E177:E182)</f>
        <v>0</v>
      </c>
      <c r="F176" s="231">
        <f t="shared" si="738"/>
        <v>36000</v>
      </c>
      <c r="G176" s="188" t="e">
        <f t="shared" si="654"/>
        <v>#DIV/0!</v>
      </c>
      <c r="H176" s="188" t="e">
        <f t="shared" si="655"/>
        <v>#DIV/0!</v>
      </c>
      <c r="I176" s="231">
        <f t="shared" ref="I176:O176" si="739">SUM(I177:I182)</f>
        <v>0</v>
      </c>
      <c r="J176" s="231">
        <f t="shared" si="739"/>
        <v>0</v>
      </c>
      <c r="K176" s="231">
        <f t="shared" si="739"/>
        <v>0</v>
      </c>
      <c r="L176" s="231">
        <f t="shared" si="739"/>
        <v>0</v>
      </c>
      <c r="M176" s="231">
        <f t="shared" si="739"/>
        <v>0</v>
      </c>
      <c r="N176" s="231">
        <f t="shared" si="739"/>
        <v>0</v>
      </c>
      <c r="O176" s="231">
        <f t="shared" si="739"/>
        <v>0</v>
      </c>
      <c r="P176" s="258">
        <f t="shared" ref="P176:R176" si="740">IF(BI176=0,SUM(Y176+AB176+AE176+AH176+AK176+AN176+AQ176+AT176+AW176+AZ176+BC176+BF176),BI176)</f>
        <v>0</v>
      </c>
      <c r="Q176" s="258">
        <f t="shared" si="740"/>
        <v>0</v>
      </c>
      <c r="R176" s="258">
        <f t="shared" si="740"/>
        <v>0</v>
      </c>
      <c r="S176" s="231">
        <f t="shared" ref="S176:U176" si="741">SUM(S177:S182)</f>
        <v>0</v>
      </c>
      <c r="T176" s="231">
        <f t="shared" si="741"/>
        <v>0</v>
      </c>
      <c r="U176" s="231">
        <f t="shared" si="741"/>
        <v>0</v>
      </c>
      <c r="V176" s="259" t="e">
        <f t="shared" ref="V176:W176" si="742">M176/I176</f>
        <v>#DIV/0!</v>
      </c>
      <c r="W176" s="259" t="e">
        <f t="shared" si="742"/>
        <v>#DIV/0!</v>
      </c>
      <c r="X176" s="259" t="e">
        <f t="shared" si="726"/>
        <v>#DIV/0!</v>
      </c>
      <c r="Y176" s="231">
        <f t="shared" ref="Y176:BK176" si="743">SUM(Y177:Y182)</f>
        <v>0</v>
      </c>
      <c r="Z176" s="231">
        <f t="shared" si="743"/>
        <v>0</v>
      </c>
      <c r="AA176" s="231">
        <f t="shared" si="743"/>
        <v>0</v>
      </c>
      <c r="AB176" s="231">
        <f t="shared" si="743"/>
        <v>0</v>
      </c>
      <c r="AC176" s="231">
        <f t="shared" si="743"/>
        <v>0</v>
      </c>
      <c r="AD176" s="231">
        <f t="shared" si="743"/>
        <v>0</v>
      </c>
      <c r="AE176" s="231">
        <f t="shared" si="743"/>
        <v>0</v>
      </c>
      <c r="AF176" s="231">
        <f t="shared" si="743"/>
        <v>0</v>
      </c>
      <c r="AG176" s="231">
        <f t="shared" si="743"/>
        <v>0</v>
      </c>
      <c r="AH176" s="231">
        <f t="shared" si="743"/>
        <v>0</v>
      </c>
      <c r="AI176" s="231">
        <f t="shared" si="743"/>
        <v>0</v>
      </c>
      <c r="AJ176" s="231">
        <f t="shared" si="743"/>
        <v>0</v>
      </c>
      <c r="AK176" s="231">
        <f t="shared" si="743"/>
        <v>0</v>
      </c>
      <c r="AL176" s="231">
        <f t="shared" si="743"/>
        <v>0</v>
      </c>
      <c r="AM176" s="231">
        <f t="shared" si="743"/>
        <v>0</v>
      </c>
      <c r="AN176" s="231">
        <f t="shared" si="743"/>
        <v>0</v>
      </c>
      <c r="AO176" s="231">
        <f t="shared" si="743"/>
        <v>0</v>
      </c>
      <c r="AP176" s="231">
        <f t="shared" si="743"/>
        <v>0</v>
      </c>
      <c r="AQ176" s="231">
        <f t="shared" si="743"/>
        <v>0</v>
      </c>
      <c r="AR176" s="231">
        <f t="shared" si="743"/>
        <v>0</v>
      </c>
      <c r="AS176" s="231">
        <f t="shared" si="743"/>
        <v>0</v>
      </c>
      <c r="AT176" s="231">
        <f t="shared" si="743"/>
        <v>0</v>
      </c>
      <c r="AU176" s="231">
        <f t="shared" si="743"/>
        <v>0</v>
      </c>
      <c r="AV176" s="231">
        <f t="shared" si="743"/>
        <v>0</v>
      </c>
      <c r="AW176" s="231">
        <f t="shared" si="743"/>
        <v>0</v>
      </c>
      <c r="AX176" s="231">
        <f t="shared" si="743"/>
        <v>0</v>
      </c>
      <c r="AY176" s="231">
        <f t="shared" si="743"/>
        <v>0</v>
      </c>
      <c r="AZ176" s="231">
        <f t="shared" si="743"/>
        <v>0</v>
      </c>
      <c r="BA176" s="231">
        <f t="shared" si="743"/>
        <v>0</v>
      </c>
      <c r="BB176" s="231">
        <f t="shared" si="743"/>
        <v>0</v>
      </c>
      <c r="BC176" s="231">
        <f t="shared" si="743"/>
        <v>0</v>
      </c>
      <c r="BD176" s="231">
        <f t="shared" si="743"/>
        <v>0</v>
      </c>
      <c r="BE176" s="231">
        <f t="shared" si="743"/>
        <v>0</v>
      </c>
      <c r="BF176" s="231">
        <f t="shared" si="743"/>
        <v>0</v>
      </c>
      <c r="BG176" s="231">
        <f t="shared" si="743"/>
        <v>0</v>
      </c>
      <c r="BH176" s="231">
        <f t="shared" si="743"/>
        <v>0</v>
      </c>
      <c r="BI176" s="231">
        <f t="shared" si="743"/>
        <v>0</v>
      </c>
      <c r="BJ176" s="231">
        <f t="shared" si="743"/>
        <v>0</v>
      </c>
      <c r="BK176" s="231">
        <f t="shared" si="743"/>
        <v>0</v>
      </c>
      <c r="BL176" s="233"/>
      <c r="BM176" s="234"/>
      <c r="BN176" s="234"/>
      <c r="BO176" s="234"/>
      <c r="BP176" s="234"/>
    </row>
    <row r="177" spans="1:68" ht="15.75" customHeight="1">
      <c r="A177" s="89"/>
      <c r="B177" s="136"/>
      <c r="C177" s="90" t="s">
        <v>165</v>
      </c>
      <c r="D177" s="144" t="s">
        <v>428</v>
      </c>
      <c r="E177" s="166"/>
      <c r="F177" s="166"/>
      <c r="G177" s="94" t="e">
        <f t="shared" si="654"/>
        <v>#DIV/0!</v>
      </c>
      <c r="H177" s="94" t="e">
        <f t="shared" si="655"/>
        <v>#DIV/0!</v>
      </c>
      <c r="I177" s="95"/>
      <c r="J177" s="146">
        <v>0</v>
      </c>
      <c r="K177" s="146"/>
      <c r="L177" s="202"/>
      <c r="M177" s="97">
        <f t="shared" ref="M177:O177" si="744">Y177+AB177+AE177+AH177+AK177+AN177+AQ177+AT177+AW177+AZ177+BC177+BF177</f>
        <v>0</v>
      </c>
      <c r="N177" s="97">
        <f t="shared" si="744"/>
        <v>0</v>
      </c>
      <c r="O177" s="97">
        <f t="shared" si="744"/>
        <v>0</v>
      </c>
      <c r="P177" s="97">
        <f t="shared" ref="P177:R177" si="745">IF(BI177=0,SUM(Y177+AB177+AE177+AH177+AK177+AN177+AQ177+AT177+AW177+AZ177+BC177+BF177),BI177)</f>
        <v>0</v>
      </c>
      <c r="Q177" s="97">
        <f t="shared" si="745"/>
        <v>0</v>
      </c>
      <c r="R177" s="97">
        <f t="shared" si="745"/>
        <v>0</v>
      </c>
      <c r="S177" s="97">
        <f t="shared" ref="S177:T177" si="746">I177-M177</f>
        <v>0</v>
      </c>
      <c r="T177" s="97">
        <f t="shared" si="746"/>
        <v>0</v>
      </c>
      <c r="U177" s="97">
        <f t="shared" ref="U177:U182" si="747">L177-O177</f>
        <v>0</v>
      </c>
      <c r="V177" s="98" t="e">
        <f t="shared" ref="V177:W177" si="748">M177/I177</f>
        <v>#DIV/0!</v>
      </c>
      <c r="W177" s="98" t="e">
        <f t="shared" si="748"/>
        <v>#DIV/0!</v>
      </c>
      <c r="X177" s="98" t="e">
        <f t="shared" si="726"/>
        <v>#DIV/0!</v>
      </c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103">
        <v>0</v>
      </c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9"/>
      <c r="BM177" s="100"/>
      <c r="BN177" s="100"/>
      <c r="BO177" s="100"/>
      <c r="BP177" s="100"/>
    </row>
    <row r="178" spans="1:68" ht="15.75" customHeight="1">
      <c r="A178" s="89"/>
      <c r="B178" s="89"/>
      <c r="C178" s="90" t="s">
        <v>165</v>
      </c>
      <c r="D178" s="144" t="s">
        <v>429</v>
      </c>
      <c r="E178" s="166"/>
      <c r="F178" s="166"/>
      <c r="G178" s="94" t="e">
        <f t="shared" si="654"/>
        <v>#DIV/0!</v>
      </c>
      <c r="H178" s="94" t="e">
        <f t="shared" si="655"/>
        <v>#DIV/0!</v>
      </c>
      <c r="I178" s="95"/>
      <c r="J178" s="95"/>
      <c r="K178" s="95"/>
      <c r="L178" s="202"/>
      <c r="M178" s="97">
        <f t="shared" ref="M178:O178" si="749">Y178+AB178+AE178+AH178+AK178+AN178+AQ178+AT178+AW178+AZ178+BC178+BF178</f>
        <v>0</v>
      </c>
      <c r="N178" s="97">
        <f t="shared" si="749"/>
        <v>0</v>
      </c>
      <c r="O178" s="97">
        <f t="shared" si="749"/>
        <v>0</v>
      </c>
      <c r="P178" s="97">
        <f t="shared" ref="P178:R178" si="750">IF(BI178=0,SUM(Y178+AB178+AE178+AH178+AK178+AN178+AQ178+AT178+AW178+AZ178+BC178+BF178),BI178)</f>
        <v>0</v>
      </c>
      <c r="Q178" s="97">
        <f t="shared" si="750"/>
        <v>0</v>
      </c>
      <c r="R178" s="97">
        <f t="shared" si="750"/>
        <v>0</v>
      </c>
      <c r="S178" s="97">
        <f t="shared" ref="S178:T178" si="751">I178-M178</f>
        <v>0</v>
      </c>
      <c r="T178" s="97">
        <f t="shared" si="751"/>
        <v>0</v>
      </c>
      <c r="U178" s="97">
        <f t="shared" si="747"/>
        <v>0</v>
      </c>
      <c r="V178" s="98" t="e">
        <f t="shared" ref="V178:W178" si="752">M178/I178</f>
        <v>#DIV/0!</v>
      </c>
      <c r="W178" s="98" t="e">
        <f t="shared" si="752"/>
        <v>#DIV/0!</v>
      </c>
      <c r="X178" s="98" t="e">
        <f t="shared" si="726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101" t="s">
        <v>275</v>
      </c>
      <c r="D179" s="265" t="s">
        <v>430</v>
      </c>
      <c r="E179" s="166"/>
      <c r="F179" s="195">
        <v>1000</v>
      </c>
      <c r="G179" s="94"/>
      <c r="H179" s="94"/>
      <c r="I179" s="95"/>
      <c r="J179" s="95"/>
      <c r="K179" s="95"/>
      <c r="L179" s="202"/>
      <c r="M179" s="97">
        <f t="shared" ref="M179:O179" si="753">Y179+AB179+AE179+AH179+AK179+AN179+AQ179+AT179+AW179+AZ179+BC179+BF179</f>
        <v>0</v>
      </c>
      <c r="N179" s="97">
        <f t="shared" si="753"/>
        <v>0</v>
      </c>
      <c r="O179" s="97">
        <f t="shared" si="753"/>
        <v>0</v>
      </c>
      <c r="P179" s="97">
        <f t="shared" ref="P179:R179" si="754">IF(BI179=0,SUM(Y179+AB179+AE179+AH179+AK179+AN179+AQ179+AT179+AW179+AZ179+BC179+BF179),BI179)</f>
        <v>0</v>
      </c>
      <c r="Q179" s="97">
        <f t="shared" si="754"/>
        <v>0</v>
      </c>
      <c r="R179" s="97">
        <f t="shared" si="754"/>
        <v>0</v>
      </c>
      <c r="S179" s="97">
        <f t="shared" ref="S179:T179" si="755">I179-M179</f>
        <v>0</v>
      </c>
      <c r="T179" s="97">
        <f t="shared" si="755"/>
        <v>0</v>
      </c>
      <c r="U179" s="97">
        <f t="shared" si="747"/>
        <v>0</v>
      </c>
      <c r="V179" s="98" t="e">
        <f t="shared" ref="V179:W179" si="756">M179/I179</f>
        <v>#DIV/0!</v>
      </c>
      <c r="W179" s="98" t="e">
        <f t="shared" si="756"/>
        <v>#DIV/0!</v>
      </c>
      <c r="X179" s="98" t="e">
        <f t="shared" si="726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431</v>
      </c>
      <c r="D180" s="265" t="s">
        <v>430</v>
      </c>
      <c r="E180" s="166"/>
      <c r="F180" s="195">
        <v>18000</v>
      </c>
      <c r="G180" s="94"/>
      <c r="H180" s="94"/>
      <c r="I180" s="95"/>
      <c r="J180" s="95"/>
      <c r="K180" s="95"/>
      <c r="L180" s="202"/>
      <c r="M180" s="97">
        <f t="shared" ref="M180:O180" si="757">Y180+AB180+AE180+AH180+AK180+AN180+AQ180+AT180+AW180+AZ180+BC180+BF180</f>
        <v>0</v>
      </c>
      <c r="N180" s="97">
        <f t="shared" si="757"/>
        <v>0</v>
      </c>
      <c r="O180" s="97">
        <f t="shared" si="757"/>
        <v>0</v>
      </c>
      <c r="P180" s="97">
        <f t="shared" ref="P180:R180" si="758">IF(BI180=0,SUM(Y180+AB180+AE180+AH180+AK180+AN180+AQ180+AT180+AW180+AZ180+BC180+BF180),BI180)</f>
        <v>0</v>
      </c>
      <c r="Q180" s="97">
        <f t="shared" si="758"/>
        <v>0</v>
      </c>
      <c r="R180" s="97">
        <f t="shared" si="758"/>
        <v>0</v>
      </c>
      <c r="S180" s="97">
        <f t="shared" ref="S180:T180" si="759">I180-M180</f>
        <v>0</v>
      </c>
      <c r="T180" s="97">
        <f t="shared" si="759"/>
        <v>0</v>
      </c>
      <c r="U180" s="97">
        <f t="shared" si="747"/>
        <v>0</v>
      </c>
      <c r="V180" s="98" t="e">
        <f t="shared" ref="V180:W180" si="760">M180/I180</f>
        <v>#DIV/0!</v>
      </c>
      <c r="W180" s="98" t="e">
        <f t="shared" si="760"/>
        <v>#DIV/0!</v>
      </c>
      <c r="X180" s="98" t="e">
        <f t="shared" si="726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255</v>
      </c>
      <c r="D181" s="265" t="s">
        <v>430</v>
      </c>
      <c r="E181" s="166"/>
      <c r="F181" s="195">
        <v>17000</v>
      </c>
      <c r="G181" s="94"/>
      <c r="H181" s="94"/>
      <c r="I181" s="95"/>
      <c r="J181" s="95"/>
      <c r="K181" s="95"/>
      <c r="L181" s="202"/>
      <c r="M181" s="97">
        <f t="shared" ref="M181:O181" si="761">Y181+AB181+AE181+AH181+AK181+AN181+AQ181+AT181+AW181+AZ181+BC181+BF181</f>
        <v>0</v>
      </c>
      <c r="N181" s="97">
        <f t="shared" si="761"/>
        <v>0</v>
      </c>
      <c r="O181" s="97">
        <f t="shared" si="761"/>
        <v>0</v>
      </c>
      <c r="P181" s="97">
        <f t="shared" ref="P181:R181" si="762">IF(BI181=0,SUM(Y181+AB181+AE181+AH181+AK181+AN181+AQ181+AT181+AW181+AZ181+BC181+BF181),BI181)</f>
        <v>0</v>
      </c>
      <c r="Q181" s="97">
        <f t="shared" si="762"/>
        <v>0</v>
      </c>
      <c r="R181" s="97">
        <f t="shared" si="762"/>
        <v>0</v>
      </c>
      <c r="S181" s="97">
        <f t="shared" ref="S181:T181" si="763">I181-M181</f>
        <v>0</v>
      </c>
      <c r="T181" s="97">
        <f t="shared" si="763"/>
        <v>0</v>
      </c>
      <c r="U181" s="97">
        <f t="shared" si="747"/>
        <v>0</v>
      </c>
      <c r="V181" s="98" t="e">
        <f t="shared" ref="V181:W181" si="764">M181/I181</f>
        <v>#DIV/0!</v>
      </c>
      <c r="W181" s="98" t="e">
        <f t="shared" si="764"/>
        <v>#DIV/0!</v>
      </c>
      <c r="X181" s="98" t="e">
        <f t="shared" si="726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90" t="s">
        <v>298</v>
      </c>
      <c r="D182" s="91" t="s">
        <v>432</v>
      </c>
      <c r="E182" s="166"/>
      <c r="F182" s="166"/>
      <c r="G182" s="94" t="e">
        <f t="shared" ref="G182:G184" si="765">I182/E182</f>
        <v>#DIV/0!</v>
      </c>
      <c r="H182" s="94" t="e">
        <f t="shared" ref="H182:H184" si="766">M182/E182</f>
        <v>#DIV/0!</v>
      </c>
      <c r="I182" s="95"/>
      <c r="J182" s="95"/>
      <c r="K182" s="95"/>
      <c r="L182" s="266"/>
      <c r="M182" s="97">
        <f t="shared" ref="M182:O182" si="767">Y182+AB182+AE182+AH182+AK182+AN182+AQ182+AT182+AW182+AZ182+BC182+BF182</f>
        <v>0</v>
      </c>
      <c r="N182" s="97">
        <f t="shared" si="767"/>
        <v>0</v>
      </c>
      <c r="O182" s="97">
        <f t="shared" si="767"/>
        <v>0</v>
      </c>
      <c r="P182" s="97">
        <f t="shared" ref="P182:R182" si="768">IF(BI182=0,SUM(Y182+AB182+AE182+AH182+AK182+AN182+AQ182+AT182+AW182+AZ182+BC182+BF182),BI182)</f>
        <v>0</v>
      </c>
      <c r="Q182" s="97">
        <f t="shared" si="768"/>
        <v>0</v>
      </c>
      <c r="R182" s="97">
        <f t="shared" si="768"/>
        <v>0</v>
      </c>
      <c r="S182" s="97">
        <f t="shared" ref="S182:T182" si="769">I182-M182</f>
        <v>0</v>
      </c>
      <c r="T182" s="97">
        <f t="shared" si="769"/>
        <v>0</v>
      </c>
      <c r="U182" s="97">
        <f t="shared" si="747"/>
        <v>0</v>
      </c>
      <c r="V182" s="98" t="e">
        <f t="shared" ref="V182:W182" si="770">M182/I182</f>
        <v>#DIV/0!</v>
      </c>
      <c r="W182" s="98" t="e">
        <f t="shared" si="770"/>
        <v>#DIV/0!</v>
      </c>
      <c r="X182" s="98" t="e">
        <f t="shared" si="726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103">
        <v>0</v>
      </c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267"/>
      <c r="B183" s="267"/>
      <c r="C183" s="268"/>
      <c r="D183" s="269" t="s">
        <v>433</v>
      </c>
      <c r="E183" s="270">
        <f t="shared" ref="E183:F183" si="771">SUM(E184:E187)</f>
        <v>0</v>
      </c>
      <c r="F183" s="270">
        <f t="shared" si="771"/>
        <v>0</v>
      </c>
      <c r="G183" s="223" t="e">
        <f t="shared" si="765"/>
        <v>#DIV/0!</v>
      </c>
      <c r="H183" s="223" t="e">
        <f t="shared" si="766"/>
        <v>#DIV/0!</v>
      </c>
      <c r="I183" s="270">
        <f t="shared" ref="I183:O183" si="772">SUM(I184:I187)</f>
        <v>0</v>
      </c>
      <c r="J183" s="270">
        <f t="shared" si="772"/>
        <v>734.93000000000006</v>
      </c>
      <c r="K183" s="270">
        <f t="shared" si="772"/>
        <v>0</v>
      </c>
      <c r="L183" s="270">
        <f t="shared" si="772"/>
        <v>0</v>
      </c>
      <c r="M183" s="270">
        <f t="shared" si="772"/>
        <v>0</v>
      </c>
      <c r="N183" s="270">
        <f t="shared" si="772"/>
        <v>376.89</v>
      </c>
      <c r="O183" s="270">
        <f t="shared" si="772"/>
        <v>0</v>
      </c>
      <c r="P183" s="238">
        <f t="shared" ref="P183:R183" si="773">IF(BI183=0,SUM(Y183+AB183+AE183+AH183+AK183+AN183+AQ183+AT183+AW183+AZ183+BC183+BF183),BI183)</f>
        <v>0</v>
      </c>
      <c r="Q183" s="238">
        <f t="shared" si="773"/>
        <v>376.89</v>
      </c>
      <c r="R183" s="238">
        <f t="shared" si="773"/>
        <v>0</v>
      </c>
      <c r="S183" s="270">
        <f t="shared" ref="S183:U183" si="774">SUM(S184:S187)</f>
        <v>0</v>
      </c>
      <c r="T183" s="270">
        <f t="shared" si="774"/>
        <v>358.04</v>
      </c>
      <c r="U183" s="270">
        <f t="shared" si="774"/>
        <v>0</v>
      </c>
      <c r="V183" s="271" t="e">
        <f t="shared" ref="V183:W183" si="775">M183/I183</f>
        <v>#DIV/0!</v>
      </c>
      <c r="W183" s="271">
        <f t="shared" si="775"/>
        <v>0.51282435061842613</v>
      </c>
      <c r="X183" s="271" t="e">
        <f t="shared" si="726"/>
        <v>#DIV/0!</v>
      </c>
      <c r="Y183" s="270">
        <f t="shared" ref="Y183:BK183" si="776">SUM(Y184:Y187)</f>
        <v>0</v>
      </c>
      <c r="Z183" s="270">
        <f t="shared" si="776"/>
        <v>0</v>
      </c>
      <c r="AA183" s="270">
        <f t="shared" si="776"/>
        <v>0</v>
      </c>
      <c r="AB183" s="270">
        <f t="shared" si="776"/>
        <v>0</v>
      </c>
      <c r="AC183" s="270">
        <f t="shared" si="776"/>
        <v>0</v>
      </c>
      <c r="AD183" s="270">
        <f t="shared" si="776"/>
        <v>0</v>
      </c>
      <c r="AE183" s="270">
        <f t="shared" si="776"/>
        <v>0</v>
      </c>
      <c r="AF183" s="270">
        <f t="shared" si="776"/>
        <v>0</v>
      </c>
      <c r="AG183" s="270">
        <f t="shared" si="776"/>
        <v>0</v>
      </c>
      <c r="AH183" s="270">
        <f t="shared" si="776"/>
        <v>0</v>
      </c>
      <c r="AI183" s="270">
        <f t="shared" si="776"/>
        <v>376.89</v>
      </c>
      <c r="AJ183" s="270">
        <f t="shared" si="776"/>
        <v>0</v>
      </c>
      <c r="AK183" s="270">
        <f t="shared" si="776"/>
        <v>0</v>
      </c>
      <c r="AL183" s="270">
        <f t="shared" si="776"/>
        <v>0</v>
      </c>
      <c r="AM183" s="270">
        <f t="shared" si="776"/>
        <v>0</v>
      </c>
      <c r="AN183" s="270">
        <f t="shared" si="776"/>
        <v>0</v>
      </c>
      <c r="AO183" s="270">
        <f t="shared" si="776"/>
        <v>0</v>
      </c>
      <c r="AP183" s="270">
        <f t="shared" si="776"/>
        <v>0</v>
      </c>
      <c r="AQ183" s="270">
        <f t="shared" si="776"/>
        <v>0</v>
      </c>
      <c r="AR183" s="270">
        <f t="shared" si="776"/>
        <v>0</v>
      </c>
      <c r="AS183" s="270">
        <f t="shared" si="776"/>
        <v>0</v>
      </c>
      <c r="AT183" s="270">
        <f t="shared" si="776"/>
        <v>0</v>
      </c>
      <c r="AU183" s="270">
        <f t="shared" si="776"/>
        <v>0</v>
      </c>
      <c r="AV183" s="270">
        <f t="shared" si="776"/>
        <v>0</v>
      </c>
      <c r="AW183" s="270">
        <f t="shared" si="776"/>
        <v>0</v>
      </c>
      <c r="AX183" s="270">
        <f t="shared" si="776"/>
        <v>0</v>
      </c>
      <c r="AY183" s="270">
        <f t="shared" si="776"/>
        <v>0</v>
      </c>
      <c r="AZ183" s="270">
        <f t="shared" si="776"/>
        <v>0</v>
      </c>
      <c r="BA183" s="270">
        <f t="shared" si="776"/>
        <v>0</v>
      </c>
      <c r="BB183" s="270">
        <f t="shared" si="776"/>
        <v>0</v>
      </c>
      <c r="BC183" s="270">
        <f t="shared" si="776"/>
        <v>0</v>
      </c>
      <c r="BD183" s="270">
        <f t="shared" si="776"/>
        <v>0</v>
      </c>
      <c r="BE183" s="270">
        <f t="shared" si="776"/>
        <v>0</v>
      </c>
      <c r="BF183" s="270">
        <f t="shared" si="776"/>
        <v>0</v>
      </c>
      <c r="BG183" s="270">
        <f t="shared" si="776"/>
        <v>0</v>
      </c>
      <c r="BH183" s="270">
        <f t="shared" si="776"/>
        <v>0</v>
      </c>
      <c r="BI183" s="270">
        <f t="shared" si="776"/>
        <v>0</v>
      </c>
      <c r="BJ183" s="270">
        <f t="shared" si="776"/>
        <v>0</v>
      </c>
      <c r="BK183" s="270">
        <f t="shared" si="776"/>
        <v>0</v>
      </c>
      <c r="BL183" s="233"/>
      <c r="BM183" s="234"/>
      <c r="BN183" s="234"/>
      <c r="BO183" s="234"/>
      <c r="BP183" s="234"/>
    </row>
    <row r="184" spans="1:68" ht="15.75" customHeight="1">
      <c r="A184" s="89"/>
      <c r="B184" s="136" t="s">
        <v>434</v>
      </c>
      <c r="C184" s="101" t="s">
        <v>435</v>
      </c>
      <c r="D184" s="91" t="s">
        <v>436</v>
      </c>
      <c r="E184" s="166"/>
      <c r="F184" s="166"/>
      <c r="G184" s="94" t="e">
        <f t="shared" si="765"/>
        <v>#DIV/0!</v>
      </c>
      <c r="H184" s="94" t="e">
        <f t="shared" si="766"/>
        <v>#DIV/0!</v>
      </c>
      <c r="I184" s="95"/>
      <c r="J184" s="146">
        <v>376.89</v>
      </c>
      <c r="K184" s="146"/>
      <c r="L184" s="272"/>
      <c r="M184" s="97">
        <f t="shared" ref="M184:O184" si="777">Y184+AB184+AE184+AH184+AK184+AN184+AQ184+AT184+AW184+AZ184+BC184+BF184</f>
        <v>0</v>
      </c>
      <c r="N184" s="97">
        <f t="shared" si="777"/>
        <v>376.89</v>
      </c>
      <c r="O184" s="97">
        <f t="shared" si="777"/>
        <v>0</v>
      </c>
      <c r="P184" s="97">
        <f t="shared" ref="P184:R184" si="778">IF(BI184=0,SUM(Y184+AB184+AE184+AH184+AK184+AN184+AQ184+AT184+AW184+AZ184+BC184+BF184),BI184)</f>
        <v>0</v>
      </c>
      <c r="Q184" s="97">
        <f t="shared" si="778"/>
        <v>376.89</v>
      </c>
      <c r="R184" s="97">
        <f t="shared" si="778"/>
        <v>0</v>
      </c>
      <c r="S184" s="97">
        <f t="shared" ref="S184:T184" si="779">I184-M184</f>
        <v>0</v>
      </c>
      <c r="T184" s="97">
        <f t="shared" si="779"/>
        <v>0</v>
      </c>
      <c r="U184" s="97">
        <f t="shared" ref="U184:U187" si="780">L184-O184</f>
        <v>0</v>
      </c>
      <c r="V184" s="98" t="e">
        <f t="shared" ref="V184:W184" si="781">M184/I184</f>
        <v>#DIV/0!</v>
      </c>
      <c r="W184" s="98">
        <f t="shared" si="781"/>
        <v>1</v>
      </c>
      <c r="X184" s="98" t="e">
        <f t="shared" si="726"/>
        <v>#DIV/0!</v>
      </c>
      <c r="Y184" s="96"/>
      <c r="Z184" s="96"/>
      <c r="AA184" s="96"/>
      <c r="AB184" s="96"/>
      <c r="AC184" s="103">
        <v>0</v>
      </c>
      <c r="AD184" s="96"/>
      <c r="AE184" s="96"/>
      <c r="AF184" s="96"/>
      <c r="AG184" s="96"/>
      <c r="AH184" s="96"/>
      <c r="AI184" s="103">
        <v>376.89</v>
      </c>
      <c r="AJ184" s="96"/>
      <c r="AK184" s="96"/>
      <c r="AL184" s="96"/>
      <c r="AM184" s="96"/>
      <c r="AN184" s="96"/>
      <c r="AO184" s="96"/>
      <c r="AP184" s="96"/>
      <c r="AQ184" s="96"/>
      <c r="AR184" s="96"/>
      <c r="AS184" s="96"/>
      <c r="AT184" s="96"/>
      <c r="AU184" s="96"/>
      <c r="AV184" s="96"/>
      <c r="AW184" s="96"/>
      <c r="AX184" s="96"/>
      <c r="AY184" s="96"/>
      <c r="AZ184" s="96"/>
      <c r="BA184" s="96"/>
      <c r="BB184" s="96"/>
      <c r="BC184" s="96"/>
      <c r="BD184" s="96"/>
      <c r="BE184" s="96"/>
      <c r="BF184" s="96"/>
      <c r="BG184" s="96"/>
      <c r="BH184" s="96"/>
      <c r="BI184" s="96"/>
      <c r="BJ184" s="96"/>
      <c r="BK184" s="96"/>
      <c r="BL184" s="99"/>
      <c r="BM184" s="100"/>
      <c r="BN184" s="100"/>
      <c r="BO184" s="100"/>
      <c r="BP184" s="100"/>
    </row>
    <row r="185" spans="1:68" ht="15.75" customHeight="1">
      <c r="A185" s="89"/>
      <c r="B185" s="273" t="s">
        <v>437</v>
      </c>
      <c r="C185" s="274" t="s">
        <v>438</v>
      </c>
      <c r="D185" s="236" t="s">
        <v>439</v>
      </c>
      <c r="E185" s="166"/>
      <c r="F185" s="166"/>
      <c r="G185" s="94"/>
      <c r="H185" s="94"/>
      <c r="I185" s="95"/>
      <c r="J185" s="275">
        <v>358.04</v>
      </c>
      <c r="K185" s="95"/>
      <c r="L185" s="272"/>
      <c r="M185" s="97">
        <f t="shared" ref="M185:O185" si="782">Y185+AB185+AE185+AH185+AK185+AN185+AQ185+AT185+AW185+AZ185+BC185+BF185</f>
        <v>0</v>
      </c>
      <c r="N185" s="97">
        <f t="shared" si="782"/>
        <v>0</v>
      </c>
      <c r="O185" s="97">
        <f t="shared" si="782"/>
        <v>0</v>
      </c>
      <c r="P185" s="97">
        <f t="shared" ref="P185:R185" si="783">IF(BI185=0,SUM(Y185+AB185+AE185+AH185+AK185+AN185+AQ185+AT185+AW185+AZ185+BC185+BF185),BI185)</f>
        <v>0</v>
      </c>
      <c r="Q185" s="97">
        <f t="shared" si="783"/>
        <v>0</v>
      </c>
      <c r="R185" s="97">
        <f t="shared" si="783"/>
        <v>0</v>
      </c>
      <c r="S185" s="97">
        <f t="shared" ref="S185:T185" si="784">I185-M185</f>
        <v>0</v>
      </c>
      <c r="T185" s="97">
        <f t="shared" si="784"/>
        <v>358.04</v>
      </c>
      <c r="U185" s="97">
        <f t="shared" si="780"/>
        <v>0</v>
      </c>
      <c r="V185" s="98" t="e">
        <f t="shared" ref="V185:W185" si="785">M185/I185</f>
        <v>#DIV/0!</v>
      </c>
      <c r="W185" s="98">
        <f t="shared" si="785"/>
        <v>0</v>
      </c>
      <c r="X185" s="98" t="e">
        <f t="shared" si="726"/>
        <v>#DIV/0!</v>
      </c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89"/>
      <c r="C186" s="90" t="s">
        <v>318</v>
      </c>
      <c r="D186" s="91" t="s">
        <v>440</v>
      </c>
      <c r="E186" s="166"/>
      <c r="F186" s="166"/>
      <c r="G186" s="94" t="e">
        <f t="shared" ref="G186:G187" si="786">I186/E186</f>
        <v>#DIV/0!</v>
      </c>
      <c r="H186" s="94" t="e">
        <f t="shared" ref="H186:H187" si="787">M186/E186</f>
        <v>#DIV/0!</v>
      </c>
      <c r="I186" s="95"/>
      <c r="J186" s="95"/>
      <c r="K186" s="95"/>
      <c r="L186" s="272"/>
      <c r="M186" s="97">
        <f t="shared" ref="M186:O186" si="788">Y186+AB186+AE186+AH186+AK186+AN186+AQ186+AT186+AW186+AZ186+BC186+BF186</f>
        <v>0</v>
      </c>
      <c r="N186" s="97">
        <f t="shared" si="788"/>
        <v>0</v>
      </c>
      <c r="O186" s="97">
        <f t="shared" si="788"/>
        <v>0</v>
      </c>
      <c r="P186" s="97">
        <f t="shared" ref="P186:R186" si="789">IF(BI186=0,SUM(Y186+AB186+AE186+AH186+AK186+AN186+AQ186+AT186+AW186+AZ186+BC186+BF186),BI186)</f>
        <v>0</v>
      </c>
      <c r="Q186" s="97">
        <f t="shared" si="789"/>
        <v>0</v>
      </c>
      <c r="R186" s="97">
        <f t="shared" si="789"/>
        <v>0</v>
      </c>
      <c r="S186" s="97">
        <f t="shared" ref="S186:T186" si="790">I186-M186</f>
        <v>0</v>
      </c>
      <c r="T186" s="97">
        <f t="shared" si="790"/>
        <v>0</v>
      </c>
      <c r="U186" s="97">
        <f t="shared" si="780"/>
        <v>0</v>
      </c>
      <c r="V186" s="98" t="e">
        <f t="shared" ref="V186:W186" si="791">M186/I186</f>
        <v>#DIV/0!</v>
      </c>
      <c r="W186" s="98" t="e">
        <f t="shared" si="791"/>
        <v>#DIV/0!</v>
      </c>
      <c r="X186" s="98" t="e">
        <f t="shared" si="726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357</v>
      </c>
      <c r="D187" s="91" t="s">
        <v>441</v>
      </c>
      <c r="E187" s="166"/>
      <c r="F187" s="166"/>
      <c r="G187" s="94" t="e">
        <f t="shared" si="786"/>
        <v>#DIV/0!</v>
      </c>
      <c r="H187" s="94" t="e">
        <f t="shared" si="787"/>
        <v>#DIV/0!</v>
      </c>
      <c r="I187" s="95"/>
      <c r="J187" s="95"/>
      <c r="K187" s="95"/>
      <c r="L187" s="276"/>
      <c r="M187" s="97">
        <f t="shared" ref="M187:O187" si="792">Y187+AB187+AE187+AH187+AK187+AN187+AQ187+AT187+AW187+AZ187+BC187+BF187</f>
        <v>0</v>
      </c>
      <c r="N187" s="97">
        <f t="shared" si="792"/>
        <v>0</v>
      </c>
      <c r="O187" s="97">
        <f t="shared" si="792"/>
        <v>0</v>
      </c>
      <c r="P187" s="97">
        <f t="shared" ref="P187:R187" si="793">IF(BI187=0,SUM(Y187+AB187+AE187+AH187+AK187+AN187+AQ187+AT187+AW187+AZ187+BC187+BF187),BI187)</f>
        <v>0</v>
      </c>
      <c r="Q187" s="97">
        <f t="shared" si="793"/>
        <v>0</v>
      </c>
      <c r="R187" s="97">
        <f t="shared" si="793"/>
        <v>0</v>
      </c>
      <c r="S187" s="97">
        <f t="shared" ref="S187:T187" si="794">I187-M187</f>
        <v>0</v>
      </c>
      <c r="T187" s="97">
        <f t="shared" si="794"/>
        <v>0</v>
      </c>
      <c r="U187" s="97">
        <f t="shared" si="780"/>
        <v>0</v>
      </c>
      <c r="V187" s="98" t="e">
        <f t="shared" ref="V187:W187" si="795">M187/I187</f>
        <v>#DIV/0!</v>
      </c>
      <c r="W187" s="98" t="e">
        <f t="shared" si="795"/>
        <v>#DIV/0!</v>
      </c>
      <c r="X187" s="98" t="e">
        <f t="shared" si="726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277"/>
      <c r="B188" s="277"/>
      <c r="C188" s="278"/>
      <c r="D188" s="279"/>
      <c r="E188" s="279"/>
      <c r="F188" s="279"/>
      <c r="G188" s="280"/>
      <c r="H188" s="280"/>
      <c r="I188" s="280"/>
      <c r="J188" s="280"/>
      <c r="K188" s="280"/>
      <c r="L188" s="280"/>
      <c r="M188" s="280"/>
      <c r="N188" s="280"/>
      <c r="O188" s="280"/>
      <c r="P188" s="281"/>
      <c r="Q188" s="281"/>
      <c r="R188" s="281"/>
      <c r="S188" s="280"/>
      <c r="T188" s="280"/>
      <c r="U188" s="280"/>
      <c r="V188" s="280"/>
      <c r="W188" s="282"/>
      <c r="X188" s="280"/>
      <c r="Y188" s="280"/>
      <c r="Z188" s="280"/>
      <c r="AA188" s="280"/>
      <c r="AB188" s="280"/>
      <c r="AC188" s="280"/>
      <c r="AD188" s="280"/>
      <c r="AE188" s="280"/>
      <c r="AF188" s="280"/>
      <c r="AG188" s="280"/>
      <c r="AH188" s="280"/>
      <c r="AI188" s="280"/>
      <c r="AJ188" s="280"/>
      <c r="AK188" s="280"/>
      <c r="AL188" s="280"/>
      <c r="AM188" s="280"/>
      <c r="AN188" s="280"/>
      <c r="AO188" s="280"/>
      <c r="AP188" s="280"/>
      <c r="AQ188" s="280"/>
      <c r="AR188" s="280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0"/>
      <c r="BC188" s="280"/>
      <c r="BD188" s="280"/>
      <c r="BE188" s="280"/>
      <c r="BF188" s="280"/>
      <c r="BG188" s="280"/>
      <c r="BH188" s="280"/>
      <c r="BI188" s="280"/>
      <c r="BJ188" s="280"/>
      <c r="BK188" s="280"/>
      <c r="BL188" s="21"/>
      <c r="BM188" s="21"/>
      <c r="BN188" s="21"/>
      <c r="BO188" s="21"/>
      <c r="BP188" s="21"/>
    </row>
    <row r="189" spans="1:68" ht="15.75" customHeight="1">
      <c r="A189" s="277"/>
      <c r="B189" s="277"/>
      <c r="C189" s="278"/>
      <c r="D189" s="283" t="s">
        <v>442</v>
      </c>
      <c r="E189" s="284" t="s">
        <v>62</v>
      </c>
      <c r="F189" s="284" t="s">
        <v>63</v>
      </c>
      <c r="G189" s="571" t="s">
        <v>443</v>
      </c>
      <c r="H189" s="561"/>
      <c r="I189" s="285" t="s">
        <v>62</v>
      </c>
      <c r="J189" s="285" t="s">
        <v>147</v>
      </c>
      <c r="K189" s="285"/>
      <c r="L189" s="285" t="s">
        <v>63</v>
      </c>
      <c r="M189" s="285" t="s">
        <v>62</v>
      </c>
      <c r="N189" s="285" t="s">
        <v>147</v>
      </c>
      <c r="O189" s="285" t="s">
        <v>63</v>
      </c>
      <c r="P189" s="285" t="s">
        <v>62</v>
      </c>
      <c r="Q189" s="285" t="s">
        <v>147</v>
      </c>
      <c r="R189" s="285" t="s">
        <v>63</v>
      </c>
      <c r="S189" s="286"/>
      <c r="T189" s="286"/>
      <c r="U189" s="286"/>
      <c r="V189" s="286"/>
      <c r="W189" s="287"/>
      <c r="X189" s="286"/>
      <c r="Y189" s="571" t="s">
        <v>444</v>
      </c>
      <c r="Z189" s="560"/>
      <c r="AA189" s="560"/>
      <c r="AB189" s="560"/>
      <c r="AC189" s="560"/>
      <c r="AD189" s="561"/>
      <c r="AE189" s="559" t="s">
        <v>445</v>
      </c>
      <c r="AF189" s="560"/>
      <c r="AG189" s="560"/>
      <c r="AH189" s="560"/>
      <c r="AI189" s="560"/>
      <c r="AJ189" s="561"/>
      <c r="AK189" s="574" t="s">
        <v>446</v>
      </c>
      <c r="AL189" s="560"/>
      <c r="AM189" s="560"/>
      <c r="AN189" s="560"/>
      <c r="AO189" s="560"/>
      <c r="AP189" s="561"/>
      <c r="AQ189" s="559" t="s">
        <v>447</v>
      </c>
      <c r="AR189" s="560"/>
      <c r="AS189" s="560"/>
      <c r="AT189" s="560"/>
      <c r="AU189" s="560"/>
      <c r="AV189" s="561"/>
      <c r="AW189" s="573" t="s">
        <v>448</v>
      </c>
      <c r="AX189" s="560"/>
      <c r="AY189" s="560"/>
      <c r="AZ189" s="560"/>
      <c r="BA189" s="560"/>
      <c r="BB189" s="561"/>
      <c r="BC189" s="280"/>
      <c r="BD189" s="280"/>
      <c r="BE189" s="280"/>
      <c r="BF189" s="280"/>
      <c r="BG189" s="280"/>
      <c r="BH189" s="280"/>
      <c r="BI189" s="280"/>
      <c r="BJ189" s="280"/>
      <c r="BK189" s="280"/>
    </row>
    <row r="190" spans="1:68" ht="15.75" customHeight="1">
      <c r="A190" s="288"/>
      <c r="B190" s="288"/>
      <c r="C190" s="289"/>
      <c r="D190" s="290" t="s">
        <v>449</v>
      </c>
      <c r="E190" s="291">
        <f t="shared" ref="E190:F190" si="796">E4+E12+E67+E96+E159</f>
        <v>2379653.64</v>
      </c>
      <c r="F190" s="291">
        <f t="shared" si="796"/>
        <v>4614392.4400000004</v>
      </c>
      <c r="G190" s="292" t="s">
        <v>62</v>
      </c>
      <c r="H190" s="292" t="s">
        <v>63</v>
      </c>
      <c r="I190" s="293"/>
      <c r="J190" s="290"/>
      <c r="K190" s="290"/>
      <c r="L190" s="293"/>
      <c r="M190" s="293"/>
      <c r="N190" s="293"/>
      <c r="O190" s="293"/>
      <c r="P190" s="293"/>
      <c r="Q190" s="293"/>
      <c r="R190" s="293"/>
      <c r="S190" s="286"/>
      <c r="T190" s="286"/>
      <c r="U190" s="286"/>
      <c r="V190" s="286"/>
      <c r="W190" s="287"/>
      <c r="X190" s="286"/>
      <c r="Y190" s="294" t="s">
        <v>174</v>
      </c>
      <c r="Z190" s="295" t="s">
        <v>175</v>
      </c>
      <c r="AA190" s="295" t="s">
        <v>176</v>
      </c>
      <c r="AB190" s="296" t="s">
        <v>177</v>
      </c>
      <c r="AC190" s="294" t="s">
        <v>178</v>
      </c>
      <c r="AD190" s="294" t="s">
        <v>179</v>
      </c>
      <c r="AE190" s="294" t="s">
        <v>174</v>
      </c>
      <c r="AF190" s="295" t="s">
        <v>175</v>
      </c>
      <c r="AG190" s="295" t="s">
        <v>176</v>
      </c>
      <c r="AH190" s="296" t="s">
        <v>177</v>
      </c>
      <c r="AI190" s="294" t="s">
        <v>178</v>
      </c>
      <c r="AJ190" s="294" t="s">
        <v>179</v>
      </c>
      <c r="AK190" s="294" t="s">
        <v>174</v>
      </c>
      <c r="AL190" s="295" t="s">
        <v>175</v>
      </c>
      <c r="AM190" s="295" t="s">
        <v>176</v>
      </c>
      <c r="AN190" s="296" t="s">
        <v>177</v>
      </c>
      <c r="AO190" s="294" t="s">
        <v>178</v>
      </c>
      <c r="AP190" s="294" t="s">
        <v>179</v>
      </c>
      <c r="AQ190" s="294" t="s">
        <v>174</v>
      </c>
      <c r="AR190" s="295" t="s">
        <v>175</v>
      </c>
      <c r="AS190" s="295" t="s">
        <v>176</v>
      </c>
      <c r="AT190" s="296" t="s">
        <v>177</v>
      </c>
      <c r="AU190" s="294" t="s">
        <v>178</v>
      </c>
      <c r="AV190" s="294" t="s">
        <v>179</v>
      </c>
      <c r="AW190" s="294" t="s">
        <v>174</v>
      </c>
      <c r="AX190" s="295" t="s">
        <v>175</v>
      </c>
      <c r="AY190" s="295" t="s">
        <v>176</v>
      </c>
      <c r="AZ190" s="296" t="s">
        <v>177</v>
      </c>
      <c r="BA190" s="294" t="s">
        <v>178</v>
      </c>
      <c r="BB190" s="294" t="s">
        <v>179</v>
      </c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97"/>
      <c r="B191" s="297"/>
      <c r="C191" s="298"/>
      <c r="D191" s="290" t="s">
        <v>450</v>
      </c>
      <c r="E191" s="299">
        <f>SUM(Y191:AD191)+SUM(Y193:AD193)</f>
        <v>2063420</v>
      </c>
      <c r="F191" s="299">
        <f>SUM(AE191:BB191)+SUM(AE193:BB193)</f>
        <v>753233.05</v>
      </c>
      <c r="G191" s="300">
        <f t="shared" ref="G191:H191" si="797">E191/E190</f>
        <v>0.86710938319578301</v>
      </c>
      <c r="H191" s="300">
        <f t="shared" si="797"/>
        <v>0.16323558513805123</v>
      </c>
      <c r="I191" s="293"/>
      <c r="J191" s="293"/>
      <c r="K191" s="293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301"/>
      <c r="Z191" s="351">
        <f>594913-198304</f>
        <v>396609</v>
      </c>
      <c r="AA191" s="302"/>
      <c r="AB191" s="352">
        <v>971522</v>
      </c>
      <c r="AC191" s="352">
        <v>2100</v>
      </c>
      <c r="AD191" s="352">
        <f>70000+623189</f>
        <v>693189</v>
      </c>
      <c r="AE191" s="301"/>
      <c r="AF191" s="351">
        <f>72000+53000</f>
        <v>125000</v>
      </c>
      <c r="AG191" s="302"/>
      <c r="AH191" s="352">
        <f>170859+151403</f>
        <v>322262</v>
      </c>
      <c r="AI191" s="352">
        <v>40000</v>
      </c>
      <c r="AJ191" s="303"/>
      <c r="AK191" s="301"/>
      <c r="AL191" s="302">
        <f>1856+82176</f>
        <v>84032</v>
      </c>
      <c r="AM191" s="302"/>
      <c r="AN191" s="303"/>
      <c r="AO191" s="352"/>
      <c r="AP191" s="303"/>
      <c r="AQ191" s="301"/>
      <c r="AR191" s="302"/>
      <c r="AS191" s="302"/>
      <c r="AT191" s="303"/>
      <c r="AU191" s="303"/>
      <c r="AV191" s="303"/>
      <c r="AW191" s="301"/>
      <c r="AX191" s="302"/>
      <c r="AY191" s="351">
        <v>92981.17</v>
      </c>
      <c r="AZ191" s="352">
        <f>33207.88+10000</f>
        <v>43207.88</v>
      </c>
      <c r="BA191" s="352">
        <v>43750</v>
      </c>
      <c r="BB191" s="352">
        <v>2000</v>
      </c>
      <c r="BC191" s="60"/>
      <c r="BD191" s="60"/>
      <c r="BE191" s="60"/>
      <c r="BF191" s="60"/>
      <c r="BG191" s="60"/>
      <c r="BH191" s="60"/>
      <c r="BI191" s="60"/>
      <c r="BJ191" s="60"/>
      <c r="BK191" s="60"/>
    </row>
    <row r="192" spans="1:68" ht="15.75" customHeight="1">
      <c r="A192" s="297"/>
      <c r="B192" s="297"/>
      <c r="C192" s="298"/>
      <c r="D192" s="290" t="s">
        <v>451</v>
      </c>
      <c r="E192" s="291">
        <f>I192</f>
        <v>2500881.5200000005</v>
      </c>
      <c r="F192" s="291">
        <f>L192</f>
        <v>0</v>
      </c>
      <c r="G192" s="300">
        <f t="shared" ref="G192:H192" si="798">E192/E191</f>
        <v>1.2120079867404603</v>
      </c>
      <c r="H192" s="300">
        <f t="shared" si="798"/>
        <v>0</v>
      </c>
      <c r="I192" s="304">
        <f t="shared" ref="I192:J192" si="799">I4+I12+I67+I96+I159</f>
        <v>2500881.5200000005</v>
      </c>
      <c r="J192" s="304">
        <f t="shared" si="799"/>
        <v>2466010.4700000002</v>
      </c>
      <c r="K192" s="304"/>
      <c r="L192" s="304">
        <f>L4+L12+L67+L96+L159</f>
        <v>0</v>
      </c>
      <c r="M192" s="304"/>
      <c r="N192" s="304"/>
      <c r="O192" s="304"/>
      <c r="P192" s="293"/>
      <c r="Q192" s="293"/>
      <c r="R192" s="293"/>
      <c r="S192" s="286"/>
      <c r="T192" s="286"/>
      <c r="U192" s="286"/>
      <c r="V192" s="286"/>
      <c r="W192" s="287"/>
      <c r="X192" s="286"/>
      <c r="Y192" s="294" t="s">
        <v>180</v>
      </c>
      <c r="Z192" s="305" t="s">
        <v>181</v>
      </c>
      <c r="AA192" s="305" t="s">
        <v>182</v>
      </c>
      <c r="AB192" s="306" t="s">
        <v>183</v>
      </c>
      <c r="AC192" s="307" t="s">
        <v>184</v>
      </c>
      <c r="AD192" s="307" t="s">
        <v>185</v>
      </c>
      <c r="AE192" s="294" t="s">
        <v>180</v>
      </c>
      <c r="AF192" s="305" t="s">
        <v>181</v>
      </c>
      <c r="AG192" s="305" t="s">
        <v>182</v>
      </c>
      <c r="AH192" s="306" t="s">
        <v>183</v>
      </c>
      <c r="AI192" s="307" t="s">
        <v>184</v>
      </c>
      <c r="AJ192" s="307" t="s">
        <v>185</v>
      </c>
      <c r="AK192" s="294" t="s">
        <v>180</v>
      </c>
      <c r="AL192" s="305" t="s">
        <v>181</v>
      </c>
      <c r="AM192" s="305" t="s">
        <v>182</v>
      </c>
      <c r="AN192" s="306" t="s">
        <v>183</v>
      </c>
      <c r="AO192" s="307" t="s">
        <v>184</v>
      </c>
      <c r="AP192" s="307" t="s">
        <v>185</v>
      </c>
      <c r="AQ192" s="294" t="s">
        <v>180</v>
      </c>
      <c r="AR192" s="305" t="s">
        <v>181</v>
      </c>
      <c r="AS192" s="305" t="s">
        <v>182</v>
      </c>
      <c r="AT192" s="306" t="s">
        <v>183</v>
      </c>
      <c r="AU192" s="307" t="s">
        <v>184</v>
      </c>
      <c r="AV192" s="307" t="s">
        <v>185</v>
      </c>
      <c r="AW192" s="294" t="s">
        <v>180</v>
      </c>
      <c r="AX192" s="305" t="s">
        <v>181</v>
      </c>
      <c r="AY192" s="305" t="s">
        <v>182</v>
      </c>
      <c r="AZ192" s="306" t="s">
        <v>183</v>
      </c>
      <c r="BA192" s="307" t="s">
        <v>184</v>
      </c>
      <c r="BB192" s="307" t="s">
        <v>185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452</v>
      </c>
      <c r="E193" s="291">
        <f>M193</f>
        <v>186892.37000000002</v>
      </c>
      <c r="F193" s="291">
        <f>O193</f>
        <v>0</v>
      </c>
      <c r="G193" s="300">
        <f t="shared" ref="G193:H193" si="800">E193/E191</f>
        <v>9.0574080894825104E-2</v>
      </c>
      <c r="H193" s="300">
        <f t="shared" si="800"/>
        <v>0</v>
      </c>
      <c r="I193" s="308"/>
      <c r="J193" s="308"/>
      <c r="K193" s="308"/>
      <c r="L193" s="308"/>
      <c r="M193" s="299">
        <f t="shared" ref="M193:O193" si="801">M4+M12+M67+M96+M159</f>
        <v>186892.37000000002</v>
      </c>
      <c r="N193" s="299" t="e">
        <f t="shared" si="801"/>
        <v>#REF!</v>
      </c>
      <c r="O193" s="299">
        <f t="shared" si="801"/>
        <v>0</v>
      </c>
      <c r="P193" s="293"/>
      <c r="Q193" s="293"/>
      <c r="R193" s="293"/>
      <c r="S193" s="286"/>
      <c r="T193" s="286"/>
      <c r="U193" s="286"/>
      <c r="V193" s="286"/>
      <c r="W193" s="287"/>
      <c r="X193" s="286"/>
      <c r="Y193" s="301"/>
      <c r="Z193" s="302"/>
      <c r="AA193" s="302"/>
      <c r="AB193" s="303"/>
      <c r="AC193" s="303"/>
      <c r="AD193" s="303"/>
      <c r="AE193" s="301"/>
      <c r="AF193" s="302"/>
      <c r="AG193" s="302"/>
      <c r="AH193" s="303"/>
      <c r="AI193" s="303"/>
      <c r="AJ193" s="303"/>
      <c r="AK193" s="301"/>
      <c r="AL193" s="302"/>
      <c r="AM193" s="302"/>
      <c r="AN193" s="303"/>
      <c r="AO193" s="303"/>
      <c r="AP193" s="303"/>
      <c r="AQ193" s="301"/>
      <c r="AR193" s="302"/>
      <c r="AS193" s="302"/>
      <c r="AT193" s="303"/>
      <c r="AU193" s="303"/>
      <c r="AV193" s="303"/>
      <c r="AW193" s="370"/>
      <c r="AX193" s="302"/>
      <c r="AY193" s="302"/>
      <c r="AZ193" s="303"/>
      <c r="BA193" s="303"/>
      <c r="BB193" s="303"/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309"/>
      <c r="D194" s="290" t="s">
        <v>453</v>
      </c>
      <c r="E194" s="291">
        <f>P194</f>
        <v>191849.30999999997</v>
      </c>
      <c r="F194" s="291">
        <f>R194</f>
        <v>0</v>
      </c>
      <c r="G194" s="300">
        <f t="shared" ref="G194:H194" si="802">E194/E191</f>
        <v>9.2976374174913473E-2</v>
      </c>
      <c r="H194" s="300">
        <f t="shared" si="802"/>
        <v>0</v>
      </c>
      <c r="I194" s="308"/>
      <c r="J194" s="308"/>
      <c r="K194" s="308"/>
      <c r="L194" s="308"/>
      <c r="M194" s="308"/>
      <c r="N194" s="308"/>
      <c r="O194" s="308"/>
      <c r="P194" s="304">
        <f t="shared" ref="P194:R194" si="803">P4+P12+P67+P96+P159</f>
        <v>191849.30999999997</v>
      </c>
      <c r="Q194" s="304">
        <f t="shared" si="803"/>
        <v>1740428.49</v>
      </c>
      <c r="R194" s="304">
        <f t="shared" si="803"/>
        <v>0</v>
      </c>
      <c r="S194" s="286"/>
      <c r="T194" s="286"/>
      <c r="U194" s="286"/>
      <c r="V194" s="286"/>
      <c r="W194" s="287"/>
      <c r="X194" s="286"/>
      <c r="Y194" s="286"/>
      <c r="Z194" s="310"/>
      <c r="AA194" s="310"/>
      <c r="AB194" s="311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AY194" s="60"/>
      <c r="AZ194" s="60"/>
      <c r="BA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312" t="s">
        <v>454</v>
      </c>
      <c r="E195" s="313">
        <f t="shared" ref="E195:F195" si="804">E190-E191</f>
        <v>316233.64000000013</v>
      </c>
      <c r="F195" s="313">
        <f t="shared" si="804"/>
        <v>3861159.3900000006</v>
      </c>
      <c r="G195" s="314">
        <f t="shared" ref="G195:H195" si="805">E195/E190</f>
        <v>0.13289061680421699</v>
      </c>
      <c r="H195" s="314">
        <f t="shared" si="805"/>
        <v>0.83676441486194886</v>
      </c>
      <c r="I195" s="286"/>
      <c r="J195" s="286"/>
      <c r="K195" s="286"/>
      <c r="L195" s="286"/>
      <c r="M195" s="286"/>
      <c r="N195" s="286"/>
      <c r="O195" s="286"/>
      <c r="P195" s="286"/>
      <c r="Q195" s="286"/>
      <c r="R195" s="286"/>
      <c r="S195" s="286"/>
      <c r="T195" s="286"/>
      <c r="U195" s="286"/>
      <c r="V195" s="286"/>
      <c r="W195" s="287"/>
      <c r="X195" s="286"/>
      <c r="Y195" s="286"/>
      <c r="Z195" s="562"/>
      <c r="AA195" s="546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455</v>
      </c>
      <c r="E196" s="315">
        <f>E191-I192</f>
        <v>-437461.52000000048</v>
      </c>
      <c r="F196" s="315">
        <f>F191-L192</f>
        <v>753233.05</v>
      </c>
      <c r="G196" s="314">
        <f t="shared" ref="G196:H196" si="806">E196/E191</f>
        <v>-0.21200798674046026</v>
      </c>
      <c r="H196" s="314">
        <f t="shared" si="806"/>
        <v>1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316"/>
      <c r="AA196" s="310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456</v>
      </c>
      <c r="E197" s="315">
        <f>I192-M193</f>
        <v>2313989.1500000004</v>
      </c>
      <c r="F197" s="315">
        <f>L192-O193</f>
        <v>0</v>
      </c>
      <c r="G197" s="314">
        <f>E197/I192</f>
        <v>0.92526940260648571</v>
      </c>
      <c r="H197" s="314" t="e">
        <f>F197/L192</f>
        <v>#DIV/0!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0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457</v>
      </c>
      <c r="E198" s="315">
        <f>M193-P194</f>
        <v>-4956.9399999999441</v>
      </c>
      <c r="F198" s="315">
        <f>O193-R194</f>
        <v>0</v>
      </c>
      <c r="G198" s="314">
        <f>E198/M193</f>
        <v>-2.6522966132860017E-2</v>
      </c>
      <c r="H198" s="314" t="e">
        <f>F198/O193</f>
        <v>#DIV/0!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317"/>
      <c r="B199" s="317"/>
      <c r="C199" s="318"/>
      <c r="D199" s="319" t="s">
        <v>459</v>
      </c>
      <c r="E199" s="320" t="e">
        <f>J192-N193</f>
        <v>#REF!</v>
      </c>
      <c r="F199" s="321"/>
      <c r="G199" s="322" t="e">
        <f>E199/J192</f>
        <v>#REF!</v>
      </c>
      <c r="H199" s="323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324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59"/>
      <c r="BA199" s="59"/>
      <c r="BB199" s="59"/>
      <c r="BC199" s="59"/>
      <c r="BD199" s="59"/>
      <c r="BE199" s="59"/>
      <c r="BF199" s="59"/>
      <c r="BG199" s="59"/>
      <c r="BH199" s="59"/>
      <c r="BI199" s="59"/>
      <c r="BJ199" s="59"/>
      <c r="BK199" s="59"/>
    </row>
    <row r="200" spans="1:68" ht="15.75" customHeight="1">
      <c r="A200" s="317"/>
      <c r="B200" s="317"/>
      <c r="C200" s="318"/>
      <c r="D200" s="59"/>
      <c r="E200" s="60"/>
      <c r="F200" s="60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325"/>
      <c r="F201" s="326"/>
      <c r="G201" s="327"/>
      <c r="H201" s="327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0"/>
      <c r="B202" s="310"/>
      <c r="C202" s="328"/>
      <c r="D202" s="57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29"/>
      <c r="B203" s="329"/>
      <c r="C203" s="330"/>
      <c r="D203" s="57"/>
      <c r="E203" s="331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9"/>
      <c r="E204" s="331"/>
      <c r="F204" s="332"/>
      <c r="G204" s="333"/>
      <c r="H204" s="334"/>
      <c r="I204" s="335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26"/>
      <c r="F205" s="326"/>
      <c r="G205" s="334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  <c r="BL205" s="21"/>
      <c r="BM205" s="21"/>
      <c r="BN205" s="21"/>
      <c r="BO205" s="21"/>
      <c r="BP205" s="21"/>
    </row>
    <row r="206" spans="1:68" ht="15.75" customHeight="1">
      <c r="A206" s="57"/>
      <c r="B206" s="57"/>
      <c r="C206" s="336"/>
      <c r="D206" s="9"/>
      <c r="E206" s="325"/>
      <c r="F206" s="326"/>
      <c r="G206" s="327"/>
      <c r="H206" s="327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</row>
    <row r="207" spans="1:68" ht="15.75" customHeight="1">
      <c r="A207" s="57"/>
      <c r="B207" s="57"/>
      <c r="C207" s="337"/>
      <c r="D207" s="9"/>
      <c r="E207" s="326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9"/>
      <c r="B208" s="59"/>
      <c r="C208" s="318"/>
      <c r="D208" s="59"/>
      <c r="E208" s="338"/>
      <c r="F208" s="332"/>
      <c r="G208" s="339"/>
      <c r="H208" s="33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25"/>
      <c r="F209" s="326"/>
      <c r="G209" s="327"/>
      <c r="H209" s="327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340"/>
      <c r="B210" s="340"/>
      <c r="C210" s="341"/>
      <c r="D210" s="340"/>
      <c r="E210" s="326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60"/>
      <c r="F212" s="60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2"/>
      <c r="B216" s="342"/>
      <c r="C216" s="343"/>
      <c r="D216" s="342"/>
      <c r="E216" s="21"/>
      <c r="F216" s="21"/>
      <c r="K216" s="21"/>
      <c r="W216" s="344"/>
    </row>
    <row r="217" spans="1:63" ht="15.75" customHeight="1">
      <c r="A217" s="340"/>
      <c r="C217" s="345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C219" s="345"/>
      <c r="E219" s="21"/>
      <c r="F219" s="21"/>
      <c r="K219" s="21"/>
      <c r="W219" s="344"/>
    </row>
    <row r="220" spans="1:63" ht="15.75" customHeight="1">
      <c r="A220" s="340"/>
      <c r="C220" s="345"/>
      <c r="E220" s="21"/>
      <c r="F220" s="21"/>
      <c r="K220" s="21"/>
      <c r="W220" s="344"/>
    </row>
    <row r="221" spans="1:63" ht="15.75" customHeight="1"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89:BB189"/>
    <mergeCell ref="Z195:AA195"/>
    <mergeCell ref="C1:D1"/>
    <mergeCell ref="E1:H1"/>
    <mergeCell ref="I1:L1"/>
    <mergeCell ref="M1:O1"/>
    <mergeCell ref="P1:R1"/>
    <mergeCell ref="S1:U1"/>
    <mergeCell ref="V1:X1"/>
    <mergeCell ref="G189:H189"/>
    <mergeCell ref="Y189:AD189"/>
    <mergeCell ref="AE189:AJ189"/>
    <mergeCell ref="AK189:AP189"/>
    <mergeCell ref="AQ189:AV189"/>
  </mergeCells>
  <conditionalFormatting sqref="G3:H4 V3:X4 G6:H89 V6:X89 G92:G118 H92:H187 V92:X129 G120:G187 V131:X135 V141:X187">
    <cfRule type="cellIs" dxfId="99" priority="1" operator="between">
      <formula>"0%"</formula>
      <formula>"25%"</formula>
    </cfRule>
  </conditionalFormatting>
  <conditionalFormatting sqref="G3:H4 V3:X4 G6:H89 V6:X89 G92:G118 H92:H187 V92:X129 G120:G187 V131:X135 V141:X187">
    <cfRule type="cellIs" dxfId="98" priority="2" operator="between">
      <formula>"25.01%"</formula>
      <formula>"50%"</formula>
    </cfRule>
  </conditionalFormatting>
  <conditionalFormatting sqref="G3:H4 V3:X4 G6:H89 V6:X89 G92:G118 H92:H187 V92:X129 G120:G187 V131:X135 V141:X187">
    <cfRule type="cellIs" dxfId="97" priority="3" operator="between">
      <formula>"50.01%"</formula>
      <formula>"75%"</formula>
    </cfRule>
  </conditionalFormatting>
  <conditionalFormatting sqref="G3:H4 V3:X4 G6:H89 V6:X89 G92:G118 H92:H187 V92:X129 G120:G187 V131:X135 V141:X187">
    <cfRule type="cellIs" dxfId="96" priority="4" operator="between">
      <formula>"75.01%"</formula>
      <formula>"99.99%"</formula>
    </cfRule>
  </conditionalFormatting>
  <conditionalFormatting sqref="G3:H4 V3:X4 G6:H89 V6:X89 G92:G118 H92:H187 V92:X129 G120:G187 V131:X135 V141:X187">
    <cfRule type="cellIs" dxfId="95" priority="5" operator="greaterThanOrEqual">
      <formula>"100%"</formula>
    </cfRule>
  </conditionalFormatting>
  <conditionalFormatting sqref="V137:X139">
    <cfRule type="cellIs" dxfId="94" priority="6" operator="between">
      <formula>"0%"</formula>
      <formula>"25%"</formula>
    </cfRule>
  </conditionalFormatting>
  <conditionalFormatting sqref="V137:X139">
    <cfRule type="cellIs" dxfId="93" priority="7" operator="between">
      <formula>"25.01%"</formula>
      <formula>"50%"</formula>
    </cfRule>
  </conditionalFormatting>
  <conditionalFormatting sqref="V137:X139">
    <cfRule type="cellIs" dxfId="92" priority="8" operator="between">
      <formula>"50.01%"</formula>
      <formula>"75%"</formula>
    </cfRule>
  </conditionalFormatting>
  <conditionalFormatting sqref="V137:X139">
    <cfRule type="cellIs" dxfId="91" priority="9" operator="between">
      <formula>"75.01%"</formula>
      <formula>"99.99%"</formula>
    </cfRule>
  </conditionalFormatting>
  <conditionalFormatting sqref="V137:X139">
    <cfRule type="cellIs" dxfId="90" priority="10" operator="greaterThanOrEqual">
      <formula>"100%"</formula>
    </cfRule>
  </conditionalFormatting>
  <conditionalFormatting sqref="G90:H91 V90:X91">
    <cfRule type="cellIs" dxfId="89" priority="11" operator="between">
      <formula>"0%"</formula>
      <formula>"25%"</formula>
    </cfRule>
  </conditionalFormatting>
  <conditionalFormatting sqref="G90:H91 V90:X91">
    <cfRule type="cellIs" dxfId="88" priority="12" operator="between">
      <formula>"25.01%"</formula>
      <formula>"50%"</formula>
    </cfRule>
  </conditionalFormatting>
  <conditionalFormatting sqref="G90:H91 V90:X91">
    <cfRule type="cellIs" dxfId="87" priority="13" operator="between">
      <formula>"50.01%"</formula>
      <formula>"75%"</formula>
    </cfRule>
  </conditionalFormatting>
  <conditionalFormatting sqref="G90:H91 V90:X91">
    <cfRule type="cellIs" dxfId="86" priority="14" operator="between">
      <formula>"75.01%"</formula>
      <formula>"99.99%"</formula>
    </cfRule>
  </conditionalFormatting>
  <conditionalFormatting sqref="G90:H91 V90:X91">
    <cfRule type="cellIs" dxfId="85" priority="15" operator="greaterThanOrEqual">
      <formula>"100%"</formula>
    </cfRule>
  </conditionalFormatting>
  <conditionalFormatting sqref="G5:H5 V5:X5">
    <cfRule type="cellIs" dxfId="84" priority="16" operator="between">
      <formula>"0%"</formula>
      <formula>"25%"</formula>
    </cfRule>
  </conditionalFormatting>
  <conditionalFormatting sqref="G5:H5 V5:X5">
    <cfRule type="cellIs" dxfId="83" priority="17" operator="between">
      <formula>"25.01%"</formula>
      <formula>"50%"</formula>
    </cfRule>
  </conditionalFormatting>
  <conditionalFormatting sqref="G5:H5 V5:X5">
    <cfRule type="cellIs" dxfId="82" priority="18" operator="between">
      <formula>"50.01%"</formula>
      <formula>"75%"</formula>
    </cfRule>
  </conditionalFormatting>
  <conditionalFormatting sqref="G5:H5 V5:X5">
    <cfRule type="cellIs" dxfId="81" priority="19" operator="between">
      <formula>"75.01%"</formula>
      <formula>"99.99%"</formula>
    </cfRule>
  </conditionalFormatting>
  <conditionalFormatting sqref="G5:H5 V5:X5">
    <cfRule type="cellIs" dxfId="80" priority="20" operator="greaterThanOrEqual">
      <formula>"100%"</formula>
    </cfRule>
  </conditionalFormatting>
  <conditionalFormatting sqref="G69:H69 V69:X69">
    <cfRule type="cellIs" dxfId="79" priority="21" operator="between">
      <formula>"0%"</formula>
      <formula>"25%"</formula>
    </cfRule>
  </conditionalFormatting>
  <conditionalFormatting sqref="G69:H69 V69:X69">
    <cfRule type="cellIs" dxfId="78" priority="22" operator="between">
      <formula>"25.01%"</formula>
      <formula>"50%"</formula>
    </cfRule>
  </conditionalFormatting>
  <conditionalFormatting sqref="G69:H69 V69:X69">
    <cfRule type="cellIs" dxfId="77" priority="23" operator="between">
      <formula>"50.01%"</formula>
      <formula>"75%"</formula>
    </cfRule>
  </conditionalFormatting>
  <conditionalFormatting sqref="G69:H69 V69:X69">
    <cfRule type="cellIs" dxfId="76" priority="24" operator="between">
      <formula>"75.01%"</formula>
      <formula>"99.99%"</formula>
    </cfRule>
  </conditionalFormatting>
  <conditionalFormatting sqref="G69:H69 V69:X69">
    <cfRule type="cellIs" dxfId="75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BP376"/>
  <sheetViews>
    <sheetView workbookViewId="0">
      <pane xSplit="8" ySplit="4" topLeftCell="I5" activePane="bottomRight" state="frozen"/>
      <selection pane="topRight"/>
      <selection pane="bottomLeft"/>
      <selection pane="bottomRight"/>
    </sheetView>
  </sheetViews>
  <sheetFormatPr defaultColWidth="14.42578125" defaultRowHeight="15" customHeight="1"/>
  <cols>
    <col min="1" max="1" width="16.85546875" customWidth="1"/>
    <col min="2" max="2" width="35.5703125" customWidth="1"/>
    <col min="3" max="3" width="14.85546875" customWidth="1"/>
    <col min="4" max="4" width="59.42578125" customWidth="1"/>
    <col min="5" max="5" width="23.5703125" customWidth="1"/>
    <col min="6" max="6" width="19.7109375" customWidth="1"/>
    <col min="7" max="8" width="15" customWidth="1"/>
    <col min="9" max="9" width="19.7109375" customWidth="1"/>
    <col min="10" max="10" width="17.5703125" customWidth="1"/>
    <col min="11" max="11" width="15" customWidth="1"/>
    <col min="12" max="12" width="18.28515625" customWidth="1"/>
    <col min="13" max="13" width="17.42578125" customWidth="1"/>
    <col min="14" max="14" width="18.42578125" customWidth="1"/>
    <col min="15" max="15" width="16.7109375" customWidth="1"/>
    <col min="16" max="16" width="15.5703125" customWidth="1"/>
    <col min="17" max="17" width="19.140625" customWidth="1"/>
    <col min="18" max="18" width="15.5703125" customWidth="1"/>
    <col min="19" max="19" width="23.5703125" customWidth="1"/>
    <col min="20" max="20" width="18.140625" customWidth="1"/>
    <col min="21" max="21" width="16.7109375" customWidth="1"/>
    <col min="22" max="22" width="12.28515625" customWidth="1"/>
    <col min="23" max="23" width="11.42578125" customWidth="1"/>
    <col min="24" max="24" width="12.140625" customWidth="1"/>
    <col min="25" max="25" width="16" customWidth="1"/>
    <col min="26" max="29" width="15.7109375" customWidth="1"/>
    <col min="30" max="30" width="16.85546875" customWidth="1"/>
    <col min="31" max="32" width="15.7109375" customWidth="1"/>
    <col min="33" max="33" width="16.42578125" customWidth="1"/>
    <col min="34" max="35" width="15.7109375" customWidth="1"/>
    <col min="36" max="36" width="17.7109375" customWidth="1"/>
    <col min="37" max="38" width="15.7109375" customWidth="1"/>
    <col min="39" max="39" width="14.7109375" customWidth="1"/>
    <col min="40" max="63" width="15.7109375" customWidth="1"/>
  </cols>
  <sheetData>
    <row r="1" spans="1:68" ht="18.75">
      <c r="A1" s="62"/>
      <c r="B1" s="63"/>
      <c r="C1" s="563" t="s">
        <v>167</v>
      </c>
      <c r="D1" s="564"/>
      <c r="E1" s="565" t="s">
        <v>168</v>
      </c>
      <c r="F1" s="566"/>
      <c r="G1" s="566"/>
      <c r="H1" s="564"/>
      <c r="I1" s="567" t="s">
        <v>169</v>
      </c>
      <c r="J1" s="566"/>
      <c r="K1" s="566"/>
      <c r="L1" s="564"/>
      <c r="M1" s="568" t="s">
        <v>170</v>
      </c>
      <c r="N1" s="566"/>
      <c r="O1" s="564"/>
      <c r="P1" s="572" t="s">
        <v>171</v>
      </c>
      <c r="Q1" s="566"/>
      <c r="R1" s="564"/>
      <c r="S1" s="568" t="s">
        <v>172</v>
      </c>
      <c r="T1" s="566"/>
      <c r="U1" s="564"/>
      <c r="V1" s="570" t="s">
        <v>173</v>
      </c>
      <c r="W1" s="566"/>
      <c r="X1" s="564"/>
      <c r="Y1" s="569" t="s">
        <v>174</v>
      </c>
      <c r="Z1" s="566"/>
      <c r="AA1" s="564"/>
      <c r="AB1" s="569" t="s">
        <v>175</v>
      </c>
      <c r="AC1" s="566"/>
      <c r="AD1" s="564"/>
      <c r="AE1" s="569" t="s">
        <v>176</v>
      </c>
      <c r="AF1" s="566"/>
      <c r="AG1" s="564"/>
      <c r="AH1" s="569" t="s">
        <v>177</v>
      </c>
      <c r="AI1" s="566"/>
      <c r="AJ1" s="564"/>
      <c r="AK1" s="569" t="s">
        <v>178</v>
      </c>
      <c r="AL1" s="566"/>
      <c r="AM1" s="564"/>
      <c r="AN1" s="569" t="s">
        <v>179</v>
      </c>
      <c r="AO1" s="566"/>
      <c r="AP1" s="564"/>
      <c r="AQ1" s="569" t="s">
        <v>180</v>
      </c>
      <c r="AR1" s="566"/>
      <c r="AS1" s="564"/>
      <c r="AT1" s="569" t="s">
        <v>181</v>
      </c>
      <c r="AU1" s="566"/>
      <c r="AV1" s="564"/>
      <c r="AW1" s="569" t="s">
        <v>182</v>
      </c>
      <c r="AX1" s="566"/>
      <c r="AY1" s="564"/>
      <c r="AZ1" s="569" t="s">
        <v>183</v>
      </c>
      <c r="BA1" s="566"/>
      <c r="BB1" s="564"/>
      <c r="BC1" s="569" t="s">
        <v>184</v>
      </c>
      <c r="BD1" s="566"/>
      <c r="BE1" s="564"/>
      <c r="BF1" s="569" t="s">
        <v>185</v>
      </c>
      <c r="BG1" s="566"/>
      <c r="BH1" s="564"/>
      <c r="BI1" s="569" t="s">
        <v>186</v>
      </c>
      <c r="BJ1" s="566"/>
      <c r="BK1" s="564"/>
      <c r="BL1" s="64"/>
      <c r="BM1" s="64"/>
      <c r="BN1" s="64"/>
      <c r="BO1" s="64"/>
      <c r="BP1" s="64"/>
    </row>
    <row r="2" spans="1:68" ht="45.75" customHeight="1">
      <c r="A2" s="65"/>
      <c r="B2" s="66"/>
      <c r="C2" s="65" t="s">
        <v>52</v>
      </c>
      <c r="D2" s="67" t="s">
        <v>187</v>
      </c>
      <c r="E2" s="68" t="s">
        <v>188</v>
      </c>
      <c r="F2" s="69" t="s">
        <v>63</v>
      </c>
      <c r="G2" s="68" t="s">
        <v>189</v>
      </c>
      <c r="H2" s="68" t="s">
        <v>190</v>
      </c>
      <c r="I2" s="70" t="s">
        <v>62</v>
      </c>
      <c r="J2" s="70" t="s">
        <v>147</v>
      </c>
      <c r="K2" s="70" t="s">
        <v>191</v>
      </c>
      <c r="L2" s="70" t="s">
        <v>63</v>
      </c>
      <c r="M2" s="71" t="s">
        <v>62</v>
      </c>
      <c r="N2" s="71" t="s">
        <v>147</v>
      </c>
      <c r="O2" s="71" t="s">
        <v>63</v>
      </c>
      <c r="P2" s="69" t="s">
        <v>62</v>
      </c>
      <c r="Q2" s="69" t="s">
        <v>147</v>
      </c>
      <c r="R2" s="69" t="s">
        <v>63</v>
      </c>
      <c r="S2" s="71" t="s">
        <v>192</v>
      </c>
      <c r="T2" s="71" t="s">
        <v>147</v>
      </c>
      <c r="U2" s="71" t="s">
        <v>193</v>
      </c>
      <c r="V2" s="72" t="s">
        <v>194</v>
      </c>
      <c r="W2" s="73" t="s">
        <v>147</v>
      </c>
      <c r="X2" s="72" t="s">
        <v>195</v>
      </c>
      <c r="Y2" s="74" t="s">
        <v>62</v>
      </c>
      <c r="Z2" s="74" t="s">
        <v>147</v>
      </c>
      <c r="AA2" s="74" t="s">
        <v>63</v>
      </c>
      <c r="AB2" s="74" t="s">
        <v>62</v>
      </c>
      <c r="AC2" s="74" t="s">
        <v>147</v>
      </c>
      <c r="AD2" s="74" t="s">
        <v>63</v>
      </c>
      <c r="AE2" s="74" t="s">
        <v>62</v>
      </c>
      <c r="AF2" s="74" t="s">
        <v>147</v>
      </c>
      <c r="AG2" s="74" t="s">
        <v>63</v>
      </c>
      <c r="AH2" s="74" t="s">
        <v>62</v>
      </c>
      <c r="AI2" s="74" t="s">
        <v>147</v>
      </c>
      <c r="AJ2" s="74" t="s">
        <v>63</v>
      </c>
      <c r="AK2" s="74" t="s">
        <v>62</v>
      </c>
      <c r="AL2" s="74" t="s">
        <v>147</v>
      </c>
      <c r="AM2" s="74" t="s">
        <v>63</v>
      </c>
      <c r="AN2" s="74" t="s">
        <v>62</v>
      </c>
      <c r="AO2" s="74" t="s">
        <v>147</v>
      </c>
      <c r="AP2" s="74" t="s">
        <v>63</v>
      </c>
      <c r="AQ2" s="74" t="s">
        <v>62</v>
      </c>
      <c r="AR2" s="74" t="s">
        <v>147</v>
      </c>
      <c r="AS2" s="74" t="s">
        <v>63</v>
      </c>
      <c r="AT2" s="74" t="s">
        <v>62</v>
      </c>
      <c r="AU2" s="74" t="s">
        <v>147</v>
      </c>
      <c r="AV2" s="74" t="s">
        <v>63</v>
      </c>
      <c r="AW2" s="74" t="s">
        <v>62</v>
      </c>
      <c r="AX2" s="74" t="s">
        <v>147</v>
      </c>
      <c r="AY2" s="74" t="s">
        <v>63</v>
      </c>
      <c r="AZ2" s="74" t="s">
        <v>62</v>
      </c>
      <c r="BA2" s="74" t="s">
        <v>147</v>
      </c>
      <c r="BB2" s="74" t="s">
        <v>63</v>
      </c>
      <c r="BC2" s="74" t="s">
        <v>62</v>
      </c>
      <c r="BD2" s="74" t="s">
        <v>147</v>
      </c>
      <c r="BE2" s="74" t="s">
        <v>63</v>
      </c>
      <c r="BF2" s="74" t="s">
        <v>62</v>
      </c>
      <c r="BG2" s="74" t="s">
        <v>147</v>
      </c>
      <c r="BH2" s="74" t="s">
        <v>63</v>
      </c>
      <c r="BI2" s="74" t="s">
        <v>62</v>
      </c>
      <c r="BJ2" s="74" t="s">
        <v>147</v>
      </c>
      <c r="BK2" s="74" t="s">
        <v>63</v>
      </c>
      <c r="BL2" s="64"/>
      <c r="BM2" s="64"/>
      <c r="BN2" s="64"/>
      <c r="BO2" s="64"/>
      <c r="BP2" s="64"/>
    </row>
    <row r="3" spans="1:68" ht="21">
      <c r="A3" s="75" t="s">
        <v>196</v>
      </c>
      <c r="B3" s="76" t="s">
        <v>197</v>
      </c>
      <c r="C3" s="77" t="s">
        <v>53</v>
      </c>
      <c r="D3" s="75" t="s">
        <v>198</v>
      </c>
      <c r="E3" s="78">
        <f t="shared" ref="E3:F3" si="0">E4+E12+E68+E97+E160</f>
        <v>2379653.64</v>
      </c>
      <c r="F3" s="78">
        <f t="shared" si="0"/>
        <v>4679094.3600000003</v>
      </c>
      <c r="G3" s="79">
        <f t="shared" ref="G3:G4" si="1">I3/E3</f>
        <v>1.0617647280803435</v>
      </c>
      <c r="H3" s="79">
        <f t="shared" ref="H3:H4" si="2">M3/E3</f>
        <v>0.18665003281738096</v>
      </c>
      <c r="I3" s="80">
        <f t="shared" ref="I3:O3" si="3">I4+I12+I68+I97+I160</f>
        <v>2526632.2999999998</v>
      </c>
      <c r="J3" s="80">
        <f t="shared" si="3"/>
        <v>2466010.4700000002</v>
      </c>
      <c r="K3" s="80">
        <f t="shared" si="3"/>
        <v>53449.969999999994</v>
      </c>
      <c r="L3" s="80">
        <f t="shared" si="3"/>
        <v>95146.54</v>
      </c>
      <c r="M3" s="81">
        <f t="shared" si="3"/>
        <v>444162.43000000011</v>
      </c>
      <c r="N3" s="81">
        <f t="shared" si="3"/>
        <v>1757665.72</v>
      </c>
      <c r="O3" s="81">
        <f t="shared" si="3"/>
        <v>0</v>
      </c>
      <c r="P3" s="82">
        <f t="shared" ref="P3:R3" si="4">IF(BI3=0,SUM(Y3+AB3+AE3+AH3+AK3+AN3+AQ3+AT3+AW3+AZ3+BC3+BF3),BI3)</f>
        <v>449119.37000000005</v>
      </c>
      <c r="Q3" s="82">
        <f t="shared" si="4"/>
        <v>1844770.4600000002</v>
      </c>
      <c r="R3" s="69">
        <f t="shared" si="4"/>
        <v>0</v>
      </c>
      <c r="S3" s="71">
        <f t="shared" ref="S3:U3" si="5">S4+S12+S68+S97+S160</f>
        <v>2068669.8699999999</v>
      </c>
      <c r="T3" s="71">
        <f t="shared" si="5"/>
        <v>654894.78</v>
      </c>
      <c r="U3" s="71">
        <f t="shared" si="5"/>
        <v>4906.54</v>
      </c>
      <c r="V3" s="73">
        <f t="shared" ref="V3:W3" si="6">M3/I3</f>
        <v>0.17579227100041434</v>
      </c>
      <c r="W3" s="73">
        <f t="shared" si="6"/>
        <v>0.71275679539187031</v>
      </c>
      <c r="X3" s="73">
        <f t="shared" ref="X3:X4" si="7">O3/L3</f>
        <v>0</v>
      </c>
      <c r="Y3" s="83">
        <f t="shared" ref="Y3:BK3" si="8">Y4+Y12+Y68+Y97+Y160</f>
        <v>0</v>
      </c>
      <c r="Z3" s="83">
        <f t="shared" si="8"/>
        <v>219966.24</v>
      </c>
      <c r="AA3" s="83">
        <f t="shared" si="8"/>
        <v>0</v>
      </c>
      <c r="AB3" s="83">
        <f t="shared" si="8"/>
        <v>0</v>
      </c>
      <c r="AC3" s="83">
        <f t="shared" si="8"/>
        <v>232440.47</v>
      </c>
      <c r="AD3" s="83">
        <f t="shared" si="8"/>
        <v>0</v>
      </c>
      <c r="AE3" s="83">
        <f t="shared" si="8"/>
        <v>2029.32</v>
      </c>
      <c r="AF3" s="83">
        <f t="shared" si="8"/>
        <v>268852.19999999995</v>
      </c>
      <c r="AG3" s="83">
        <f t="shared" si="8"/>
        <v>0</v>
      </c>
      <c r="AH3" s="83">
        <f t="shared" si="8"/>
        <v>18883.349999999999</v>
      </c>
      <c r="AI3" s="83">
        <f t="shared" si="8"/>
        <v>265014.58</v>
      </c>
      <c r="AJ3" s="83">
        <f t="shared" si="8"/>
        <v>0</v>
      </c>
      <c r="AK3" s="83">
        <f t="shared" si="8"/>
        <v>52862.33</v>
      </c>
      <c r="AL3" s="83">
        <f t="shared" si="8"/>
        <v>417193.15</v>
      </c>
      <c r="AM3" s="83">
        <f t="shared" si="8"/>
        <v>0</v>
      </c>
      <c r="AN3" s="83">
        <f t="shared" si="8"/>
        <v>118074.31</v>
      </c>
      <c r="AO3" s="83">
        <f t="shared" si="8"/>
        <v>336961.85</v>
      </c>
      <c r="AP3" s="83">
        <f t="shared" si="8"/>
        <v>0</v>
      </c>
      <c r="AQ3" s="83">
        <f t="shared" si="8"/>
        <v>257270.06000000006</v>
      </c>
      <c r="AR3" s="83">
        <f t="shared" si="8"/>
        <v>104341.97</v>
      </c>
      <c r="AS3" s="83">
        <f t="shared" si="8"/>
        <v>0</v>
      </c>
      <c r="AT3" s="83">
        <f t="shared" si="8"/>
        <v>0</v>
      </c>
      <c r="AU3" s="83">
        <f t="shared" si="8"/>
        <v>0</v>
      </c>
      <c r="AV3" s="83">
        <f t="shared" si="8"/>
        <v>0</v>
      </c>
      <c r="AW3" s="83">
        <f t="shared" si="8"/>
        <v>0</v>
      </c>
      <c r="AX3" s="83">
        <f t="shared" si="8"/>
        <v>0</v>
      </c>
      <c r="AY3" s="83">
        <f t="shared" si="8"/>
        <v>0</v>
      </c>
      <c r="AZ3" s="83">
        <f t="shared" si="8"/>
        <v>0</v>
      </c>
      <c r="BA3" s="83">
        <f t="shared" si="8"/>
        <v>0</v>
      </c>
      <c r="BB3" s="83">
        <f t="shared" si="8"/>
        <v>0</v>
      </c>
      <c r="BC3" s="83">
        <f t="shared" si="8"/>
        <v>0</v>
      </c>
      <c r="BD3" s="83">
        <f t="shared" si="8"/>
        <v>0</v>
      </c>
      <c r="BE3" s="83">
        <f t="shared" si="8"/>
        <v>0</v>
      </c>
      <c r="BF3" s="83">
        <f t="shared" si="8"/>
        <v>0</v>
      </c>
      <c r="BG3" s="83">
        <f t="shared" si="8"/>
        <v>0</v>
      </c>
      <c r="BH3" s="83">
        <f t="shared" si="8"/>
        <v>0</v>
      </c>
      <c r="BI3" s="83">
        <f t="shared" si="8"/>
        <v>0</v>
      </c>
      <c r="BJ3" s="83">
        <f t="shared" si="8"/>
        <v>0</v>
      </c>
      <c r="BK3" s="83">
        <f t="shared" si="8"/>
        <v>0</v>
      </c>
      <c r="BL3" s="84"/>
      <c r="BM3" s="85"/>
      <c r="BN3" s="85"/>
      <c r="BO3" s="85"/>
      <c r="BP3" s="85"/>
    </row>
    <row r="4" spans="1:68" ht="21">
      <c r="A4" s="86"/>
      <c r="B4" s="86"/>
      <c r="C4" s="86" t="s">
        <v>199</v>
      </c>
      <c r="D4" s="86"/>
      <c r="E4" s="87">
        <f>SUM(E5:E11)</f>
        <v>48607.67</v>
      </c>
      <c r="F4" s="87">
        <f>SUM(F6:F11)</f>
        <v>123386.01999999999</v>
      </c>
      <c r="G4" s="88">
        <f t="shared" si="1"/>
        <v>4.9312587910508777E-2</v>
      </c>
      <c r="H4" s="88">
        <f t="shared" si="2"/>
        <v>6.2541570085544113E-3</v>
      </c>
      <c r="I4" s="87">
        <f>SUM(I5:I11)</f>
        <v>2396.9700000000003</v>
      </c>
      <c r="J4" s="87">
        <f>SUM(J6:J11)</f>
        <v>17783.25</v>
      </c>
      <c r="K4" s="87"/>
      <c r="L4" s="87">
        <f>SUM(L14)</f>
        <v>0</v>
      </c>
      <c r="M4" s="87">
        <f t="shared" ref="M4:N4" si="9">SUM(M5:M11)</f>
        <v>304</v>
      </c>
      <c r="N4" s="87">
        <f t="shared" si="9"/>
        <v>12761.25</v>
      </c>
      <c r="O4" s="87">
        <f>SUM(O14)</f>
        <v>0</v>
      </c>
      <c r="P4" s="87">
        <f t="shared" ref="P4:R4" si="10">IF(BI4=0,SUM(Y4+AB4+AE4+AH4+AK4+AN4+AQ4+AT4+AW4+AZ4+BC4+BF4),BI4)</f>
        <v>304</v>
      </c>
      <c r="Q4" s="87">
        <f t="shared" si="10"/>
        <v>12761.25</v>
      </c>
      <c r="R4" s="87">
        <f t="shared" si="10"/>
        <v>0</v>
      </c>
      <c r="S4" s="87">
        <f t="shared" ref="S4:U4" si="11">SUM(S5:S11)</f>
        <v>2092.9700000000003</v>
      </c>
      <c r="T4" s="87">
        <f t="shared" si="11"/>
        <v>5022</v>
      </c>
      <c r="U4" s="87">
        <f t="shared" si="11"/>
        <v>0</v>
      </c>
      <c r="V4" s="87">
        <f t="shared" ref="V4:W4" si="12">M4/I4</f>
        <v>0.12682678548333937</v>
      </c>
      <c r="W4" s="88">
        <f t="shared" si="12"/>
        <v>0.71759942642655306</v>
      </c>
      <c r="X4" s="88" t="e">
        <f t="shared" si="7"/>
        <v>#DIV/0!</v>
      </c>
      <c r="Y4" s="87">
        <f t="shared" ref="Y4:AD4" si="13">SUM(Y14)</f>
        <v>0</v>
      </c>
      <c r="Z4" s="87">
        <f t="shared" si="13"/>
        <v>0</v>
      </c>
      <c r="AA4" s="87">
        <f t="shared" si="13"/>
        <v>0</v>
      </c>
      <c r="AB4" s="87">
        <f t="shared" si="13"/>
        <v>0</v>
      </c>
      <c r="AC4" s="87">
        <f t="shared" si="13"/>
        <v>0</v>
      </c>
      <c r="AD4" s="87">
        <f t="shared" si="13"/>
        <v>0</v>
      </c>
      <c r="AE4" s="87">
        <f>SUM(AE5:AE11)</f>
        <v>304</v>
      </c>
      <c r="AF4" s="87">
        <f t="shared" ref="AF4:AH4" si="14">SUM(AF14)</f>
        <v>0</v>
      </c>
      <c r="AG4" s="87">
        <f t="shared" si="14"/>
        <v>0</v>
      </c>
      <c r="AH4" s="87">
        <f t="shared" si="14"/>
        <v>0</v>
      </c>
      <c r="AI4" s="87">
        <f t="shared" ref="AI4:AS4" si="15">SUM(AI5:AI11)</f>
        <v>1950</v>
      </c>
      <c r="AJ4" s="87">
        <f t="shared" si="15"/>
        <v>0</v>
      </c>
      <c r="AK4" s="87">
        <f t="shared" si="15"/>
        <v>0</v>
      </c>
      <c r="AL4" s="87">
        <f t="shared" si="15"/>
        <v>0</v>
      </c>
      <c r="AM4" s="87">
        <f t="shared" si="15"/>
        <v>0</v>
      </c>
      <c r="AN4" s="87">
        <f t="shared" si="15"/>
        <v>0</v>
      </c>
      <c r="AO4" s="87">
        <f t="shared" si="15"/>
        <v>0</v>
      </c>
      <c r="AP4" s="87">
        <f t="shared" si="15"/>
        <v>0</v>
      </c>
      <c r="AQ4" s="87">
        <f t="shared" si="15"/>
        <v>0</v>
      </c>
      <c r="AR4" s="87">
        <f t="shared" si="15"/>
        <v>10811.25</v>
      </c>
      <c r="AS4" s="87">
        <f t="shared" si="15"/>
        <v>0</v>
      </c>
      <c r="AT4" s="87">
        <f t="shared" ref="AT4:BK4" si="16">SUM(AT14)</f>
        <v>0</v>
      </c>
      <c r="AU4" s="87">
        <f t="shared" si="16"/>
        <v>0</v>
      </c>
      <c r="AV4" s="87">
        <f t="shared" si="16"/>
        <v>0</v>
      </c>
      <c r="AW4" s="87">
        <f t="shared" si="16"/>
        <v>0</v>
      </c>
      <c r="AX4" s="87">
        <f t="shared" si="16"/>
        <v>0</v>
      </c>
      <c r="AY4" s="87">
        <f t="shared" si="16"/>
        <v>0</v>
      </c>
      <c r="AZ4" s="87">
        <f t="shared" si="16"/>
        <v>0</v>
      </c>
      <c r="BA4" s="87">
        <f t="shared" si="16"/>
        <v>0</v>
      </c>
      <c r="BB4" s="87">
        <f t="shared" si="16"/>
        <v>0</v>
      </c>
      <c r="BC4" s="87">
        <f t="shared" si="16"/>
        <v>0</v>
      </c>
      <c r="BD4" s="87">
        <f t="shared" si="16"/>
        <v>0</v>
      </c>
      <c r="BE4" s="87">
        <f t="shared" si="16"/>
        <v>0</v>
      </c>
      <c r="BF4" s="87">
        <f t="shared" si="16"/>
        <v>0</v>
      </c>
      <c r="BG4" s="87">
        <f t="shared" si="16"/>
        <v>0</v>
      </c>
      <c r="BH4" s="87">
        <f t="shared" si="16"/>
        <v>0</v>
      </c>
      <c r="BI4" s="87">
        <f t="shared" si="16"/>
        <v>0</v>
      </c>
      <c r="BJ4" s="87">
        <f t="shared" si="16"/>
        <v>0</v>
      </c>
      <c r="BK4" s="87">
        <f t="shared" si="16"/>
        <v>0</v>
      </c>
      <c r="BL4" s="84"/>
      <c r="BM4" s="85"/>
      <c r="BN4" s="85"/>
      <c r="BO4" s="85"/>
      <c r="BP4" s="85"/>
    </row>
    <row r="5" spans="1:68" ht="15.75" customHeight="1">
      <c r="A5" s="89" t="s">
        <v>472</v>
      </c>
      <c r="B5" s="89"/>
      <c r="C5" s="90" t="s">
        <v>200</v>
      </c>
      <c r="D5" s="91" t="s">
        <v>201</v>
      </c>
      <c r="E5" s="92">
        <v>1500</v>
      </c>
      <c r="F5" s="93"/>
      <c r="G5" s="94"/>
      <c r="H5" s="94"/>
      <c r="I5" s="95">
        <v>1500</v>
      </c>
      <c r="J5" s="96"/>
      <c r="K5" s="96"/>
      <c r="L5" s="95"/>
      <c r="M5" s="97">
        <f t="shared" ref="M5:O5" si="17">Y5+AB5+AE5+AH5+AK5+AN5+AQ5+AT5+AW5+AZ5+BC5+BF5</f>
        <v>0</v>
      </c>
      <c r="N5" s="97">
        <f t="shared" si="17"/>
        <v>0</v>
      </c>
      <c r="O5" s="97">
        <f t="shared" si="17"/>
        <v>0</v>
      </c>
      <c r="P5" s="82">
        <f t="shared" ref="P5:R5" si="18">IF(BI5=0,SUM(Y5+AB5+AE5+AH5+AK5+AN5+AQ5+AT5+AW5+AZ5+BC5+BF5),BI5)</f>
        <v>0</v>
      </c>
      <c r="Q5" s="82">
        <f t="shared" si="18"/>
        <v>0</v>
      </c>
      <c r="R5" s="82">
        <f t="shared" si="18"/>
        <v>0</v>
      </c>
      <c r="S5" s="97">
        <f t="shared" ref="S5:S11" si="19">I5-M5</f>
        <v>1500</v>
      </c>
      <c r="T5" s="97"/>
      <c r="U5" s="97"/>
      <c r="V5" s="97"/>
      <c r="W5" s="98"/>
      <c r="X5" s="98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9"/>
      <c r="BM5" s="100"/>
      <c r="BN5" s="100"/>
      <c r="BO5" s="100"/>
      <c r="BP5" s="100"/>
    </row>
    <row r="6" spans="1:68" ht="15.75" customHeight="1">
      <c r="A6" s="89"/>
      <c r="B6" s="89"/>
      <c r="C6" s="101" t="s">
        <v>202</v>
      </c>
      <c r="D6" s="91" t="s">
        <v>203</v>
      </c>
      <c r="E6" s="92">
        <v>4202</v>
      </c>
      <c r="F6" s="93">
        <v>10345.6</v>
      </c>
      <c r="G6" s="94">
        <f t="shared" ref="G6:G24" si="20">I6/E6</f>
        <v>0</v>
      </c>
      <c r="H6" s="94">
        <f t="shared" ref="H6:H23" si="21">M6/E6</f>
        <v>0</v>
      </c>
      <c r="I6" s="95"/>
      <c r="J6" s="96"/>
      <c r="K6" s="96"/>
      <c r="L6" s="95"/>
      <c r="M6" s="97">
        <f t="shared" ref="M6:O6" si="22">Y6+AB6+AE6+AH6+AK6+AN6+AQ6+AT6+AW6+AZ6+BC6+BF6</f>
        <v>0</v>
      </c>
      <c r="N6" s="97">
        <f t="shared" si="22"/>
        <v>0</v>
      </c>
      <c r="O6" s="97">
        <f t="shared" si="22"/>
        <v>0</v>
      </c>
      <c r="P6" s="82">
        <f t="shared" ref="P6:R6" si="23">IF(BI6=0,SUM(Y6+AB6+AE6+AH6+AK6+AN6+AQ6+AT6+AW6+AZ6+BC6+BF6),BI6)</f>
        <v>0</v>
      </c>
      <c r="Q6" s="82">
        <f t="shared" si="23"/>
        <v>0</v>
      </c>
      <c r="R6" s="82">
        <f t="shared" si="23"/>
        <v>0</v>
      </c>
      <c r="S6" s="97">
        <f t="shared" si="19"/>
        <v>0</v>
      </c>
      <c r="T6" s="97">
        <f t="shared" ref="T6:T11" si="24">J6-K6-N6</f>
        <v>0</v>
      </c>
      <c r="U6" s="97">
        <f t="shared" ref="U6:U11" si="25">L6-O6</f>
        <v>0</v>
      </c>
      <c r="V6" s="97" t="e">
        <f t="shared" ref="V6:W6" si="26">M6/I6</f>
        <v>#DIV/0!</v>
      </c>
      <c r="W6" s="98" t="e">
        <f t="shared" si="26"/>
        <v>#DIV/0!</v>
      </c>
      <c r="X6" s="98" t="e">
        <f t="shared" ref="X6:X24" si="27">O6/L6</f>
        <v>#DIV/0!</v>
      </c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9"/>
      <c r="BM6" s="100"/>
      <c r="BN6" s="100"/>
      <c r="BO6" s="100"/>
      <c r="BP6" s="100"/>
    </row>
    <row r="7" spans="1:68" ht="15.75" customHeight="1">
      <c r="A7" s="89"/>
      <c r="B7" s="89"/>
      <c r="C7" s="101" t="s">
        <v>204</v>
      </c>
      <c r="D7" s="91" t="s">
        <v>205</v>
      </c>
      <c r="E7" s="92">
        <v>1680.8</v>
      </c>
      <c r="F7" s="93">
        <v>2955.35</v>
      </c>
      <c r="G7" s="94">
        <f t="shared" si="20"/>
        <v>0</v>
      </c>
      <c r="H7" s="94">
        <f t="shared" si="21"/>
        <v>0</v>
      </c>
      <c r="I7" s="95"/>
      <c r="J7" s="96"/>
      <c r="K7" s="96"/>
      <c r="L7" s="95"/>
      <c r="M7" s="97">
        <f t="shared" ref="M7:O7" si="28">Y7+AB7+AE7+AH7+AK7+AN7+AQ7+AT7+AW7+AZ7+BC7+BF7</f>
        <v>0</v>
      </c>
      <c r="N7" s="97">
        <f t="shared" si="28"/>
        <v>0</v>
      </c>
      <c r="O7" s="97">
        <f t="shared" si="28"/>
        <v>0</v>
      </c>
      <c r="P7" s="82">
        <f t="shared" ref="P7:R7" si="29">IF(BI7=0,SUM(Y7+AB7+AE7+AH7+AK7+AN7+AQ7+AT7+AW7+AZ7+BC7+BF7),BI7)</f>
        <v>0</v>
      </c>
      <c r="Q7" s="82">
        <f t="shared" si="29"/>
        <v>0</v>
      </c>
      <c r="R7" s="82">
        <f t="shared" si="29"/>
        <v>0</v>
      </c>
      <c r="S7" s="97">
        <f t="shared" si="19"/>
        <v>0</v>
      </c>
      <c r="T7" s="97">
        <f t="shared" si="24"/>
        <v>0</v>
      </c>
      <c r="U7" s="97">
        <f t="shared" si="25"/>
        <v>0</v>
      </c>
      <c r="V7" s="97" t="e">
        <f t="shared" ref="V7:W7" si="30">M7/I7</f>
        <v>#DIV/0!</v>
      </c>
      <c r="W7" s="98" t="e">
        <f t="shared" si="30"/>
        <v>#DIV/0!</v>
      </c>
      <c r="X7" s="98" t="e">
        <f t="shared" si="27"/>
        <v>#DIV/0!</v>
      </c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9"/>
      <c r="BM7" s="100"/>
      <c r="BN7" s="100"/>
      <c r="BO7" s="100"/>
      <c r="BP7" s="100"/>
    </row>
    <row r="8" spans="1:68" ht="15.75" customHeight="1">
      <c r="A8" s="89"/>
      <c r="B8" s="371" t="s">
        <v>728</v>
      </c>
      <c r="C8" s="101" t="s">
        <v>207</v>
      </c>
      <c r="D8" s="91" t="s">
        <v>729</v>
      </c>
      <c r="E8" s="92">
        <v>15127.2</v>
      </c>
      <c r="F8" s="93">
        <v>58483.53</v>
      </c>
      <c r="G8" s="94">
        <f t="shared" si="20"/>
        <v>0</v>
      </c>
      <c r="H8" s="94">
        <f t="shared" si="21"/>
        <v>0</v>
      </c>
      <c r="I8" s="95"/>
      <c r="J8" s="96">
        <v>15833.25</v>
      </c>
      <c r="K8" s="96"/>
      <c r="L8" s="95"/>
      <c r="M8" s="97">
        <f t="shared" ref="M8:O8" si="31">Y8+AB8+AE8+AH8+AK8+AN8+AQ8+AT8+AW8+AZ8+BC8+BF8</f>
        <v>0</v>
      </c>
      <c r="N8" s="97">
        <f t="shared" si="31"/>
        <v>10811.25</v>
      </c>
      <c r="O8" s="97">
        <f t="shared" si="31"/>
        <v>0</v>
      </c>
      <c r="P8" s="82">
        <f t="shared" ref="P8:R8" si="32">IF(BI8=0,SUM(Y8+AB8+AE8+AH8+AK8+AN8+AQ8+AT8+AW8+AZ8+BC8+BF8),BI8)</f>
        <v>0</v>
      </c>
      <c r="Q8" s="82">
        <f t="shared" si="32"/>
        <v>10811.25</v>
      </c>
      <c r="R8" s="82">
        <f t="shared" si="32"/>
        <v>0</v>
      </c>
      <c r="S8" s="97">
        <f t="shared" si="19"/>
        <v>0</v>
      </c>
      <c r="T8" s="128">
        <f t="shared" si="24"/>
        <v>5022</v>
      </c>
      <c r="U8" s="97">
        <f t="shared" si="25"/>
        <v>0</v>
      </c>
      <c r="V8" s="97" t="e">
        <f t="shared" ref="V8:W8" si="33">M8/I8</f>
        <v>#DIV/0!</v>
      </c>
      <c r="W8" s="98">
        <f t="shared" si="33"/>
        <v>0.68281938325991187</v>
      </c>
      <c r="X8" s="98" t="e">
        <f t="shared" si="27"/>
        <v>#DIV/0!</v>
      </c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>
        <f>5928.75+4882.5</f>
        <v>10811.25</v>
      </c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9"/>
      <c r="BM8" s="100"/>
      <c r="BN8" s="100"/>
      <c r="BO8" s="100"/>
      <c r="BP8" s="100"/>
    </row>
    <row r="9" spans="1:68" ht="15.75" customHeight="1">
      <c r="A9" s="89"/>
      <c r="B9" s="102"/>
      <c r="C9" s="101" t="s">
        <v>209</v>
      </c>
      <c r="D9" s="91" t="s">
        <v>69</v>
      </c>
      <c r="E9" s="92">
        <v>8029.07</v>
      </c>
      <c r="F9" s="93"/>
      <c r="G9" s="94">
        <f t="shared" si="20"/>
        <v>0</v>
      </c>
      <c r="H9" s="94">
        <f t="shared" si="21"/>
        <v>0</v>
      </c>
      <c r="I9" s="95"/>
      <c r="J9" s="353">
        <v>1950</v>
      </c>
      <c r="K9" s="96"/>
      <c r="L9" s="95"/>
      <c r="M9" s="97">
        <f t="shared" ref="M9:O9" si="34">Y9+AB9+AE9+AH9+AK9+AN9+AQ9+AT9+AW9+AZ9+BC9+BF9</f>
        <v>0</v>
      </c>
      <c r="N9" s="97">
        <f t="shared" si="34"/>
        <v>1950</v>
      </c>
      <c r="O9" s="97">
        <f t="shared" si="34"/>
        <v>0</v>
      </c>
      <c r="P9" s="82">
        <f t="shared" ref="P9:R9" si="35">IF(BI9=0,SUM(Y9+AB9+AE9+AH9+AK9+AN9+AQ9+AT9+AW9+AZ9+BC9+BF9),BI9)</f>
        <v>0</v>
      </c>
      <c r="Q9" s="82">
        <f t="shared" si="35"/>
        <v>1950</v>
      </c>
      <c r="R9" s="82">
        <f t="shared" si="35"/>
        <v>0</v>
      </c>
      <c r="S9" s="97">
        <f t="shared" si="19"/>
        <v>0</v>
      </c>
      <c r="T9" s="97">
        <f t="shared" si="24"/>
        <v>0</v>
      </c>
      <c r="U9" s="97">
        <f t="shared" si="25"/>
        <v>0</v>
      </c>
      <c r="V9" s="97" t="e">
        <f t="shared" ref="V9:W9" si="36">M9/I9</f>
        <v>#DIV/0!</v>
      </c>
      <c r="W9" s="98">
        <f t="shared" si="36"/>
        <v>1</v>
      </c>
      <c r="X9" s="98" t="e">
        <f t="shared" si="27"/>
        <v>#DIV/0!</v>
      </c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362">
        <v>1950</v>
      </c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9"/>
      <c r="BM9" s="100"/>
      <c r="BN9" s="100"/>
      <c r="BO9" s="100"/>
      <c r="BP9" s="100"/>
    </row>
    <row r="10" spans="1:68" ht="15.75" customHeight="1">
      <c r="A10" s="356" t="s">
        <v>730</v>
      </c>
      <c r="B10" s="89"/>
      <c r="C10" s="104" t="s">
        <v>210</v>
      </c>
      <c r="D10" s="91" t="s">
        <v>70</v>
      </c>
      <c r="E10" s="92">
        <v>13866.6</v>
      </c>
      <c r="F10" s="93">
        <v>51601.54</v>
      </c>
      <c r="G10" s="94">
        <f t="shared" si="20"/>
        <v>6.4685647527151571E-2</v>
      </c>
      <c r="H10" s="94">
        <f t="shared" si="21"/>
        <v>2.1923182322991938E-2</v>
      </c>
      <c r="I10" s="95">
        <f>304+183+361+48.97</f>
        <v>896.97</v>
      </c>
      <c r="J10" s="96"/>
      <c r="K10" s="96"/>
      <c r="L10" s="95"/>
      <c r="M10" s="97">
        <f t="shared" ref="M10:O10" si="37">Y10+AB10+AE10+AH10+AK10+AN10+AQ10+AT10+AW10+AZ10+BC10+BF10</f>
        <v>304</v>
      </c>
      <c r="N10" s="97">
        <f t="shared" si="37"/>
        <v>0</v>
      </c>
      <c r="O10" s="97">
        <f t="shared" si="37"/>
        <v>0</v>
      </c>
      <c r="P10" s="82">
        <f t="shared" ref="P10:R10" si="38">IF(BI10=0,SUM(Y10+AB10+AE10+AH10+AK10+AN10+AQ10+AT10+AW10+AZ10+BC10+BF10),BI10)</f>
        <v>304</v>
      </c>
      <c r="Q10" s="82">
        <f t="shared" si="38"/>
        <v>0</v>
      </c>
      <c r="R10" s="82">
        <f t="shared" si="38"/>
        <v>0</v>
      </c>
      <c r="S10" s="97">
        <f t="shared" si="19"/>
        <v>592.97</v>
      </c>
      <c r="T10" s="97">
        <f t="shared" si="24"/>
        <v>0</v>
      </c>
      <c r="U10" s="97">
        <f t="shared" si="25"/>
        <v>0</v>
      </c>
      <c r="V10" s="97">
        <f t="shared" ref="V10:W10" si="39">M10/I10</f>
        <v>0.33891880441932282</v>
      </c>
      <c r="W10" s="98" t="e">
        <f t="shared" si="39"/>
        <v>#DIV/0!</v>
      </c>
      <c r="X10" s="98" t="e">
        <f t="shared" si="27"/>
        <v>#DIV/0!</v>
      </c>
      <c r="Y10" s="96"/>
      <c r="Z10" s="96"/>
      <c r="AA10" s="96"/>
      <c r="AB10" s="96"/>
      <c r="AC10" s="96"/>
      <c r="AD10" s="96"/>
      <c r="AE10" s="103">
        <v>304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9"/>
      <c r="BM10" s="100"/>
      <c r="BN10" s="100"/>
      <c r="BO10" s="100"/>
      <c r="BP10" s="100"/>
    </row>
    <row r="11" spans="1:68" ht="15.75" customHeight="1">
      <c r="A11" s="89"/>
      <c r="B11" s="89"/>
      <c r="C11" s="101" t="s">
        <v>211</v>
      </c>
      <c r="D11" s="91" t="s">
        <v>71</v>
      </c>
      <c r="E11" s="92">
        <v>4202</v>
      </c>
      <c r="F11" s="92"/>
      <c r="G11" s="94">
        <f t="shared" si="20"/>
        <v>0</v>
      </c>
      <c r="H11" s="94">
        <f t="shared" si="21"/>
        <v>0</v>
      </c>
      <c r="I11" s="95"/>
      <c r="J11" s="96"/>
      <c r="K11" s="96"/>
      <c r="L11" s="95"/>
      <c r="M11" s="97">
        <f t="shared" ref="M11:O11" si="40">Y11+AB11+AE11+AH11+AK11+AN11+AQ11+AT11+AW11+AZ11+BC11+BF11</f>
        <v>0</v>
      </c>
      <c r="N11" s="97">
        <f t="shared" si="40"/>
        <v>0</v>
      </c>
      <c r="O11" s="97">
        <f t="shared" si="40"/>
        <v>0</v>
      </c>
      <c r="P11" s="82">
        <f t="shared" ref="P11:R11" si="41">IF(BI11=0,SUM(Y11+AB11+AE11+AH11+AK11+AN11+AQ11+AT11+AW11+AZ11+BC11+BF11),BI11)</f>
        <v>0</v>
      </c>
      <c r="Q11" s="82">
        <f t="shared" si="41"/>
        <v>0</v>
      </c>
      <c r="R11" s="82">
        <f t="shared" si="41"/>
        <v>0</v>
      </c>
      <c r="S11" s="97">
        <f t="shared" si="19"/>
        <v>0</v>
      </c>
      <c r="T11" s="97">
        <f t="shared" si="24"/>
        <v>0</v>
      </c>
      <c r="U11" s="97">
        <f t="shared" si="25"/>
        <v>0</v>
      </c>
      <c r="V11" s="97" t="e">
        <f t="shared" ref="V11:W11" si="42">M11/I11</f>
        <v>#DIV/0!</v>
      </c>
      <c r="W11" s="98" t="e">
        <f t="shared" si="42"/>
        <v>#DIV/0!</v>
      </c>
      <c r="X11" s="98" t="e">
        <f t="shared" si="27"/>
        <v>#DIV/0!</v>
      </c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9"/>
      <c r="BM11" s="100"/>
      <c r="BN11" s="100"/>
      <c r="BO11" s="100"/>
      <c r="BP11" s="100"/>
    </row>
    <row r="12" spans="1:68" ht="21">
      <c r="A12" s="105"/>
      <c r="B12" s="105"/>
      <c r="C12" s="105" t="s">
        <v>212</v>
      </c>
      <c r="D12" s="106"/>
      <c r="E12" s="87">
        <f t="shared" ref="E12:F12" si="43">SUM(E13:E67)</f>
        <v>1669164.1900000002</v>
      </c>
      <c r="F12" s="87">
        <f t="shared" si="43"/>
        <v>3309795.38</v>
      </c>
      <c r="G12" s="107">
        <f t="shared" si="20"/>
        <v>0.97499894243477625</v>
      </c>
      <c r="H12" s="107">
        <f t="shared" si="21"/>
        <v>0.16331330472648115</v>
      </c>
      <c r="I12" s="87">
        <f>SUM(I13:I67)</f>
        <v>1627433.32</v>
      </c>
      <c r="J12" s="87">
        <f t="shared" ref="J12:L12" si="44">SUM(J15:J67)</f>
        <v>1611770.46</v>
      </c>
      <c r="K12" s="87">
        <f t="shared" si="44"/>
        <v>38898.909999999996</v>
      </c>
      <c r="L12" s="87">
        <f t="shared" si="44"/>
        <v>90240</v>
      </c>
      <c r="M12" s="87">
        <f t="shared" ref="M12:N12" si="45">SUM(M13:M67)</f>
        <v>272596.72000000009</v>
      </c>
      <c r="N12" s="87">
        <f t="shared" si="45"/>
        <v>1203493.5900000001</v>
      </c>
      <c r="O12" s="108">
        <f>SUM(O13:O64)</f>
        <v>0</v>
      </c>
      <c r="P12" s="87">
        <f t="shared" ref="P12:R12" si="46">IF(BI12=0,SUM(Y12+AB12+AE12+AH12+AK12+AN12+AQ12+AT12+AW12+AZ12+BC12+BF12),BI12)</f>
        <v>276990.66000000003</v>
      </c>
      <c r="Q12" s="87">
        <f t="shared" si="46"/>
        <v>1290598.33</v>
      </c>
      <c r="R12" s="108">
        <f t="shared" si="46"/>
        <v>0</v>
      </c>
      <c r="S12" s="87">
        <f>SUM(S13:S67)</f>
        <v>1354836.5999999999</v>
      </c>
      <c r="T12" s="87">
        <f t="shared" ref="T12:U12" si="47">SUM(T15:T67)</f>
        <v>369377.96</v>
      </c>
      <c r="U12" s="108">
        <f t="shared" si="47"/>
        <v>0</v>
      </c>
      <c r="V12" s="88">
        <f t="shared" ref="V12:W12" si="48">M12/I12</f>
        <v>0.16750100704586784</v>
      </c>
      <c r="W12" s="88">
        <f t="shared" si="48"/>
        <v>0.74669043754530662</v>
      </c>
      <c r="X12" s="88">
        <f t="shared" si="27"/>
        <v>0</v>
      </c>
      <c r="Y12" s="87">
        <f t="shared" ref="Y12:AC12" si="49">SUM(Y15:Y67)</f>
        <v>0</v>
      </c>
      <c r="Z12" s="87">
        <f t="shared" si="49"/>
        <v>162060.35</v>
      </c>
      <c r="AA12" s="87">
        <f t="shared" si="49"/>
        <v>0</v>
      </c>
      <c r="AB12" s="87">
        <f t="shared" si="49"/>
        <v>0</v>
      </c>
      <c r="AC12" s="87">
        <f t="shared" si="49"/>
        <v>163302.63</v>
      </c>
      <c r="AD12" s="87">
        <f>SUM(AD15:AD64)</f>
        <v>0</v>
      </c>
      <c r="AE12" s="87">
        <f>SUM(AE15:AE67)</f>
        <v>1725.32</v>
      </c>
      <c r="AF12" s="87">
        <f>SUM(AF15:AF66)</f>
        <v>200009.41999999995</v>
      </c>
      <c r="AG12" s="87">
        <f>SUM(AG15:AG64)</f>
        <v>0</v>
      </c>
      <c r="AH12" s="87">
        <f t="shared" ref="AH12:AI12" si="50">SUM(AH13:AH67)</f>
        <v>18883.349999999999</v>
      </c>
      <c r="AI12" s="87">
        <f t="shared" si="50"/>
        <v>93013.4</v>
      </c>
      <c r="AJ12" s="87">
        <f>SUM(AJ15:AJ64)</f>
        <v>0</v>
      </c>
      <c r="AK12" s="87">
        <f t="shared" ref="AK12:AL12" si="51">SUM(AK15:AK67)</f>
        <v>49634.33</v>
      </c>
      <c r="AL12" s="87">
        <f t="shared" si="51"/>
        <v>361930.45</v>
      </c>
      <c r="AM12" s="87">
        <f>SUM(AM15:AM64)</f>
        <v>0</v>
      </c>
      <c r="AN12" s="87">
        <f t="shared" ref="AN12:AO12" si="52">SUM(AN13:AN67)</f>
        <v>67241.679999999993</v>
      </c>
      <c r="AO12" s="87">
        <f t="shared" si="52"/>
        <v>236345.26</v>
      </c>
      <c r="AP12" s="87">
        <f>SUM(AP15:AP64)</f>
        <v>0</v>
      </c>
      <c r="AQ12" s="87">
        <f t="shared" ref="AQ12:AR12" si="53">SUM(AQ13:AQ67)</f>
        <v>139505.98000000004</v>
      </c>
      <c r="AR12" s="87">
        <f t="shared" si="53"/>
        <v>73936.820000000007</v>
      </c>
      <c r="AS12" s="87">
        <f>SUM(AS15:AS64)</f>
        <v>0</v>
      </c>
      <c r="AT12" s="87">
        <f>SUM(AT15:AT67)</f>
        <v>0</v>
      </c>
      <c r="AU12" s="87">
        <f t="shared" ref="AU12:AV12" si="54">SUM(AU15:AU64)</f>
        <v>0</v>
      </c>
      <c r="AV12" s="87">
        <f t="shared" si="54"/>
        <v>0</v>
      </c>
      <c r="AW12" s="87">
        <f t="shared" ref="AW12:AX12" si="55">SUM(AW15:AW67)</f>
        <v>0</v>
      </c>
      <c r="AX12" s="87">
        <f t="shared" si="55"/>
        <v>0</v>
      </c>
      <c r="AY12" s="87">
        <f t="shared" ref="AY12:BK12" si="56">SUM(AY15:AY64)</f>
        <v>0</v>
      </c>
      <c r="AZ12" s="87">
        <f t="shared" si="56"/>
        <v>0</v>
      </c>
      <c r="BA12" s="87">
        <f t="shared" si="56"/>
        <v>0</v>
      </c>
      <c r="BB12" s="87">
        <f t="shared" si="56"/>
        <v>0</v>
      </c>
      <c r="BC12" s="87">
        <f t="shared" si="56"/>
        <v>0</v>
      </c>
      <c r="BD12" s="87">
        <f t="shared" si="56"/>
        <v>0</v>
      </c>
      <c r="BE12" s="87">
        <f t="shared" si="56"/>
        <v>0</v>
      </c>
      <c r="BF12" s="87">
        <f t="shared" si="56"/>
        <v>0</v>
      </c>
      <c r="BG12" s="87">
        <f t="shared" si="56"/>
        <v>0</v>
      </c>
      <c r="BH12" s="87">
        <f t="shared" si="56"/>
        <v>0</v>
      </c>
      <c r="BI12" s="87">
        <f t="shared" si="56"/>
        <v>0</v>
      </c>
      <c r="BJ12" s="87">
        <f t="shared" si="56"/>
        <v>0</v>
      </c>
      <c r="BK12" s="87">
        <f t="shared" si="56"/>
        <v>0</v>
      </c>
      <c r="BL12" s="109"/>
      <c r="BM12" s="110"/>
      <c r="BN12" s="110"/>
      <c r="BO12" s="110"/>
      <c r="BP12" s="110"/>
    </row>
    <row r="13" spans="1:68" ht="15.75">
      <c r="A13" s="89" t="s">
        <v>475</v>
      </c>
      <c r="B13" s="111"/>
      <c r="C13" s="90" t="s">
        <v>200</v>
      </c>
      <c r="D13" s="91" t="s">
        <v>201</v>
      </c>
      <c r="E13" s="92">
        <v>1500</v>
      </c>
      <c r="F13" s="92"/>
      <c r="G13" s="94">
        <f t="shared" si="20"/>
        <v>1</v>
      </c>
      <c r="H13" s="94">
        <f t="shared" si="21"/>
        <v>0</v>
      </c>
      <c r="I13" s="96">
        <v>1500</v>
      </c>
      <c r="J13" s="96"/>
      <c r="K13" s="96"/>
      <c r="L13" s="95"/>
      <c r="M13" s="97">
        <f t="shared" ref="M13:O13" si="57">Y13+AB13+AE13+AH13+AK13+AN13+AQ13+AT13+AW13+AZ13+BC13+BF13</f>
        <v>0</v>
      </c>
      <c r="N13" s="97">
        <f t="shared" si="57"/>
        <v>0</v>
      </c>
      <c r="O13" s="97">
        <f t="shared" si="57"/>
        <v>0</v>
      </c>
      <c r="P13" s="82">
        <f t="shared" ref="P13:R13" si="58">IF(BI13=0,SUM(Y13+AB13+AE13+AH13+AK13+AN13+AQ13+AT13+AW13+AZ13+BC13+BF13),BI13)</f>
        <v>0</v>
      </c>
      <c r="Q13" s="82">
        <f t="shared" si="58"/>
        <v>0</v>
      </c>
      <c r="R13" s="82">
        <f t="shared" si="58"/>
        <v>0</v>
      </c>
      <c r="S13" s="97">
        <f t="shared" ref="S13:S24" si="59">I13-M13</f>
        <v>1500</v>
      </c>
      <c r="T13" s="97">
        <f t="shared" ref="T13:T67" si="60">J13-K13-N13</f>
        <v>0</v>
      </c>
      <c r="U13" s="97">
        <f t="shared" ref="U13:U24" si="61">L13-O13</f>
        <v>0</v>
      </c>
      <c r="V13" s="112">
        <f t="shared" ref="V13:W13" si="62">M13/I13</f>
        <v>0</v>
      </c>
      <c r="W13" s="98" t="e">
        <f t="shared" si="62"/>
        <v>#DIV/0!</v>
      </c>
      <c r="X13" s="98" t="e">
        <f t="shared" si="27"/>
        <v>#DIV/0!</v>
      </c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103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103">
        <v>0</v>
      </c>
      <c r="BG13" s="96"/>
      <c r="BH13" s="96"/>
      <c r="BI13" s="96"/>
      <c r="BJ13" s="96"/>
      <c r="BK13" s="96"/>
      <c r="BL13" s="99"/>
      <c r="BM13" s="100"/>
      <c r="BN13" s="100"/>
      <c r="BO13" s="100"/>
      <c r="BP13" s="100"/>
    </row>
    <row r="14" spans="1:68" ht="15.75" customHeight="1">
      <c r="A14" s="354" t="s">
        <v>530</v>
      </c>
      <c r="B14" s="89"/>
      <c r="C14" s="90" t="s">
        <v>213</v>
      </c>
      <c r="D14" s="91" t="s">
        <v>74</v>
      </c>
      <c r="E14" s="92">
        <v>2000</v>
      </c>
      <c r="F14" s="92"/>
      <c r="G14" s="94">
        <f t="shared" si="20"/>
        <v>0.10367</v>
      </c>
      <c r="H14" s="94">
        <f t="shared" si="21"/>
        <v>0</v>
      </c>
      <c r="I14" s="355">
        <v>207.34</v>
      </c>
      <c r="J14" s="96"/>
      <c r="K14" s="96"/>
      <c r="L14" s="95"/>
      <c r="M14" s="97">
        <f t="shared" ref="M14:O14" si="63">Y14+AB14+AE14+AH14+AK14+AN14+AQ14+AT14+AW14+AZ14+BC14+BF14</f>
        <v>0</v>
      </c>
      <c r="N14" s="97">
        <f t="shared" si="63"/>
        <v>0</v>
      </c>
      <c r="O14" s="97">
        <f t="shared" si="63"/>
        <v>0</v>
      </c>
      <c r="P14" s="82">
        <f t="shared" ref="P14:R14" si="64">IF(BI14=0,SUM(Y14+AB14+AE14+AH14+AK14+AN14+AQ14+AT14+AW14+AZ14+BC14+BF14),BI14)</f>
        <v>0</v>
      </c>
      <c r="Q14" s="82">
        <f t="shared" si="64"/>
        <v>0</v>
      </c>
      <c r="R14" s="82">
        <f t="shared" si="64"/>
        <v>0</v>
      </c>
      <c r="S14" s="97">
        <f t="shared" si="59"/>
        <v>207.34</v>
      </c>
      <c r="T14" s="97">
        <f t="shared" si="60"/>
        <v>0</v>
      </c>
      <c r="U14" s="97">
        <f t="shared" si="61"/>
        <v>0</v>
      </c>
      <c r="V14" s="97">
        <f t="shared" ref="V14:W14" si="65">M14/I14</f>
        <v>0</v>
      </c>
      <c r="W14" s="98" t="e">
        <f t="shared" si="65"/>
        <v>#DIV/0!</v>
      </c>
      <c r="X14" s="98" t="e">
        <f t="shared" si="27"/>
        <v>#DIV/0!</v>
      </c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103">
        <v>0</v>
      </c>
      <c r="BG14" s="96"/>
      <c r="BH14" s="96"/>
      <c r="BI14" s="96"/>
      <c r="BJ14" s="96"/>
      <c r="BK14" s="96"/>
      <c r="BL14" s="99"/>
      <c r="BM14" s="100"/>
      <c r="BN14" s="100"/>
      <c r="BO14" s="100"/>
      <c r="BP14" s="100"/>
    </row>
    <row r="15" spans="1:68" ht="15.75" customHeight="1">
      <c r="A15" s="356" t="s">
        <v>531</v>
      </c>
      <c r="B15" s="114" t="s">
        <v>214</v>
      </c>
      <c r="C15" s="101" t="s">
        <v>215</v>
      </c>
      <c r="D15" s="115" t="s">
        <v>731</v>
      </c>
      <c r="E15" s="116">
        <v>280175</v>
      </c>
      <c r="F15" s="116"/>
      <c r="G15" s="94">
        <f t="shared" si="20"/>
        <v>1.03948599982154</v>
      </c>
      <c r="H15" s="94">
        <f t="shared" si="21"/>
        <v>1.784598911394664E-2</v>
      </c>
      <c r="I15" s="96">
        <f>5000+295574.67-30000-50000+70663.32</f>
        <v>291237.99</v>
      </c>
      <c r="J15" s="117">
        <v>194909.32</v>
      </c>
      <c r="K15" s="117"/>
      <c r="L15" s="118"/>
      <c r="M15" s="97">
        <f t="shared" ref="M15:O15" si="66">Y15+AB15+AE15+AH15+AK15+AN15+AQ15+AT15+AW15+AZ15+BC15+BF15</f>
        <v>5000</v>
      </c>
      <c r="N15" s="97">
        <f t="shared" si="66"/>
        <v>126098.47</v>
      </c>
      <c r="O15" s="97">
        <f t="shared" si="66"/>
        <v>0</v>
      </c>
      <c r="P15" s="82">
        <f t="shared" ref="P15:R15" si="67">IF(BI15=0,SUM(Y15+AB15+AE15+AH15+AK15+AN15+AQ15+AT15+AW15+AZ15+BC15+BF15),BI15)</f>
        <v>5000</v>
      </c>
      <c r="Q15" s="82">
        <f t="shared" si="67"/>
        <v>126098.47</v>
      </c>
      <c r="R15" s="82">
        <f t="shared" si="67"/>
        <v>0</v>
      </c>
      <c r="S15" s="97">
        <f t="shared" si="59"/>
        <v>286237.99</v>
      </c>
      <c r="T15" s="372">
        <f t="shared" si="60"/>
        <v>68810.850000000006</v>
      </c>
      <c r="U15" s="97">
        <f t="shared" si="61"/>
        <v>0</v>
      </c>
      <c r="V15" s="98">
        <f t="shared" ref="V15:W15" si="68">M15/I15</f>
        <v>1.7168089918489001E-2</v>
      </c>
      <c r="W15" s="98">
        <f t="shared" si="68"/>
        <v>0.64695967334963767</v>
      </c>
      <c r="X15" s="98" t="e">
        <f t="shared" si="27"/>
        <v>#DIV/0!</v>
      </c>
      <c r="Y15" s="96"/>
      <c r="Z15" s="103">
        <v>7679.93</v>
      </c>
      <c r="AA15" s="96"/>
      <c r="AB15" s="119"/>
      <c r="AC15" s="131">
        <v>6222.79</v>
      </c>
      <c r="AD15" s="96"/>
      <c r="AE15" s="96"/>
      <c r="AF15" s="103">
        <v>20020.3</v>
      </c>
      <c r="AG15" s="96"/>
      <c r="AH15" s="96"/>
      <c r="AI15" s="103">
        <v>32599.73</v>
      </c>
      <c r="AJ15" s="96"/>
      <c r="AK15" s="103">
        <v>5000</v>
      </c>
      <c r="AL15" s="96">
        <f>20859.25-5000</f>
        <v>15859.25</v>
      </c>
      <c r="AM15" s="96"/>
      <c r="AN15" s="96"/>
      <c r="AO15" s="260">
        <v>22238.34</v>
      </c>
      <c r="AP15" s="96"/>
      <c r="AQ15" s="96"/>
      <c r="AR15" s="96">
        <f>21478.13</f>
        <v>21478.13</v>
      </c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9"/>
      <c r="BM15" s="100"/>
      <c r="BN15" s="100"/>
      <c r="BO15" s="100"/>
      <c r="BP15" s="100"/>
    </row>
    <row r="16" spans="1:68" ht="15.75" customHeight="1">
      <c r="A16" s="120"/>
      <c r="B16" s="121" t="s">
        <v>217</v>
      </c>
      <c r="C16" s="101" t="s">
        <v>218</v>
      </c>
      <c r="D16" s="122" t="s">
        <v>732</v>
      </c>
      <c r="E16" s="92">
        <v>2000</v>
      </c>
      <c r="F16" s="116"/>
      <c r="G16" s="94">
        <f t="shared" si="20"/>
        <v>0</v>
      </c>
      <c r="H16" s="94">
        <f t="shared" si="21"/>
        <v>0</v>
      </c>
      <c r="I16" s="96"/>
      <c r="J16" s="117">
        <f>2600+2712.58</f>
        <v>5312.58</v>
      </c>
      <c r="K16" s="117"/>
      <c r="L16" s="118"/>
      <c r="M16" s="97">
        <f t="shared" ref="M16:O16" si="69">Y16+AB16+AE16+AH16+AK16+AN16+AQ16+AT16+AW16+AZ16+BC16+BF16</f>
        <v>0</v>
      </c>
      <c r="N16" s="97">
        <f t="shared" si="69"/>
        <v>130.65</v>
      </c>
      <c r="O16" s="97">
        <f t="shared" si="69"/>
        <v>0</v>
      </c>
      <c r="P16" s="82">
        <f t="shared" ref="P16:R16" si="70">IF(BI16=0,SUM(Y16+AB16+AE16+AH16+AK16+AN16+AQ16+AT16+AW16+AZ16+BC16+BF16),BI16)</f>
        <v>0</v>
      </c>
      <c r="Q16" s="82">
        <f t="shared" si="70"/>
        <v>130.65</v>
      </c>
      <c r="R16" s="82">
        <f t="shared" si="70"/>
        <v>0</v>
      </c>
      <c r="S16" s="97">
        <f t="shared" si="59"/>
        <v>0</v>
      </c>
      <c r="T16" s="97">
        <f t="shared" si="60"/>
        <v>5181.93</v>
      </c>
      <c r="U16" s="97">
        <f t="shared" si="61"/>
        <v>0</v>
      </c>
      <c r="V16" s="98" t="e">
        <f t="shared" ref="V16:W16" si="71">M16/I16</f>
        <v>#DIV/0!</v>
      </c>
      <c r="W16" s="98">
        <f t="shared" si="71"/>
        <v>2.4592570841286156E-2</v>
      </c>
      <c r="X16" s="98" t="e">
        <f t="shared" si="27"/>
        <v>#DIV/0!</v>
      </c>
      <c r="Y16" s="96"/>
      <c r="Z16" s="96"/>
      <c r="AA16" s="96"/>
      <c r="AB16" s="119"/>
      <c r="AC16" s="119"/>
      <c r="AD16" s="96"/>
      <c r="AE16" s="96"/>
      <c r="AF16" s="96"/>
      <c r="AG16" s="96"/>
      <c r="AH16" s="96"/>
      <c r="AI16" s="103">
        <v>49.62</v>
      </c>
      <c r="AJ16" s="96"/>
      <c r="AK16" s="96"/>
      <c r="AL16" s="96"/>
      <c r="AM16" s="96"/>
      <c r="AN16" s="96"/>
      <c r="AO16" s="260">
        <v>64.680000000000007</v>
      </c>
      <c r="AP16" s="96"/>
      <c r="AQ16" s="96"/>
      <c r="AR16" s="96">
        <f>16.35</f>
        <v>16.350000000000001</v>
      </c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9"/>
      <c r="BM16" s="100"/>
      <c r="BN16" s="100"/>
      <c r="BO16" s="100"/>
      <c r="BP16" s="100"/>
    </row>
    <row r="17" spans="1:68" ht="15.75" customHeight="1">
      <c r="A17" s="120"/>
      <c r="B17" s="114" t="s">
        <v>220</v>
      </c>
      <c r="C17" s="101" t="s">
        <v>221</v>
      </c>
      <c r="D17" s="122" t="s">
        <v>733</v>
      </c>
      <c r="E17" s="123">
        <v>0</v>
      </c>
      <c r="F17" s="124">
        <v>0</v>
      </c>
      <c r="G17" s="94" t="e">
        <f t="shared" si="20"/>
        <v>#DIV/0!</v>
      </c>
      <c r="H17" s="94" t="e">
        <f t="shared" si="21"/>
        <v>#DIV/0!</v>
      </c>
      <c r="I17" s="103">
        <v>0</v>
      </c>
      <c r="J17" s="117">
        <f>12487.09</f>
        <v>12487.09</v>
      </c>
      <c r="K17" s="117"/>
      <c r="L17" s="118"/>
      <c r="M17" s="97">
        <f t="shared" ref="M17:O17" si="72">Y17+AB17+AE17+AH17+AK17+AN17+AQ17+AT17+AW17+AZ17+BC17+BF17</f>
        <v>0</v>
      </c>
      <c r="N17" s="97">
        <f t="shared" si="72"/>
        <v>12487.09</v>
      </c>
      <c r="O17" s="97">
        <f t="shared" si="72"/>
        <v>0</v>
      </c>
      <c r="P17" s="82">
        <f t="shared" ref="P17:R17" si="73">IF(BI17=0,SUM(Y17+AB17+AE17+AH17+AK17+AN17+AQ17+AT17+AW17+AZ17+BC17+BF17),BI17)</f>
        <v>0</v>
      </c>
      <c r="Q17" s="82">
        <f t="shared" si="73"/>
        <v>12487.09</v>
      </c>
      <c r="R17" s="82">
        <f t="shared" si="73"/>
        <v>0</v>
      </c>
      <c r="S17" s="97">
        <f t="shared" si="59"/>
        <v>0</v>
      </c>
      <c r="T17" s="97">
        <f t="shared" si="60"/>
        <v>0</v>
      </c>
      <c r="U17" s="97">
        <f t="shared" si="61"/>
        <v>0</v>
      </c>
      <c r="V17" s="98" t="e">
        <f t="shared" ref="V17:W17" si="74">M17/I17</f>
        <v>#DIV/0!</v>
      </c>
      <c r="W17" s="98">
        <f t="shared" si="74"/>
        <v>1</v>
      </c>
      <c r="X17" s="98" t="e">
        <f t="shared" si="27"/>
        <v>#DIV/0!</v>
      </c>
      <c r="Y17" s="96"/>
      <c r="Z17" s="103">
        <v>12487.09</v>
      </c>
      <c r="AA17" s="96"/>
      <c r="AB17" s="119"/>
      <c r="AC17" s="119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129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9"/>
      <c r="BM17" s="100"/>
      <c r="BN17" s="100"/>
      <c r="BO17" s="100"/>
      <c r="BP17" s="100"/>
    </row>
    <row r="18" spans="1:68" ht="15.75" customHeight="1">
      <c r="A18" s="359" t="s">
        <v>626</v>
      </c>
      <c r="B18" s="114" t="s">
        <v>223</v>
      </c>
      <c r="C18" s="101" t="s">
        <v>221</v>
      </c>
      <c r="D18" s="122" t="s">
        <v>734</v>
      </c>
      <c r="E18" s="92">
        <v>309000</v>
      </c>
      <c r="F18" s="116"/>
      <c r="G18" s="94">
        <f t="shared" si="20"/>
        <v>0.69126174757281555</v>
      </c>
      <c r="H18" s="94">
        <f t="shared" si="21"/>
        <v>4.224375404530744E-2</v>
      </c>
      <c r="I18" s="103">
        <f>160199.91+53399.97</f>
        <v>213599.88</v>
      </c>
      <c r="J18" s="117">
        <v>93746.62</v>
      </c>
      <c r="K18" s="117"/>
      <c r="L18" s="118"/>
      <c r="M18" s="97">
        <f t="shared" ref="M18:O18" si="75">Y18+AB18+AE18+AH18+AK18+AN18+AQ18+AT18+AW18+AZ18+BC18+BF18</f>
        <v>13053.32</v>
      </c>
      <c r="N18" s="97">
        <f t="shared" si="75"/>
        <v>93746.62000000001</v>
      </c>
      <c r="O18" s="97">
        <f t="shared" si="75"/>
        <v>0</v>
      </c>
      <c r="P18" s="82">
        <f t="shared" ref="P18:R18" si="76">IF(BI18=0,SUM(Y18+AB18+AE18+AH18+AK18+AN18+AQ18+AT18+AW18+AZ18+BC18+BF18),BI18)</f>
        <v>13053.32</v>
      </c>
      <c r="Q18" s="82">
        <f t="shared" si="76"/>
        <v>93746.62000000001</v>
      </c>
      <c r="R18" s="82">
        <f t="shared" si="76"/>
        <v>0</v>
      </c>
      <c r="S18" s="97">
        <f t="shared" si="59"/>
        <v>200546.56</v>
      </c>
      <c r="T18" s="97">
        <f t="shared" si="60"/>
        <v>0</v>
      </c>
      <c r="U18" s="97">
        <f t="shared" si="61"/>
        <v>0</v>
      </c>
      <c r="V18" s="98">
        <f t="shared" ref="V18:W18" si="77">M18/I18</f>
        <v>6.1111083021207685E-2</v>
      </c>
      <c r="W18" s="98">
        <f t="shared" si="77"/>
        <v>1.0000000000000002</v>
      </c>
      <c r="X18" s="98" t="e">
        <f t="shared" si="27"/>
        <v>#DIV/0!</v>
      </c>
      <c r="Y18" s="96"/>
      <c r="Z18" s="103">
        <v>17799.990000000002</v>
      </c>
      <c r="AA18" s="96"/>
      <c r="AB18" s="119"/>
      <c r="AC18" s="119">
        <f>17799.99</f>
        <v>17799.990000000002</v>
      </c>
      <c r="AD18" s="96"/>
      <c r="AE18" s="96"/>
      <c r="AF18" s="103">
        <v>17799.990000000002</v>
      </c>
      <c r="AG18" s="96"/>
      <c r="AH18" s="96"/>
      <c r="AI18" s="103">
        <v>17799.990000000002</v>
      </c>
      <c r="AJ18" s="96"/>
      <c r="AK18" s="96"/>
      <c r="AL18" s="96"/>
      <c r="AM18" s="96"/>
      <c r="AN18" s="96"/>
      <c r="AO18" s="260">
        <v>17799.990000000002</v>
      </c>
      <c r="AP18" s="96"/>
      <c r="AQ18" s="103">
        <v>13053.32</v>
      </c>
      <c r="AR18" s="103">
        <f>17799.99-13053.32</f>
        <v>4746.6700000000019</v>
      </c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9"/>
      <c r="BM18" s="100"/>
      <c r="BN18" s="100"/>
      <c r="BO18" s="100"/>
      <c r="BP18" s="100"/>
    </row>
    <row r="19" spans="1:68" ht="15.75" customHeight="1">
      <c r="A19" s="359" t="s">
        <v>628</v>
      </c>
      <c r="B19" s="114" t="s">
        <v>225</v>
      </c>
      <c r="C19" s="101" t="s">
        <v>226</v>
      </c>
      <c r="D19" s="210" t="s">
        <v>735</v>
      </c>
      <c r="E19" s="92">
        <v>610000</v>
      </c>
      <c r="F19" s="116"/>
      <c r="G19" s="94">
        <f t="shared" si="20"/>
        <v>1.2890851475409835</v>
      </c>
      <c r="H19" s="94">
        <f t="shared" si="21"/>
        <v>0.20553290163934426</v>
      </c>
      <c r="I19" s="103">
        <f>36673.86+499778.72+124944.68+124944.68</f>
        <v>786341.94</v>
      </c>
      <c r="J19" s="117">
        <v>180180.54</v>
      </c>
      <c r="K19" s="117"/>
      <c r="L19" s="118"/>
      <c r="M19" s="97">
        <f t="shared" ref="M19:M21" si="78">Y19+AB19+AE19+AH19+AK19+AN19+AQ19+AT19+AW19+AZ19+BC19+BF19</f>
        <v>125375.07</v>
      </c>
      <c r="N19" s="97">
        <f>Z19+AC19+AF19+AI19+AO19+AR19+AU19+AX19+BA19+BD19+BG19</f>
        <v>106932.03</v>
      </c>
      <c r="O19" s="97">
        <f>AA19+AD19+AG19+AJ19+AM19+AP19+AS19+AV19+AY19+BB19+BE19+BH19</f>
        <v>0</v>
      </c>
      <c r="P19" s="82">
        <f t="shared" ref="P19:R19" si="79">IF(BI19=0,SUM(Y19+AB19+AE19+AH19+AK19+AN19+AQ19+AT19+AW19+AZ19+BC19+BF19),BI19)</f>
        <v>125375.07</v>
      </c>
      <c r="Q19" s="82">
        <f t="shared" si="79"/>
        <v>180180.53999999998</v>
      </c>
      <c r="R19" s="82">
        <f t="shared" si="79"/>
        <v>0</v>
      </c>
      <c r="S19" s="97">
        <f t="shared" si="59"/>
        <v>660966.86999999988</v>
      </c>
      <c r="T19" s="97">
        <f t="shared" si="60"/>
        <v>73248.510000000009</v>
      </c>
      <c r="U19" s="97">
        <f t="shared" si="61"/>
        <v>0</v>
      </c>
      <c r="V19" s="98">
        <f t="shared" ref="V19:W19" si="80">M19/I19</f>
        <v>0.15944090429667279</v>
      </c>
      <c r="W19" s="98">
        <f t="shared" si="80"/>
        <v>0.59347158133725209</v>
      </c>
      <c r="X19" s="98" t="e">
        <f t="shared" si="27"/>
        <v>#DIV/0!</v>
      </c>
      <c r="Y19" s="96"/>
      <c r="Z19" s="103">
        <v>20020.060000000001</v>
      </c>
      <c r="AA19" s="125"/>
      <c r="AB19" s="119"/>
      <c r="AC19" s="131">
        <v>39105.86</v>
      </c>
      <c r="AD19" s="96"/>
      <c r="AE19" s="96"/>
      <c r="AF19" s="103">
        <f>3837.16+43968.95</f>
        <v>47806.11</v>
      </c>
      <c r="AG19" s="96"/>
      <c r="AH19" s="96"/>
      <c r="AI19" s="96"/>
      <c r="AJ19" s="96"/>
      <c r="AK19" s="103">
        <v>14689.39</v>
      </c>
      <c r="AL19" s="126">
        <f>43968.95+29279.56</f>
        <v>73248.509999999995</v>
      </c>
      <c r="AM19" s="96"/>
      <c r="AN19" s="96">
        <f>19029.55</f>
        <v>19029.55</v>
      </c>
      <c r="AO19" s="129"/>
      <c r="AP19" s="96"/>
      <c r="AQ19" s="96">
        <f>29183.79+62472.34</f>
        <v>91656.13</v>
      </c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9"/>
      <c r="BM19" s="100"/>
      <c r="BN19" s="100"/>
      <c r="BO19" s="100"/>
      <c r="BP19" s="100"/>
    </row>
    <row r="20" spans="1:68" ht="15.75">
      <c r="A20" s="359" t="s">
        <v>680</v>
      </c>
      <c r="B20" s="114" t="s">
        <v>228</v>
      </c>
      <c r="C20" s="101" t="s">
        <v>229</v>
      </c>
      <c r="D20" s="91" t="s">
        <v>736</v>
      </c>
      <c r="E20" s="92">
        <v>43000</v>
      </c>
      <c r="F20" s="92"/>
      <c r="G20" s="94">
        <f t="shared" si="20"/>
        <v>0.70610046511627911</v>
      </c>
      <c r="H20" s="94">
        <f t="shared" si="21"/>
        <v>0.11630093023255815</v>
      </c>
      <c r="I20" s="103">
        <v>30362.32</v>
      </c>
      <c r="J20" s="117">
        <v>20565.900000000001</v>
      </c>
      <c r="K20" s="117"/>
      <c r="L20" s="118"/>
      <c r="M20" s="97">
        <f t="shared" si="78"/>
        <v>5000.9400000000005</v>
      </c>
      <c r="N20" s="97">
        <f t="shared" ref="N20:O20" si="81">Z20+AC20+AF20+AI20+AL20+AO20+AR20+AU20+AX20+BA20+BD20+BG20</f>
        <v>20565.900000000001</v>
      </c>
      <c r="O20" s="97">
        <f t="shared" si="81"/>
        <v>0</v>
      </c>
      <c r="P20" s="82">
        <f t="shared" ref="P20:R20" si="82">IF(BI20=0,SUM(Y20+AB20+AE20+AH20+AK20+AN20+AQ20+AT20+AW20+AZ20+BC20+BF20),BI20)</f>
        <v>5000.9400000000005</v>
      </c>
      <c r="Q20" s="82">
        <f t="shared" si="82"/>
        <v>20565.900000000001</v>
      </c>
      <c r="R20" s="82">
        <f t="shared" si="82"/>
        <v>0</v>
      </c>
      <c r="S20" s="97">
        <f t="shared" si="59"/>
        <v>25361.379999999997</v>
      </c>
      <c r="T20" s="97">
        <f t="shared" si="60"/>
        <v>0</v>
      </c>
      <c r="U20" s="97">
        <f t="shared" si="61"/>
        <v>0</v>
      </c>
      <c r="V20" s="98">
        <f t="shared" ref="V20:W20" si="83">M20/I20</f>
        <v>0.16470875743355581</v>
      </c>
      <c r="W20" s="98">
        <f t="shared" si="83"/>
        <v>1</v>
      </c>
      <c r="X20" s="98" t="e">
        <f t="shared" si="27"/>
        <v>#DIV/0!</v>
      </c>
      <c r="Y20" s="96"/>
      <c r="Z20" s="103">
        <v>3427.65</v>
      </c>
      <c r="AA20" s="96"/>
      <c r="AB20" s="119"/>
      <c r="AC20" s="131">
        <f>2856.37+306.37</f>
        <v>3162.74</v>
      </c>
      <c r="AD20" s="96"/>
      <c r="AE20" s="96"/>
      <c r="AF20" s="126">
        <f>3795.29</f>
        <v>3795.29</v>
      </c>
      <c r="AG20" s="96"/>
      <c r="AH20" s="96"/>
      <c r="AI20" s="103">
        <v>3795.29</v>
      </c>
      <c r="AJ20" s="96"/>
      <c r="AK20" s="96"/>
      <c r="AL20" s="103">
        <v>3795.29</v>
      </c>
      <c r="AM20" s="96"/>
      <c r="AN20" s="103">
        <v>1205.6500000000001</v>
      </c>
      <c r="AO20" s="260">
        <v>2589.64</v>
      </c>
      <c r="AP20" s="96"/>
      <c r="AQ20" s="96">
        <f>3795.29</f>
        <v>3795.29</v>
      </c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9"/>
      <c r="BM20" s="100"/>
      <c r="BN20" s="100"/>
      <c r="BO20" s="100"/>
      <c r="BP20" s="100"/>
    </row>
    <row r="21" spans="1:68" ht="15.75" customHeight="1">
      <c r="A21" s="120"/>
      <c r="B21" s="114" t="s">
        <v>231</v>
      </c>
      <c r="C21" s="101" t="s">
        <v>232</v>
      </c>
      <c r="D21" s="91" t="s">
        <v>737</v>
      </c>
      <c r="E21" s="92">
        <v>2000</v>
      </c>
      <c r="F21" s="92"/>
      <c r="G21" s="94">
        <f t="shared" si="20"/>
        <v>0</v>
      </c>
      <c r="H21" s="94">
        <f t="shared" si="21"/>
        <v>0</v>
      </c>
      <c r="I21" s="96"/>
      <c r="J21" s="117">
        <v>1838.67</v>
      </c>
      <c r="K21" s="117"/>
      <c r="L21" s="118"/>
      <c r="M21" s="97">
        <f t="shared" si="78"/>
        <v>0</v>
      </c>
      <c r="N21" s="97">
        <f t="shared" ref="N21:O21" si="84">Z21+AC21+AF21+AI21+AL21+AO21+AR21+AU21+AX21+BA21+BD21+BG21</f>
        <v>1163.06</v>
      </c>
      <c r="O21" s="97">
        <f t="shared" si="84"/>
        <v>0</v>
      </c>
      <c r="P21" s="82">
        <f t="shared" ref="P21:R21" si="85">IF(BI21=0,SUM(Y21+AB21+AE21+AH21+AK21+AN21+AQ21+AT21+AW21+AZ21+BC21+BF21),BI21)</f>
        <v>0</v>
      </c>
      <c r="Q21" s="82">
        <f t="shared" si="85"/>
        <v>1163.06</v>
      </c>
      <c r="R21" s="82">
        <f t="shared" si="85"/>
        <v>0</v>
      </c>
      <c r="S21" s="97">
        <f t="shared" si="59"/>
        <v>0</v>
      </c>
      <c r="T21" s="97">
        <f t="shared" si="60"/>
        <v>675.61000000000013</v>
      </c>
      <c r="U21" s="97">
        <f t="shared" si="61"/>
        <v>0</v>
      </c>
      <c r="V21" s="98" t="e">
        <f t="shared" ref="V21:W21" si="86">M21/I21</f>
        <v>#DIV/0!</v>
      </c>
      <c r="W21" s="98">
        <f t="shared" si="86"/>
        <v>0.6325550533809764</v>
      </c>
      <c r="X21" s="98" t="e">
        <f t="shared" si="27"/>
        <v>#DIV/0!</v>
      </c>
      <c r="Y21" s="96"/>
      <c r="Z21" s="96"/>
      <c r="AA21" s="96"/>
      <c r="AB21" s="119"/>
      <c r="AC21" s="119"/>
      <c r="AD21" s="96"/>
      <c r="AE21" s="96"/>
      <c r="AF21" s="96"/>
      <c r="AG21" s="96"/>
      <c r="AH21" s="96"/>
      <c r="AI21" s="103">
        <v>1163.06</v>
      </c>
      <c r="AJ21" s="96"/>
      <c r="AK21" s="96"/>
      <c r="AL21" s="96"/>
      <c r="AM21" s="96"/>
      <c r="AN21" s="96"/>
      <c r="AO21" s="129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9"/>
      <c r="BM21" s="100"/>
      <c r="BN21" s="100"/>
      <c r="BO21" s="100"/>
      <c r="BP21" s="100"/>
    </row>
    <row r="22" spans="1:68" ht="15.75" customHeight="1">
      <c r="A22" s="120" t="s">
        <v>483</v>
      </c>
      <c r="B22" s="114" t="s">
        <v>234</v>
      </c>
      <c r="C22" s="101" t="s">
        <v>229</v>
      </c>
      <c r="D22" s="210" t="s">
        <v>738</v>
      </c>
      <c r="E22" s="92">
        <v>45000</v>
      </c>
      <c r="F22" s="116"/>
      <c r="G22" s="94">
        <f t="shared" si="20"/>
        <v>1.0740742222222224</v>
      </c>
      <c r="H22" s="94">
        <f t="shared" si="21"/>
        <v>0.31896733333333332</v>
      </c>
      <c r="I22" s="103">
        <f>4393.94+43939.4</f>
        <v>48333.340000000004</v>
      </c>
      <c r="J22" s="117">
        <v>16833.330000000002</v>
      </c>
      <c r="K22" s="135">
        <v>2977.1</v>
      </c>
      <c r="L22" s="118"/>
      <c r="M22" s="97">
        <f>Y22+AB22+AE22+AH22+AL22+AN22+AQ22+AT22+AW22+AZ22+BC22+BF22</f>
        <v>14353.529999999999</v>
      </c>
      <c r="N22" s="97"/>
      <c r="O22" s="97">
        <f>AA22+AD22+AG22+AJ22+AM22+AP22+AS22+AV22+AY22+BB22+BE22+BH22</f>
        <v>0</v>
      </c>
      <c r="P22" s="82">
        <f>IF(BI22=0,SUM(Y22+AB22+AE22+AH22+AL22+AN22+AQ22+AT22+AW22+AZ22+BC22+BF22),BI22)</f>
        <v>14353.529999999999</v>
      </c>
      <c r="Q22" s="82">
        <f t="shared" ref="Q22:R22" si="87">IF(BJ22=0,SUM(Z22+AC22+AF22+AI22+AL22+AO22+AR22+AU22+AX22+BA22+BD22+BG22),BJ22)</f>
        <v>13856.23</v>
      </c>
      <c r="R22" s="82">
        <f t="shared" si="87"/>
        <v>0</v>
      </c>
      <c r="S22" s="97">
        <f t="shared" si="59"/>
        <v>33979.810000000005</v>
      </c>
      <c r="T22" s="97">
        <f t="shared" si="60"/>
        <v>13856.230000000001</v>
      </c>
      <c r="U22" s="97">
        <f t="shared" si="61"/>
        <v>0</v>
      </c>
      <c r="V22" s="98">
        <f t="shared" ref="V22:W22" si="88">M22/I22</f>
        <v>0.29696954524557989</v>
      </c>
      <c r="W22" s="98">
        <f t="shared" si="88"/>
        <v>0</v>
      </c>
      <c r="X22" s="98" t="e">
        <f t="shared" si="27"/>
        <v>#DIV/0!</v>
      </c>
      <c r="Y22" s="96"/>
      <c r="Z22" s="103">
        <f>3725.61+3078.02</f>
        <v>6803.63</v>
      </c>
      <c r="AA22" s="96"/>
      <c r="AB22" s="119"/>
      <c r="AC22" s="131">
        <v>4068.81</v>
      </c>
      <c r="AD22" s="96"/>
      <c r="AE22" s="103">
        <v>1171.71</v>
      </c>
      <c r="AF22" s="103">
        <f>2983.79</f>
        <v>2983.79</v>
      </c>
      <c r="AG22" s="96"/>
      <c r="AH22" s="103">
        <v>4393.9399999999996</v>
      </c>
      <c r="AI22" s="96"/>
      <c r="AJ22" s="96"/>
      <c r="AK22" s="1">
        <v>4393.9399999999996</v>
      </c>
      <c r="AL22" s="103"/>
      <c r="AM22" s="96"/>
      <c r="AN22" s="103">
        <v>4393.9399999999996</v>
      </c>
      <c r="AO22" s="129"/>
      <c r="AP22" s="96"/>
      <c r="AQ22" s="103">
        <v>4393.9399999999996</v>
      </c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9"/>
      <c r="BM22" s="100"/>
      <c r="BN22" s="100"/>
      <c r="BO22" s="100"/>
      <c r="BP22" s="100"/>
    </row>
    <row r="23" spans="1:68" ht="15.75" customHeight="1">
      <c r="A23" s="359" t="s">
        <v>684</v>
      </c>
      <c r="B23" s="114" t="s">
        <v>236</v>
      </c>
      <c r="C23" s="101" t="s">
        <v>229</v>
      </c>
      <c r="D23" s="122" t="s">
        <v>739</v>
      </c>
      <c r="E23" s="92">
        <v>43000</v>
      </c>
      <c r="F23" s="116"/>
      <c r="G23" s="94">
        <f t="shared" si="20"/>
        <v>0.6188762790697675</v>
      </c>
      <c r="H23" s="94">
        <f t="shared" si="21"/>
        <v>0.11147093023255814</v>
      </c>
      <c r="I23" s="103">
        <v>26611.68</v>
      </c>
      <c r="J23" s="117">
        <v>18798.599999999999</v>
      </c>
      <c r="K23" s="117"/>
      <c r="L23" s="118"/>
      <c r="M23" s="97">
        <f t="shared" ref="M23:O23" si="89">Y23+AB23+AE23+AH23+AK23+AN23+AQ23+AT23+AW23+AZ23+BC23+BF23</f>
        <v>4793.25</v>
      </c>
      <c r="N23" s="97">
        <f t="shared" si="89"/>
        <v>18798.599999999999</v>
      </c>
      <c r="O23" s="97">
        <f t="shared" si="89"/>
        <v>0</v>
      </c>
      <c r="P23" s="82">
        <f t="shared" ref="P23:R23" si="90">IF(BI23=0,SUM(Y23+AB23+AE23+AH23+AK23+AN23+AQ23+AT23+AW23+AZ23+BC23+BF23),BI23)</f>
        <v>4793.25</v>
      </c>
      <c r="Q23" s="82">
        <f t="shared" si="90"/>
        <v>18798.599999999999</v>
      </c>
      <c r="R23" s="82">
        <f t="shared" si="90"/>
        <v>0</v>
      </c>
      <c r="S23" s="97">
        <f t="shared" si="59"/>
        <v>21818.43</v>
      </c>
      <c r="T23" s="97">
        <f t="shared" si="60"/>
        <v>0</v>
      </c>
      <c r="U23" s="97">
        <f t="shared" si="61"/>
        <v>0</v>
      </c>
      <c r="V23" s="98">
        <f t="shared" ref="V23:W23" si="91">M23/I23</f>
        <v>0.1801182788910734</v>
      </c>
      <c r="W23" s="98">
        <f t="shared" si="91"/>
        <v>1</v>
      </c>
      <c r="X23" s="98" t="e">
        <f t="shared" si="27"/>
        <v>#DIV/0!</v>
      </c>
      <c r="Y23" s="96"/>
      <c r="Z23" s="103">
        <v>3133.1</v>
      </c>
      <c r="AA23" s="96"/>
      <c r="AB23" s="119"/>
      <c r="AC23" s="119">
        <f>3133.1</f>
        <v>3133.1</v>
      </c>
      <c r="AD23" s="96"/>
      <c r="AE23" s="96"/>
      <c r="AF23" s="357">
        <f>3133.1+886.71</f>
        <v>4019.81</v>
      </c>
      <c r="AG23" s="129"/>
      <c r="AH23" s="129"/>
      <c r="AI23" s="260">
        <f>3297.25+29.21</f>
        <v>3326.46</v>
      </c>
      <c r="AJ23" s="129"/>
      <c r="AK23" s="96"/>
      <c r="AL23" s="260">
        <v>3326.46</v>
      </c>
      <c r="AM23" s="129"/>
      <c r="AN23" s="103">
        <v>1466.79</v>
      </c>
      <c r="AO23" s="260">
        <v>1859.67</v>
      </c>
      <c r="AP23" s="96"/>
      <c r="AQ23" s="96">
        <f>3326.46</f>
        <v>3326.46</v>
      </c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9"/>
      <c r="BM23" s="100"/>
      <c r="BN23" s="100"/>
      <c r="BO23" s="100"/>
      <c r="BP23" s="100"/>
    </row>
    <row r="24" spans="1:68" ht="15.75" customHeight="1">
      <c r="A24" s="359" t="s">
        <v>686</v>
      </c>
      <c r="B24" s="114"/>
      <c r="C24" s="101" t="s">
        <v>229</v>
      </c>
      <c r="D24" s="122" t="s">
        <v>740</v>
      </c>
      <c r="E24" s="92">
        <v>44707.32</v>
      </c>
      <c r="F24" s="116">
        <v>19555.38</v>
      </c>
      <c r="G24" s="94">
        <f t="shared" si="20"/>
        <v>0.61751856295568608</v>
      </c>
      <c r="H24" s="94"/>
      <c r="I24" s="103">
        <f>3450.95+24156.65</f>
        <v>27607.600000000002</v>
      </c>
      <c r="J24" s="117"/>
      <c r="K24" s="117"/>
      <c r="L24" s="118"/>
      <c r="M24" s="97">
        <f t="shared" ref="M24:O24" si="92">Y24+AB24+AE24+AH24+AK24+AN24+AQ24+AT24+AW24+AZ24+BC24+BF24</f>
        <v>0</v>
      </c>
      <c r="N24" s="97">
        <f t="shared" si="92"/>
        <v>0</v>
      </c>
      <c r="O24" s="97">
        <f t="shared" si="92"/>
        <v>0</v>
      </c>
      <c r="P24" s="82">
        <f t="shared" ref="P24:R24" si="93">IF(BI24=0,SUM(Y24+AB24+AE24+AH24+AK24+AN24+AQ24+AT24+AW24+AZ24+BC24+BF24),BI24)</f>
        <v>0</v>
      </c>
      <c r="Q24" s="82">
        <f t="shared" si="93"/>
        <v>0</v>
      </c>
      <c r="R24" s="82">
        <f t="shared" si="93"/>
        <v>0</v>
      </c>
      <c r="S24" s="97">
        <f t="shared" si="59"/>
        <v>27607.600000000002</v>
      </c>
      <c r="T24" s="97">
        <f t="shared" si="60"/>
        <v>0</v>
      </c>
      <c r="U24" s="97">
        <f t="shared" si="61"/>
        <v>0</v>
      </c>
      <c r="V24" s="98">
        <f t="shared" ref="V24:W24" si="94">M24/I24</f>
        <v>0</v>
      </c>
      <c r="W24" s="98" t="e">
        <f t="shared" si="94"/>
        <v>#DIV/0!</v>
      </c>
      <c r="X24" s="98" t="e">
        <f t="shared" si="27"/>
        <v>#DIV/0!</v>
      </c>
      <c r="Y24" s="96"/>
      <c r="Z24" s="103"/>
      <c r="AA24" s="96"/>
      <c r="AB24" s="119"/>
      <c r="AC24" s="119"/>
      <c r="AD24" s="96"/>
      <c r="AE24" s="96"/>
      <c r="AF24" s="357"/>
      <c r="AG24" s="129"/>
      <c r="AH24" s="129"/>
      <c r="AI24" s="260"/>
      <c r="AJ24" s="129"/>
      <c r="AK24" s="96"/>
      <c r="AL24" s="260"/>
      <c r="AM24" s="129"/>
      <c r="AN24" s="103"/>
      <c r="AO24" s="260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9"/>
      <c r="BM24" s="100"/>
      <c r="BN24" s="100"/>
      <c r="BO24" s="100"/>
      <c r="BP24" s="100"/>
    </row>
    <row r="25" spans="1:68" ht="15.75" customHeight="1">
      <c r="A25" s="356" t="s">
        <v>741</v>
      </c>
      <c r="B25" s="114"/>
      <c r="C25" s="101" t="s">
        <v>229</v>
      </c>
      <c r="D25" s="122" t="s">
        <v>742</v>
      </c>
      <c r="E25" s="116"/>
      <c r="F25" s="116">
        <v>90240</v>
      </c>
      <c r="G25" s="94"/>
      <c r="H25" s="94"/>
      <c r="I25" s="103">
        <v>0</v>
      </c>
      <c r="J25" s="117"/>
      <c r="K25" s="117"/>
      <c r="L25" s="118">
        <v>90240</v>
      </c>
      <c r="M25" s="97"/>
      <c r="N25" s="97"/>
      <c r="O25" s="97"/>
      <c r="P25" s="82"/>
      <c r="Q25" s="82"/>
      <c r="R25" s="82"/>
      <c r="S25" s="97"/>
      <c r="T25" s="97">
        <f t="shared" si="60"/>
        <v>0</v>
      </c>
      <c r="U25" s="97"/>
      <c r="V25" s="98"/>
      <c r="W25" s="98"/>
      <c r="X25" s="98"/>
      <c r="Y25" s="96"/>
      <c r="Z25" s="96"/>
      <c r="AA25" s="96"/>
      <c r="AB25" s="119"/>
      <c r="AC25" s="119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103"/>
      <c r="AO25" s="129"/>
      <c r="AP25" s="96"/>
      <c r="AQ25" s="103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9"/>
      <c r="BM25" s="100"/>
      <c r="BN25" s="100"/>
      <c r="BO25" s="100"/>
      <c r="BP25" s="100"/>
    </row>
    <row r="26" spans="1:68" ht="15.75" customHeight="1">
      <c r="A26" s="113"/>
      <c r="B26" s="114" t="s">
        <v>239</v>
      </c>
      <c r="C26" s="101" t="s">
        <v>240</v>
      </c>
      <c r="D26" s="91" t="s">
        <v>743</v>
      </c>
      <c r="E26" s="92">
        <v>7000</v>
      </c>
      <c r="F26" s="92"/>
      <c r="G26" s="94">
        <f t="shared" ref="G26:G57" si="95">I26/E26</f>
        <v>0</v>
      </c>
      <c r="H26" s="94">
        <f t="shared" ref="H26:H55" si="96">M26/E26</f>
        <v>0</v>
      </c>
      <c r="I26" s="96"/>
      <c r="J26" s="117">
        <v>5583.4</v>
      </c>
      <c r="K26" s="117"/>
      <c r="L26" s="118"/>
      <c r="M26" s="97">
        <f t="shared" ref="M26:O26" si="97">Y26+AB26+AE26+AH26+AK26+AN26+AQ26+AT26+AW26+AZ26+BC26+BF26</f>
        <v>0</v>
      </c>
      <c r="N26" s="97">
        <f t="shared" si="97"/>
        <v>5583.4</v>
      </c>
      <c r="O26" s="97">
        <f t="shared" si="97"/>
        <v>0</v>
      </c>
      <c r="P26" s="82">
        <f t="shared" ref="P26:R26" si="98">IF(BI26=0,SUM(Y26+AB26+AE26+AH26+AK26+AN26+AQ26+AT26+AW26+AZ26+BC26+BF26),BI26)</f>
        <v>0</v>
      </c>
      <c r="Q26" s="82">
        <f t="shared" si="98"/>
        <v>5583.4</v>
      </c>
      <c r="R26" s="82">
        <f t="shared" si="98"/>
        <v>0</v>
      </c>
      <c r="S26" s="97">
        <f t="shared" ref="S26:S67" si="99">I26-M26</f>
        <v>0</v>
      </c>
      <c r="T26" s="97">
        <f t="shared" si="60"/>
        <v>0</v>
      </c>
      <c r="U26" s="97">
        <f t="shared" ref="U26:U67" si="100">L26-O26</f>
        <v>0</v>
      </c>
      <c r="V26" s="98" t="e">
        <f t="shared" ref="V26:W26" si="101">M26/I26</f>
        <v>#DIV/0!</v>
      </c>
      <c r="W26" s="98">
        <f t="shared" si="101"/>
        <v>1</v>
      </c>
      <c r="X26" s="98" t="e">
        <f t="shared" ref="X26:X90" si="102">O26/L26</f>
        <v>#DIV/0!</v>
      </c>
      <c r="Y26" s="96"/>
      <c r="Z26" s="96"/>
      <c r="AA26" s="96"/>
      <c r="AB26" s="119"/>
      <c r="AC26" s="119"/>
      <c r="AD26" s="96"/>
      <c r="AE26" s="96"/>
      <c r="AF26" s="103">
        <v>5583.4</v>
      </c>
      <c r="AG26" s="96"/>
      <c r="AH26" s="96"/>
      <c r="AI26" s="96"/>
      <c r="AJ26" s="96"/>
      <c r="AK26" s="96"/>
      <c r="AL26" s="96"/>
      <c r="AM26" s="96"/>
      <c r="AN26" s="96"/>
      <c r="AO26" s="129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9"/>
      <c r="BM26" s="100"/>
      <c r="BN26" s="100"/>
      <c r="BO26" s="100"/>
      <c r="BP26" s="100"/>
    </row>
    <row r="27" spans="1:68" ht="15.75" customHeight="1">
      <c r="A27" s="356" t="s">
        <v>744</v>
      </c>
      <c r="B27" s="114"/>
      <c r="C27" s="101" t="s">
        <v>242</v>
      </c>
      <c r="D27" s="122" t="s">
        <v>745</v>
      </c>
      <c r="E27" s="116">
        <v>8404</v>
      </c>
      <c r="F27" s="116"/>
      <c r="G27" s="94">
        <f t="shared" si="95"/>
        <v>0.87495240361732518</v>
      </c>
      <c r="H27" s="94">
        <f t="shared" si="96"/>
        <v>0.87495240361732518</v>
      </c>
      <c r="I27" s="103">
        <f>2874.5+4478.6</f>
        <v>7353.1</v>
      </c>
      <c r="J27" s="117"/>
      <c r="K27" s="117"/>
      <c r="L27" s="118"/>
      <c r="M27" s="97">
        <f t="shared" ref="M27:O27" si="103">Y27+AB27+AE27+AH27+AK27+AN27+AQ27+AT27+AW27+AZ27+BC27+BF27</f>
        <v>7353.1</v>
      </c>
      <c r="N27" s="97">
        <f t="shared" si="103"/>
        <v>0</v>
      </c>
      <c r="O27" s="97">
        <f t="shared" si="103"/>
        <v>0</v>
      </c>
      <c r="P27" s="82">
        <f t="shared" ref="P27:R27" si="104">IF(BI27=0,SUM(Y27+AB27+AE27+AH27+AK27+AN27+AQ27+AT27+AW27+AZ27+BC27+BF27),BI27)</f>
        <v>7353.1</v>
      </c>
      <c r="Q27" s="82">
        <f t="shared" si="104"/>
        <v>0</v>
      </c>
      <c r="R27" s="82">
        <f t="shared" si="104"/>
        <v>0</v>
      </c>
      <c r="S27" s="97">
        <f t="shared" si="99"/>
        <v>0</v>
      </c>
      <c r="T27" s="97">
        <f t="shared" si="60"/>
        <v>0</v>
      </c>
      <c r="U27" s="97">
        <f t="shared" si="100"/>
        <v>0</v>
      </c>
      <c r="V27" s="98">
        <f t="shared" ref="V27:W27" si="105">M27/I27</f>
        <v>1</v>
      </c>
      <c r="W27" s="98" t="e">
        <f t="shared" si="105"/>
        <v>#DIV/0!</v>
      </c>
      <c r="X27" s="98" t="e">
        <f t="shared" si="102"/>
        <v>#DIV/0!</v>
      </c>
      <c r="Y27" s="96"/>
      <c r="Z27" s="96"/>
      <c r="AA27" s="96"/>
      <c r="AB27" s="119"/>
      <c r="AC27" s="119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103">
        <v>2874.5</v>
      </c>
      <c r="AO27" s="129"/>
      <c r="AP27" s="96"/>
      <c r="AQ27" s="103">
        <v>4478.6000000000004</v>
      </c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9"/>
      <c r="BM27" s="100"/>
      <c r="BN27" s="100"/>
      <c r="BO27" s="100"/>
      <c r="BP27" s="100"/>
    </row>
    <row r="28" spans="1:68" ht="15.75" customHeight="1">
      <c r="A28" s="113"/>
      <c r="B28" s="114" t="s">
        <v>244</v>
      </c>
      <c r="C28" s="101" t="s">
        <v>245</v>
      </c>
      <c r="D28" s="91" t="s">
        <v>86</v>
      </c>
      <c r="E28" s="92">
        <v>10000</v>
      </c>
      <c r="F28" s="92"/>
      <c r="G28" s="94">
        <f t="shared" si="95"/>
        <v>0</v>
      </c>
      <c r="H28" s="94">
        <f t="shared" si="96"/>
        <v>0</v>
      </c>
      <c r="I28" s="96"/>
      <c r="J28" s="117">
        <v>13095</v>
      </c>
      <c r="K28" s="117"/>
      <c r="L28" s="118"/>
      <c r="M28" s="97">
        <f t="shared" ref="M28:O28" si="106">Y28+AB28+AE28+AH28+AK28+AN28+AQ28+AT28+AW28+AZ28+BC28+BF28</f>
        <v>0</v>
      </c>
      <c r="N28" s="97">
        <f t="shared" si="106"/>
        <v>13095</v>
      </c>
      <c r="O28" s="97">
        <f t="shared" si="106"/>
        <v>0</v>
      </c>
      <c r="P28" s="82">
        <f t="shared" ref="P28:R28" si="107">IF(BI28=0,SUM(Y28+AB28+AE28+AH28+AK28+AN28+AQ28+AT28+AW28+AZ28+BC28+BF28),BI28)</f>
        <v>0</v>
      </c>
      <c r="Q28" s="82">
        <f t="shared" si="107"/>
        <v>13095</v>
      </c>
      <c r="R28" s="82">
        <f t="shared" si="107"/>
        <v>0</v>
      </c>
      <c r="S28" s="97">
        <f t="shared" si="99"/>
        <v>0</v>
      </c>
      <c r="T28" s="97">
        <f t="shared" si="60"/>
        <v>0</v>
      </c>
      <c r="U28" s="97">
        <f t="shared" si="100"/>
        <v>0</v>
      </c>
      <c r="V28" s="98" t="e">
        <f t="shared" ref="V28:W28" si="108">M28/I28</f>
        <v>#DIV/0!</v>
      </c>
      <c r="W28" s="98">
        <f t="shared" si="108"/>
        <v>1</v>
      </c>
      <c r="X28" s="98" t="e">
        <f t="shared" si="102"/>
        <v>#DIV/0!</v>
      </c>
      <c r="Y28" s="96"/>
      <c r="Z28" s="96">
        <f>13095</f>
        <v>13095</v>
      </c>
      <c r="AA28" s="96"/>
      <c r="AB28" s="119"/>
      <c r="AC28" s="119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129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9"/>
      <c r="BM28" s="100"/>
      <c r="BN28" s="100"/>
      <c r="BO28" s="100"/>
      <c r="BP28" s="100"/>
    </row>
    <row r="29" spans="1:68" ht="15.75" customHeight="1">
      <c r="A29" s="113"/>
      <c r="B29" s="114" t="s">
        <v>246</v>
      </c>
      <c r="C29" s="101" t="s">
        <v>240</v>
      </c>
      <c r="D29" s="91" t="s">
        <v>87</v>
      </c>
      <c r="E29" s="92">
        <v>4202</v>
      </c>
      <c r="F29" s="92"/>
      <c r="G29" s="94">
        <f t="shared" si="95"/>
        <v>0</v>
      </c>
      <c r="H29" s="94">
        <f t="shared" si="96"/>
        <v>0</v>
      </c>
      <c r="I29" s="96"/>
      <c r="J29" s="117">
        <v>16850</v>
      </c>
      <c r="K29" s="117"/>
      <c r="L29" s="118"/>
      <c r="M29" s="97">
        <f t="shared" ref="M29:O29" si="109">Y29+AB29+AE29+AH29+AK29+AN29+AQ29+AT29+AW29+AZ29+BC29+BF29</f>
        <v>0</v>
      </c>
      <c r="N29" s="97">
        <f t="shared" si="109"/>
        <v>15245</v>
      </c>
      <c r="O29" s="97">
        <f t="shared" si="109"/>
        <v>0</v>
      </c>
      <c r="P29" s="82">
        <f t="shared" ref="P29:R29" si="110">IF(BI29=0,SUM(Y29+AB29+AE29+AH29+AK29+AN29+AQ29+AT29+AW29+AZ29+BC29+BF29),BI29)</f>
        <v>0</v>
      </c>
      <c r="Q29" s="82">
        <f t="shared" si="110"/>
        <v>15245</v>
      </c>
      <c r="R29" s="82">
        <f t="shared" si="110"/>
        <v>0</v>
      </c>
      <c r="S29" s="97">
        <f t="shared" si="99"/>
        <v>0</v>
      </c>
      <c r="T29" s="97">
        <f t="shared" si="60"/>
        <v>1605</v>
      </c>
      <c r="U29" s="97">
        <f t="shared" si="100"/>
        <v>0</v>
      </c>
      <c r="V29" s="98" t="e">
        <f t="shared" ref="V29:W29" si="111">M29/I29</f>
        <v>#DIV/0!</v>
      </c>
      <c r="W29" s="98">
        <f t="shared" si="111"/>
        <v>0.9047477744807122</v>
      </c>
      <c r="X29" s="98" t="e">
        <f t="shared" si="102"/>
        <v>#DIV/0!</v>
      </c>
      <c r="Y29" s="96"/>
      <c r="Z29" s="96"/>
      <c r="AA29" s="96"/>
      <c r="AB29" s="119"/>
      <c r="AC29" s="131">
        <v>5229.5</v>
      </c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260">
        <v>4306.75</v>
      </c>
      <c r="AP29" s="96"/>
      <c r="AQ29" s="96"/>
      <c r="AR29" s="96">
        <f>3650+2058.75</f>
        <v>5708.75</v>
      </c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9"/>
      <c r="BM29" s="100"/>
      <c r="BN29" s="100"/>
      <c r="BO29" s="100"/>
      <c r="BP29" s="100"/>
    </row>
    <row r="30" spans="1:68" ht="15.75" customHeight="1">
      <c r="A30" s="359" t="s">
        <v>691</v>
      </c>
      <c r="B30" s="114"/>
      <c r="C30" s="101" t="s">
        <v>242</v>
      </c>
      <c r="D30" s="91" t="s">
        <v>247</v>
      </c>
      <c r="E30" s="92">
        <v>4202</v>
      </c>
      <c r="F30" s="92"/>
      <c r="G30" s="94">
        <f t="shared" si="95"/>
        <v>1.3764873869585912</v>
      </c>
      <c r="H30" s="94">
        <f t="shared" si="96"/>
        <v>1.3764873869585912</v>
      </c>
      <c r="I30" s="103">
        <v>5784</v>
      </c>
      <c r="J30" s="117"/>
      <c r="K30" s="117"/>
      <c r="L30" s="118"/>
      <c r="M30" s="97">
        <f t="shared" ref="M30:O30" si="112">Y30+AB30+AE30+AH30+AK30+AN30+AQ30+AT30+AW30+AZ30+BC30+BF30</f>
        <v>5784</v>
      </c>
      <c r="N30" s="97">
        <f t="shared" si="112"/>
        <v>0</v>
      </c>
      <c r="O30" s="97">
        <f t="shared" si="112"/>
        <v>0</v>
      </c>
      <c r="P30" s="82">
        <f t="shared" ref="P30:R30" si="113">IF(BI30=0,SUM(Y30+AB30+AE30+AH30+AK30+AN30+AQ30+AT30+AW30+AZ30+BC30+BF30),BI30)</f>
        <v>5784</v>
      </c>
      <c r="Q30" s="82">
        <f t="shared" si="113"/>
        <v>0</v>
      </c>
      <c r="R30" s="82">
        <f t="shared" si="113"/>
        <v>0</v>
      </c>
      <c r="S30" s="97">
        <f t="shared" si="99"/>
        <v>0</v>
      </c>
      <c r="T30" s="97">
        <f t="shared" si="60"/>
        <v>0</v>
      </c>
      <c r="U30" s="97">
        <f t="shared" si="100"/>
        <v>0</v>
      </c>
      <c r="V30" s="98">
        <f t="shared" ref="V30:W30" si="114">M30/I30</f>
        <v>1</v>
      </c>
      <c r="W30" s="98" t="e">
        <f t="shared" si="114"/>
        <v>#DIV/0!</v>
      </c>
      <c r="X30" s="98" t="e">
        <f t="shared" si="102"/>
        <v>#DIV/0!</v>
      </c>
      <c r="Y30" s="96"/>
      <c r="Z30" s="129"/>
      <c r="AA30" s="96"/>
      <c r="AB30" s="119"/>
      <c r="AC30" s="11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103">
        <v>5784</v>
      </c>
      <c r="AO30" s="129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9"/>
      <c r="BM30" s="100"/>
      <c r="BN30" s="100"/>
      <c r="BO30" s="100"/>
      <c r="BP30" s="100"/>
    </row>
    <row r="31" spans="1:68" ht="15.75" customHeight="1">
      <c r="A31" s="113"/>
      <c r="B31" s="121" t="s">
        <v>488</v>
      </c>
      <c r="C31" s="101" t="s">
        <v>240</v>
      </c>
      <c r="D31" s="91" t="s">
        <v>746</v>
      </c>
      <c r="E31" s="92">
        <v>18404</v>
      </c>
      <c r="F31" s="92"/>
      <c r="G31" s="94">
        <f t="shared" si="95"/>
        <v>0</v>
      </c>
      <c r="H31" s="94">
        <f t="shared" si="96"/>
        <v>0</v>
      </c>
      <c r="I31" s="96"/>
      <c r="J31" s="117">
        <f>2515+5718.85</f>
        <v>8233.85</v>
      </c>
      <c r="K31" s="117"/>
      <c r="L31" s="118"/>
      <c r="M31" s="97">
        <f t="shared" ref="M31:O31" si="115">Y31+AB31+AE31+AH31+AK31+AN31+AQ31+AT31+AW31+AZ31+BC31+BF31</f>
        <v>0</v>
      </c>
      <c r="N31" s="97">
        <f t="shared" si="115"/>
        <v>3965.87</v>
      </c>
      <c r="O31" s="97">
        <f t="shared" si="115"/>
        <v>0</v>
      </c>
      <c r="P31" s="82">
        <f t="shared" ref="P31:R31" si="116">IF(BI31=0,SUM(Y31+AB31+AE31+AH31+AK31+AN31+AQ31+AT31+AW31+AZ31+BC31+BF31),BI31)</f>
        <v>0</v>
      </c>
      <c r="Q31" s="82">
        <f t="shared" si="116"/>
        <v>3965.87</v>
      </c>
      <c r="R31" s="82">
        <f t="shared" si="116"/>
        <v>0</v>
      </c>
      <c r="S31" s="97">
        <f t="shared" si="99"/>
        <v>0</v>
      </c>
      <c r="T31" s="97">
        <f t="shared" si="60"/>
        <v>4267.9800000000005</v>
      </c>
      <c r="U31" s="97">
        <f t="shared" si="100"/>
        <v>0</v>
      </c>
      <c r="V31" s="98" t="e">
        <f t="shared" ref="V31:W31" si="117">M31/I31</f>
        <v>#DIV/0!</v>
      </c>
      <c r="W31" s="98">
        <f t="shared" si="117"/>
        <v>0.4816543901091227</v>
      </c>
      <c r="X31" s="98" t="e">
        <f t="shared" si="102"/>
        <v>#DIV/0!</v>
      </c>
      <c r="Y31" s="96"/>
      <c r="Z31" s="96"/>
      <c r="AA31" s="96"/>
      <c r="AB31" s="119"/>
      <c r="AC31" s="119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129"/>
      <c r="AP31" s="96"/>
      <c r="AQ31" s="96"/>
      <c r="AR31" s="103">
        <f>991.9+1523.1+1450.87</f>
        <v>3965.87</v>
      </c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9"/>
      <c r="BM31" s="100"/>
      <c r="BN31" s="100"/>
      <c r="BO31" s="100"/>
      <c r="BP31" s="100"/>
    </row>
    <row r="32" spans="1:68" ht="15.75" customHeight="1">
      <c r="A32" s="356" t="s">
        <v>638</v>
      </c>
      <c r="B32" s="121" t="s">
        <v>490</v>
      </c>
      <c r="C32" s="101" t="s">
        <v>240</v>
      </c>
      <c r="D32" s="130" t="s">
        <v>747</v>
      </c>
      <c r="E32" s="92"/>
      <c r="F32" s="92"/>
      <c r="G32" s="94" t="e">
        <f t="shared" si="95"/>
        <v>#DIV/0!</v>
      </c>
      <c r="H32" s="94" t="e">
        <f t="shared" si="96"/>
        <v>#DIV/0!</v>
      </c>
      <c r="I32" s="96">
        <f>431.95+943.55</f>
        <v>1375.5</v>
      </c>
      <c r="J32" s="117">
        <f>977.38+2861.28</f>
        <v>3838.6600000000003</v>
      </c>
      <c r="K32" s="117"/>
      <c r="L32" s="118"/>
      <c r="M32" s="97">
        <f t="shared" ref="M32:O32" si="118">Y32+AB32+AE32+AH32+AK32+AN32+AQ32+AT32+AW32+AZ32+BC32+BF32</f>
        <v>1375.5</v>
      </c>
      <c r="N32" s="97">
        <f t="shared" si="118"/>
        <v>3838.66</v>
      </c>
      <c r="O32" s="97">
        <f t="shared" si="118"/>
        <v>0</v>
      </c>
      <c r="P32" s="82">
        <f t="shared" ref="P32:R32" si="119">IF(BI32=0,SUM(Y32+AB32+AE32+AH32+AK32+AN32+AQ32+AT32+AW32+AZ32+BC32+BF32),BI32)</f>
        <v>1375.5</v>
      </c>
      <c r="Q32" s="82">
        <f t="shared" si="119"/>
        <v>3838.66</v>
      </c>
      <c r="R32" s="82">
        <f t="shared" si="119"/>
        <v>0</v>
      </c>
      <c r="S32" s="97">
        <f t="shared" si="99"/>
        <v>0</v>
      </c>
      <c r="T32" s="97">
        <f t="shared" si="60"/>
        <v>0</v>
      </c>
      <c r="U32" s="97">
        <f t="shared" si="100"/>
        <v>0</v>
      </c>
      <c r="V32" s="98">
        <f t="shared" ref="V32:W32" si="120">M32/I32</f>
        <v>1</v>
      </c>
      <c r="W32" s="98">
        <f t="shared" si="120"/>
        <v>0.99999999999999989</v>
      </c>
      <c r="X32" s="98" t="e">
        <f t="shared" si="102"/>
        <v>#DIV/0!</v>
      </c>
      <c r="Y32" s="96"/>
      <c r="Z32" s="96"/>
      <c r="AA32" s="96"/>
      <c r="AB32" s="119"/>
      <c r="AC32" s="119"/>
      <c r="AD32" s="96"/>
      <c r="AE32" s="96"/>
      <c r="AF32" s="96"/>
      <c r="AG32" s="96"/>
      <c r="AH32" s="96"/>
      <c r="AI32" s="103">
        <v>3838.66</v>
      </c>
      <c r="AJ32" s="96"/>
      <c r="AK32" s="96"/>
      <c r="AL32" s="96"/>
      <c r="AM32" s="96"/>
      <c r="AN32" s="96"/>
      <c r="AO32" s="129"/>
      <c r="AP32" s="96"/>
      <c r="AQ32" s="96">
        <f>431.95+943.55</f>
        <v>1375.5</v>
      </c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9"/>
      <c r="BM32" s="100"/>
      <c r="BN32" s="100"/>
      <c r="BO32" s="100"/>
      <c r="BP32" s="100"/>
    </row>
    <row r="33" spans="1:68" ht="15.75" customHeight="1">
      <c r="A33" s="113"/>
      <c r="B33" s="114"/>
      <c r="C33" s="101" t="s">
        <v>240</v>
      </c>
      <c r="D33" s="91" t="s">
        <v>748</v>
      </c>
      <c r="E33" s="92">
        <v>20000</v>
      </c>
      <c r="F33" s="92"/>
      <c r="G33" s="94">
        <f t="shared" si="95"/>
        <v>0</v>
      </c>
      <c r="H33" s="94">
        <f t="shared" si="96"/>
        <v>0</v>
      </c>
      <c r="I33" s="96"/>
      <c r="J33" s="117"/>
      <c r="K33" s="117"/>
      <c r="L33" s="118"/>
      <c r="M33" s="97">
        <f t="shared" ref="M33:O33" si="121">Y33+AB33+AE33+AH33+AK33+AN33+AQ33+AT33+AW33+AZ33+BC33+BF33</f>
        <v>0</v>
      </c>
      <c r="N33" s="97">
        <f t="shared" si="121"/>
        <v>0</v>
      </c>
      <c r="O33" s="97">
        <f t="shared" si="121"/>
        <v>0</v>
      </c>
      <c r="P33" s="82">
        <f t="shared" ref="P33:R33" si="122">IF(BI33=0,SUM(Y33+AB33+AE33+AH33+AK33+AN33+AQ33+AT33+AW33+AZ33+BC33+BF33),BI33)</f>
        <v>0</v>
      </c>
      <c r="Q33" s="82">
        <f t="shared" si="122"/>
        <v>0</v>
      </c>
      <c r="R33" s="82">
        <f t="shared" si="122"/>
        <v>0</v>
      </c>
      <c r="S33" s="97">
        <f t="shared" si="99"/>
        <v>0</v>
      </c>
      <c r="T33" s="97">
        <f t="shared" si="60"/>
        <v>0</v>
      </c>
      <c r="U33" s="97">
        <f t="shared" si="100"/>
        <v>0</v>
      </c>
      <c r="V33" s="98" t="e">
        <f t="shared" ref="V33:W33" si="123">M33/I33</f>
        <v>#DIV/0!</v>
      </c>
      <c r="W33" s="98" t="e">
        <f t="shared" si="123"/>
        <v>#DIV/0!</v>
      </c>
      <c r="X33" s="98" t="e">
        <f t="shared" si="102"/>
        <v>#DIV/0!</v>
      </c>
      <c r="Y33" s="96"/>
      <c r="Z33" s="96"/>
      <c r="AA33" s="96"/>
      <c r="AB33" s="119"/>
      <c r="AC33" s="119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129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9"/>
      <c r="BM33" s="100"/>
      <c r="BN33" s="100"/>
      <c r="BO33" s="100"/>
      <c r="BP33" s="100"/>
    </row>
    <row r="34" spans="1:68" ht="15.75" customHeight="1">
      <c r="A34" s="113"/>
      <c r="B34" s="114" t="s">
        <v>253</v>
      </c>
      <c r="C34" s="101" t="s">
        <v>232</v>
      </c>
      <c r="D34" s="91" t="s">
        <v>91</v>
      </c>
      <c r="E34" s="92">
        <v>2025.37</v>
      </c>
      <c r="F34" s="92"/>
      <c r="G34" s="94">
        <f t="shared" si="95"/>
        <v>0</v>
      </c>
      <c r="H34" s="94">
        <f t="shared" si="96"/>
        <v>0</v>
      </c>
      <c r="I34" s="96"/>
      <c r="J34" s="117">
        <v>3374.7</v>
      </c>
      <c r="K34" s="117"/>
      <c r="L34" s="118"/>
      <c r="M34" s="97">
        <f t="shared" ref="M34:O34" si="124">Y34+AB34+AE34+AH34+AK34+AN34+AQ34+AT34+AW34+AZ34+BC34+BF34</f>
        <v>0</v>
      </c>
      <c r="N34" s="97">
        <f t="shared" si="124"/>
        <v>3374.7</v>
      </c>
      <c r="O34" s="97">
        <f t="shared" si="124"/>
        <v>0</v>
      </c>
      <c r="P34" s="82">
        <f t="shared" ref="P34:R34" si="125">IF(BI34=0,SUM(Y34+AB34+AE34+AH34+AK34+AN34+AQ34+AT34+AW34+AZ34+BC34+BF34),BI34)</f>
        <v>0</v>
      </c>
      <c r="Q34" s="82">
        <f t="shared" si="125"/>
        <v>3374.7</v>
      </c>
      <c r="R34" s="82">
        <f t="shared" si="125"/>
        <v>0</v>
      </c>
      <c r="S34" s="97">
        <f t="shared" si="99"/>
        <v>0</v>
      </c>
      <c r="T34" s="97">
        <f t="shared" si="60"/>
        <v>0</v>
      </c>
      <c r="U34" s="97">
        <f t="shared" si="100"/>
        <v>0</v>
      </c>
      <c r="V34" s="98" t="e">
        <f t="shared" ref="V34:W34" si="126">M34/I34</f>
        <v>#DIV/0!</v>
      </c>
      <c r="W34" s="98">
        <f t="shared" si="126"/>
        <v>1</v>
      </c>
      <c r="X34" s="98" t="e">
        <f t="shared" si="102"/>
        <v>#DIV/0!</v>
      </c>
      <c r="Y34" s="96"/>
      <c r="Z34" s="96"/>
      <c r="AA34" s="96"/>
      <c r="AB34" s="119"/>
      <c r="AC34" s="131">
        <v>3374.7</v>
      </c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129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9"/>
      <c r="BM34" s="100"/>
      <c r="BN34" s="100"/>
      <c r="BO34" s="100"/>
      <c r="BP34" s="100"/>
    </row>
    <row r="35" spans="1:68" ht="15.75" customHeight="1">
      <c r="A35" s="359" t="s">
        <v>641</v>
      </c>
      <c r="B35" s="114" t="s">
        <v>254</v>
      </c>
      <c r="C35" s="101" t="s">
        <v>255</v>
      </c>
      <c r="D35" s="122" t="s">
        <v>101</v>
      </c>
      <c r="E35" s="132">
        <v>30000</v>
      </c>
      <c r="F35" s="116"/>
      <c r="G35" s="94">
        <f t="shared" si="95"/>
        <v>0.45</v>
      </c>
      <c r="H35" s="94">
        <f t="shared" si="96"/>
        <v>0.45</v>
      </c>
      <c r="I35" s="361">
        <v>13500</v>
      </c>
      <c r="J35" s="117">
        <v>4100</v>
      </c>
      <c r="K35" s="117"/>
      <c r="L35" s="118"/>
      <c r="M35" s="97">
        <f t="shared" ref="M35:O35" si="127">Y35+AB35+AE35+AH35+AK35+AN35+AQ35+AT35+AW35+AZ35+BC35+BF35</f>
        <v>13500</v>
      </c>
      <c r="N35" s="97">
        <f t="shared" si="127"/>
        <v>4100</v>
      </c>
      <c r="O35" s="97">
        <f t="shared" si="127"/>
        <v>0</v>
      </c>
      <c r="P35" s="82">
        <f t="shared" ref="P35:R35" si="128">IF(BI35=0,SUM(Y35+AB35+AE35+AH35+AK35+AN35+AQ35+AT35+AW35+AZ35+BC35+BF35),BI35)</f>
        <v>13500</v>
      </c>
      <c r="Q35" s="82">
        <f t="shared" si="128"/>
        <v>4100</v>
      </c>
      <c r="R35" s="82">
        <f t="shared" si="128"/>
        <v>0</v>
      </c>
      <c r="S35" s="134">
        <f t="shared" si="99"/>
        <v>0</v>
      </c>
      <c r="T35" s="97">
        <f t="shared" si="60"/>
        <v>0</v>
      </c>
      <c r="U35" s="97">
        <f t="shared" si="100"/>
        <v>0</v>
      </c>
      <c r="V35" s="98">
        <f t="shared" ref="V35:W35" si="129">M35/I35</f>
        <v>1</v>
      </c>
      <c r="W35" s="98">
        <f t="shared" si="129"/>
        <v>1</v>
      </c>
      <c r="X35" s="98" t="e">
        <f t="shared" si="102"/>
        <v>#DIV/0!</v>
      </c>
      <c r="Y35" s="119"/>
      <c r="Z35" s="96"/>
      <c r="AA35" s="96"/>
      <c r="AB35" s="119"/>
      <c r="AC35" s="119"/>
      <c r="AD35" s="96"/>
      <c r="AE35" s="96"/>
      <c r="AF35" s="96"/>
      <c r="AG35" s="96"/>
      <c r="AH35" s="96"/>
      <c r="AI35" s="103">
        <v>4100</v>
      </c>
      <c r="AJ35" s="96"/>
      <c r="AK35" s="96"/>
      <c r="AL35" s="96"/>
      <c r="AM35" s="96"/>
      <c r="AN35" s="96">
        <f>13500</f>
        <v>13500</v>
      </c>
      <c r="AO35" s="129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9"/>
      <c r="BM35" s="100"/>
      <c r="BN35" s="100"/>
      <c r="BO35" s="100"/>
      <c r="BP35" s="100"/>
    </row>
    <row r="36" spans="1:68" ht="15.75" customHeight="1">
      <c r="A36" s="359" t="s">
        <v>591</v>
      </c>
      <c r="B36" s="121" t="s">
        <v>256</v>
      </c>
      <c r="C36" s="101" t="s">
        <v>257</v>
      </c>
      <c r="D36" s="122" t="s">
        <v>103</v>
      </c>
      <c r="E36" s="132">
        <v>10000</v>
      </c>
      <c r="F36" s="116"/>
      <c r="G36" s="94">
        <f t="shared" si="95"/>
        <v>0.17576</v>
      </c>
      <c r="H36" s="94">
        <f t="shared" si="96"/>
        <v>0.17576</v>
      </c>
      <c r="I36" s="103">
        <v>1757.6</v>
      </c>
      <c r="J36" s="117">
        <f>19903.04+4541.3+16240</f>
        <v>40684.339999999997</v>
      </c>
      <c r="K36" s="135">
        <v>16240</v>
      </c>
      <c r="L36" s="118"/>
      <c r="M36" s="97">
        <f t="shared" ref="M36:O36" si="130">Y36+AB36+AE36+AH36+AK36+AN36+AQ36+AT36+AW36+AZ36+BC36+BF36</f>
        <v>1757.6</v>
      </c>
      <c r="N36" s="97">
        <f t="shared" si="130"/>
        <v>24444.34</v>
      </c>
      <c r="O36" s="97">
        <f t="shared" si="130"/>
        <v>0</v>
      </c>
      <c r="P36" s="82">
        <f t="shared" ref="P36:R36" si="131">IF(BI36=0,SUM(Y36+AB36+AE36+AH36+AK36+AN36+AQ36+AT36+AW36+AZ36+BC36+BF36),BI36)</f>
        <v>1757.6</v>
      </c>
      <c r="Q36" s="82">
        <f t="shared" si="131"/>
        <v>24444.34</v>
      </c>
      <c r="R36" s="82">
        <f t="shared" si="131"/>
        <v>0</v>
      </c>
      <c r="S36" s="97">
        <f t="shared" si="99"/>
        <v>0</v>
      </c>
      <c r="T36" s="97">
        <f t="shared" si="60"/>
        <v>0</v>
      </c>
      <c r="U36" s="97">
        <f t="shared" si="100"/>
        <v>0</v>
      </c>
      <c r="V36" s="98">
        <f t="shared" ref="V36:W36" si="132">M36/I36</f>
        <v>1</v>
      </c>
      <c r="W36" s="98">
        <f t="shared" si="132"/>
        <v>0.60082921340250328</v>
      </c>
      <c r="X36" s="98" t="e">
        <f t="shared" si="102"/>
        <v>#DIV/0!</v>
      </c>
      <c r="Y36" s="96"/>
      <c r="Z36" s="96"/>
      <c r="AA36" s="96"/>
      <c r="AB36" s="119"/>
      <c r="AC36" s="119">
        <f>19903.04</f>
        <v>19903.04</v>
      </c>
      <c r="AD36" s="96"/>
      <c r="AE36" s="96"/>
      <c r="AF36" s="96"/>
      <c r="AG36" s="96"/>
      <c r="AH36" s="96"/>
      <c r="AI36" s="103">
        <v>4541.3</v>
      </c>
      <c r="AJ36" s="96"/>
      <c r="AK36" s="96"/>
      <c r="AL36" s="96"/>
      <c r="AM36" s="96"/>
      <c r="AN36" s="103">
        <v>1757.6</v>
      </c>
      <c r="AO36" s="129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9"/>
      <c r="BM36" s="100"/>
      <c r="BN36" s="100"/>
      <c r="BO36" s="100"/>
      <c r="BP36" s="100"/>
    </row>
    <row r="37" spans="1:68" ht="15.75" customHeight="1">
      <c r="A37" s="120"/>
      <c r="B37" s="136" t="s">
        <v>258</v>
      </c>
      <c r="C37" s="101" t="s">
        <v>259</v>
      </c>
      <c r="D37" s="122" t="s">
        <v>260</v>
      </c>
      <c r="E37" s="137"/>
      <c r="F37" s="116"/>
      <c r="G37" s="94" t="e">
        <f t="shared" si="95"/>
        <v>#DIV/0!</v>
      </c>
      <c r="H37" s="94" t="e">
        <f t="shared" si="96"/>
        <v>#DIV/0!</v>
      </c>
      <c r="I37" s="96"/>
      <c r="J37" s="117">
        <v>949.5</v>
      </c>
      <c r="K37" s="117"/>
      <c r="L37" s="118"/>
      <c r="M37" s="97">
        <f t="shared" ref="M37:O37" si="133">Y37+AB37+AE37+AH37+AK37+AN37+AQ37+AT37+AW37+AZ37+BC37+BF37</f>
        <v>0</v>
      </c>
      <c r="N37" s="97">
        <f t="shared" si="133"/>
        <v>949.5</v>
      </c>
      <c r="O37" s="97">
        <f t="shared" si="133"/>
        <v>0</v>
      </c>
      <c r="P37" s="82">
        <f t="shared" ref="P37:R37" si="134">IF(BI37=0,SUM(Y37+AB37+AE37+AH37+AK37+AN37+AQ37+AT37+AW37+AZ37+BC37+BF37),BI37)</f>
        <v>0</v>
      </c>
      <c r="Q37" s="82">
        <f t="shared" si="134"/>
        <v>949.5</v>
      </c>
      <c r="R37" s="82">
        <f t="shared" si="134"/>
        <v>0</v>
      </c>
      <c r="S37" s="97">
        <f t="shared" si="99"/>
        <v>0</v>
      </c>
      <c r="T37" s="97">
        <f t="shared" si="60"/>
        <v>0</v>
      </c>
      <c r="U37" s="97">
        <f t="shared" si="100"/>
        <v>0</v>
      </c>
      <c r="V37" s="98" t="e">
        <f t="shared" ref="V37:W37" si="135">M37/I37</f>
        <v>#DIV/0!</v>
      </c>
      <c r="W37" s="98">
        <f t="shared" si="135"/>
        <v>1</v>
      </c>
      <c r="X37" s="98" t="e">
        <f t="shared" si="102"/>
        <v>#DIV/0!</v>
      </c>
      <c r="Y37" s="96"/>
      <c r="Z37" s="96"/>
      <c r="AA37" s="96"/>
      <c r="AB37" s="119"/>
      <c r="AC37" s="131">
        <v>949.5</v>
      </c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129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9"/>
      <c r="BM37" s="100"/>
      <c r="BN37" s="100"/>
      <c r="BO37" s="100"/>
      <c r="BP37" s="100"/>
    </row>
    <row r="38" spans="1:68" ht="15.75" customHeight="1">
      <c r="A38" s="120"/>
      <c r="B38" s="114"/>
      <c r="C38" s="101" t="s">
        <v>261</v>
      </c>
      <c r="D38" s="91" t="s">
        <v>92</v>
      </c>
      <c r="E38" s="92">
        <v>19200</v>
      </c>
      <c r="F38" s="92"/>
      <c r="G38" s="94">
        <f t="shared" si="95"/>
        <v>0</v>
      </c>
      <c r="H38" s="94">
        <f t="shared" si="96"/>
        <v>0</v>
      </c>
      <c r="I38" s="96"/>
      <c r="J38" s="358">
        <v>50813</v>
      </c>
      <c r="K38" s="117"/>
      <c r="L38" s="118"/>
      <c r="M38" s="97">
        <f t="shared" ref="M38:O38" si="136">Y38+AB38+AE38+AH38+AK38+AN38+AQ38+AT38+AW38+AZ38+BC38+BF38</f>
        <v>0</v>
      </c>
      <c r="N38" s="97">
        <f t="shared" si="136"/>
        <v>0</v>
      </c>
      <c r="O38" s="97">
        <f t="shared" si="136"/>
        <v>0</v>
      </c>
      <c r="P38" s="82">
        <f t="shared" ref="P38:R38" si="137">IF(BI38=0,SUM(Y38+AB38+AE38+AH38+AK38+AN38+AQ38+AT38+AW38+AZ38+BC38+BF38),BI38)</f>
        <v>0</v>
      </c>
      <c r="Q38" s="82">
        <f t="shared" si="137"/>
        <v>0</v>
      </c>
      <c r="R38" s="82">
        <f t="shared" si="137"/>
        <v>0</v>
      </c>
      <c r="S38" s="97">
        <f t="shared" si="99"/>
        <v>0</v>
      </c>
      <c r="T38" s="373">
        <f t="shared" si="60"/>
        <v>50813</v>
      </c>
      <c r="U38" s="97">
        <f t="shared" si="100"/>
        <v>0</v>
      </c>
      <c r="V38" s="98" t="e">
        <f t="shared" ref="V38:W38" si="138">M38/I38</f>
        <v>#DIV/0!</v>
      </c>
      <c r="W38" s="98">
        <f t="shared" si="138"/>
        <v>0</v>
      </c>
      <c r="X38" s="98" t="e">
        <f t="shared" si="102"/>
        <v>#DIV/0!</v>
      </c>
      <c r="Y38" s="96"/>
      <c r="Z38" s="96"/>
      <c r="AA38" s="96"/>
      <c r="AB38" s="119"/>
      <c r="AC38" s="119"/>
      <c r="AD38" s="96"/>
      <c r="AE38" s="96"/>
      <c r="AF38" s="96"/>
      <c r="AG38" s="96"/>
      <c r="AH38" s="96"/>
      <c r="AI38" s="96"/>
      <c r="AJ38" s="96"/>
      <c r="AK38" s="129"/>
      <c r="AL38" s="96"/>
      <c r="AM38" s="96"/>
      <c r="AN38" s="96"/>
      <c r="AO38" s="129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129"/>
      <c r="BG38" s="96"/>
      <c r="BH38" s="96"/>
      <c r="BI38" s="96"/>
      <c r="BJ38" s="96"/>
      <c r="BK38" s="96"/>
      <c r="BL38" s="99"/>
      <c r="BM38" s="100"/>
      <c r="BN38" s="100"/>
      <c r="BO38" s="100"/>
      <c r="BP38" s="100"/>
    </row>
    <row r="39" spans="1:68" ht="15.75" customHeight="1">
      <c r="A39" s="120"/>
      <c r="B39" s="114"/>
      <c r="C39" s="101" t="s">
        <v>262</v>
      </c>
      <c r="D39" s="91" t="s">
        <v>93</v>
      </c>
      <c r="E39" s="116">
        <v>20000</v>
      </c>
      <c r="F39" s="92"/>
      <c r="G39" s="94">
        <f t="shared" si="95"/>
        <v>0</v>
      </c>
      <c r="H39" s="94">
        <f t="shared" si="96"/>
        <v>0</v>
      </c>
      <c r="I39" s="96"/>
      <c r="J39" s="117"/>
      <c r="K39" s="117"/>
      <c r="L39" s="118"/>
      <c r="M39" s="97">
        <f t="shared" ref="M39:O39" si="139">Y39+AB39+AE39+AH39+AK39+AN39+AQ39+AT39+AW39+AZ39+BC39+BF39</f>
        <v>0</v>
      </c>
      <c r="N39" s="97">
        <f t="shared" si="139"/>
        <v>0</v>
      </c>
      <c r="O39" s="97">
        <f t="shared" si="139"/>
        <v>0</v>
      </c>
      <c r="P39" s="82">
        <f t="shared" ref="P39:R39" si="140">IF(BI39=0,SUM(Y39+AB39+AE39+AH39+AK39+AN39+AQ39+AT39+AW39+AZ39+BC39+BF39),BI39)</f>
        <v>0</v>
      </c>
      <c r="Q39" s="82">
        <f t="shared" si="140"/>
        <v>0</v>
      </c>
      <c r="R39" s="82">
        <f t="shared" si="140"/>
        <v>0</v>
      </c>
      <c r="S39" s="97">
        <f t="shared" si="99"/>
        <v>0</v>
      </c>
      <c r="T39" s="97">
        <f t="shared" si="60"/>
        <v>0</v>
      </c>
      <c r="U39" s="97">
        <f t="shared" si="100"/>
        <v>0</v>
      </c>
      <c r="V39" s="98" t="e">
        <f t="shared" ref="V39:W39" si="141">M39/I39</f>
        <v>#DIV/0!</v>
      </c>
      <c r="W39" s="98" t="e">
        <f t="shared" si="141"/>
        <v>#DIV/0!</v>
      </c>
      <c r="X39" s="98" t="e">
        <f t="shared" si="102"/>
        <v>#DIV/0!</v>
      </c>
      <c r="Y39" s="96"/>
      <c r="Z39" s="96"/>
      <c r="AA39" s="96"/>
      <c r="AB39" s="119"/>
      <c r="AC39" s="119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129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9"/>
      <c r="BM39" s="100"/>
      <c r="BN39" s="100"/>
      <c r="BO39" s="100"/>
      <c r="BP39" s="100"/>
    </row>
    <row r="40" spans="1:68" ht="15.75" customHeight="1">
      <c r="A40" s="89"/>
      <c r="B40" s="136" t="s">
        <v>263</v>
      </c>
      <c r="C40" s="101" t="s">
        <v>218</v>
      </c>
      <c r="D40" s="91" t="s">
        <v>749</v>
      </c>
      <c r="E40" s="116">
        <v>2344.5</v>
      </c>
      <c r="F40" s="92"/>
      <c r="G40" s="94">
        <f t="shared" si="95"/>
        <v>0</v>
      </c>
      <c r="H40" s="94">
        <f t="shared" si="96"/>
        <v>0</v>
      </c>
      <c r="I40" s="96"/>
      <c r="J40" s="117">
        <v>1424.02</v>
      </c>
      <c r="K40" s="117"/>
      <c r="L40" s="118"/>
      <c r="M40" s="97">
        <f t="shared" ref="M40:O40" si="142">Y40+AB40+AE40+AH40+AK40+AN40+AQ40+AT40+AW40+AZ40+BC40+BF40</f>
        <v>0</v>
      </c>
      <c r="N40" s="97">
        <f t="shared" si="142"/>
        <v>327.84000000000003</v>
      </c>
      <c r="O40" s="97">
        <f t="shared" si="142"/>
        <v>0</v>
      </c>
      <c r="P40" s="82">
        <f t="shared" ref="P40:R40" si="143">IF(BI40=0,SUM(Y40+AB40+AE40+AH40+AK40+AN40+AQ40+AT40+AW40+AZ40+BC40+BF40),BI40)</f>
        <v>0</v>
      </c>
      <c r="Q40" s="82">
        <f t="shared" si="143"/>
        <v>327.84000000000003</v>
      </c>
      <c r="R40" s="82">
        <f t="shared" si="143"/>
        <v>0</v>
      </c>
      <c r="S40" s="97">
        <f t="shared" si="99"/>
        <v>0</v>
      </c>
      <c r="T40" s="97">
        <f t="shared" si="60"/>
        <v>1096.1799999999998</v>
      </c>
      <c r="U40" s="97">
        <f t="shared" si="100"/>
        <v>0</v>
      </c>
      <c r="V40" s="98" t="e">
        <f t="shared" ref="V40:W40" si="144">M40/I40</f>
        <v>#DIV/0!</v>
      </c>
      <c r="W40" s="98">
        <f t="shared" si="144"/>
        <v>0.23022148565329142</v>
      </c>
      <c r="X40" s="98" t="e">
        <f t="shared" si="102"/>
        <v>#DIV/0!</v>
      </c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129"/>
      <c r="AP40" s="96"/>
      <c r="AQ40" s="96"/>
      <c r="AR40" s="96">
        <f>191.24+136.6</f>
        <v>327.84000000000003</v>
      </c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9"/>
      <c r="BM40" s="100"/>
      <c r="BN40" s="100"/>
      <c r="BO40" s="100"/>
      <c r="BP40" s="100"/>
    </row>
    <row r="41" spans="1:68" ht="15.75" customHeight="1">
      <c r="A41" s="359" t="s">
        <v>696</v>
      </c>
      <c r="B41" s="136" t="s">
        <v>265</v>
      </c>
      <c r="C41" s="101" t="s">
        <v>266</v>
      </c>
      <c r="D41" s="91" t="s">
        <v>267</v>
      </c>
      <c r="E41" s="116">
        <v>2000</v>
      </c>
      <c r="F41" s="92"/>
      <c r="G41" s="94">
        <f t="shared" si="95"/>
        <v>2.5582099999999999</v>
      </c>
      <c r="H41" s="94">
        <f t="shared" si="96"/>
        <v>1.805E-3</v>
      </c>
      <c r="I41" s="96">
        <f>34.91+5081.51</f>
        <v>5116.42</v>
      </c>
      <c r="J41" s="117">
        <v>576.45000000000005</v>
      </c>
      <c r="K41" s="117"/>
      <c r="L41" s="118"/>
      <c r="M41" s="97">
        <f t="shared" ref="M41:O41" si="145">Y41+AB41+AE41+AH41+AK41+AN41+AQ41+AT41+AW41+AZ41+BC41+BF41</f>
        <v>3.61</v>
      </c>
      <c r="N41" s="97">
        <f t="shared" si="145"/>
        <v>0</v>
      </c>
      <c r="O41" s="97">
        <f t="shared" si="145"/>
        <v>0</v>
      </c>
      <c r="P41" s="82">
        <f t="shared" ref="P41:R41" si="146">IF(BI41=0,SUM(Y41+AB41+AE41+AH41+AK41+AN41+AQ41+AT41+AW41+AZ41+BC41+BF41),BI41)</f>
        <v>3.61</v>
      </c>
      <c r="Q41" s="82">
        <f t="shared" si="146"/>
        <v>0</v>
      </c>
      <c r="R41" s="82">
        <f t="shared" si="146"/>
        <v>0</v>
      </c>
      <c r="S41" s="97">
        <f t="shared" si="99"/>
        <v>5112.8100000000004</v>
      </c>
      <c r="T41" s="97">
        <f t="shared" si="60"/>
        <v>576.45000000000005</v>
      </c>
      <c r="U41" s="97">
        <f t="shared" si="100"/>
        <v>0</v>
      </c>
      <c r="V41" s="98">
        <f t="shared" ref="V41:W41" si="147">M41/I41</f>
        <v>7.0557147380394887E-4</v>
      </c>
      <c r="W41" s="98">
        <f t="shared" si="147"/>
        <v>0</v>
      </c>
      <c r="X41" s="98" t="e">
        <f t="shared" si="102"/>
        <v>#DIV/0!</v>
      </c>
      <c r="Y41" s="96"/>
      <c r="Z41" s="96"/>
      <c r="AA41" s="96"/>
      <c r="AB41" s="119"/>
      <c r="AC41" s="119"/>
      <c r="AD41" s="96"/>
      <c r="AE41" s="103">
        <v>3.61</v>
      </c>
      <c r="AF41" s="96"/>
      <c r="AG41" s="96"/>
      <c r="AH41" s="96"/>
      <c r="AI41" s="96"/>
      <c r="AJ41" s="96"/>
      <c r="AK41" s="96"/>
      <c r="AL41" s="96"/>
      <c r="AM41" s="96"/>
      <c r="AN41" s="96"/>
      <c r="AO41" s="129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9"/>
      <c r="BM41" s="100"/>
      <c r="BN41" s="100"/>
      <c r="BO41" s="100"/>
      <c r="BP41" s="100"/>
    </row>
    <row r="42" spans="1:68" ht="15.75" customHeight="1">
      <c r="A42" s="356" t="s">
        <v>697</v>
      </c>
      <c r="B42" s="114"/>
      <c r="C42" s="101" t="s">
        <v>268</v>
      </c>
      <c r="D42" s="91" t="s">
        <v>750</v>
      </c>
      <c r="E42" s="116">
        <f>5000+1000</f>
        <v>6000</v>
      </c>
      <c r="F42" s="92"/>
      <c r="G42" s="94">
        <f t="shared" si="95"/>
        <v>0.92500000000000004</v>
      </c>
      <c r="H42" s="94">
        <f t="shared" si="96"/>
        <v>0.92500000000000004</v>
      </c>
      <c r="I42" s="103">
        <f>550+5000</f>
        <v>5550</v>
      </c>
      <c r="J42" s="117"/>
      <c r="K42" s="117"/>
      <c r="L42" s="118"/>
      <c r="M42" s="97">
        <f t="shared" ref="M42:O42" si="148">Y42+AB42+AE42+AH42+AK42+AN42+AQ42+AT42+AW42+AZ42+BC42+BF42</f>
        <v>5550</v>
      </c>
      <c r="N42" s="97">
        <f t="shared" si="148"/>
        <v>0</v>
      </c>
      <c r="O42" s="97">
        <f t="shared" si="148"/>
        <v>0</v>
      </c>
      <c r="P42" s="82">
        <f t="shared" ref="P42:R42" si="149">IF(BI42=0,SUM(Y42+AB42+AE42+AH42+AK42+AN42+AQ42+AT42+AW42+AZ42+BC42+BF42),BI42)</f>
        <v>5550</v>
      </c>
      <c r="Q42" s="82">
        <f t="shared" si="149"/>
        <v>0</v>
      </c>
      <c r="R42" s="82">
        <f t="shared" si="149"/>
        <v>0</v>
      </c>
      <c r="S42" s="97">
        <f t="shared" si="99"/>
        <v>0</v>
      </c>
      <c r="T42" s="97">
        <f t="shared" si="60"/>
        <v>0</v>
      </c>
      <c r="U42" s="97">
        <f t="shared" si="100"/>
        <v>0</v>
      </c>
      <c r="V42" s="98">
        <f t="shared" ref="V42:W42" si="150">M42/I42</f>
        <v>1</v>
      </c>
      <c r="W42" s="98" t="e">
        <f t="shared" si="150"/>
        <v>#DIV/0!</v>
      </c>
      <c r="X42" s="98" t="e">
        <f t="shared" si="102"/>
        <v>#DIV/0!</v>
      </c>
      <c r="Y42" s="96"/>
      <c r="Z42" s="96"/>
      <c r="AA42" s="96"/>
      <c r="AB42" s="119"/>
      <c r="AC42" s="119"/>
      <c r="AD42" s="96"/>
      <c r="AE42" s="103">
        <v>550</v>
      </c>
      <c r="AF42" s="96"/>
      <c r="AG42" s="96"/>
      <c r="AH42" s="96"/>
      <c r="AI42" s="96"/>
      <c r="AJ42" s="96"/>
      <c r="AK42" s="96"/>
      <c r="AL42" s="96"/>
      <c r="AM42" s="96"/>
      <c r="AN42" s="96">
        <f>5000</f>
        <v>5000</v>
      </c>
      <c r="AO42" s="129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9"/>
      <c r="BM42" s="100"/>
      <c r="BN42" s="100"/>
      <c r="BO42" s="100"/>
      <c r="BP42" s="100"/>
    </row>
    <row r="43" spans="1:68" ht="15.75" customHeight="1">
      <c r="A43" s="359" t="s">
        <v>699</v>
      </c>
      <c r="B43" s="136" t="s">
        <v>270</v>
      </c>
      <c r="C43" s="101" t="s">
        <v>271</v>
      </c>
      <c r="D43" s="91" t="s">
        <v>751</v>
      </c>
      <c r="E43" s="116">
        <v>30000</v>
      </c>
      <c r="F43" s="92"/>
      <c r="G43" s="94">
        <f t="shared" si="95"/>
        <v>0.94770333333333323</v>
      </c>
      <c r="H43" s="94">
        <f t="shared" si="96"/>
        <v>0.68541700000000005</v>
      </c>
      <c r="I43" s="96">
        <f>17500+597+447.6+1083.4+648+255.1+7900</f>
        <v>28431.1</v>
      </c>
      <c r="J43" s="135">
        <v>362.4</v>
      </c>
      <c r="K43" s="135">
        <v>362.4</v>
      </c>
      <c r="L43" s="118"/>
      <c r="M43" s="97">
        <f t="shared" ref="M43:O43" si="151">Y43+AB43+AE43+AH43+AK43+AN43+AQ43+AT43+AW43+AZ43+BC43+BF43</f>
        <v>20562.510000000002</v>
      </c>
      <c r="N43" s="97">
        <f t="shared" si="151"/>
        <v>0</v>
      </c>
      <c r="O43" s="97">
        <f t="shared" si="151"/>
        <v>0</v>
      </c>
      <c r="P43" s="82">
        <f t="shared" ref="P43:R43" si="152">IF(BI43=0,SUM(Y43+AB43+AE43+AH43+AK43+AN43+AQ43+AT43+AW43+AZ43+BC43+BF43),BI43)</f>
        <v>20562.510000000002</v>
      </c>
      <c r="Q43" s="82">
        <f t="shared" si="152"/>
        <v>0</v>
      </c>
      <c r="R43" s="82">
        <f t="shared" si="152"/>
        <v>0</v>
      </c>
      <c r="S43" s="97">
        <f t="shared" si="99"/>
        <v>7868.5899999999965</v>
      </c>
      <c r="T43" s="97">
        <f t="shared" si="60"/>
        <v>0</v>
      </c>
      <c r="U43" s="97">
        <f t="shared" si="100"/>
        <v>0</v>
      </c>
      <c r="V43" s="98">
        <f t="shared" ref="V43:W43" si="153">M43/I43</f>
        <v>0.72324004347352033</v>
      </c>
      <c r="W43" s="98">
        <f t="shared" si="153"/>
        <v>0</v>
      </c>
      <c r="X43" s="98" t="e">
        <f t="shared" si="102"/>
        <v>#DIV/0!</v>
      </c>
      <c r="Y43" s="96"/>
      <c r="Z43" s="96"/>
      <c r="AA43" s="96"/>
      <c r="AB43" s="119"/>
      <c r="AC43" s="119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103">
        <v>9548.75</v>
      </c>
      <c r="AO43" s="129"/>
      <c r="AP43" s="96"/>
      <c r="AQ43" s="103">
        <f>648+255.1+447.6+1083.4+8579.66</f>
        <v>11013.76</v>
      </c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9"/>
      <c r="BM43" s="100"/>
      <c r="BN43" s="100"/>
      <c r="BO43" s="100"/>
      <c r="BP43" s="100"/>
    </row>
    <row r="44" spans="1:68" ht="15.75" customHeight="1">
      <c r="A44" s="359" t="s">
        <v>752</v>
      </c>
      <c r="B44" s="140" t="s">
        <v>273</v>
      </c>
      <c r="C44" s="101" t="s">
        <v>161</v>
      </c>
      <c r="D44" s="91" t="s">
        <v>98</v>
      </c>
      <c r="E44" s="116">
        <v>20000</v>
      </c>
      <c r="F44" s="92"/>
      <c r="G44" s="94">
        <f t="shared" si="95"/>
        <v>0.95269599999999988</v>
      </c>
      <c r="H44" s="94">
        <f t="shared" si="96"/>
        <v>0.129583</v>
      </c>
      <c r="I44" s="103">
        <f>5511.95+3821.32+104.82+319.96+1524+3081+145.33+303.98+107.96+2658.6+1475</f>
        <v>19053.919999999998</v>
      </c>
      <c r="J44" s="117">
        <f>1256.9+740+1407.15+678.68+610.54+4654.38+742.72+1006.2+186.96</f>
        <v>11283.53</v>
      </c>
      <c r="K44" s="135">
        <v>186.96</v>
      </c>
      <c r="L44" s="118"/>
      <c r="M44" s="97">
        <f t="shared" ref="M44:O44" si="154">Y44+AB44+AE44+AH44+AK44+AN44+AQ44+AT44+AW44+AZ44+BC44+BF44</f>
        <v>2591.66</v>
      </c>
      <c r="N44" s="97">
        <f t="shared" si="154"/>
        <v>4959.4699999999993</v>
      </c>
      <c r="O44" s="97">
        <f t="shared" si="154"/>
        <v>0</v>
      </c>
      <c r="P44" s="82">
        <f t="shared" ref="P44:R44" si="155">IF(BI44=0,SUM(Y44+AB44+AE44+AH44+AK44+AN44+AQ44+AT44+AW44+AZ44+BC44+BF44),BI44)</f>
        <v>2591.66</v>
      </c>
      <c r="Q44" s="82">
        <f t="shared" si="155"/>
        <v>4959.4699999999993</v>
      </c>
      <c r="R44" s="82">
        <f t="shared" si="155"/>
        <v>0</v>
      </c>
      <c r="S44" s="97">
        <f t="shared" si="99"/>
        <v>16462.259999999998</v>
      </c>
      <c r="T44" s="97">
        <f t="shared" si="60"/>
        <v>6137.1000000000022</v>
      </c>
      <c r="U44" s="97">
        <f t="shared" si="100"/>
        <v>0</v>
      </c>
      <c r="V44" s="98">
        <f t="shared" ref="V44:W44" si="156">M44/I44</f>
        <v>0.13601715552495236</v>
      </c>
      <c r="W44" s="98">
        <f t="shared" si="156"/>
        <v>0.43953177773267754</v>
      </c>
      <c r="X44" s="98" t="e">
        <f t="shared" si="102"/>
        <v>#DIV/0!</v>
      </c>
      <c r="Y44" s="96"/>
      <c r="Z44" s="96"/>
      <c r="AA44" s="96"/>
      <c r="AB44" s="119"/>
      <c r="AC44" s="119">
        <f>427.8</f>
        <v>427.8</v>
      </c>
      <c r="AD44" s="96"/>
      <c r="AE44" s="96"/>
      <c r="AF44" s="103">
        <f>1006.2+2085.83+182.74</f>
        <v>3274.7699999999995</v>
      </c>
      <c r="AG44" s="96"/>
      <c r="AH44" s="96"/>
      <c r="AI44" s="96"/>
      <c r="AJ44" s="96"/>
      <c r="AK44" s="96"/>
      <c r="AL44" s="96"/>
      <c r="AM44" s="96"/>
      <c r="AN44" s="96"/>
      <c r="AO44" s="129"/>
      <c r="AP44" s="96"/>
      <c r="AQ44" s="96">
        <f>2591.66</f>
        <v>2591.66</v>
      </c>
      <c r="AR44" s="96">
        <f>1256.9</f>
        <v>1256.9000000000001</v>
      </c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9"/>
      <c r="BM44" s="100"/>
      <c r="BN44" s="100"/>
      <c r="BO44" s="100"/>
      <c r="BP44" s="100"/>
    </row>
    <row r="45" spans="1:68" ht="15.75" customHeight="1">
      <c r="A45" s="359" t="s">
        <v>753</v>
      </c>
      <c r="B45" s="141" t="s">
        <v>754</v>
      </c>
      <c r="C45" s="101" t="s">
        <v>271</v>
      </c>
      <c r="D45" s="91" t="s">
        <v>99</v>
      </c>
      <c r="E45" s="116">
        <v>60000</v>
      </c>
      <c r="F45" s="93">
        <v>50000</v>
      </c>
      <c r="G45" s="94">
        <f t="shared" si="95"/>
        <v>0.16867816666666668</v>
      </c>
      <c r="H45" s="94">
        <f t="shared" si="96"/>
        <v>0.22660066666666664</v>
      </c>
      <c r="I45" s="142">
        <f>1890+2443+727.8+2284.4+1796+979.49</f>
        <v>10120.69</v>
      </c>
      <c r="J45" s="117">
        <f>4740+413+1266+3806.39</f>
        <v>10225.39</v>
      </c>
      <c r="K45" s="117">
        <f>413+1266+3806.39</f>
        <v>5485.3899999999994</v>
      </c>
      <c r="L45" s="118"/>
      <c r="M45" s="97">
        <f t="shared" ref="M45:O45" si="157">Y45+AB45+AE45+AH45+AK45+AN45+AQ45+AT45+AW45+AZ45+BC45+BF45</f>
        <v>13596.039999999999</v>
      </c>
      <c r="N45" s="97">
        <f t="shared" si="157"/>
        <v>4740</v>
      </c>
      <c r="O45" s="97">
        <f t="shared" si="157"/>
        <v>0</v>
      </c>
      <c r="P45" s="82">
        <f t="shared" ref="P45:R45" si="158">IF(BI45=0,SUM(Y45+AB45+AE45+AH45+AK45+AN45+AQ45+AT45+AW45+AZ45+BC45+BF45),BI45)</f>
        <v>13596.039999999999</v>
      </c>
      <c r="Q45" s="82">
        <f t="shared" si="158"/>
        <v>4740</v>
      </c>
      <c r="R45" s="82">
        <f t="shared" si="158"/>
        <v>0</v>
      </c>
      <c r="S45" s="97">
        <f t="shared" si="99"/>
        <v>-3475.3499999999985</v>
      </c>
      <c r="T45" s="97">
        <f t="shared" si="60"/>
        <v>0</v>
      </c>
      <c r="U45" s="97">
        <f t="shared" si="100"/>
        <v>0</v>
      </c>
      <c r="V45" s="98">
        <f t="shared" ref="V45:W45" si="159">M45/I45</f>
        <v>1.3433906186238289</v>
      </c>
      <c r="W45" s="98">
        <f t="shared" si="159"/>
        <v>0.46355200143955394</v>
      </c>
      <c r="X45" s="98" t="e">
        <f t="shared" si="102"/>
        <v>#DIV/0!</v>
      </c>
      <c r="Y45" s="129"/>
      <c r="Z45" s="103">
        <v>4740</v>
      </c>
      <c r="AA45" s="129"/>
      <c r="AB45" s="119"/>
      <c r="AC45" s="119"/>
      <c r="AD45" s="129"/>
      <c r="AE45" s="129"/>
      <c r="AF45" s="129"/>
      <c r="AG45" s="129"/>
      <c r="AH45" s="260">
        <f>1890+2443+104.82</f>
        <v>4437.82</v>
      </c>
      <c r="AI45" s="129"/>
      <c r="AJ45" s="129"/>
      <c r="AK45" s="260">
        <f>3081+1524</f>
        <v>4605</v>
      </c>
      <c r="AL45" s="129"/>
      <c r="AM45" s="129"/>
      <c r="AN45" s="129">
        <f>303.98+319.96+107.96</f>
        <v>731.90000000000009</v>
      </c>
      <c r="AO45" s="129"/>
      <c r="AP45" s="129"/>
      <c r="AQ45" s="129">
        <f>3821.32</f>
        <v>3821.32</v>
      </c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99"/>
      <c r="BM45" s="100"/>
      <c r="BN45" s="100"/>
      <c r="BO45" s="100"/>
      <c r="BP45" s="100"/>
    </row>
    <row r="46" spans="1:68" ht="15.75" customHeight="1">
      <c r="A46" s="374" t="s">
        <v>647</v>
      </c>
      <c r="B46" s="136"/>
      <c r="C46" s="101" t="s">
        <v>275</v>
      </c>
      <c r="D46" s="91" t="s">
        <v>276</v>
      </c>
      <c r="E46" s="116">
        <v>13000</v>
      </c>
      <c r="F46" s="92"/>
      <c r="G46" s="94">
        <f t="shared" si="95"/>
        <v>0.22306538461538464</v>
      </c>
      <c r="H46" s="94">
        <f t="shared" si="96"/>
        <v>0.22299615384615384</v>
      </c>
      <c r="I46" s="103">
        <f>1949.9+949.95</f>
        <v>2899.8500000000004</v>
      </c>
      <c r="J46" s="358">
        <v>30000</v>
      </c>
      <c r="K46" s="117"/>
      <c r="L46" s="118"/>
      <c r="M46" s="97">
        <f t="shared" ref="M46:M67" si="160">Y46+AB46+AE46+AH46+AK46+AN46+AQ46+AT46+AW46+AZ46+BC46+BF46</f>
        <v>2898.95</v>
      </c>
      <c r="N46" s="97">
        <f>AC46+AF46+AI46+AL46+AO46+AR46+AU46+AX46+BA46+BD46+BG46</f>
        <v>0</v>
      </c>
      <c r="O46" s="97">
        <f>AA46+AD46+AG46+AJ46+AM46+AP46+AS46+AV46+AY46+BB46+BE46+BH46</f>
        <v>0</v>
      </c>
      <c r="P46" s="82">
        <f t="shared" ref="P46:R46" si="161">IF(BI46=0,SUM(Y46+AB46+AE46+AH46+AK46+AN46+AQ46+AT46+AW46+AZ46+BC46+BF46),BI46)</f>
        <v>2898.95</v>
      </c>
      <c r="Q46" s="82">
        <f t="shared" si="161"/>
        <v>0</v>
      </c>
      <c r="R46" s="82">
        <f t="shared" si="161"/>
        <v>0</v>
      </c>
      <c r="S46" s="97">
        <f t="shared" si="99"/>
        <v>0.9000000000005457</v>
      </c>
      <c r="T46" s="373">
        <f t="shared" si="60"/>
        <v>30000</v>
      </c>
      <c r="U46" s="97">
        <f t="shared" si="100"/>
        <v>0</v>
      </c>
      <c r="V46" s="98">
        <f t="shared" ref="V46:W46" si="162">M46/I46</f>
        <v>0.99968963911926456</v>
      </c>
      <c r="W46" s="98">
        <f t="shared" si="162"/>
        <v>0</v>
      </c>
      <c r="X46" s="98" t="e">
        <f t="shared" si="102"/>
        <v>#DIV/0!</v>
      </c>
      <c r="Y46" s="129"/>
      <c r="Z46" s="126"/>
      <c r="AA46" s="129"/>
      <c r="AB46" s="119"/>
      <c r="AC46" s="119"/>
      <c r="AD46" s="129"/>
      <c r="AE46" s="129"/>
      <c r="AF46" s="129"/>
      <c r="AG46" s="129"/>
      <c r="AH46" s="129"/>
      <c r="AI46" s="129"/>
      <c r="AJ46" s="129"/>
      <c r="AK46" s="260">
        <v>949.95</v>
      </c>
      <c r="AL46" s="129"/>
      <c r="AM46" s="129"/>
      <c r="AN46" s="260">
        <v>1949</v>
      </c>
      <c r="AO46" s="129"/>
      <c r="AP46" s="129"/>
      <c r="AQ46" s="129"/>
      <c r="AR46" s="260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29"/>
      <c r="BD46" s="129"/>
      <c r="BE46" s="129"/>
      <c r="BF46" s="129"/>
      <c r="BG46" s="129"/>
      <c r="BH46" s="129"/>
      <c r="BI46" s="129"/>
      <c r="BJ46" s="129"/>
      <c r="BK46" s="129"/>
      <c r="BL46" s="99"/>
      <c r="BM46" s="100"/>
      <c r="BN46" s="100"/>
      <c r="BO46" s="100"/>
      <c r="BP46" s="100"/>
    </row>
    <row r="47" spans="1:68" ht="15.75" customHeight="1">
      <c r="A47" s="111"/>
      <c r="B47" s="136" t="s">
        <v>277</v>
      </c>
      <c r="C47" s="101" t="s">
        <v>278</v>
      </c>
      <c r="D47" s="122" t="s">
        <v>755</v>
      </c>
      <c r="E47" s="116"/>
      <c r="F47" s="93"/>
      <c r="G47" s="94" t="e">
        <f t="shared" si="95"/>
        <v>#DIV/0!</v>
      </c>
      <c r="H47" s="94" t="e">
        <f t="shared" si="96"/>
        <v>#DIV/0!</v>
      </c>
      <c r="I47" s="96"/>
      <c r="J47" s="117">
        <v>22098.39</v>
      </c>
      <c r="K47" s="135">
        <v>13647.06</v>
      </c>
      <c r="L47" s="118"/>
      <c r="M47" s="97">
        <f t="shared" si="160"/>
        <v>0</v>
      </c>
      <c r="N47" s="97">
        <f t="shared" ref="N47:O47" si="163">Z47+AC47+AF47+AI47+AL47+AO47+AR47+AU47+AX47+BA47+BD47+BG47</f>
        <v>8451.33</v>
      </c>
      <c r="O47" s="97">
        <f t="shared" si="163"/>
        <v>0</v>
      </c>
      <c r="P47" s="82">
        <f t="shared" ref="P47:R47" si="164">IF(BI47=0,SUM(Y47+AB47+AE47+AH47+AK47+AN47+AQ47+AT47+AW47+AZ47+BC47+BF47),BI47)</f>
        <v>0</v>
      </c>
      <c r="Q47" s="82">
        <f t="shared" si="164"/>
        <v>8451.33</v>
      </c>
      <c r="R47" s="82">
        <f t="shared" si="164"/>
        <v>0</v>
      </c>
      <c r="S47" s="97">
        <f t="shared" si="99"/>
        <v>0</v>
      </c>
      <c r="T47" s="97">
        <f t="shared" si="60"/>
        <v>0</v>
      </c>
      <c r="U47" s="97">
        <f t="shared" si="100"/>
        <v>0</v>
      </c>
      <c r="V47" s="98" t="e">
        <f t="shared" ref="V47:W47" si="165">M47/I47</f>
        <v>#DIV/0!</v>
      </c>
      <c r="W47" s="98">
        <f t="shared" si="165"/>
        <v>0.38244098325715131</v>
      </c>
      <c r="X47" s="98" t="e">
        <f t="shared" si="102"/>
        <v>#DIV/0!</v>
      </c>
      <c r="Y47" s="129"/>
      <c r="Z47" s="96"/>
      <c r="AA47" s="129"/>
      <c r="AB47" s="119"/>
      <c r="AC47" s="119"/>
      <c r="AD47" s="129"/>
      <c r="AE47" s="129"/>
      <c r="AF47" s="260">
        <v>8367.65</v>
      </c>
      <c r="AG47" s="129"/>
      <c r="AH47" s="129"/>
      <c r="AI47" s="129"/>
      <c r="AJ47" s="129"/>
      <c r="AK47" s="129"/>
      <c r="AL47" s="260">
        <v>83.68</v>
      </c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99"/>
      <c r="BM47" s="100"/>
      <c r="BN47" s="100"/>
      <c r="BO47" s="100"/>
      <c r="BP47" s="100"/>
    </row>
    <row r="48" spans="1:68" ht="15.75" customHeight="1">
      <c r="A48" s="360" t="s">
        <v>649</v>
      </c>
      <c r="B48" s="143" t="s">
        <v>756</v>
      </c>
      <c r="C48" s="101" t="s">
        <v>278</v>
      </c>
      <c r="D48" s="91" t="s">
        <v>757</v>
      </c>
      <c r="E48" s="116"/>
      <c r="F48" s="92"/>
      <c r="G48" s="94" t="e">
        <f t="shared" si="95"/>
        <v>#DIV/0!</v>
      </c>
      <c r="H48" s="94" t="e">
        <f t="shared" si="96"/>
        <v>#DIV/0!</v>
      </c>
      <c r="I48" s="103">
        <v>33207.879999999997</v>
      </c>
      <c r="J48" s="117">
        <f>50068.66+42203.34</f>
        <v>92272</v>
      </c>
      <c r="K48" s="117"/>
      <c r="L48" s="96"/>
      <c r="M48" s="97">
        <f t="shared" si="160"/>
        <v>19996.05</v>
      </c>
      <c r="N48" s="97">
        <f t="shared" ref="N48:O48" si="166">Z48+AC48+AF48+AI48+AL48+AO48+AR48+AU48+AX48+BA48+BD48+BG48</f>
        <v>92272</v>
      </c>
      <c r="O48" s="97">
        <f t="shared" si="166"/>
        <v>0</v>
      </c>
      <c r="P48" s="82">
        <f t="shared" ref="P48:R48" si="167">IF(BI48=0,SUM(Y48+AB48+AE48+AH48+AK48+AN48+AQ48+AT48+AW48+AZ48+BC48+BF48),BI48)</f>
        <v>19996.05</v>
      </c>
      <c r="Q48" s="82">
        <f t="shared" si="167"/>
        <v>92272</v>
      </c>
      <c r="R48" s="82">
        <f t="shared" si="167"/>
        <v>0</v>
      </c>
      <c r="S48" s="97">
        <f t="shared" si="99"/>
        <v>13211.829999999998</v>
      </c>
      <c r="T48" s="97">
        <f t="shared" si="60"/>
        <v>0</v>
      </c>
      <c r="U48" s="97">
        <f t="shared" si="100"/>
        <v>0</v>
      </c>
      <c r="V48" s="98">
        <f t="shared" ref="V48:W48" si="168">M48/I48</f>
        <v>0.60214774324648246</v>
      </c>
      <c r="W48" s="98">
        <f t="shared" si="168"/>
        <v>1</v>
      </c>
      <c r="X48" s="98" t="e">
        <f t="shared" si="102"/>
        <v>#DIV/0!</v>
      </c>
      <c r="Y48" s="129"/>
      <c r="Z48" s="103">
        <v>49298.9</v>
      </c>
      <c r="AA48" s="129"/>
      <c r="AB48" s="119"/>
      <c r="AC48" s="119"/>
      <c r="AD48" s="129"/>
      <c r="AE48" s="129"/>
      <c r="AF48" s="129">
        <f>24069.07-6782.31</f>
        <v>17286.759999999998</v>
      </c>
      <c r="AG48" s="129"/>
      <c r="AH48" s="129"/>
      <c r="AI48" s="129"/>
      <c r="AJ48" s="129"/>
      <c r="AK48" s="260">
        <v>19996.05</v>
      </c>
      <c r="AL48" s="260">
        <f>12474.51+13211.83</f>
        <v>25686.34</v>
      </c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99"/>
      <c r="BM48" s="100"/>
      <c r="BN48" s="100"/>
      <c r="BO48" s="100"/>
      <c r="BP48" s="100"/>
    </row>
    <row r="49" spans="1:68" ht="15.75" customHeight="1">
      <c r="A49" s="111"/>
      <c r="B49" s="136" t="s">
        <v>282</v>
      </c>
      <c r="C49" s="101" t="s">
        <v>278</v>
      </c>
      <c r="D49" s="91" t="s">
        <v>758</v>
      </c>
      <c r="E49" s="116"/>
      <c r="F49" s="92"/>
      <c r="G49" s="94" t="e">
        <f t="shared" si="95"/>
        <v>#DIV/0!</v>
      </c>
      <c r="H49" s="94" t="e">
        <f t="shared" si="96"/>
        <v>#DIV/0!</v>
      </c>
      <c r="I49" s="96"/>
      <c r="J49" s="117">
        <v>6782.31</v>
      </c>
      <c r="K49" s="117"/>
      <c r="L49" s="96"/>
      <c r="M49" s="97">
        <f t="shared" si="160"/>
        <v>0</v>
      </c>
      <c r="N49" s="97">
        <f t="shared" ref="N49:O49" si="169">Z49+AC49+AF49+AI49+AL49+AO49+AR49+AU49+AX49+BA49+BD49+BG49</f>
        <v>6782.31</v>
      </c>
      <c r="O49" s="97">
        <f t="shared" si="169"/>
        <v>0</v>
      </c>
      <c r="P49" s="82">
        <f t="shared" ref="P49:R49" si="170">IF(BI49=0,SUM(Y49+AB49+AE49+AH49+AK49+AN49+AQ49+AT49+AW49+AZ49+BC49+BF49),BI49)</f>
        <v>0</v>
      </c>
      <c r="Q49" s="82">
        <f t="shared" si="170"/>
        <v>6782.31</v>
      </c>
      <c r="R49" s="82">
        <f t="shared" si="170"/>
        <v>0</v>
      </c>
      <c r="S49" s="97">
        <f t="shared" si="99"/>
        <v>0</v>
      </c>
      <c r="T49" s="97">
        <f t="shared" si="60"/>
        <v>0</v>
      </c>
      <c r="U49" s="97">
        <f t="shared" si="100"/>
        <v>0</v>
      </c>
      <c r="V49" s="98" t="e">
        <f t="shared" ref="V49:W49" si="171">M49/I49</f>
        <v>#DIV/0!</v>
      </c>
      <c r="W49" s="98">
        <f t="shared" si="171"/>
        <v>1</v>
      </c>
      <c r="X49" s="98" t="e">
        <f t="shared" si="102"/>
        <v>#DIV/0!</v>
      </c>
      <c r="Y49" s="129"/>
      <c r="Z49" s="96"/>
      <c r="AA49" s="129"/>
      <c r="AB49" s="119"/>
      <c r="AC49" s="119"/>
      <c r="AD49" s="129"/>
      <c r="AE49" s="129"/>
      <c r="AF49" s="129">
        <f>6782.31</f>
        <v>6782.31</v>
      </c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99"/>
      <c r="BM49" s="100"/>
      <c r="BN49" s="100"/>
      <c r="BO49" s="100"/>
      <c r="BP49" s="100"/>
    </row>
    <row r="50" spans="1:68" ht="15.75" customHeight="1">
      <c r="A50" s="111"/>
      <c r="B50" s="140" t="s">
        <v>284</v>
      </c>
      <c r="C50" s="101" t="s">
        <v>242</v>
      </c>
      <c r="D50" s="91" t="s">
        <v>759</v>
      </c>
      <c r="E50" s="116"/>
      <c r="F50" s="92"/>
      <c r="G50" s="94" t="e">
        <f t="shared" si="95"/>
        <v>#DIV/0!</v>
      </c>
      <c r="H50" s="94" t="e">
        <f t="shared" si="96"/>
        <v>#DIV/0!</v>
      </c>
      <c r="I50" s="133"/>
      <c r="J50" s="117">
        <f>51880+30383</f>
        <v>82263</v>
      </c>
      <c r="K50" s="117"/>
      <c r="L50" s="96"/>
      <c r="M50" s="97">
        <f t="shared" si="160"/>
        <v>0</v>
      </c>
      <c r="N50" s="97">
        <f t="shared" ref="N50:O50" si="172">Z50+AC50+AF50+AI50+AL50+AO50+AR50+AU50+AX50+BA50+BD50+BG50</f>
        <v>82263</v>
      </c>
      <c r="O50" s="97">
        <f t="shared" si="172"/>
        <v>0</v>
      </c>
      <c r="P50" s="82">
        <f t="shared" ref="P50:R50" si="173">IF(BI50=0,SUM(Y50+AB50+AE50+AH50+AK50+AN50+AQ50+AT50+AW50+AZ50+BC50+BF50),BI50)</f>
        <v>0</v>
      </c>
      <c r="Q50" s="82">
        <f t="shared" si="173"/>
        <v>82263</v>
      </c>
      <c r="R50" s="82">
        <f t="shared" si="173"/>
        <v>0</v>
      </c>
      <c r="S50" s="97">
        <f t="shared" si="99"/>
        <v>0</v>
      </c>
      <c r="T50" s="97">
        <f t="shared" si="60"/>
        <v>0</v>
      </c>
      <c r="U50" s="97">
        <f t="shared" si="100"/>
        <v>0</v>
      </c>
      <c r="V50" s="98" t="e">
        <f t="shared" ref="V50:W50" si="174">M50/I50</f>
        <v>#DIV/0!</v>
      </c>
      <c r="W50" s="98">
        <f t="shared" si="174"/>
        <v>1</v>
      </c>
      <c r="X50" s="98" t="e">
        <f t="shared" si="102"/>
        <v>#DIV/0!</v>
      </c>
      <c r="Y50" s="129"/>
      <c r="Z50" s="96"/>
      <c r="AA50" s="129"/>
      <c r="AB50" s="119"/>
      <c r="AC50" s="119">
        <f>11880+31280</f>
        <v>43160</v>
      </c>
      <c r="AD50" s="129"/>
      <c r="AE50" s="129"/>
      <c r="AF50" s="129">
        <f>39103</f>
        <v>39103</v>
      </c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99"/>
      <c r="BM50" s="100"/>
      <c r="BN50" s="100"/>
      <c r="BO50" s="100"/>
      <c r="BP50" s="100"/>
    </row>
    <row r="51" spans="1:68" ht="15.75" customHeight="1">
      <c r="A51" s="356" t="s">
        <v>708</v>
      </c>
      <c r="B51" s="140" t="s">
        <v>286</v>
      </c>
      <c r="C51" s="101" t="s">
        <v>278</v>
      </c>
      <c r="D51" s="144" t="s">
        <v>760</v>
      </c>
      <c r="E51" s="116"/>
      <c r="F51" s="92"/>
      <c r="G51" s="94" t="e">
        <f t="shared" si="95"/>
        <v>#DIV/0!</v>
      </c>
      <c r="H51" s="94" t="e">
        <f t="shared" si="96"/>
        <v>#DIV/0!</v>
      </c>
      <c r="I51" s="361">
        <f>67481.17</f>
        <v>67481.17</v>
      </c>
      <c r="J51" s="117">
        <f>572638.78+46434.84</f>
        <v>619073.62</v>
      </c>
      <c r="K51" s="117"/>
      <c r="L51" s="118"/>
      <c r="M51" s="97">
        <f t="shared" si="160"/>
        <v>10051.59</v>
      </c>
      <c r="N51" s="97">
        <f t="shared" ref="N51:O51" si="175">Z51+AC51+AF51+AI51+AL51+AO51+AR51+AU51+AX51+BA51+BD51+BG51</f>
        <v>505964.5</v>
      </c>
      <c r="O51" s="97">
        <f t="shared" si="175"/>
        <v>0</v>
      </c>
      <c r="P51" s="82">
        <f t="shared" ref="P51:R51" si="176">IF(BI51=0,SUM(Y51+AB51+AE51+AH51+AK51+AN51+AQ51+AT51+AW51+AZ51+BC51+BF51),BI51)</f>
        <v>10051.59</v>
      </c>
      <c r="Q51" s="82">
        <f t="shared" si="176"/>
        <v>505964.5</v>
      </c>
      <c r="R51" s="82">
        <f t="shared" si="176"/>
        <v>0</v>
      </c>
      <c r="S51" s="97">
        <f t="shared" si="99"/>
        <v>57429.58</v>
      </c>
      <c r="T51" s="97">
        <f t="shared" si="60"/>
        <v>113109.12</v>
      </c>
      <c r="U51" s="97">
        <f t="shared" si="100"/>
        <v>0</v>
      </c>
      <c r="V51" s="98">
        <f t="shared" ref="V51:W51" si="177">M51/I51</f>
        <v>0.14895399709281865</v>
      </c>
      <c r="W51" s="98">
        <f t="shared" si="177"/>
        <v>0.81729294166984534</v>
      </c>
      <c r="X51" s="98" t="e">
        <f t="shared" si="102"/>
        <v>#DIV/0!</v>
      </c>
      <c r="Y51" s="129"/>
      <c r="Z51" s="96"/>
      <c r="AA51" s="129"/>
      <c r="AB51" s="119"/>
      <c r="AC51" s="119"/>
      <c r="AD51" s="129"/>
      <c r="AE51" s="129"/>
      <c r="AF51" s="129">
        <f>23186.24</f>
        <v>23186.240000000002</v>
      </c>
      <c r="AG51" s="129"/>
      <c r="AH51" s="260">
        <v>10051.59</v>
      </c>
      <c r="AI51" s="260">
        <v>18924.84</v>
      </c>
      <c r="AJ51" s="129"/>
      <c r="AK51" s="260"/>
      <c r="AL51" s="260">
        <v>239930.92</v>
      </c>
      <c r="AM51" s="129"/>
      <c r="AN51" s="129"/>
      <c r="AO51" s="260">
        <v>187486.19</v>
      </c>
      <c r="AP51" s="129"/>
      <c r="AQ51" s="129"/>
      <c r="AR51" s="260">
        <v>36436.31</v>
      </c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99"/>
      <c r="BM51" s="100"/>
      <c r="BN51" s="100"/>
      <c r="BO51" s="100"/>
      <c r="BP51" s="100"/>
    </row>
    <row r="52" spans="1:68" ht="15.75" customHeight="1">
      <c r="A52" s="111"/>
      <c r="B52" s="140" t="s">
        <v>506</v>
      </c>
      <c r="C52" s="101" t="s">
        <v>165</v>
      </c>
      <c r="D52" s="91" t="s">
        <v>289</v>
      </c>
      <c r="E52" s="116"/>
      <c r="F52" s="92"/>
      <c r="G52" s="94" t="e">
        <f t="shared" si="95"/>
        <v>#DIV/0!</v>
      </c>
      <c r="H52" s="94" t="e">
        <f t="shared" si="96"/>
        <v>#DIV/0!</v>
      </c>
      <c r="I52" s="133"/>
      <c r="J52" s="117">
        <f>5855+6447</f>
        <v>12302</v>
      </c>
      <c r="K52" s="117"/>
      <c r="L52" s="96"/>
      <c r="M52" s="97">
        <f t="shared" si="160"/>
        <v>0</v>
      </c>
      <c r="N52" s="97">
        <f t="shared" ref="N52:O52" si="178">Z52+AC52+AF52+AI52+AL52+AO52+AR52+AU52+AX52+BA52+BD52+BG52</f>
        <v>12302</v>
      </c>
      <c r="O52" s="97">
        <f t="shared" si="178"/>
        <v>0</v>
      </c>
      <c r="P52" s="82">
        <f t="shared" ref="P52:R52" si="179">IF(BI52=0,SUM(Y52+AB52+AE52+AH52+AK52+AN52+AQ52+AT52+AW52+AZ52+BC52+BF52),BI52)</f>
        <v>0</v>
      </c>
      <c r="Q52" s="82">
        <f t="shared" si="179"/>
        <v>12302</v>
      </c>
      <c r="R52" s="82">
        <f t="shared" si="179"/>
        <v>0</v>
      </c>
      <c r="S52" s="97">
        <f t="shared" si="99"/>
        <v>0</v>
      </c>
      <c r="T52" s="97">
        <f t="shared" si="60"/>
        <v>0</v>
      </c>
      <c r="U52" s="97">
        <f t="shared" si="100"/>
        <v>0</v>
      </c>
      <c r="V52" s="98" t="e">
        <f t="shared" ref="V52:W52" si="180">M52/I52</f>
        <v>#DIV/0!</v>
      </c>
      <c r="W52" s="98">
        <f t="shared" si="180"/>
        <v>1</v>
      </c>
      <c r="X52" s="98" t="e">
        <f t="shared" si="102"/>
        <v>#DIV/0!</v>
      </c>
      <c r="Y52" s="129"/>
      <c r="Z52" s="103">
        <v>5855</v>
      </c>
      <c r="AA52" s="129"/>
      <c r="AB52" s="119"/>
      <c r="AC52" s="119">
        <f>6447</f>
        <v>6447</v>
      </c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99"/>
      <c r="BM52" s="100"/>
      <c r="BN52" s="100"/>
      <c r="BO52" s="100"/>
      <c r="BP52" s="100"/>
    </row>
    <row r="53" spans="1:68" ht="15.75" customHeight="1">
      <c r="A53" s="111"/>
      <c r="B53" s="140" t="s">
        <v>507</v>
      </c>
      <c r="C53" s="101" t="s">
        <v>165</v>
      </c>
      <c r="D53" s="91" t="s">
        <v>761</v>
      </c>
      <c r="E53" s="116"/>
      <c r="F53" s="92"/>
      <c r="G53" s="94" t="e">
        <f t="shared" si="95"/>
        <v>#DIV/0!</v>
      </c>
      <c r="H53" s="94" t="e">
        <f t="shared" si="96"/>
        <v>#DIV/0!</v>
      </c>
      <c r="I53" s="133"/>
      <c r="J53" s="117">
        <f>2874.45+8500+15300+2420</f>
        <v>29094.45</v>
      </c>
      <c r="K53" s="117"/>
      <c r="L53" s="145"/>
      <c r="M53" s="97">
        <f t="shared" si="160"/>
        <v>0</v>
      </c>
      <c r="N53" s="97">
        <f t="shared" ref="N53:O53" si="181">Z53+AC53+AF53+AI53+AL53+AO53+AR53+AU53+AX53+BA53+BD53+BG53</f>
        <v>29094.45</v>
      </c>
      <c r="O53" s="97">
        <f t="shared" si="181"/>
        <v>0</v>
      </c>
      <c r="P53" s="82">
        <f t="shared" ref="P53:R53" si="182">IF(BI53=0,SUM(Y53+AB53+AE53+AH53+AK53+AN53+AQ53+AT53+AW53+AZ53+BC53+BF53),BI53)</f>
        <v>0</v>
      </c>
      <c r="Q53" s="82">
        <f t="shared" si="182"/>
        <v>29094.45</v>
      </c>
      <c r="R53" s="82">
        <f t="shared" si="182"/>
        <v>0</v>
      </c>
      <c r="S53" s="97">
        <f t="shared" si="99"/>
        <v>0</v>
      </c>
      <c r="T53" s="97">
        <f t="shared" si="60"/>
        <v>0</v>
      </c>
      <c r="U53" s="97">
        <f t="shared" si="100"/>
        <v>0</v>
      </c>
      <c r="V53" s="98" t="e">
        <f t="shared" ref="V53:W53" si="183">M53/I53</f>
        <v>#DIV/0!</v>
      </c>
      <c r="W53" s="98">
        <f t="shared" si="183"/>
        <v>1</v>
      </c>
      <c r="X53" s="98" t="e">
        <f t="shared" si="102"/>
        <v>#DIV/0!</v>
      </c>
      <c r="Y53" s="129"/>
      <c r="Z53" s="103">
        <f>2420+15300</f>
        <v>17720</v>
      </c>
      <c r="AA53" s="129"/>
      <c r="AB53" s="119"/>
      <c r="AC53" s="119">
        <f>8500</f>
        <v>8500</v>
      </c>
      <c r="AD53" s="129"/>
      <c r="AE53" s="129"/>
      <c r="AF53" s="129"/>
      <c r="AG53" s="129"/>
      <c r="AH53" s="129"/>
      <c r="AI53" s="260">
        <v>2874.45</v>
      </c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99"/>
      <c r="BM53" s="100"/>
      <c r="BN53" s="100"/>
      <c r="BO53" s="100"/>
      <c r="BP53" s="100"/>
    </row>
    <row r="54" spans="1:68" ht="15.75" customHeight="1">
      <c r="A54" s="111"/>
      <c r="B54" s="136"/>
      <c r="C54" s="101" t="s">
        <v>292</v>
      </c>
      <c r="D54" s="122" t="s">
        <v>104</v>
      </c>
      <c r="E54" s="92">
        <v>0</v>
      </c>
      <c r="F54" s="93">
        <v>10000</v>
      </c>
      <c r="G54" s="94" t="e">
        <f t="shared" si="95"/>
        <v>#DIV/0!</v>
      </c>
      <c r="H54" s="94" t="e">
        <f t="shared" si="96"/>
        <v>#DIV/0!</v>
      </c>
      <c r="I54" s="133"/>
      <c r="J54" s="117"/>
      <c r="K54" s="117"/>
      <c r="L54" s="145"/>
      <c r="M54" s="97">
        <f t="shared" si="160"/>
        <v>0</v>
      </c>
      <c r="N54" s="97">
        <f t="shared" ref="N54:O54" si="184">Z54+AC54+AF54+AI54+AL54+AO54+AR54+AU54+AX54+BA54+BD54+BG54</f>
        <v>0</v>
      </c>
      <c r="O54" s="97">
        <f t="shared" si="184"/>
        <v>0</v>
      </c>
      <c r="P54" s="82">
        <f t="shared" ref="P54:R54" si="185">IF(BI54=0,SUM(Y54+AB54+AE54+AH54+AK54+AN54+AQ54+AT54+AW54+AZ54+BC54+BF54),BI54)</f>
        <v>0</v>
      </c>
      <c r="Q54" s="82">
        <f t="shared" si="185"/>
        <v>0</v>
      </c>
      <c r="R54" s="82">
        <f t="shared" si="185"/>
        <v>0</v>
      </c>
      <c r="S54" s="97">
        <f t="shared" si="99"/>
        <v>0</v>
      </c>
      <c r="T54" s="97">
        <f t="shared" si="60"/>
        <v>0</v>
      </c>
      <c r="U54" s="97">
        <f t="shared" si="100"/>
        <v>0</v>
      </c>
      <c r="V54" s="98" t="e">
        <f t="shared" ref="V54:W54" si="186">M54/I54</f>
        <v>#DIV/0!</v>
      </c>
      <c r="W54" s="98" t="e">
        <f t="shared" si="186"/>
        <v>#DIV/0!</v>
      </c>
      <c r="X54" s="98" t="e">
        <f t="shared" si="102"/>
        <v>#DIV/0!</v>
      </c>
      <c r="Y54" s="129"/>
      <c r="Z54" s="96"/>
      <c r="AA54" s="129"/>
      <c r="AB54" s="119"/>
      <c r="AC54" s="11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99"/>
      <c r="BM54" s="100"/>
      <c r="BN54" s="100"/>
      <c r="BO54" s="100"/>
      <c r="BP54" s="100"/>
    </row>
    <row r="55" spans="1:68" ht="15.75" customHeight="1">
      <c r="A55" s="111"/>
      <c r="B55" s="136"/>
      <c r="C55" s="101" t="s">
        <v>293</v>
      </c>
      <c r="D55" s="122" t="s">
        <v>105</v>
      </c>
      <c r="E55" s="92">
        <v>0</v>
      </c>
      <c r="F55" s="93">
        <v>160000</v>
      </c>
      <c r="G55" s="94" t="e">
        <f t="shared" si="95"/>
        <v>#DIV/0!</v>
      </c>
      <c r="H55" s="94" t="e">
        <f t="shared" si="96"/>
        <v>#DIV/0!</v>
      </c>
      <c r="I55" s="133"/>
      <c r="J55" s="117"/>
      <c r="K55" s="117"/>
      <c r="L55" s="145"/>
      <c r="M55" s="97">
        <f t="shared" si="160"/>
        <v>0</v>
      </c>
      <c r="N55" s="97">
        <f t="shared" ref="N55:O55" si="187">Z55+AC55+AF55+AI55+AL55+AO55+AR55+AU55+AX55+BA55+BD55+BG55</f>
        <v>0</v>
      </c>
      <c r="O55" s="97">
        <f t="shared" si="187"/>
        <v>0</v>
      </c>
      <c r="P55" s="82">
        <f t="shared" ref="P55:R55" si="188">IF(BI55=0,SUM(Y55+AB55+AE55+AH55+AK55+AN55+AQ55+AT55+AW55+AZ55+BC55+BF55),BI55)</f>
        <v>0</v>
      </c>
      <c r="Q55" s="82">
        <f t="shared" si="188"/>
        <v>0</v>
      </c>
      <c r="R55" s="82">
        <f t="shared" si="188"/>
        <v>0</v>
      </c>
      <c r="S55" s="97">
        <f t="shared" si="99"/>
        <v>0</v>
      </c>
      <c r="T55" s="97">
        <f t="shared" si="60"/>
        <v>0</v>
      </c>
      <c r="U55" s="97">
        <f t="shared" si="100"/>
        <v>0</v>
      </c>
      <c r="V55" s="98" t="e">
        <f t="shared" ref="V55:W55" si="189">M55/I55</f>
        <v>#DIV/0!</v>
      </c>
      <c r="W55" s="98" t="e">
        <f t="shared" si="189"/>
        <v>#DIV/0!</v>
      </c>
      <c r="X55" s="98" t="e">
        <f t="shared" si="102"/>
        <v>#DIV/0!</v>
      </c>
      <c r="Y55" s="129"/>
      <c r="Z55" s="96"/>
      <c r="AA55" s="129"/>
      <c r="AB55" s="119"/>
      <c r="AC55" s="11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99"/>
      <c r="BM55" s="100"/>
      <c r="BN55" s="100"/>
      <c r="BO55" s="100"/>
      <c r="BP55" s="100"/>
    </row>
    <row r="56" spans="1:68" ht="15.75" customHeight="1">
      <c r="A56" s="89"/>
      <c r="B56" s="114"/>
      <c r="C56" s="101" t="s">
        <v>294</v>
      </c>
      <c r="D56" s="122" t="s">
        <v>106</v>
      </c>
      <c r="E56" s="116"/>
      <c r="F56" s="93">
        <v>50000</v>
      </c>
      <c r="G56" s="94" t="e">
        <f t="shared" si="95"/>
        <v>#DIV/0!</v>
      </c>
      <c r="H56" s="94">
        <f t="shared" ref="H56:H61" si="190">M56/F56</f>
        <v>0</v>
      </c>
      <c r="I56" s="96"/>
      <c r="J56" s="117"/>
      <c r="K56" s="117"/>
      <c r="L56" s="118"/>
      <c r="M56" s="97">
        <f t="shared" si="160"/>
        <v>0</v>
      </c>
      <c r="N56" s="97">
        <f t="shared" ref="N56:O56" si="191">Z56+AC56+AF56+AI56+AL56+AO56+AR56+AU56+AX56+BA56+BD56+BG56</f>
        <v>0</v>
      </c>
      <c r="O56" s="97">
        <f t="shared" si="191"/>
        <v>0</v>
      </c>
      <c r="P56" s="82">
        <f t="shared" ref="P56:R56" si="192">IF(BI56=0,SUM(Y56+AB56+AE56+AH56+AK56+AN56+AQ56+AT56+AW56+AZ56+BC56+BF56),BI56)</f>
        <v>0</v>
      </c>
      <c r="Q56" s="82">
        <f t="shared" si="192"/>
        <v>0</v>
      </c>
      <c r="R56" s="82">
        <f t="shared" si="192"/>
        <v>0</v>
      </c>
      <c r="S56" s="97">
        <f t="shared" si="99"/>
        <v>0</v>
      </c>
      <c r="T56" s="97">
        <f t="shared" si="60"/>
        <v>0</v>
      </c>
      <c r="U56" s="97">
        <f t="shared" si="100"/>
        <v>0</v>
      </c>
      <c r="V56" s="98" t="e">
        <f t="shared" ref="V56:W56" si="193">M56/I56</f>
        <v>#DIV/0!</v>
      </c>
      <c r="W56" s="98" t="e">
        <f t="shared" si="193"/>
        <v>#DIV/0!</v>
      </c>
      <c r="X56" s="98" t="e">
        <f t="shared" si="102"/>
        <v>#DIV/0!</v>
      </c>
      <c r="Y56" s="129"/>
      <c r="Z56" s="96"/>
      <c r="AA56" s="129"/>
      <c r="AB56" s="119"/>
      <c r="AC56" s="11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99"/>
      <c r="BM56" s="100"/>
      <c r="BN56" s="100"/>
      <c r="BO56" s="100"/>
      <c r="BP56" s="100"/>
    </row>
    <row r="57" spans="1:68" ht="15.75" customHeight="1">
      <c r="A57" s="89"/>
      <c r="B57" s="136" t="s">
        <v>295</v>
      </c>
      <c r="C57" s="101" t="s">
        <v>271</v>
      </c>
      <c r="D57" s="122" t="s">
        <v>107</v>
      </c>
      <c r="E57" s="116"/>
      <c r="F57" s="93">
        <v>20000</v>
      </c>
      <c r="G57" s="94" t="e">
        <f t="shared" si="95"/>
        <v>#DIV/0!</v>
      </c>
      <c r="H57" s="94">
        <f t="shared" si="190"/>
        <v>0</v>
      </c>
      <c r="I57" s="96"/>
      <c r="J57" s="117">
        <v>1817.8</v>
      </c>
      <c r="K57" s="117"/>
      <c r="L57" s="118"/>
      <c r="M57" s="97">
        <f t="shared" si="160"/>
        <v>0</v>
      </c>
      <c r="N57" s="97">
        <f t="shared" ref="N57:O57" si="194">Z57+AC57+AF57+AI57+AL57+AO57+AR57+AU57+AX57+BA57+BD57+BG57</f>
        <v>1817.8</v>
      </c>
      <c r="O57" s="97">
        <f t="shared" si="194"/>
        <v>0</v>
      </c>
      <c r="P57" s="82">
        <f t="shared" ref="P57:R57" si="195">IF(BI57=0,SUM(Y57+AB57+AE57+AH57+AK57+AN57+AQ57+AT57+AW57+AZ57+BC57+BF57),BI57)</f>
        <v>0</v>
      </c>
      <c r="Q57" s="82">
        <f t="shared" si="195"/>
        <v>1817.8</v>
      </c>
      <c r="R57" s="82">
        <f t="shared" si="195"/>
        <v>0</v>
      </c>
      <c r="S57" s="97">
        <f t="shared" si="99"/>
        <v>0</v>
      </c>
      <c r="T57" s="97">
        <f t="shared" si="60"/>
        <v>0</v>
      </c>
      <c r="U57" s="97">
        <f t="shared" si="100"/>
        <v>0</v>
      </c>
      <c r="V57" s="98" t="e">
        <f t="shared" ref="V57:W57" si="196">M57/I57</f>
        <v>#DIV/0!</v>
      </c>
      <c r="W57" s="98">
        <f t="shared" si="196"/>
        <v>1</v>
      </c>
      <c r="X57" s="98" t="e">
        <f t="shared" si="102"/>
        <v>#DIV/0!</v>
      </c>
      <c r="Y57" s="129"/>
      <c r="Z57" s="96"/>
      <c r="AA57" s="129"/>
      <c r="AB57" s="119"/>
      <c r="AC57" s="119">
        <f>1817.8</f>
        <v>1817.8</v>
      </c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99"/>
      <c r="BM57" s="100"/>
      <c r="BN57" s="100"/>
      <c r="BO57" s="100"/>
      <c r="BP57" s="100"/>
    </row>
    <row r="58" spans="1:68" ht="15.75" customHeight="1">
      <c r="A58" s="89"/>
      <c r="B58" s="114"/>
      <c r="C58" s="101" t="s">
        <v>296</v>
      </c>
      <c r="D58" s="122" t="s">
        <v>108</v>
      </c>
      <c r="E58" s="116"/>
      <c r="F58" s="93">
        <v>50000</v>
      </c>
      <c r="G58" s="94">
        <f t="shared" ref="G58:G63" si="197">I58/F58</f>
        <v>0</v>
      </c>
      <c r="H58" s="94">
        <f t="shared" si="190"/>
        <v>0</v>
      </c>
      <c r="I58" s="96"/>
      <c r="J58" s="117"/>
      <c r="K58" s="117"/>
      <c r="L58" s="118"/>
      <c r="M58" s="97">
        <f t="shared" si="160"/>
        <v>0</v>
      </c>
      <c r="N58" s="97">
        <f t="shared" ref="N58:O58" si="198">Z58+AC58+AF58+AI58+AL58+AO58+AR58+AU58+AX58+BA58+BD58+BG58</f>
        <v>0</v>
      </c>
      <c r="O58" s="97">
        <f t="shared" si="198"/>
        <v>0</v>
      </c>
      <c r="P58" s="82">
        <f t="shared" ref="P58:R58" si="199">IF(BI58=0,SUM(Y58+AB58+AE58+AH58+AK58+AN58+AQ58+AT58+AW58+AZ58+BC58+BF58),BI58)</f>
        <v>0</v>
      </c>
      <c r="Q58" s="82">
        <f t="shared" si="199"/>
        <v>0</v>
      </c>
      <c r="R58" s="82">
        <f t="shared" si="199"/>
        <v>0</v>
      </c>
      <c r="S58" s="97">
        <f t="shared" si="99"/>
        <v>0</v>
      </c>
      <c r="T58" s="97">
        <f t="shared" si="60"/>
        <v>0</v>
      </c>
      <c r="U58" s="97">
        <f t="shared" si="100"/>
        <v>0</v>
      </c>
      <c r="V58" s="98" t="e">
        <f t="shared" ref="V58:W58" si="200">M58/I58</f>
        <v>#DIV/0!</v>
      </c>
      <c r="W58" s="98" t="e">
        <f t="shared" si="200"/>
        <v>#DIV/0!</v>
      </c>
      <c r="X58" s="98" t="e">
        <f t="shared" si="102"/>
        <v>#DIV/0!</v>
      </c>
      <c r="Y58" s="129"/>
      <c r="Z58" s="96"/>
      <c r="AA58" s="129"/>
      <c r="AB58" s="119"/>
      <c r="AC58" s="11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99"/>
      <c r="BM58" s="100"/>
      <c r="BN58" s="100"/>
      <c r="BO58" s="100"/>
      <c r="BP58" s="100"/>
    </row>
    <row r="59" spans="1:68" ht="15.75" customHeight="1">
      <c r="B59" s="114"/>
      <c r="C59" s="101" t="s">
        <v>242</v>
      </c>
      <c r="D59" s="122" t="s">
        <v>109</v>
      </c>
      <c r="E59" s="116"/>
      <c r="F59" s="93">
        <v>350000</v>
      </c>
      <c r="G59" s="94">
        <f t="shared" si="197"/>
        <v>0</v>
      </c>
      <c r="H59" s="94">
        <f t="shared" si="190"/>
        <v>0</v>
      </c>
      <c r="I59" s="142"/>
      <c r="J59" s="117"/>
      <c r="K59" s="117"/>
      <c r="L59" s="118"/>
      <c r="M59" s="97">
        <f t="shared" si="160"/>
        <v>0</v>
      </c>
      <c r="N59" s="97">
        <f t="shared" ref="N59:O59" si="201">Z59+AC59+AF59+AI59+AL59+AO59+AR59+AU59+AX59+BA59+BD59+BG59</f>
        <v>0</v>
      </c>
      <c r="O59" s="97">
        <f t="shared" si="201"/>
        <v>0</v>
      </c>
      <c r="P59" s="82">
        <f t="shared" ref="P59:R59" si="202">IF(BI59=0,SUM(Y59+AB59+AE59+AH59+AK59+AN59+AQ59+AT59+AW59+AZ59+BC59+BF59),BI59)</f>
        <v>0</v>
      </c>
      <c r="Q59" s="82">
        <f t="shared" si="202"/>
        <v>0</v>
      </c>
      <c r="R59" s="82">
        <f t="shared" si="202"/>
        <v>0</v>
      </c>
      <c r="S59" s="97">
        <f t="shared" si="99"/>
        <v>0</v>
      </c>
      <c r="T59" s="97">
        <f t="shared" si="60"/>
        <v>0</v>
      </c>
      <c r="U59" s="97">
        <f t="shared" si="100"/>
        <v>0</v>
      </c>
      <c r="V59" s="98" t="e">
        <f t="shared" ref="V59:W59" si="203">M59/I59</f>
        <v>#DIV/0!</v>
      </c>
      <c r="W59" s="98" t="e">
        <f t="shared" si="203"/>
        <v>#DIV/0!</v>
      </c>
      <c r="X59" s="98" t="e">
        <f t="shared" si="102"/>
        <v>#DIV/0!</v>
      </c>
      <c r="Y59" s="96"/>
      <c r="Z59" s="96"/>
      <c r="AA59" s="96"/>
      <c r="AB59" s="119"/>
      <c r="AC59" s="119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129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9"/>
      <c r="BM59" s="100"/>
      <c r="BN59" s="100"/>
      <c r="BO59" s="100"/>
      <c r="BP59" s="100"/>
    </row>
    <row r="60" spans="1:68" ht="15.75" customHeight="1">
      <c r="A60" s="89"/>
      <c r="B60" s="114"/>
      <c r="C60" s="101" t="s">
        <v>297</v>
      </c>
      <c r="D60" s="122" t="s">
        <v>110</v>
      </c>
      <c r="E60" s="116"/>
      <c r="F60" s="93">
        <v>200000</v>
      </c>
      <c r="G60" s="94">
        <f t="shared" si="197"/>
        <v>0</v>
      </c>
      <c r="H60" s="94">
        <f t="shared" si="190"/>
        <v>0</v>
      </c>
      <c r="I60" s="96"/>
      <c r="J60" s="117"/>
      <c r="K60" s="117"/>
      <c r="L60" s="118"/>
      <c r="M60" s="97">
        <f t="shared" si="160"/>
        <v>0</v>
      </c>
      <c r="N60" s="97">
        <f t="shared" ref="N60:O60" si="204">Z60+AC60+AF60+AI60+AL60+AO60+AR60+AU60+AX60+BA60+BD60+BG60</f>
        <v>0</v>
      </c>
      <c r="O60" s="97">
        <f t="shared" si="204"/>
        <v>0</v>
      </c>
      <c r="P60" s="82">
        <f t="shared" ref="P60:R60" si="205">IF(BI60=0,SUM(Y60+AB60+AE60+AH60+AK60+AN60+AQ60+AT60+AW60+AZ60+BC60+BF60),BI60)</f>
        <v>0</v>
      </c>
      <c r="Q60" s="82">
        <f t="shared" si="205"/>
        <v>0</v>
      </c>
      <c r="R60" s="82">
        <f t="shared" si="205"/>
        <v>0</v>
      </c>
      <c r="S60" s="97">
        <f t="shared" si="99"/>
        <v>0</v>
      </c>
      <c r="T60" s="97">
        <f t="shared" si="60"/>
        <v>0</v>
      </c>
      <c r="U60" s="97">
        <f t="shared" si="100"/>
        <v>0</v>
      </c>
      <c r="V60" s="98" t="e">
        <f t="shared" ref="V60:W60" si="206">M60/I60</f>
        <v>#DIV/0!</v>
      </c>
      <c r="W60" s="98" t="e">
        <f t="shared" si="206"/>
        <v>#DIV/0!</v>
      </c>
      <c r="X60" s="98" t="e">
        <f t="shared" si="102"/>
        <v>#DIV/0!</v>
      </c>
      <c r="Y60" s="96"/>
      <c r="Z60" s="96"/>
      <c r="AA60" s="96"/>
      <c r="AB60" s="119"/>
      <c r="AC60" s="119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129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9"/>
      <c r="BM60" s="100"/>
      <c r="BN60" s="100"/>
      <c r="BO60" s="100"/>
      <c r="BP60" s="100"/>
    </row>
    <row r="61" spans="1:68" ht="15.75" customHeight="1">
      <c r="A61" s="89"/>
      <c r="B61" s="114"/>
      <c r="C61" s="101" t="s">
        <v>298</v>
      </c>
      <c r="D61" s="122" t="s">
        <v>299</v>
      </c>
      <c r="E61" s="92"/>
      <c r="F61" s="93">
        <v>200000</v>
      </c>
      <c r="G61" s="94">
        <f t="shared" si="197"/>
        <v>0</v>
      </c>
      <c r="H61" s="94">
        <f t="shared" si="190"/>
        <v>0</v>
      </c>
      <c r="I61" s="96"/>
      <c r="J61" s="146"/>
      <c r="K61" s="146"/>
      <c r="L61" s="118"/>
      <c r="M61" s="97">
        <f t="shared" si="160"/>
        <v>0</v>
      </c>
      <c r="N61" s="97">
        <f t="shared" ref="N61:O61" si="207">Z61+AC61+AF61+AI61+AL61+AO61+AR61+AU61+AX61+BA61+BD61+BG61</f>
        <v>0</v>
      </c>
      <c r="O61" s="97">
        <f t="shared" si="207"/>
        <v>0</v>
      </c>
      <c r="P61" s="82">
        <f t="shared" ref="P61:R61" si="208">IF(BI61=0,SUM(Y61+AB61+AE61+AH61+AK61+AN61+AQ61+AT61+AW61+AZ61+BC61+BF61),BI61)</f>
        <v>0</v>
      </c>
      <c r="Q61" s="82">
        <f t="shared" si="208"/>
        <v>0</v>
      </c>
      <c r="R61" s="82">
        <f t="shared" si="208"/>
        <v>0</v>
      </c>
      <c r="S61" s="97">
        <f t="shared" si="99"/>
        <v>0</v>
      </c>
      <c r="T61" s="97">
        <f t="shared" si="60"/>
        <v>0</v>
      </c>
      <c r="U61" s="97">
        <f t="shared" si="100"/>
        <v>0</v>
      </c>
      <c r="V61" s="98" t="e">
        <f t="shared" ref="V61:W61" si="209">M61/I61</f>
        <v>#DIV/0!</v>
      </c>
      <c r="W61" s="98" t="e">
        <f t="shared" si="209"/>
        <v>#DIV/0!</v>
      </c>
      <c r="X61" s="98" t="e">
        <f t="shared" si="102"/>
        <v>#DIV/0!</v>
      </c>
      <c r="Y61" s="96"/>
      <c r="Z61" s="96"/>
      <c r="AA61" s="96"/>
      <c r="AB61" s="119"/>
      <c r="AC61" s="119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129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9"/>
      <c r="BM61" s="100"/>
      <c r="BN61" s="100"/>
      <c r="BO61" s="100"/>
      <c r="BP61" s="100"/>
    </row>
    <row r="62" spans="1:68" ht="15.75" customHeight="1">
      <c r="A62" s="89"/>
      <c r="B62" s="114"/>
      <c r="C62" s="101" t="s">
        <v>229</v>
      </c>
      <c r="D62" s="122" t="s">
        <v>113</v>
      </c>
      <c r="E62" s="92"/>
      <c r="F62" s="93">
        <v>60000</v>
      </c>
      <c r="G62" s="94">
        <f t="shared" si="197"/>
        <v>0</v>
      </c>
      <c r="H62" s="94"/>
      <c r="I62" s="96"/>
      <c r="J62" s="146"/>
      <c r="K62" s="146"/>
      <c r="L62" s="118"/>
      <c r="M62" s="97">
        <f t="shared" si="160"/>
        <v>0</v>
      </c>
      <c r="N62" s="97">
        <f t="shared" ref="N62:O62" si="210">Z62+AC62+AF62+AI62+AL62+AO62+AR62+AU62+AX62+BA62+BD62+BG62</f>
        <v>0</v>
      </c>
      <c r="O62" s="97">
        <f t="shared" si="210"/>
        <v>0</v>
      </c>
      <c r="P62" s="82">
        <f t="shared" ref="P62:R62" si="211">IF(BI62=0,SUM(Y62+AB62+AE62+AH62+AK62+AN62+AQ62+AT62+AW62+AZ62+BC62+BF62),BI62)</f>
        <v>0</v>
      </c>
      <c r="Q62" s="82">
        <f t="shared" si="211"/>
        <v>0</v>
      </c>
      <c r="R62" s="82">
        <f t="shared" si="211"/>
        <v>0</v>
      </c>
      <c r="S62" s="97">
        <f t="shared" si="99"/>
        <v>0</v>
      </c>
      <c r="T62" s="97">
        <f t="shared" si="60"/>
        <v>0</v>
      </c>
      <c r="U62" s="97">
        <f t="shared" si="100"/>
        <v>0</v>
      </c>
      <c r="V62" s="98" t="e">
        <f t="shared" ref="V62:W62" si="212">M62/I62</f>
        <v>#DIV/0!</v>
      </c>
      <c r="W62" s="98" t="e">
        <f t="shared" si="212"/>
        <v>#DIV/0!</v>
      </c>
      <c r="X62" s="98" t="e">
        <f t="shared" si="102"/>
        <v>#DIV/0!</v>
      </c>
      <c r="Y62" s="96"/>
      <c r="Z62" s="96"/>
      <c r="AA62" s="96"/>
      <c r="AB62" s="119"/>
      <c r="AC62" s="119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129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9"/>
      <c r="BM62" s="100"/>
      <c r="BN62" s="100"/>
      <c r="BO62" s="100"/>
      <c r="BP62" s="100"/>
    </row>
    <row r="63" spans="1:68" ht="15.75" customHeight="1">
      <c r="A63" s="89"/>
      <c r="B63" s="114"/>
      <c r="C63" s="101" t="s">
        <v>114</v>
      </c>
      <c r="D63" s="122" t="s">
        <v>115</v>
      </c>
      <c r="E63" s="92"/>
      <c r="F63" s="93">
        <v>1200000</v>
      </c>
      <c r="G63" s="94">
        <f t="shared" si="197"/>
        <v>0</v>
      </c>
      <c r="H63" s="94"/>
      <c r="I63" s="96"/>
      <c r="J63" s="146"/>
      <c r="K63" s="146"/>
      <c r="L63" s="118"/>
      <c r="M63" s="97">
        <f t="shared" si="160"/>
        <v>0</v>
      </c>
      <c r="N63" s="97">
        <f t="shared" ref="N63:O63" si="213">Z63+AC63+AF63+AI63+AL63+AO63+AR63+AU63+AX63+BA63+BD63+BG63</f>
        <v>0</v>
      </c>
      <c r="O63" s="97">
        <f t="shared" si="213"/>
        <v>0</v>
      </c>
      <c r="P63" s="82">
        <f t="shared" ref="P63:R63" si="214">IF(BI63=0,SUM(Y63+AB63+AE63+AH63+AK63+AN63+AQ63+AT63+AW63+AZ63+BC63+BF63),BI63)</f>
        <v>0</v>
      </c>
      <c r="Q63" s="82">
        <f t="shared" si="214"/>
        <v>0</v>
      </c>
      <c r="R63" s="82">
        <f t="shared" si="214"/>
        <v>0</v>
      </c>
      <c r="S63" s="97">
        <f t="shared" si="99"/>
        <v>0</v>
      </c>
      <c r="T63" s="97">
        <f t="shared" si="60"/>
        <v>0</v>
      </c>
      <c r="U63" s="97">
        <f t="shared" si="100"/>
        <v>0</v>
      </c>
      <c r="V63" s="98" t="e">
        <f t="shared" ref="V63:W63" si="215">M63/I63</f>
        <v>#DIV/0!</v>
      </c>
      <c r="W63" s="98" t="e">
        <f t="shared" si="215"/>
        <v>#DIV/0!</v>
      </c>
      <c r="X63" s="98" t="e">
        <f t="shared" si="102"/>
        <v>#DIV/0!</v>
      </c>
      <c r="Y63" s="96"/>
      <c r="Z63" s="96"/>
      <c r="AA63" s="96"/>
      <c r="AB63" s="119"/>
      <c r="AC63" s="119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129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9"/>
      <c r="BM63" s="100"/>
      <c r="BN63" s="100"/>
      <c r="BO63" s="100"/>
      <c r="BP63" s="100"/>
    </row>
    <row r="64" spans="1:68" ht="15.75" customHeight="1">
      <c r="A64" s="89"/>
      <c r="B64" s="114"/>
      <c r="C64" s="90" t="s">
        <v>114</v>
      </c>
      <c r="D64" s="122" t="s">
        <v>300</v>
      </c>
      <c r="E64" s="147"/>
      <c r="F64" s="148">
        <v>100000</v>
      </c>
      <c r="G64" s="94" t="e">
        <f t="shared" ref="G64:G81" si="216">I64/E64</f>
        <v>#DIV/0!</v>
      </c>
      <c r="H64" s="94" t="e">
        <f t="shared" ref="H64:H81" si="217">M64/E64</f>
        <v>#DIV/0!</v>
      </c>
      <c r="I64" s="96"/>
      <c r="J64" s="146"/>
      <c r="K64" s="146"/>
      <c r="L64" s="118"/>
      <c r="M64" s="97">
        <f t="shared" si="160"/>
        <v>0</v>
      </c>
      <c r="N64" s="97">
        <f t="shared" ref="N64:O64" si="218">Z64+AC64+AF64+AI64+AL64+AO64+AR64+AU64+AX64+BA64+BD64+BG64</f>
        <v>0</v>
      </c>
      <c r="O64" s="97">
        <f t="shared" si="218"/>
        <v>0</v>
      </c>
      <c r="P64" s="82">
        <f t="shared" ref="P64:R64" si="219">IF(BI64=0,SUM(Y64+AB64+AE64+AH64+AK64+AN64+AQ64+AT64+AW64+AZ64+BC64+BF64),BI64)</f>
        <v>0</v>
      </c>
      <c r="Q64" s="82">
        <f t="shared" si="219"/>
        <v>0</v>
      </c>
      <c r="R64" s="82">
        <f t="shared" si="219"/>
        <v>0</v>
      </c>
      <c r="S64" s="97">
        <f t="shared" si="99"/>
        <v>0</v>
      </c>
      <c r="T64" s="97">
        <f t="shared" si="60"/>
        <v>0</v>
      </c>
      <c r="U64" s="97">
        <f t="shared" si="100"/>
        <v>0</v>
      </c>
      <c r="V64" s="98" t="e">
        <f t="shared" ref="V64:W64" si="220">M64/I64</f>
        <v>#DIV/0!</v>
      </c>
      <c r="W64" s="98" t="e">
        <f t="shared" si="220"/>
        <v>#DIV/0!</v>
      </c>
      <c r="X64" s="98" t="e">
        <f t="shared" si="102"/>
        <v>#DIV/0!</v>
      </c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129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9"/>
      <c r="BM64" s="100"/>
      <c r="BN64" s="100"/>
      <c r="BO64" s="100"/>
      <c r="BP64" s="100"/>
    </row>
    <row r="65" spans="1:68" ht="15.75" customHeight="1">
      <c r="A65" s="89"/>
      <c r="B65" s="114"/>
      <c r="C65" s="90" t="s">
        <v>114</v>
      </c>
      <c r="D65" s="122" t="s">
        <v>117</v>
      </c>
      <c r="E65" s="147"/>
      <c r="F65" s="148">
        <v>500000</v>
      </c>
      <c r="G65" s="94" t="e">
        <f t="shared" si="216"/>
        <v>#DIV/0!</v>
      </c>
      <c r="H65" s="94" t="e">
        <f t="shared" si="217"/>
        <v>#DIV/0!</v>
      </c>
      <c r="I65" s="96"/>
      <c r="J65" s="146"/>
      <c r="K65" s="146"/>
      <c r="L65" s="118"/>
      <c r="M65" s="97">
        <f t="shared" si="160"/>
        <v>0</v>
      </c>
      <c r="N65" s="97">
        <f t="shared" ref="N65:O65" si="221">Z65+AC65+AF65+AI65+AL65+AO65+AR65+AU65+AX65+BA65+BD65+BG65</f>
        <v>0</v>
      </c>
      <c r="O65" s="97">
        <f t="shared" si="221"/>
        <v>0</v>
      </c>
      <c r="P65" s="82">
        <f t="shared" ref="P65:R65" si="222">IF(BI65=0,SUM(Y65+AB65+AE65+AH65+AK65+AN65+AQ65+AT65+AW65+AZ65+BC65+BF65),BI65)</f>
        <v>0</v>
      </c>
      <c r="Q65" s="82">
        <f t="shared" si="222"/>
        <v>0</v>
      </c>
      <c r="R65" s="82">
        <f t="shared" si="222"/>
        <v>0</v>
      </c>
      <c r="S65" s="97">
        <f t="shared" si="99"/>
        <v>0</v>
      </c>
      <c r="T65" s="97">
        <f t="shared" si="60"/>
        <v>0</v>
      </c>
      <c r="U65" s="97">
        <f t="shared" si="100"/>
        <v>0</v>
      </c>
      <c r="V65" s="98" t="e">
        <f t="shared" ref="V65:W65" si="223">M65/I65</f>
        <v>#DIV/0!</v>
      </c>
      <c r="W65" s="98" t="e">
        <f t="shared" si="223"/>
        <v>#DIV/0!</v>
      </c>
      <c r="X65" s="98" t="e">
        <f t="shared" si="102"/>
        <v>#DIV/0!</v>
      </c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129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9"/>
      <c r="BM65" s="100"/>
      <c r="BN65" s="100"/>
      <c r="BO65" s="100"/>
      <c r="BP65" s="100"/>
    </row>
    <row r="66" spans="1:68" ht="15.75" customHeight="1">
      <c r="A66" s="89"/>
      <c r="B66" s="114"/>
      <c r="C66" s="90" t="s">
        <v>114</v>
      </c>
      <c r="D66" s="122" t="s">
        <v>118</v>
      </c>
      <c r="E66" s="147"/>
      <c r="F66" s="148">
        <v>100000</v>
      </c>
      <c r="G66" s="94" t="e">
        <f t="shared" si="216"/>
        <v>#DIV/0!</v>
      </c>
      <c r="H66" s="94" t="e">
        <f t="shared" si="217"/>
        <v>#DIV/0!</v>
      </c>
      <c r="I66" s="96"/>
      <c r="J66" s="126"/>
      <c r="K66" s="126"/>
      <c r="L66" s="118"/>
      <c r="M66" s="97">
        <f t="shared" si="160"/>
        <v>0</v>
      </c>
      <c r="N66" s="97">
        <f t="shared" ref="N66:O66" si="224">Z66+AC66+AF66+AI66+AL66+AO66+AR66+AU66+AX66+BA66+BD66+BG66</f>
        <v>0</v>
      </c>
      <c r="O66" s="97">
        <f t="shared" si="224"/>
        <v>0</v>
      </c>
      <c r="P66" s="82">
        <f t="shared" ref="P66:R66" si="225">IF(BI66=0,SUM(Y66+AB66+AE66+AH66+AK66+AN66+AQ66+AT66+AW66+AZ66+BC66+BF66),BI66)</f>
        <v>0</v>
      </c>
      <c r="Q66" s="82">
        <f t="shared" si="225"/>
        <v>0</v>
      </c>
      <c r="R66" s="82">
        <f t="shared" si="225"/>
        <v>0</v>
      </c>
      <c r="S66" s="97">
        <f t="shared" si="99"/>
        <v>0</v>
      </c>
      <c r="T66" s="97">
        <f t="shared" si="60"/>
        <v>0</v>
      </c>
      <c r="U66" s="97">
        <f t="shared" si="100"/>
        <v>0</v>
      </c>
      <c r="V66" s="98" t="e">
        <f t="shared" ref="V66:W66" si="226">M66/I66</f>
        <v>#DIV/0!</v>
      </c>
      <c r="W66" s="98" t="e">
        <f t="shared" si="226"/>
        <v>#DIV/0!</v>
      </c>
      <c r="X66" s="98" t="e">
        <f t="shared" si="102"/>
        <v>#DIV/0!</v>
      </c>
      <c r="Y66" s="103">
        <v>0</v>
      </c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129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9"/>
      <c r="BM66" s="100"/>
      <c r="BN66" s="100"/>
      <c r="BO66" s="100"/>
      <c r="BP66" s="100"/>
    </row>
    <row r="67" spans="1:68" ht="15.75" customHeight="1">
      <c r="A67" s="89"/>
      <c r="B67" s="89"/>
      <c r="C67" s="90" t="s">
        <v>114</v>
      </c>
      <c r="D67" s="122" t="s">
        <v>119</v>
      </c>
      <c r="E67" s="147"/>
      <c r="F67" s="148">
        <v>150000</v>
      </c>
      <c r="G67" s="94" t="e">
        <f t="shared" si="216"/>
        <v>#DIV/0!</v>
      </c>
      <c r="H67" s="94" t="e">
        <f t="shared" si="217"/>
        <v>#DIV/0!</v>
      </c>
      <c r="I67" s="96"/>
      <c r="J67" s="146"/>
      <c r="K67" s="146"/>
      <c r="L67" s="95"/>
      <c r="M67" s="97">
        <f t="shared" si="160"/>
        <v>0</v>
      </c>
      <c r="N67" s="97">
        <f t="shared" ref="N67:O67" si="227">Z67+AC67+AF67+AI67+AL67+AO67+AR67+AU67+AX67+BA67+BD67+BG67</f>
        <v>0</v>
      </c>
      <c r="O67" s="97">
        <f t="shared" si="227"/>
        <v>0</v>
      </c>
      <c r="P67" s="82">
        <f t="shared" ref="P67:R67" si="228">IF(BI67=0,SUM(Y67+AB67+AE67+AH67+AK67+AN67+AQ67+AT67+AW67+AZ67+BC67+BF67),BI67)</f>
        <v>0</v>
      </c>
      <c r="Q67" s="82">
        <f t="shared" si="228"/>
        <v>0</v>
      </c>
      <c r="R67" s="82">
        <f t="shared" si="228"/>
        <v>0</v>
      </c>
      <c r="S67" s="97">
        <f t="shared" si="99"/>
        <v>0</v>
      </c>
      <c r="T67" s="97">
        <f t="shared" si="60"/>
        <v>0</v>
      </c>
      <c r="U67" s="97">
        <f t="shared" si="100"/>
        <v>0</v>
      </c>
      <c r="V67" s="98" t="e">
        <f t="shared" ref="V67:W67" si="229">M67/I67</f>
        <v>#DIV/0!</v>
      </c>
      <c r="W67" s="98" t="e">
        <f t="shared" si="229"/>
        <v>#DIV/0!</v>
      </c>
      <c r="X67" s="98" t="e">
        <f t="shared" si="102"/>
        <v>#DIV/0!</v>
      </c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9"/>
      <c r="BM67" s="100"/>
      <c r="BN67" s="100"/>
      <c r="BO67" s="100"/>
      <c r="BP67" s="100"/>
    </row>
    <row r="68" spans="1:68" ht="15.75" customHeight="1">
      <c r="A68" s="86"/>
      <c r="B68" s="86"/>
      <c r="C68" s="86" t="s">
        <v>301</v>
      </c>
      <c r="D68" s="86"/>
      <c r="E68" s="87">
        <f>E69+E81+E85+E90</f>
        <v>267218.16000000003</v>
      </c>
      <c r="F68" s="87">
        <f>F69+F81+F90</f>
        <v>21041.95</v>
      </c>
      <c r="G68" s="107">
        <f t="shared" si="216"/>
        <v>0.28679955733547446</v>
      </c>
      <c r="H68" s="107">
        <f t="shared" si="217"/>
        <v>7.8016366851713953E-2</v>
      </c>
      <c r="I68" s="87">
        <f t="shared" ref="I68:Q68" si="230">I69+I76+I77+I78+I81+I85+I90</f>
        <v>76638.05</v>
      </c>
      <c r="J68" s="87">
        <f t="shared" si="230"/>
        <v>84340.34</v>
      </c>
      <c r="K68" s="87">
        <f t="shared" si="230"/>
        <v>0</v>
      </c>
      <c r="L68" s="87">
        <f t="shared" si="230"/>
        <v>0</v>
      </c>
      <c r="M68" s="87">
        <f t="shared" si="230"/>
        <v>20847.39</v>
      </c>
      <c r="N68" s="87">
        <f t="shared" si="230"/>
        <v>25270.99</v>
      </c>
      <c r="O68" s="87">
        <f t="shared" si="230"/>
        <v>0</v>
      </c>
      <c r="P68" s="87">
        <f t="shared" si="230"/>
        <v>21410.39</v>
      </c>
      <c r="Q68" s="87">
        <f t="shared" si="230"/>
        <v>25270.99</v>
      </c>
      <c r="R68" s="87">
        <f>IF(BK68=0,SUM(AA68+AD68+AG68+AJ68+AM68+AP68+AS68+AV68+AY68+BB68+BE68+BH68),BK68)</f>
        <v>0</v>
      </c>
      <c r="S68" s="87">
        <f>S69+S76+S77+S78+S81+S85+S90</f>
        <v>55790.66</v>
      </c>
      <c r="T68" s="87">
        <f>T69+T85</f>
        <v>59069.35</v>
      </c>
      <c r="U68" s="87">
        <f>U69+U76+U77+U78+U81+U85+U90</f>
        <v>0</v>
      </c>
      <c r="V68" s="88">
        <f t="shared" ref="V68:W68" si="231">M68/I68</f>
        <v>0.27202401418094535</v>
      </c>
      <c r="W68" s="88">
        <f t="shared" si="231"/>
        <v>0.29963111365213851</v>
      </c>
      <c r="X68" s="88" t="e">
        <f t="shared" si="102"/>
        <v>#DIV/0!</v>
      </c>
      <c r="Y68" s="87">
        <f t="shared" ref="Y68:BK68" si="232">Y69+Y76+Y77+Y78+Y81+Y85+Y90</f>
        <v>0</v>
      </c>
      <c r="Z68" s="87">
        <f t="shared" si="232"/>
        <v>4595.8899999999994</v>
      </c>
      <c r="AA68" s="87">
        <f t="shared" si="232"/>
        <v>0</v>
      </c>
      <c r="AB68" s="87">
        <f t="shared" si="232"/>
        <v>0</v>
      </c>
      <c r="AC68" s="87">
        <f t="shared" si="232"/>
        <v>7931.1</v>
      </c>
      <c r="AD68" s="87">
        <f t="shared" si="232"/>
        <v>0</v>
      </c>
      <c r="AE68" s="87">
        <f t="shared" si="232"/>
        <v>0</v>
      </c>
      <c r="AF68" s="87">
        <f t="shared" si="232"/>
        <v>5181.2700000000004</v>
      </c>
      <c r="AG68" s="87">
        <f t="shared" si="232"/>
        <v>0</v>
      </c>
      <c r="AH68" s="87">
        <f t="shared" si="232"/>
        <v>0</v>
      </c>
      <c r="AI68" s="87">
        <f t="shared" si="232"/>
        <v>3205.84</v>
      </c>
      <c r="AJ68" s="87">
        <f t="shared" si="232"/>
        <v>0</v>
      </c>
      <c r="AK68" s="87">
        <f t="shared" si="232"/>
        <v>3228</v>
      </c>
      <c r="AL68" s="87">
        <f t="shared" si="232"/>
        <v>855.3</v>
      </c>
      <c r="AM68" s="87">
        <f t="shared" si="232"/>
        <v>0</v>
      </c>
      <c r="AN68" s="87">
        <f t="shared" si="232"/>
        <v>12039.86</v>
      </c>
      <c r="AO68" s="87">
        <f t="shared" si="232"/>
        <v>333.62</v>
      </c>
      <c r="AP68" s="87">
        <f t="shared" si="232"/>
        <v>0</v>
      </c>
      <c r="AQ68" s="87">
        <f t="shared" si="232"/>
        <v>6142.53</v>
      </c>
      <c r="AR68" s="87">
        <f t="shared" si="232"/>
        <v>3167.9700000000003</v>
      </c>
      <c r="AS68" s="87">
        <f t="shared" si="232"/>
        <v>0</v>
      </c>
      <c r="AT68" s="87">
        <f t="shared" si="232"/>
        <v>0</v>
      </c>
      <c r="AU68" s="87">
        <f t="shared" si="232"/>
        <v>0</v>
      </c>
      <c r="AV68" s="87">
        <f t="shared" si="232"/>
        <v>0</v>
      </c>
      <c r="AW68" s="87">
        <f t="shared" si="232"/>
        <v>0</v>
      </c>
      <c r="AX68" s="87">
        <f t="shared" si="232"/>
        <v>0</v>
      </c>
      <c r="AY68" s="87">
        <f t="shared" si="232"/>
        <v>0</v>
      </c>
      <c r="AZ68" s="87">
        <f t="shared" si="232"/>
        <v>0</v>
      </c>
      <c r="BA68" s="87">
        <f t="shared" si="232"/>
        <v>0</v>
      </c>
      <c r="BB68" s="87">
        <f t="shared" si="232"/>
        <v>0</v>
      </c>
      <c r="BC68" s="87">
        <f t="shared" si="232"/>
        <v>0</v>
      </c>
      <c r="BD68" s="87">
        <f t="shared" si="232"/>
        <v>0</v>
      </c>
      <c r="BE68" s="87">
        <f t="shared" si="232"/>
        <v>0</v>
      </c>
      <c r="BF68" s="87">
        <f t="shared" si="232"/>
        <v>0</v>
      </c>
      <c r="BG68" s="87">
        <f t="shared" si="232"/>
        <v>0</v>
      </c>
      <c r="BH68" s="87">
        <f t="shared" si="232"/>
        <v>0</v>
      </c>
      <c r="BI68" s="87">
        <f t="shared" si="232"/>
        <v>0</v>
      </c>
      <c r="BJ68" s="87">
        <f t="shared" si="232"/>
        <v>0</v>
      </c>
      <c r="BK68" s="87">
        <f t="shared" si="232"/>
        <v>0</v>
      </c>
      <c r="BL68" s="149"/>
      <c r="BM68" s="150"/>
      <c r="BN68" s="150"/>
      <c r="BO68" s="150"/>
      <c r="BP68" s="150"/>
    </row>
    <row r="69" spans="1:68" ht="15.75" customHeight="1">
      <c r="A69" s="151"/>
      <c r="B69" s="151"/>
      <c r="C69" s="152"/>
      <c r="D69" s="153" t="s">
        <v>302</v>
      </c>
      <c r="E69" s="154">
        <f>SUM(E70:E78)</f>
        <v>151589.62000000002</v>
      </c>
      <c r="F69" s="154">
        <f>SUM(F71:F78)</f>
        <v>0</v>
      </c>
      <c r="G69" s="155">
        <f t="shared" si="216"/>
        <v>0.42473257733609987</v>
      </c>
      <c r="H69" s="155">
        <f t="shared" si="217"/>
        <v>0.12266928302874561</v>
      </c>
      <c r="I69" s="154">
        <f>SUM(I70:I75)</f>
        <v>64385.05</v>
      </c>
      <c r="J69" s="154">
        <f t="shared" ref="J69:K69" si="233">SUM(J71:J75)</f>
        <v>10402.67</v>
      </c>
      <c r="K69" s="154">
        <f t="shared" si="233"/>
        <v>0</v>
      </c>
      <c r="L69" s="154">
        <f>SUM(L71:L72)</f>
        <v>0</v>
      </c>
      <c r="M69" s="154">
        <f>SUM(M70:M75)</f>
        <v>18595.39</v>
      </c>
      <c r="N69" s="154">
        <f>SUM(N71:N75)</f>
        <v>6527.5900000000011</v>
      </c>
      <c r="O69" s="154">
        <f>SUM(O70:O75)</f>
        <v>0</v>
      </c>
      <c r="P69" s="81">
        <f t="shared" ref="P69:R69" si="234">IF(BI69=0,SUM(Y69+AB69+AE69+AH69+AK69+AN69+AQ69+AT69+AW69+AZ69+BC69+BF69),BI69)</f>
        <v>18595.39</v>
      </c>
      <c r="Q69" s="81">
        <f t="shared" si="234"/>
        <v>6527.59</v>
      </c>
      <c r="R69" s="81">
        <f t="shared" si="234"/>
        <v>0</v>
      </c>
      <c r="S69" s="154">
        <f t="shared" ref="S69:T69" si="235">SUM(S70:S75)</f>
        <v>45789.66</v>
      </c>
      <c r="T69" s="154">
        <f t="shared" si="235"/>
        <v>3875.08</v>
      </c>
      <c r="U69" s="154">
        <f>SUM(U71:U75)</f>
        <v>0</v>
      </c>
      <c r="V69" s="156">
        <f t="shared" ref="V69:W69" si="236">M69/I69</f>
        <v>0.28881533834329554</v>
      </c>
      <c r="W69" s="156">
        <f t="shared" si="236"/>
        <v>0.62749178816592288</v>
      </c>
      <c r="X69" s="156" t="e">
        <f t="shared" si="102"/>
        <v>#DIV/0!</v>
      </c>
      <c r="Y69" s="154">
        <f>SUM(Y71:Y72)</f>
        <v>0</v>
      </c>
      <c r="Z69" s="154">
        <f>SUM(Z71:Z75)</f>
        <v>324.49</v>
      </c>
      <c r="AA69" s="154">
        <f t="shared" ref="AA69:AB69" si="237">SUM(AA71:AA72)</f>
        <v>0</v>
      </c>
      <c r="AB69" s="154">
        <f t="shared" si="237"/>
        <v>0</v>
      </c>
      <c r="AC69" s="154">
        <f>SUM(AC71:AC75)</f>
        <v>1301.0999999999999</v>
      </c>
      <c r="AD69" s="154">
        <f>SUM(AD71:AD72)</f>
        <v>0</v>
      </c>
      <c r="AE69" s="154">
        <f t="shared" ref="AE69:AF69" si="238">SUM(AE71:AE75)</f>
        <v>0</v>
      </c>
      <c r="AF69" s="154">
        <f t="shared" si="238"/>
        <v>2089.27</v>
      </c>
      <c r="AG69" s="154">
        <f>SUM(AG71:AG72)</f>
        <v>0</v>
      </c>
      <c r="AH69" s="154">
        <f t="shared" ref="AH69:AI69" si="239">SUM(AH71:AH75)</f>
        <v>0</v>
      </c>
      <c r="AI69" s="154">
        <f t="shared" si="239"/>
        <v>1265.8399999999999</v>
      </c>
      <c r="AJ69" s="154">
        <f>SUM(AJ71:AJ72)</f>
        <v>0</v>
      </c>
      <c r="AK69" s="154">
        <f t="shared" ref="AK69:AL69" si="240">SUM(AK71:AK75)</f>
        <v>3228</v>
      </c>
      <c r="AL69" s="154">
        <f t="shared" si="240"/>
        <v>855.3</v>
      </c>
      <c r="AM69" s="154">
        <f>SUM(AM71:AM72)</f>
        <v>0</v>
      </c>
      <c r="AN69" s="154">
        <f t="shared" ref="AN69:AO69" si="241">SUM(AN71:AN75)</f>
        <v>9224.86</v>
      </c>
      <c r="AO69" s="154">
        <f t="shared" si="241"/>
        <v>333.62</v>
      </c>
      <c r="AP69" s="154">
        <f>SUM(AP71:AP72)</f>
        <v>0</v>
      </c>
      <c r="AQ69" s="154">
        <f t="shared" ref="AQ69:AR69" si="242">SUM(AQ70:AQ75)</f>
        <v>6142.53</v>
      </c>
      <c r="AR69" s="154">
        <f t="shared" si="242"/>
        <v>357.97</v>
      </c>
      <c r="AS69" s="154">
        <f>SUM(AS71:AS72)</f>
        <v>0</v>
      </c>
      <c r="AT69" s="154">
        <f>SUM(AT71:AT75)</f>
        <v>0</v>
      </c>
      <c r="AU69" s="154">
        <f>SUM(AU71:AU77)</f>
        <v>0</v>
      </c>
      <c r="AV69" s="154">
        <f>SUM(AV71:AV72)</f>
        <v>0</v>
      </c>
      <c r="AW69" s="154">
        <f t="shared" ref="AW69:AX69" si="243">SUM(AW71:AW75)</f>
        <v>0</v>
      </c>
      <c r="AX69" s="154">
        <f t="shared" si="243"/>
        <v>0</v>
      </c>
      <c r="AY69" s="154">
        <f t="shared" ref="AY69:AZ69" si="244">SUM(AY71:AY72)</f>
        <v>0</v>
      </c>
      <c r="AZ69" s="154">
        <f t="shared" si="244"/>
        <v>0</v>
      </c>
      <c r="BA69" s="154">
        <f>SUM(BA71:BA77)</f>
        <v>0</v>
      </c>
      <c r="BB69" s="154">
        <f t="shared" ref="BB69:BH69" si="245">SUM(BB71:BB72)</f>
        <v>0</v>
      </c>
      <c r="BC69" s="154">
        <f t="shared" si="245"/>
        <v>0</v>
      </c>
      <c r="BD69" s="154">
        <f t="shared" si="245"/>
        <v>0</v>
      </c>
      <c r="BE69" s="154">
        <f t="shared" si="245"/>
        <v>0</v>
      </c>
      <c r="BF69" s="154">
        <f t="shared" si="245"/>
        <v>0</v>
      </c>
      <c r="BG69" s="154">
        <f t="shared" si="245"/>
        <v>0</v>
      </c>
      <c r="BH69" s="154">
        <f t="shared" si="245"/>
        <v>0</v>
      </c>
      <c r="BI69" s="154">
        <f t="shared" ref="BI69:BK69" si="246">SUM(BI70:BI75)</f>
        <v>0</v>
      </c>
      <c r="BJ69" s="154">
        <f t="shared" si="246"/>
        <v>0</v>
      </c>
      <c r="BK69" s="154">
        <f t="shared" si="246"/>
        <v>0</v>
      </c>
      <c r="BL69" s="157"/>
      <c r="BM69" s="158"/>
      <c r="BN69" s="158"/>
      <c r="BO69" s="158"/>
      <c r="BP69" s="158"/>
    </row>
    <row r="70" spans="1:68" ht="15.75" customHeight="1">
      <c r="A70" s="89" t="s">
        <v>509</v>
      </c>
      <c r="B70" s="159"/>
      <c r="C70" s="160" t="s">
        <v>200</v>
      </c>
      <c r="D70" s="161" t="s">
        <v>201</v>
      </c>
      <c r="E70" s="162">
        <v>1500</v>
      </c>
      <c r="F70" s="142"/>
      <c r="G70" s="94">
        <f t="shared" si="216"/>
        <v>1</v>
      </c>
      <c r="H70" s="94">
        <f t="shared" si="217"/>
        <v>0</v>
      </c>
      <c r="I70" s="142">
        <v>1500</v>
      </c>
      <c r="J70" s="117"/>
      <c r="K70" s="117"/>
      <c r="L70" s="118"/>
      <c r="M70" s="97">
        <f t="shared" ref="M70:O70" si="247">Y70+AB70+AE70+AH70+AK70+AN70+AQ70+AT70+AW70+AZ70+BC70+BF70</f>
        <v>0</v>
      </c>
      <c r="N70" s="97">
        <f t="shared" si="247"/>
        <v>0</v>
      </c>
      <c r="O70" s="97">
        <f t="shared" si="247"/>
        <v>0</v>
      </c>
      <c r="P70" s="82">
        <f t="shared" ref="P70:R70" si="248">IF(BI70=0,SUM(Y70+AB70+AE70+AH70+AK70+AN70+AQ70+AT70+AW70+AZ70+BC70+BF70),BI70)</f>
        <v>0</v>
      </c>
      <c r="Q70" s="82">
        <f t="shared" si="248"/>
        <v>0</v>
      </c>
      <c r="R70" s="82">
        <f t="shared" si="248"/>
        <v>0</v>
      </c>
      <c r="S70" s="97">
        <f t="shared" ref="S70:S77" si="249">I70-M70</f>
        <v>1500</v>
      </c>
      <c r="T70" s="97">
        <f t="shared" ref="T70:T77" si="250">J70-K70-N70</f>
        <v>0</v>
      </c>
      <c r="U70" s="97">
        <f t="shared" ref="U70:U77" si="251">L70-O70</f>
        <v>0</v>
      </c>
      <c r="V70" s="98">
        <f t="shared" ref="V70:W70" si="252">M70/I70</f>
        <v>0</v>
      </c>
      <c r="W70" s="98" t="e">
        <f t="shared" si="252"/>
        <v>#DIV/0!</v>
      </c>
      <c r="X70" s="98" t="e">
        <f t="shared" si="102"/>
        <v>#DIV/0!</v>
      </c>
      <c r="Y70" s="96"/>
      <c r="Z70" s="96"/>
      <c r="AA70" s="96"/>
      <c r="AB70" s="96"/>
      <c r="AC70" s="119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83"/>
      <c r="AW70" s="96"/>
      <c r="AX70" s="83"/>
      <c r="AY70" s="83"/>
      <c r="AZ70" s="96"/>
      <c r="BA70" s="83"/>
      <c r="BB70" s="83"/>
      <c r="BC70" s="96"/>
      <c r="BD70" s="96"/>
      <c r="BE70" s="83"/>
      <c r="BF70" s="96"/>
      <c r="BG70" s="83"/>
      <c r="BH70" s="83"/>
      <c r="BI70" s="96"/>
      <c r="BJ70" s="83"/>
      <c r="BK70" s="83"/>
      <c r="BL70" s="99"/>
      <c r="BM70" s="164"/>
      <c r="BN70" s="164"/>
      <c r="BO70" s="164"/>
      <c r="BP70" s="164"/>
    </row>
    <row r="71" spans="1:68" ht="15.75" customHeight="1">
      <c r="A71" s="369" t="s">
        <v>711</v>
      </c>
      <c r="B71" s="159" t="s">
        <v>303</v>
      </c>
      <c r="C71" s="160" t="s">
        <v>304</v>
      </c>
      <c r="D71" s="161" t="s">
        <v>762</v>
      </c>
      <c r="E71" s="162">
        <v>10000</v>
      </c>
      <c r="F71" s="142"/>
      <c r="G71" s="94">
        <f t="shared" si="216"/>
        <v>0.29244000000000003</v>
      </c>
      <c r="H71" s="94">
        <f t="shared" si="217"/>
        <v>0</v>
      </c>
      <c r="I71" s="367">
        <v>2924.4</v>
      </c>
      <c r="J71" s="117">
        <v>5435.51</v>
      </c>
      <c r="K71" s="117"/>
      <c r="L71" s="118"/>
      <c r="M71" s="97">
        <f t="shared" ref="M71:O71" si="253">Y71+AB71+AE71+AH71+AK71+AN71+AQ71+AT71+AW71+AZ71+BC71+BF71</f>
        <v>0</v>
      </c>
      <c r="N71" s="97">
        <f t="shared" si="253"/>
        <v>2206.1000000000004</v>
      </c>
      <c r="O71" s="97">
        <f t="shared" si="253"/>
        <v>0</v>
      </c>
      <c r="P71" s="82">
        <f t="shared" ref="P71:R71" si="254">IF(BI71=0,SUM(Y71+AB71+AE71+AH71+AK71+AN71+AQ71+AT71+AW71+AZ71+BC71+BF71),BI71)</f>
        <v>0</v>
      </c>
      <c r="Q71" s="82">
        <f t="shared" si="254"/>
        <v>2206.1000000000004</v>
      </c>
      <c r="R71" s="82">
        <f t="shared" si="254"/>
        <v>0</v>
      </c>
      <c r="S71" s="97">
        <f t="shared" si="249"/>
        <v>2924.4</v>
      </c>
      <c r="T71" s="97">
        <f t="shared" si="250"/>
        <v>3229.41</v>
      </c>
      <c r="U71" s="97">
        <f t="shared" si="251"/>
        <v>0</v>
      </c>
      <c r="V71" s="98">
        <f t="shared" ref="V71:W71" si="255">M71/I71</f>
        <v>0</v>
      </c>
      <c r="W71" s="98">
        <f t="shared" si="255"/>
        <v>0.40586807861635804</v>
      </c>
      <c r="X71" s="98" t="e">
        <f t="shared" si="102"/>
        <v>#DIV/0!</v>
      </c>
      <c r="Y71" s="96"/>
      <c r="Z71" s="103">
        <v>324.49</v>
      </c>
      <c r="AA71" s="96"/>
      <c r="AB71" s="96"/>
      <c r="AC71" s="131">
        <v>0</v>
      </c>
      <c r="AD71" s="96"/>
      <c r="AE71" s="96"/>
      <c r="AF71" s="103">
        <v>358.36</v>
      </c>
      <c r="AG71" s="96"/>
      <c r="AH71" s="96"/>
      <c r="AI71" s="103">
        <f>362.01+425.9</f>
        <v>787.91</v>
      </c>
      <c r="AJ71" s="96"/>
      <c r="AK71" s="96"/>
      <c r="AL71" s="103">
        <v>377.37</v>
      </c>
      <c r="AM71" s="96"/>
      <c r="AN71" s="103">
        <v>0</v>
      </c>
      <c r="AO71" s="96"/>
      <c r="AP71" s="96"/>
      <c r="AQ71" s="103">
        <v>0</v>
      </c>
      <c r="AR71" s="103">
        <v>357.97</v>
      </c>
      <c r="AS71" s="96"/>
      <c r="AT71" s="103">
        <v>0</v>
      </c>
      <c r="AU71" s="103">
        <v>0</v>
      </c>
      <c r="AV71" s="83"/>
      <c r="AW71" s="103">
        <v>0</v>
      </c>
      <c r="AX71" s="83"/>
      <c r="AY71" s="83"/>
      <c r="AZ71" s="96"/>
      <c r="BA71" s="83"/>
      <c r="BB71" s="83"/>
      <c r="BC71" s="96"/>
      <c r="BD71" s="96"/>
      <c r="BE71" s="83"/>
      <c r="BF71" s="96"/>
      <c r="BG71" s="83"/>
      <c r="BH71" s="83"/>
      <c r="BI71" s="96"/>
      <c r="BJ71" s="83"/>
      <c r="BK71" s="83"/>
      <c r="BL71" s="99"/>
      <c r="BM71" s="164"/>
      <c r="BN71" s="164"/>
      <c r="BO71" s="164"/>
      <c r="BP71" s="164"/>
    </row>
    <row r="72" spans="1:68" ht="15.75" customHeight="1">
      <c r="A72" s="354" t="s">
        <v>607</v>
      </c>
      <c r="B72" s="136"/>
      <c r="C72" s="101" t="s">
        <v>306</v>
      </c>
      <c r="D72" s="236" t="s">
        <v>763</v>
      </c>
      <c r="E72" s="92">
        <v>30000</v>
      </c>
      <c r="F72" s="166"/>
      <c r="G72" s="94">
        <f t="shared" si="216"/>
        <v>0.90180000000000005</v>
      </c>
      <c r="H72" s="94">
        <f t="shared" si="217"/>
        <v>0.26719999999999999</v>
      </c>
      <c r="I72" s="103">
        <f>3006+24048</f>
        <v>27054</v>
      </c>
      <c r="J72" s="117"/>
      <c r="K72" s="117"/>
      <c r="L72" s="118"/>
      <c r="M72" s="97">
        <f t="shared" ref="M72:O72" si="256">Y72+AB72+AE72+AH72+AK72+AN72+AQ72+AT72+AW72+AZ72+BC72+BF72</f>
        <v>8016</v>
      </c>
      <c r="N72" s="97">
        <f t="shared" si="256"/>
        <v>0</v>
      </c>
      <c r="O72" s="97">
        <f t="shared" si="256"/>
        <v>0</v>
      </c>
      <c r="P72" s="82">
        <f t="shared" ref="P72:R72" si="257">IF(BI72=0,SUM(Y72+AB72+AE72+AH72+AK72+AN72+AQ72+AT72+AW72+AZ72+BC72+BF72),BI72)</f>
        <v>8016</v>
      </c>
      <c r="Q72" s="82">
        <f t="shared" si="257"/>
        <v>0</v>
      </c>
      <c r="R72" s="82">
        <f t="shared" si="257"/>
        <v>0</v>
      </c>
      <c r="S72" s="97">
        <f t="shared" si="249"/>
        <v>19038</v>
      </c>
      <c r="T72" s="97">
        <f t="shared" si="250"/>
        <v>0</v>
      </c>
      <c r="U72" s="97">
        <f t="shared" si="251"/>
        <v>0</v>
      </c>
      <c r="V72" s="98">
        <f t="shared" ref="V72:W72" si="258">M72/I72</f>
        <v>0.29629629629629628</v>
      </c>
      <c r="W72" s="98" t="e">
        <f t="shared" si="258"/>
        <v>#DIV/0!</v>
      </c>
      <c r="X72" s="98" t="e">
        <f t="shared" si="102"/>
        <v>#DIV/0!</v>
      </c>
      <c r="Y72" s="96"/>
      <c r="Z72" s="103">
        <v>0</v>
      </c>
      <c r="AA72" s="96"/>
      <c r="AB72" s="96"/>
      <c r="AC72" s="131">
        <v>0</v>
      </c>
      <c r="AD72" s="96"/>
      <c r="AE72" s="103">
        <v>0</v>
      </c>
      <c r="AF72" s="96"/>
      <c r="AG72" s="96"/>
      <c r="AH72" s="103">
        <v>0</v>
      </c>
      <c r="AI72" s="96"/>
      <c r="AJ72" s="96"/>
      <c r="AK72" s="103">
        <v>2004</v>
      </c>
      <c r="AL72" s="103"/>
      <c r="AM72" s="96"/>
      <c r="AN72" s="103">
        <v>3006</v>
      </c>
      <c r="AO72" s="96"/>
      <c r="AP72" s="96"/>
      <c r="AQ72" s="103">
        <f>3006</f>
        <v>3006</v>
      </c>
      <c r="AR72" s="96"/>
      <c r="AS72" s="96"/>
      <c r="AT72" s="103">
        <v>0</v>
      </c>
      <c r="AU72" s="96"/>
      <c r="AV72" s="83"/>
      <c r="AW72" s="103">
        <v>0</v>
      </c>
      <c r="AX72" s="83"/>
      <c r="AY72" s="83"/>
      <c r="AZ72" s="103">
        <v>0</v>
      </c>
      <c r="BA72" s="83"/>
      <c r="BB72" s="83"/>
      <c r="BC72" s="96"/>
      <c r="BD72" s="83"/>
      <c r="BE72" s="83"/>
      <c r="BF72" s="83"/>
      <c r="BG72" s="83"/>
      <c r="BH72" s="83"/>
      <c r="BI72" s="83"/>
      <c r="BJ72" s="83"/>
      <c r="BK72" s="83"/>
      <c r="BL72" s="99"/>
      <c r="BM72" s="164"/>
      <c r="BN72" s="164"/>
      <c r="BO72" s="164"/>
      <c r="BP72" s="164"/>
    </row>
    <row r="73" spans="1:68" ht="15.75" customHeight="1">
      <c r="A73" s="354" t="s">
        <v>714</v>
      </c>
      <c r="B73" s="136" t="s">
        <v>308</v>
      </c>
      <c r="C73" s="101" t="s">
        <v>240</v>
      </c>
      <c r="D73" s="91" t="s">
        <v>764</v>
      </c>
      <c r="E73" s="92">
        <v>5200</v>
      </c>
      <c r="F73" s="166"/>
      <c r="G73" s="94">
        <f t="shared" si="216"/>
        <v>0.73527692307692305</v>
      </c>
      <c r="H73" s="94">
        <f t="shared" si="217"/>
        <v>0.11966153846153846</v>
      </c>
      <c r="I73" s="96">
        <f>3823.44</f>
        <v>3823.44</v>
      </c>
      <c r="J73" s="117">
        <v>2723.27</v>
      </c>
      <c r="K73" s="117"/>
      <c r="L73" s="118"/>
      <c r="M73" s="97">
        <f t="shared" ref="M73:O73" si="259">Y73+AB73+AE73+AH73+AK73+AN73+AQ73+AT73+AW73+AZ73+BC73+BF73</f>
        <v>622.24</v>
      </c>
      <c r="N73" s="97">
        <f t="shared" si="259"/>
        <v>2723.27</v>
      </c>
      <c r="O73" s="97">
        <f t="shared" si="259"/>
        <v>0</v>
      </c>
      <c r="P73" s="82">
        <f t="shared" ref="P73:P88" si="260">IF(BI73=0,SUM(Y73+AB73+AE73+AH73+AK73+AN73+AQ73+AT73+AW73+AZ73+BC73+BF73),BI73)</f>
        <v>622.24</v>
      </c>
      <c r="Q73" s="82">
        <f>IF(BJ73=0,SUM(Z73+AC73+AF73+AI73+AL73+AO73+AR73+AT73+AX73+BA73+BD73+BG73),BJ73)</f>
        <v>2723.27</v>
      </c>
      <c r="R73" s="82">
        <f>IF(BK73=0,SUM(AA73+AD73+AG73+AJ73+AM73+AP73+AS73+AV73+AY73+BB73+BE73+BH73),BK73)</f>
        <v>0</v>
      </c>
      <c r="S73" s="97">
        <f t="shared" si="249"/>
        <v>3201.2</v>
      </c>
      <c r="T73" s="97">
        <f t="shared" si="250"/>
        <v>0</v>
      </c>
      <c r="U73" s="97">
        <f t="shared" si="251"/>
        <v>0</v>
      </c>
      <c r="V73" s="98">
        <f t="shared" ref="V73:W73" si="261">M73/I73</f>
        <v>0.16274349800179944</v>
      </c>
      <c r="W73" s="98">
        <f t="shared" si="261"/>
        <v>1</v>
      </c>
      <c r="X73" s="98" t="e">
        <f t="shared" si="102"/>
        <v>#DIV/0!</v>
      </c>
      <c r="Y73" s="96"/>
      <c r="Z73" s="103">
        <v>0</v>
      </c>
      <c r="AA73" s="96"/>
      <c r="AB73" s="96"/>
      <c r="AC73" s="131">
        <f>477.93+477.93</f>
        <v>955.86</v>
      </c>
      <c r="AD73" s="96"/>
      <c r="AE73" s="103">
        <v>0</v>
      </c>
      <c r="AF73" s="103">
        <v>477.93</v>
      </c>
      <c r="AG73" s="96"/>
      <c r="AH73" s="103"/>
      <c r="AI73" s="103">
        <v>477.93</v>
      </c>
      <c r="AJ73" s="96"/>
      <c r="AK73" s="103">
        <v>0</v>
      </c>
      <c r="AL73" s="103">
        <v>477.93</v>
      </c>
      <c r="AM73" s="103"/>
      <c r="AN73" s="103">
        <v>144.31</v>
      </c>
      <c r="AO73" s="103">
        <v>333.62</v>
      </c>
      <c r="AP73" s="96"/>
      <c r="AQ73" s="103">
        <f>477.93</f>
        <v>477.93</v>
      </c>
      <c r="AR73" s="96"/>
      <c r="AS73" s="96"/>
      <c r="AT73" s="103">
        <v>0</v>
      </c>
      <c r="AU73" s="21"/>
      <c r="AV73" s="83"/>
      <c r="AW73" s="103">
        <v>0</v>
      </c>
      <c r="AX73" s="83"/>
      <c r="AY73" s="83"/>
      <c r="AZ73" s="83"/>
      <c r="BA73" s="83"/>
      <c r="BB73" s="83"/>
      <c r="BC73" s="96"/>
      <c r="BD73" s="83"/>
      <c r="BE73" s="83"/>
      <c r="BF73" s="83"/>
      <c r="BG73" s="83"/>
      <c r="BH73" s="83"/>
      <c r="BI73" s="83"/>
      <c r="BJ73" s="83"/>
      <c r="BK73" s="83"/>
      <c r="BL73" s="99"/>
      <c r="BM73" s="164"/>
      <c r="BN73" s="164"/>
      <c r="BO73" s="164"/>
      <c r="BP73" s="164"/>
    </row>
    <row r="74" spans="1:68" ht="15.75" customHeight="1">
      <c r="A74" s="89"/>
      <c r="B74" s="136"/>
      <c r="C74" s="101" t="s">
        <v>310</v>
      </c>
      <c r="D74" s="91" t="s">
        <v>124</v>
      </c>
      <c r="E74" s="92">
        <v>5000</v>
      </c>
      <c r="F74" s="166"/>
      <c r="G74" s="94">
        <f t="shared" si="216"/>
        <v>0</v>
      </c>
      <c r="H74" s="94">
        <f t="shared" si="217"/>
        <v>0.53171999999999997</v>
      </c>
      <c r="I74" s="96"/>
      <c r="J74" s="117"/>
      <c r="K74" s="117"/>
      <c r="L74" s="118"/>
      <c r="M74" s="97">
        <f t="shared" ref="M74:O74" si="262">Y74+AB74+AE74+AH74+AK74+AN74+AQ74+AT74+AW74+AZ74+BC74+BF74</f>
        <v>2658.6</v>
      </c>
      <c r="N74" s="97">
        <f t="shared" si="262"/>
        <v>0</v>
      </c>
      <c r="O74" s="97">
        <f t="shared" si="262"/>
        <v>0</v>
      </c>
      <c r="P74" s="82">
        <f t="shared" si="260"/>
        <v>2658.6</v>
      </c>
      <c r="Q74" s="82">
        <f t="shared" ref="Q74:R74" si="263">IF(BJ74=0,SUM(Z74+AC74+AF74+AI74+AL74+AO74+AR74+AU74+AX74+BA74+BD74+BG74),BJ74)</f>
        <v>0</v>
      </c>
      <c r="R74" s="82">
        <f t="shared" si="263"/>
        <v>0</v>
      </c>
      <c r="S74" s="97">
        <f t="shared" si="249"/>
        <v>-2658.6</v>
      </c>
      <c r="T74" s="97">
        <f t="shared" si="250"/>
        <v>0</v>
      </c>
      <c r="U74" s="97">
        <f t="shared" si="251"/>
        <v>0</v>
      </c>
      <c r="V74" s="98" t="e">
        <f t="shared" ref="V74:W74" si="264">M74/I74</f>
        <v>#DIV/0!</v>
      </c>
      <c r="W74" s="98" t="e">
        <f t="shared" si="264"/>
        <v>#DIV/0!</v>
      </c>
      <c r="X74" s="98" t="e">
        <f t="shared" si="102"/>
        <v>#DIV/0!</v>
      </c>
      <c r="Y74" s="96"/>
      <c r="Z74" s="103">
        <v>0</v>
      </c>
      <c r="AA74" s="96"/>
      <c r="AB74" s="96"/>
      <c r="AC74" s="131">
        <v>0</v>
      </c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103">
        <v>2658.6</v>
      </c>
      <c r="AR74" s="96"/>
      <c r="AS74" s="96"/>
      <c r="AT74" s="96"/>
      <c r="AU74" s="96"/>
      <c r="AV74" s="83"/>
      <c r="AW74" s="83"/>
      <c r="AX74" s="83"/>
      <c r="AY74" s="83"/>
      <c r="AZ74" s="83"/>
      <c r="BA74" s="83"/>
      <c r="BB74" s="83"/>
      <c r="BC74" s="96"/>
      <c r="BD74" s="83"/>
      <c r="BE74" s="83"/>
      <c r="BF74" s="83"/>
      <c r="BG74" s="83"/>
      <c r="BH74" s="83"/>
      <c r="BI74" s="83"/>
      <c r="BJ74" s="83"/>
      <c r="BK74" s="83"/>
      <c r="BL74" s="99"/>
      <c r="BM74" s="164"/>
      <c r="BN74" s="164"/>
      <c r="BO74" s="164"/>
      <c r="BP74" s="164"/>
    </row>
    <row r="75" spans="1:68" ht="15.75" customHeight="1">
      <c r="A75" s="120" t="s">
        <v>513</v>
      </c>
      <c r="B75" s="143" t="s">
        <v>311</v>
      </c>
      <c r="C75" s="101" t="s">
        <v>312</v>
      </c>
      <c r="D75" s="91" t="s">
        <v>313</v>
      </c>
      <c r="E75" s="92">
        <v>30000</v>
      </c>
      <c r="F75" s="166"/>
      <c r="G75" s="94">
        <f t="shared" si="216"/>
        <v>0.96944033333333335</v>
      </c>
      <c r="H75" s="94">
        <f t="shared" si="217"/>
        <v>0.243285</v>
      </c>
      <c r="I75" s="96">
        <f>3084+25999.21</f>
        <v>29083.21</v>
      </c>
      <c r="J75" s="167">
        <v>2243.89</v>
      </c>
      <c r="K75" s="117"/>
      <c r="L75" s="118"/>
      <c r="M75" s="97">
        <f t="shared" ref="M75:O75" si="265">Y75+AB75+AE75+AH75+AK75+AN75+AQ75+AT75+AW75+AZ75+BC75+BF75</f>
        <v>7298.55</v>
      </c>
      <c r="N75" s="97">
        <f t="shared" si="265"/>
        <v>1598.22</v>
      </c>
      <c r="O75" s="97">
        <f t="shared" si="265"/>
        <v>0</v>
      </c>
      <c r="P75" s="82">
        <f t="shared" si="260"/>
        <v>7298.55</v>
      </c>
      <c r="Q75" s="82">
        <f t="shared" ref="Q75:R75" si="266">IF(BJ75=0,SUM(Z75+AC75+AF75+AI75+AL75+AO75+AR75+AU75+AX75+BA75+BD75+BG75),BJ75)</f>
        <v>1598.22</v>
      </c>
      <c r="R75" s="82">
        <f t="shared" si="266"/>
        <v>0</v>
      </c>
      <c r="S75" s="97">
        <f t="shared" si="249"/>
        <v>21784.66</v>
      </c>
      <c r="T75" s="97">
        <f t="shared" si="250"/>
        <v>645.66999999999985</v>
      </c>
      <c r="U75" s="97">
        <f t="shared" si="251"/>
        <v>0</v>
      </c>
      <c r="V75" s="98">
        <f t="shared" ref="V75:W75" si="267">M75/I75</f>
        <v>0.25095407281383314</v>
      </c>
      <c r="W75" s="98">
        <f t="shared" si="267"/>
        <v>0.71225416575678846</v>
      </c>
      <c r="X75" s="98" t="e">
        <f t="shared" si="102"/>
        <v>#DIV/0!</v>
      </c>
      <c r="Y75" s="96"/>
      <c r="Z75" s="103">
        <v>0</v>
      </c>
      <c r="AA75" s="96"/>
      <c r="AB75" s="96"/>
      <c r="AC75" s="131">
        <f>284.15+61.09</f>
        <v>345.24</v>
      </c>
      <c r="AD75" s="96"/>
      <c r="AE75" s="96"/>
      <c r="AF75" s="103">
        <f>1252.98</f>
        <v>1252.98</v>
      </c>
      <c r="AG75" s="96"/>
      <c r="AH75" s="96"/>
      <c r="AI75" s="103">
        <v>0</v>
      </c>
      <c r="AJ75" s="96"/>
      <c r="AK75" s="103">
        <v>1224</v>
      </c>
      <c r="AL75" s="103">
        <v>0</v>
      </c>
      <c r="AM75" s="96"/>
      <c r="AN75" s="103">
        <f>3213.61+2860.94</f>
        <v>6074.55</v>
      </c>
      <c r="AO75" s="103">
        <v>0</v>
      </c>
      <c r="AP75" s="96"/>
      <c r="AQ75" s="96"/>
      <c r="AR75" s="96"/>
      <c r="AS75" s="96"/>
      <c r="AT75" s="96"/>
      <c r="AU75" s="103">
        <v>0</v>
      </c>
      <c r="AV75" s="83"/>
      <c r="AW75" s="83"/>
      <c r="AX75" s="103">
        <v>0</v>
      </c>
      <c r="AY75" s="83"/>
      <c r="AZ75" s="83"/>
      <c r="BA75" s="96"/>
      <c r="BB75" s="83"/>
      <c r="BC75" s="96"/>
      <c r="BD75" s="96"/>
      <c r="BE75" s="83"/>
      <c r="BF75" s="83"/>
      <c r="BG75" s="83"/>
      <c r="BH75" s="83"/>
      <c r="BI75" s="83"/>
      <c r="BJ75" s="83"/>
      <c r="BK75" s="83"/>
      <c r="BL75" s="99"/>
      <c r="BM75" s="164"/>
      <c r="BN75" s="164"/>
      <c r="BO75" s="164"/>
      <c r="BP75" s="164"/>
    </row>
    <row r="76" spans="1:68" ht="14.25" customHeight="1">
      <c r="A76" s="168"/>
      <c r="B76" s="168"/>
      <c r="C76" s="169"/>
      <c r="D76" s="170" t="s">
        <v>314</v>
      </c>
      <c r="E76" s="171">
        <v>23296.54</v>
      </c>
      <c r="F76" s="172"/>
      <c r="G76" s="94">
        <f t="shared" si="216"/>
        <v>0</v>
      </c>
      <c r="H76" s="94">
        <f t="shared" si="217"/>
        <v>0</v>
      </c>
      <c r="I76" s="173"/>
      <c r="J76" s="174"/>
      <c r="K76" s="174"/>
      <c r="L76" s="174"/>
      <c r="M76" s="97">
        <f t="shared" ref="M76:O76" si="268">Y76+AB76+AE76+AH76+AK76+AN76+AQ76+AT76+AW76+AZ76+BC76+BF76</f>
        <v>0</v>
      </c>
      <c r="N76" s="97">
        <f t="shared" si="268"/>
        <v>0</v>
      </c>
      <c r="O76" s="175">
        <f t="shared" si="268"/>
        <v>0</v>
      </c>
      <c r="P76" s="82">
        <f t="shared" si="260"/>
        <v>0</v>
      </c>
      <c r="Q76" s="82">
        <f t="shared" ref="Q76:R76" si="269">IF(BJ76=0,SUM(Z76+AC76+AF76+AI76+AL76+AO76+AR76+AU76+AX76+BA76+BD76+BG76),BJ76)</f>
        <v>0</v>
      </c>
      <c r="R76" s="82">
        <f t="shared" si="269"/>
        <v>0</v>
      </c>
      <c r="S76" s="175">
        <f t="shared" si="249"/>
        <v>0</v>
      </c>
      <c r="T76" s="97">
        <f t="shared" si="250"/>
        <v>0</v>
      </c>
      <c r="U76" s="175">
        <f t="shared" si="251"/>
        <v>0</v>
      </c>
      <c r="V76" s="176" t="e">
        <f t="shared" ref="V76:W76" si="270">M76/I76</f>
        <v>#DIV/0!</v>
      </c>
      <c r="W76" s="176" t="e">
        <f t="shared" si="270"/>
        <v>#DIV/0!</v>
      </c>
      <c r="X76" s="176" t="e">
        <f t="shared" si="102"/>
        <v>#DIV/0!</v>
      </c>
      <c r="Y76" s="172"/>
      <c r="Z76" s="172"/>
      <c r="AA76" s="172"/>
      <c r="AB76" s="172"/>
      <c r="AC76" s="177"/>
      <c r="AD76" s="172"/>
      <c r="AE76" s="172"/>
      <c r="AF76" s="172"/>
      <c r="AG76" s="172"/>
      <c r="AH76" s="172"/>
      <c r="AI76" s="172"/>
      <c r="AJ76" s="172"/>
      <c r="AK76" s="171">
        <v>0</v>
      </c>
      <c r="AL76" s="172"/>
      <c r="AM76" s="172"/>
      <c r="AN76" s="178"/>
      <c r="AO76" s="178"/>
      <c r="AP76" s="178"/>
      <c r="AQ76" s="178"/>
      <c r="AR76" s="178"/>
      <c r="AS76" s="178"/>
      <c r="AT76" s="178"/>
      <c r="AU76" s="179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80"/>
      <c r="BM76" s="181"/>
      <c r="BN76" s="181"/>
      <c r="BO76" s="181"/>
      <c r="BP76" s="181"/>
    </row>
    <row r="77" spans="1:68" ht="15.75" customHeight="1">
      <c r="A77" s="168"/>
      <c r="B77" s="168"/>
      <c r="C77" s="169"/>
      <c r="D77" s="170" t="s">
        <v>315</v>
      </c>
      <c r="E77" s="171">
        <v>23296.54</v>
      </c>
      <c r="F77" s="172"/>
      <c r="G77" s="94">
        <f t="shared" si="216"/>
        <v>0</v>
      </c>
      <c r="H77" s="94">
        <f t="shared" si="217"/>
        <v>0</v>
      </c>
      <c r="I77" s="174"/>
      <c r="J77" s="174"/>
      <c r="K77" s="174"/>
      <c r="L77" s="174"/>
      <c r="M77" s="175">
        <f t="shared" ref="M77:O77" si="271">Y77+AB77+AE77+AH77+AK77+AN77+AQ77+AT77+AW77+AZ77+BC77+BF77</f>
        <v>0</v>
      </c>
      <c r="N77" s="175">
        <f t="shared" si="271"/>
        <v>0</v>
      </c>
      <c r="O77" s="175">
        <f t="shared" si="271"/>
        <v>0</v>
      </c>
      <c r="P77" s="82">
        <f t="shared" si="260"/>
        <v>0</v>
      </c>
      <c r="Q77" s="82">
        <f t="shared" ref="Q77:R77" si="272">IF(BJ77=0,SUM(Z77+AC77+AF77+AI77+AL77+AO77+AR77+AU77+AX77+BA77+BD77+BG77),BJ77)</f>
        <v>0</v>
      </c>
      <c r="R77" s="82">
        <f t="shared" si="272"/>
        <v>0</v>
      </c>
      <c r="S77" s="175">
        <f t="shared" si="249"/>
        <v>0</v>
      </c>
      <c r="T77" s="97">
        <f t="shared" si="250"/>
        <v>0</v>
      </c>
      <c r="U77" s="175">
        <f t="shared" si="251"/>
        <v>0</v>
      </c>
      <c r="V77" s="176" t="e">
        <f t="shared" ref="V77:W77" si="273">M77/I77</f>
        <v>#DIV/0!</v>
      </c>
      <c r="W77" s="176" t="e">
        <f t="shared" si="273"/>
        <v>#DIV/0!</v>
      </c>
      <c r="X77" s="176" t="e">
        <f t="shared" si="102"/>
        <v>#DIV/0!</v>
      </c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80"/>
      <c r="BM77" s="181"/>
      <c r="BN77" s="181"/>
      <c r="BO77" s="181"/>
      <c r="BP77" s="181"/>
    </row>
    <row r="78" spans="1:68" ht="18.75" customHeight="1">
      <c r="A78" s="182"/>
      <c r="B78" s="182"/>
      <c r="C78" s="183"/>
      <c r="D78" s="184" t="s">
        <v>316</v>
      </c>
      <c r="E78" s="185">
        <v>23296.54</v>
      </c>
      <c r="F78" s="186"/>
      <c r="G78" s="187">
        <f t="shared" si="216"/>
        <v>0</v>
      </c>
      <c r="H78" s="188">
        <f t="shared" si="217"/>
        <v>0</v>
      </c>
      <c r="I78" s="186">
        <f t="shared" ref="I78:O78" si="274">SUM(I79:I80)</f>
        <v>0</v>
      </c>
      <c r="J78" s="186">
        <f t="shared" si="274"/>
        <v>0</v>
      </c>
      <c r="K78" s="186">
        <f t="shared" si="274"/>
        <v>0</v>
      </c>
      <c r="L78" s="186">
        <f t="shared" si="274"/>
        <v>0</v>
      </c>
      <c r="M78" s="186">
        <f t="shared" si="274"/>
        <v>0</v>
      </c>
      <c r="N78" s="186">
        <f t="shared" si="274"/>
        <v>0</v>
      </c>
      <c r="O78" s="186">
        <f t="shared" si="274"/>
        <v>0</v>
      </c>
      <c r="P78" s="81">
        <f t="shared" si="260"/>
        <v>0</v>
      </c>
      <c r="Q78" s="81">
        <f t="shared" ref="Q78:R78" si="275">IF(BJ78=0,SUM(Z78+AC78+AF78+AI78+AL78+AO78+AR78+AU78+AX78+BA78+BD78+BG78),BJ78)</f>
        <v>0</v>
      </c>
      <c r="R78" s="81">
        <f t="shared" si="275"/>
        <v>0</v>
      </c>
      <c r="S78" s="186">
        <f t="shared" ref="S78:U78" si="276">SUM(S79:S80)</f>
        <v>0</v>
      </c>
      <c r="T78" s="186">
        <f t="shared" si="276"/>
        <v>0</v>
      </c>
      <c r="U78" s="186">
        <f t="shared" si="276"/>
        <v>0</v>
      </c>
      <c r="V78" s="189" t="e">
        <f t="shared" ref="V78:W78" si="277">M78/I78</f>
        <v>#DIV/0!</v>
      </c>
      <c r="W78" s="189" t="e">
        <f t="shared" si="277"/>
        <v>#DIV/0!</v>
      </c>
      <c r="X78" s="189" t="e">
        <f t="shared" si="102"/>
        <v>#DIV/0!</v>
      </c>
      <c r="Y78" s="186">
        <f t="shared" ref="Y78:BK78" si="278">SUM(Y79:Y80)</f>
        <v>0</v>
      </c>
      <c r="Z78" s="186">
        <f t="shared" si="278"/>
        <v>0</v>
      </c>
      <c r="AA78" s="186">
        <f t="shared" si="278"/>
        <v>0</v>
      </c>
      <c r="AB78" s="186">
        <f t="shared" si="278"/>
        <v>0</v>
      </c>
      <c r="AC78" s="186">
        <f t="shared" si="278"/>
        <v>0</v>
      </c>
      <c r="AD78" s="186">
        <f t="shared" si="278"/>
        <v>0</v>
      </c>
      <c r="AE78" s="186">
        <f t="shared" si="278"/>
        <v>0</v>
      </c>
      <c r="AF78" s="186">
        <f t="shared" si="278"/>
        <v>0</v>
      </c>
      <c r="AG78" s="186">
        <f t="shared" si="278"/>
        <v>0</v>
      </c>
      <c r="AH78" s="186">
        <f t="shared" si="278"/>
        <v>0</v>
      </c>
      <c r="AI78" s="186">
        <f t="shared" si="278"/>
        <v>0</v>
      </c>
      <c r="AJ78" s="186">
        <f t="shared" si="278"/>
        <v>0</v>
      </c>
      <c r="AK78" s="186">
        <f t="shared" si="278"/>
        <v>0</v>
      </c>
      <c r="AL78" s="186">
        <f t="shared" si="278"/>
        <v>0</v>
      </c>
      <c r="AM78" s="186">
        <f t="shared" si="278"/>
        <v>0</v>
      </c>
      <c r="AN78" s="186">
        <f t="shared" si="278"/>
        <v>0</v>
      </c>
      <c r="AO78" s="186">
        <f t="shared" si="278"/>
        <v>0</v>
      </c>
      <c r="AP78" s="186">
        <f t="shared" si="278"/>
        <v>0</v>
      </c>
      <c r="AQ78" s="186">
        <f t="shared" si="278"/>
        <v>0</v>
      </c>
      <c r="AR78" s="186">
        <f t="shared" si="278"/>
        <v>0</v>
      </c>
      <c r="AS78" s="186">
        <f t="shared" si="278"/>
        <v>0</v>
      </c>
      <c r="AT78" s="186">
        <f t="shared" si="278"/>
        <v>0</v>
      </c>
      <c r="AU78" s="186">
        <f t="shared" si="278"/>
        <v>0</v>
      </c>
      <c r="AV78" s="186">
        <f t="shared" si="278"/>
        <v>0</v>
      </c>
      <c r="AW78" s="186">
        <f t="shared" si="278"/>
        <v>0</v>
      </c>
      <c r="AX78" s="186">
        <f t="shared" si="278"/>
        <v>0</v>
      </c>
      <c r="AY78" s="186">
        <f t="shared" si="278"/>
        <v>0</v>
      </c>
      <c r="AZ78" s="186">
        <f t="shared" si="278"/>
        <v>0</v>
      </c>
      <c r="BA78" s="186">
        <f t="shared" si="278"/>
        <v>0</v>
      </c>
      <c r="BB78" s="186">
        <f t="shared" si="278"/>
        <v>0</v>
      </c>
      <c r="BC78" s="186">
        <f t="shared" si="278"/>
        <v>0</v>
      </c>
      <c r="BD78" s="186">
        <f t="shared" si="278"/>
        <v>0</v>
      </c>
      <c r="BE78" s="186">
        <f t="shared" si="278"/>
        <v>0</v>
      </c>
      <c r="BF78" s="186">
        <f t="shared" si="278"/>
        <v>0</v>
      </c>
      <c r="BG78" s="186">
        <f t="shared" si="278"/>
        <v>0</v>
      </c>
      <c r="BH78" s="186">
        <f t="shared" si="278"/>
        <v>0</v>
      </c>
      <c r="BI78" s="186">
        <f t="shared" si="278"/>
        <v>0</v>
      </c>
      <c r="BJ78" s="186">
        <f t="shared" si="278"/>
        <v>0</v>
      </c>
      <c r="BK78" s="186">
        <f t="shared" si="278"/>
        <v>0</v>
      </c>
      <c r="BL78" s="157"/>
      <c r="BM78" s="158"/>
      <c r="BN78" s="158"/>
      <c r="BO78" s="158"/>
      <c r="BP78" s="158"/>
    </row>
    <row r="79" spans="1:68" ht="15.75" customHeight="1">
      <c r="A79" s="89"/>
      <c r="B79" s="89"/>
      <c r="C79" s="90" t="s">
        <v>271</v>
      </c>
      <c r="D79" s="91" t="s">
        <v>317</v>
      </c>
      <c r="E79" s="166"/>
      <c r="F79" s="166"/>
      <c r="G79" s="94" t="e">
        <f t="shared" si="216"/>
        <v>#DIV/0!</v>
      </c>
      <c r="H79" s="94" t="e">
        <f t="shared" si="217"/>
        <v>#DIV/0!</v>
      </c>
      <c r="I79" s="96"/>
      <c r="J79" s="190"/>
      <c r="K79" s="190"/>
      <c r="L79" s="190"/>
      <c r="M79" s="97">
        <f t="shared" ref="M79:O79" si="279">Y79+AB79+AE79+AH79+AK79+AN79+AQ79+AT79+AW79+AZ79+BC79+BF79</f>
        <v>0</v>
      </c>
      <c r="N79" s="97">
        <f t="shared" si="279"/>
        <v>0</v>
      </c>
      <c r="O79" s="97">
        <f t="shared" si="279"/>
        <v>0</v>
      </c>
      <c r="P79" s="82">
        <f t="shared" si="260"/>
        <v>0</v>
      </c>
      <c r="Q79" s="82">
        <f t="shared" ref="Q79:R79" si="280">IF(BJ79=0,SUM(Z79+AC79+AF79+AI79+AL79+AO79+AR79+AU79+AX79+BA79+BD79+BG79),BJ79)</f>
        <v>0</v>
      </c>
      <c r="R79" s="82">
        <f t="shared" si="280"/>
        <v>0</v>
      </c>
      <c r="S79" s="97">
        <f t="shared" ref="S79:T79" si="281">I79-M79</f>
        <v>0</v>
      </c>
      <c r="T79" s="97">
        <f t="shared" si="281"/>
        <v>0</v>
      </c>
      <c r="U79" s="97">
        <f t="shared" ref="U79:U80" si="282">L79-O79</f>
        <v>0</v>
      </c>
      <c r="V79" s="98" t="e">
        <f t="shared" ref="V79:W79" si="283">M79/I79</f>
        <v>#DIV/0!</v>
      </c>
      <c r="W79" s="98" t="e">
        <f t="shared" si="283"/>
        <v>#DIV/0!</v>
      </c>
      <c r="X79" s="98" t="e">
        <f t="shared" si="102"/>
        <v>#DIV/0!</v>
      </c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95">
        <v>0</v>
      </c>
      <c r="AL79" s="190"/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95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99"/>
      <c r="BM79" s="100"/>
      <c r="BN79" s="100"/>
      <c r="BO79" s="100"/>
      <c r="BP79" s="100"/>
    </row>
    <row r="80" spans="1:68" ht="15.75" customHeight="1">
      <c r="A80" s="89"/>
      <c r="B80" s="89"/>
      <c r="C80" s="90" t="s">
        <v>318</v>
      </c>
      <c r="D80" s="91" t="s">
        <v>319</v>
      </c>
      <c r="E80" s="166"/>
      <c r="F80" s="166"/>
      <c r="G80" s="94" t="e">
        <f t="shared" si="216"/>
        <v>#DIV/0!</v>
      </c>
      <c r="H80" s="94" t="e">
        <f t="shared" si="217"/>
        <v>#DIV/0!</v>
      </c>
      <c r="I80" s="96"/>
      <c r="J80" s="190"/>
      <c r="K80" s="190"/>
      <c r="L80" s="190"/>
      <c r="M80" s="97">
        <f t="shared" ref="M80:O80" si="284">Y80+AB80+AE80+AH80+AK80+AN80+AQ80+AT80+AW80+AZ80+BC80+BF80</f>
        <v>0</v>
      </c>
      <c r="N80" s="97">
        <f t="shared" si="284"/>
        <v>0</v>
      </c>
      <c r="O80" s="97">
        <f t="shared" si="284"/>
        <v>0</v>
      </c>
      <c r="P80" s="82">
        <f t="shared" si="260"/>
        <v>0</v>
      </c>
      <c r="Q80" s="82">
        <f t="shared" ref="Q80:R80" si="285">IF(BJ80=0,SUM(Z80+AC80+AF80+AI80+AL80+AO80+AR80+AU80+AX80+BA80+BD80+BG80),BJ80)</f>
        <v>0</v>
      </c>
      <c r="R80" s="82">
        <f t="shared" si="285"/>
        <v>0</v>
      </c>
      <c r="S80" s="97">
        <f t="shared" ref="S80:T80" si="286">I80-M80</f>
        <v>0</v>
      </c>
      <c r="T80" s="97">
        <f t="shared" si="286"/>
        <v>0</v>
      </c>
      <c r="U80" s="97">
        <f t="shared" si="282"/>
        <v>0</v>
      </c>
      <c r="V80" s="98" t="e">
        <f t="shared" ref="V80:W80" si="287">M80/I80</f>
        <v>#DIV/0!</v>
      </c>
      <c r="W80" s="98" t="e">
        <f t="shared" si="287"/>
        <v>#DIV/0!</v>
      </c>
      <c r="X80" s="98" t="e">
        <f t="shared" si="102"/>
        <v>#DIV/0!</v>
      </c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95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95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99"/>
      <c r="BM80" s="100"/>
      <c r="BN80" s="100"/>
      <c r="BO80" s="100"/>
      <c r="BP80" s="100"/>
    </row>
    <row r="81" spans="1:68" ht="15.75" customHeight="1">
      <c r="A81" s="151"/>
      <c r="B81" s="151"/>
      <c r="C81" s="191"/>
      <c r="D81" s="153" t="s">
        <v>320</v>
      </c>
      <c r="E81" s="154">
        <f t="shared" ref="E81:F81" si="288">SUM(E82:E84)</f>
        <v>13808</v>
      </c>
      <c r="F81" s="154">
        <f t="shared" si="288"/>
        <v>0</v>
      </c>
      <c r="G81" s="192">
        <f t="shared" si="216"/>
        <v>0.27578215527230593</v>
      </c>
      <c r="H81" s="192">
        <f t="shared" si="217"/>
        <v>0</v>
      </c>
      <c r="I81" s="154">
        <f t="shared" ref="I81:O81" si="289">SUM(I82:I84)</f>
        <v>3808</v>
      </c>
      <c r="J81" s="154">
        <f t="shared" si="289"/>
        <v>0</v>
      </c>
      <c r="K81" s="154">
        <f t="shared" si="289"/>
        <v>0</v>
      </c>
      <c r="L81" s="154">
        <f t="shared" si="289"/>
        <v>0</v>
      </c>
      <c r="M81" s="154">
        <f t="shared" si="289"/>
        <v>0</v>
      </c>
      <c r="N81" s="154">
        <f t="shared" si="289"/>
        <v>0</v>
      </c>
      <c r="O81" s="154">
        <f t="shared" si="289"/>
        <v>0</v>
      </c>
      <c r="P81" s="81">
        <f t="shared" si="260"/>
        <v>0</v>
      </c>
      <c r="Q81" s="81">
        <f t="shared" ref="Q81:R81" si="290">IF(BJ81=0,SUM(Z81+AC81+AF81+AI81+AL81+AO81+AR81+AU81+AX81+BA81+BD81+BG81),BJ81)</f>
        <v>0</v>
      </c>
      <c r="R81" s="81">
        <f t="shared" si="290"/>
        <v>0</v>
      </c>
      <c r="S81" s="154">
        <f t="shared" ref="S81:U81" si="291">SUM(S82:S84)</f>
        <v>3808</v>
      </c>
      <c r="T81" s="154">
        <f t="shared" si="291"/>
        <v>0</v>
      </c>
      <c r="U81" s="154">
        <f t="shared" si="291"/>
        <v>0</v>
      </c>
      <c r="V81" s="193">
        <f t="shared" ref="V81:W81" si="292">M81/I81</f>
        <v>0</v>
      </c>
      <c r="W81" s="193" t="e">
        <f t="shared" si="292"/>
        <v>#DIV/0!</v>
      </c>
      <c r="X81" s="193" t="e">
        <f t="shared" si="102"/>
        <v>#DIV/0!</v>
      </c>
      <c r="Y81" s="154">
        <f t="shared" ref="Y81:BK81" si="293">SUM(Y82:Y84)</f>
        <v>0</v>
      </c>
      <c r="Z81" s="154">
        <f t="shared" si="293"/>
        <v>0</v>
      </c>
      <c r="AA81" s="154">
        <f t="shared" si="293"/>
        <v>0</v>
      </c>
      <c r="AB81" s="154">
        <f t="shared" si="293"/>
        <v>0</v>
      </c>
      <c r="AC81" s="154">
        <f t="shared" si="293"/>
        <v>0</v>
      </c>
      <c r="AD81" s="154">
        <f t="shared" si="293"/>
        <v>0</v>
      </c>
      <c r="AE81" s="154">
        <f t="shared" si="293"/>
        <v>0</v>
      </c>
      <c r="AF81" s="154">
        <f t="shared" si="293"/>
        <v>0</v>
      </c>
      <c r="AG81" s="154">
        <f t="shared" si="293"/>
        <v>0</v>
      </c>
      <c r="AH81" s="154">
        <f t="shared" si="293"/>
        <v>0</v>
      </c>
      <c r="AI81" s="154">
        <f t="shared" si="293"/>
        <v>0</v>
      </c>
      <c r="AJ81" s="154">
        <f t="shared" si="293"/>
        <v>0</v>
      </c>
      <c r="AK81" s="154">
        <f t="shared" si="293"/>
        <v>0</v>
      </c>
      <c r="AL81" s="154">
        <f t="shared" si="293"/>
        <v>0</v>
      </c>
      <c r="AM81" s="154">
        <f t="shared" si="293"/>
        <v>0</v>
      </c>
      <c r="AN81" s="154">
        <f t="shared" si="293"/>
        <v>0</v>
      </c>
      <c r="AO81" s="154">
        <f t="shared" si="293"/>
        <v>0</v>
      </c>
      <c r="AP81" s="154">
        <f t="shared" si="293"/>
        <v>0</v>
      </c>
      <c r="AQ81" s="154">
        <f t="shared" si="293"/>
        <v>0</v>
      </c>
      <c r="AR81" s="154">
        <f t="shared" si="293"/>
        <v>0</v>
      </c>
      <c r="AS81" s="154">
        <f t="shared" si="293"/>
        <v>0</v>
      </c>
      <c r="AT81" s="154">
        <f t="shared" si="293"/>
        <v>0</v>
      </c>
      <c r="AU81" s="154">
        <f t="shared" si="293"/>
        <v>0</v>
      </c>
      <c r="AV81" s="154">
        <f t="shared" si="293"/>
        <v>0</v>
      </c>
      <c r="AW81" s="154">
        <f t="shared" si="293"/>
        <v>0</v>
      </c>
      <c r="AX81" s="154">
        <f t="shared" si="293"/>
        <v>0</v>
      </c>
      <c r="AY81" s="154">
        <f t="shared" si="293"/>
        <v>0</v>
      </c>
      <c r="AZ81" s="154">
        <f t="shared" si="293"/>
        <v>0</v>
      </c>
      <c r="BA81" s="154">
        <f t="shared" si="293"/>
        <v>0</v>
      </c>
      <c r="BB81" s="154">
        <f t="shared" si="293"/>
        <v>0</v>
      </c>
      <c r="BC81" s="154">
        <f t="shared" si="293"/>
        <v>0</v>
      </c>
      <c r="BD81" s="154">
        <f t="shared" si="293"/>
        <v>0</v>
      </c>
      <c r="BE81" s="154">
        <f t="shared" si="293"/>
        <v>0</v>
      </c>
      <c r="BF81" s="154">
        <f t="shared" si="293"/>
        <v>0</v>
      </c>
      <c r="BG81" s="154">
        <f t="shared" si="293"/>
        <v>0</v>
      </c>
      <c r="BH81" s="154">
        <f t="shared" si="293"/>
        <v>0</v>
      </c>
      <c r="BI81" s="154">
        <f t="shared" si="293"/>
        <v>0</v>
      </c>
      <c r="BJ81" s="154">
        <f t="shared" si="293"/>
        <v>0</v>
      </c>
      <c r="BK81" s="154">
        <f t="shared" si="293"/>
        <v>0</v>
      </c>
      <c r="BL81" s="157"/>
      <c r="BM81" s="158"/>
      <c r="BN81" s="158"/>
      <c r="BO81" s="158"/>
      <c r="BP81" s="158"/>
    </row>
    <row r="82" spans="1:68" ht="15.75" customHeight="1">
      <c r="A82" s="89" t="s">
        <v>514</v>
      </c>
      <c r="B82" s="111"/>
      <c r="C82" s="90" t="s">
        <v>200</v>
      </c>
      <c r="D82" s="91" t="s">
        <v>201</v>
      </c>
      <c r="E82" s="166">
        <v>3808</v>
      </c>
      <c r="F82" s="166"/>
      <c r="G82" s="94" t="e">
        <f>I82/F82</f>
        <v>#DIV/0!</v>
      </c>
      <c r="H82" s="94" t="e">
        <f>M82/F82</f>
        <v>#DIV/0!</v>
      </c>
      <c r="I82" s="96">
        <v>3808</v>
      </c>
      <c r="J82" s="96"/>
      <c r="K82" s="96"/>
      <c r="L82" s="95"/>
      <c r="M82" s="97">
        <f t="shared" ref="M82:O82" si="294">Y82+AB82+AE82+AH82+AK82+AN82+AQ82+AT82+AW82+AZ82+BC82+BF82</f>
        <v>0</v>
      </c>
      <c r="N82" s="97">
        <f t="shared" si="294"/>
        <v>0</v>
      </c>
      <c r="O82" s="97">
        <f t="shared" si="294"/>
        <v>0</v>
      </c>
      <c r="P82" s="82">
        <f t="shared" si="260"/>
        <v>0</v>
      </c>
      <c r="Q82" s="82">
        <f t="shared" ref="Q82:R82" si="295">IF(BJ82=0,SUM(Z82+AC82+AF82+AI82+AL82+AO82+AR82+AU82+AX82+BA82+BD82+BG82),BJ82)</f>
        <v>0</v>
      </c>
      <c r="R82" s="82">
        <f t="shared" si="295"/>
        <v>0</v>
      </c>
      <c r="S82" s="97">
        <f t="shared" ref="S82:T82" si="296">I82-M82</f>
        <v>3808</v>
      </c>
      <c r="T82" s="97">
        <f t="shared" si="296"/>
        <v>0</v>
      </c>
      <c r="U82" s="97">
        <f t="shared" ref="U82:U84" si="297">L82-O82</f>
        <v>0</v>
      </c>
      <c r="V82" s="98">
        <f t="shared" ref="V82:W82" si="298">M82/I82</f>
        <v>0</v>
      </c>
      <c r="W82" s="98" t="e">
        <f t="shared" si="298"/>
        <v>#DIV/0!</v>
      </c>
      <c r="X82" s="98" t="e">
        <f t="shared" si="102"/>
        <v>#DIV/0!</v>
      </c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9"/>
      <c r="BM82" s="100"/>
      <c r="BN82" s="100"/>
      <c r="BO82" s="100"/>
      <c r="BP82" s="100"/>
    </row>
    <row r="83" spans="1:68" ht="15.75" customHeight="1">
      <c r="A83" s="89"/>
      <c r="B83" s="89"/>
      <c r="C83" s="90" t="s">
        <v>213</v>
      </c>
      <c r="D83" s="91" t="s">
        <v>74</v>
      </c>
      <c r="E83" s="166"/>
      <c r="F83" s="166"/>
      <c r="G83" s="94" t="e">
        <f t="shared" ref="G83:G90" si="299">I83/E83</f>
        <v>#DIV/0!</v>
      </c>
      <c r="H83" s="94" t="e">
        <f t="shared" ref="H83:H90" si="300">M83/E83</f>
        <v>#DIV/0!</v>
      </c>
      <c r="I83" s="96"/>
      <c r="J83" s="96"/>
      <c r="K83" s="96"/>
      <c r="L83" s="95"/>
      <c r="M83" s="97">
        <f t="shared" ref="M83:O83" si="301">Y83+AB83+AE83+AH83+AK83+AN83+AQ83+AT83+AW83+AZ83+BC83+BF83</f>
        <v>0</v>
      </c>
      <c r="N83" s="97">
        <f t="shared" si="301"/>
        <v>0</v>
      </c>
      <c r="O83" s="97">
        <f t="shared" si="301"/>
        <v>0</v>
      </c>
      <c r="P83" s="82">
        <f t="shared" si="260"/>
        <v>0</v>
      </c>
      <c r="Q83" s="82">
        <f t="shared" ref="Q83:R83" si="302">IF(BJ83=0,SUM(Z83+AC83+AF83+AI83+AL83+AO83+AR83+AU83+AX83+BA83+BD83+BG83),BJ83)</f>
        <v>0</v>
      </c>
      <c r="R83" s="82">
        <f t="shared" si="302"/>
        <v>0</v>
      </c>
      <c r="S83" s="97">
        <f t="shared" ref="S83:T83" si="303">I83-M83</f>
        <v>0</v>
      </c>
      <c r="T83" s="97">
        <f t="shared" si="303"/>
        <v>0</v>
      </c>
      <c r="U83" s="97">
        <f t="shared" si="297"/>
        <v>0</v>
      </c>
      <c r="V83" s="98" t="e">
        <f t="shared" ref="V83:W83" si="304">M83/I83</f>
        <v>#DIV/0!</v>
      </c>
      <c r="W83" s="98" t="e">
        <f t="shared" si="304"/>
        <v>#DIV/0!</v>
      </c>
      <c r="X83" s="98" t="e">
        <f t="shared" si="102"/>
        <v>#DIV/0!</v>
      </c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9"/>
      <c r="BM83" s="100"/>
      <c r="BN83" s="100"/>
      <c r="BO83" s="100"/>
      <c r="BP83" s="100"/>
    </row>
    <row r="84" spans="1:68" ht="15.75" customHeight="1">
      <c r="A84" s="89"/>
      <c r="B84" s="89"/>
      <c r="C84" s="90" t="s">
        <v>318</v>
      </c>
      <c r="D84" s="91" t="s">
        <v>321</v>
      </c>
      <c r="E84" s="194">
        <v>10000</v>
      </c>
      <c r="F84" s="195"/>
      <c r="G84" s="94">
        <f t="shared" si="299"/>
        <v>0</v>
      </c>
      <c r="H84" s="94">
        <f t="shared" si="300"/>
        <v>0</v>
      </c>
      <c r="I84" s="142"/>
      <c r="J84" s="96"/>
      <c r="K84" s="96"/>
      <c r="L84" s="95"/>
      <c r="M84" s="97">
        <f t="shared" ref="M84:O84" si="305">Y84+AB84+AE84+AH84+AK84+AN84+AQ84+AT84+AW84+AZ84+BC84+BF84</f>
        <v>0</v>
      </c>
      <c r="N84" s="97">
        <f t="shared" si="305"/>
        <v>0</v>
      </c>
      <c r="O84" s="97">
        <f t="shared" si="305"/>
        <v>0</v>
      </c>
      <c r="P84" s="82">
        <f t="shared" si="260"/>
        <v>0</v>
      </c>
      <c r="Q84" s="82">
        <f t="shared" ref="Q84:R84" si="306">IF(BJ84=0,SUM(Z84+AC84+AF84+AI84+AL84+AO84+AR84+AU84+AX84+BA84+BD84+BG84),BJ84)</f>
        <v>0</v>
      </c>
      <c r="R84" s="82">
        <f t="shared" si="306"/>
        <v>0</v>
      </c>
      <c r="S84" s="97">
        <f t="shared" ref="S84:T84" si="307">I84-M84</f>
        <v>0</v>
      </c>
      <c r="T84" s="97">
        <f t="shared" si="307"/>
        <v>0</v>
      </c>
      <c r="U84" s="97">
        <f t="shared" si="297"/>
        <v>0</v>
      </c>
      <c r="V84" s="98" t="e">
        <f t="shared" ref="V84:W84" si="308">M84/I84</f>
        <v>#DIV/0!</v>
      </c>
      <c r="W84" s="98" t="e">
        <f t="shared" si="308"/>
        <v>#DIV/0!</v>
      </c>
      <c r="X84" s="98" t="e">
        <f t="shared" si="102"/>
        <v>#DIV/0!</v>
      </c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103">
        <v>0</v>
      </c>
      <c r="BA84" s="96"/>
      <c r="BB84" s="96"/>
      <c r="BC84" s="96"/>
      <c r="BD84" s="96"/>
      <c r="BE84" s="96"/>
      <c r="BF84" s="103">
        <v>0</v>
      </c>
      <c r="BG84" s="96"/>
      <c r="BH84" s="96"/>
      <c r="BI84" s="96"/>
      <c r="BJ84" s="96"/>
      <c r="BK84" s="96"/>
      <c r="BL84" s="99"/>
      <c r="BM84" s="100"/>
      <c r="BN84" s="100"/>
      <c r="BO84" s="100"/>
      <c r="BP84" s="100"/>
    </row>
    <row r="85" spans="1:68" ht="15.75" customHeight="1">
      <c r="A85" s="151"/>
      <c r="B85" s="151"/>
      <c r="C85" s="191"/>
      <c r="D85" s="153" t="s">
        <v>322</v>
      </c>
      <c r="E85" s="154">
        <f>SUM(E86:E89)</f>
        <v>32329.200000000001</v>
      </c>
      <c r="F85" s="154">
        <f>SUM(F86:F88)</f>
        <v>0</v>
      </c>
      <c r="G85" s="192">
        <f t="shared" si="299"/>
        <v>0</v>
      </c>
      <c r="H85" s="192">
        <f t="shared" si="300"/>
        <v>0</v>
      </c>
      <c r="I85" s="154">
        <f t="shared" ref="I85:K85" si="309">SUM(I86:I89)</f>
        <v>0</v>
      </c>
      <c r="J85" s="154">
        <f t="shared" si="309"/>
        <v>73937.67</v>
      </c>
      <c r="K85" s="154">
        <f t="shared" si="309"/>
        <v>0</v>
      </c>
      <c r="L85" s="154">
        <f t="shared" ref="L85:M85" si="310">SUM(L86:L88)</f>
        <v>0</v>
      </c>
      <c r="M85" s="154">
        <f t="shared" si="310"/>
        <v>0</v>
      </c>
      <c r="N85" s="154">
        <f>SUM(N86:N89)</f>
        <v>18743.400000000001</v>
      </c>
      <c r="O85" s="154">
        <f>SUM(O86:O88)</f>
        <v>0</v>
      </c>
      <c r="P85" s="81">
        <f t="shared" si="260"/>
        <v>0</v>
      </c>
      <c r="Q85" s="81">
        <f t="shared" ref="Q85:R85" si="311">IF(BJ85=0,SUM(Z85+AC85+AF85+AI85+AL85+AO85+AR85+AU85+AX85+BA85+BD85+BG85),BJ85)</f>
        <v>18743.400000000001</v>
      </c>
      <c r="R85" s="81">
        <f t="shared" si="311"/>
        <v>0</v>
      </c>
      <c r="S85" s="154">
        <f t="shared" ref="S85:T85" si="312">SUM(S86:S89)</f>
        <v>0</v>
      </c>
      <c r="T85" s="154">
        <f t="shared" si="312"/>
        <v>55194.27</v>
      </c>
      <c r="U85" s="154">
        <f>SUM(U86:U88)</f>
        <v>0</v>
      </c>
      <c r="V85" s="193" t="e">
        <f t="shared" ref="V85:W85" si="313">M85/I85</f>
        <v>#DIV/0!</v>
      </c>
      <c r="W85" s="193">
        <f t="shared" si="313"/>
        <v>0.25350271383991413</v>
      </c>
      <c r="X85" s="193" t="e">
        <f t="shared" si="102"/>
        <v>#DIV/0!</v>
      </c>
      <c r="Y85" s="154">
        <f t="shared" ref="Y85:AH85" si="314">SUM(Y86:Y88)</f>
        <v>0</v>
      </c>
      <c r="Z85" s="154">
        <f t="shared" si="314"/>
        <v>4271.3999999999996</v>
      </c>
      <c r="AA85" s="154">
        <f t="shared" si="314"/>
        <v>0</v>
      </c>
      <c r="AB85" s="154">
        <f t="shared" si="314"/>
        <v>0</v>
      </c>
      <c r="AC85" s="154">
        <f t="shared" si="314"/>
        <v>6630</v>
      </c>
      <c r="AD85" s="154">
        <f t="shared" si="314"/>
        <v>0</v>
      </c>
      <c r="AE85" s="154">
        <f t="shared" si="314"/>
        <v>0</v>
      </c>
      <c r="AF85" s="154">
        <f t="shared" si="314"/>
        <v>3092</v>
      </c>
      <c r="AG85" s="154">
        <f t="shared" si="314"/>
        <v>0</v>
      </c>
      <c r="AH85" s="154">
        <f t="shared" si="314"/>
        <v>0</v>
      </c>
      <c r="AI85" s="154">
        <f>SUM(AI86:AI89)</f>
        <v>1940</v>
      </c>
      <c r="AJ85" s="154">
        <f t="shared" ref="AJ85:AP85" si="315">SUM(AJ86:AJ88)</f>
        <v>0</v>
      </c>
      <c r="AK85" s="154">
        <f t="shared" si="315"/>
        <v>0</v>
      </c>
      <c r="AL85" s="154">
        <f t="shared" si="315"/>
        <v>0</v>
      </c>
      <c r="AM85" s="154">
        <f t="shared" si="315"/>
        <v>0</v>
      </c>
      <c r="AN85" s="154">
        <f t="shared" si="315"/>
        <v>0</v>
      </c>
      <c r="AO85" s="154">
        <f t="shared" si="315"/>
        <v>0</v>
      </c>
      <c r="AP85" s="154">
        <f t="shared" si="315"/>
        <v>0</v>
      </c>
      <c r="AQ85" s="154">
        <f t="shared" ref="AQ85:AR85" si="316">SUM(AQ86:AQ89)</f>
        <v>0</v>
      </c>
      <c r="AR85" s="154">
        <f t="shared" si="316"/>
        <v>2810</v>
      </c>
      <c r="AS85" s="154">
        <f t="shared" ref="AS85:BK85" si="317">SUM(AS86:AS88)</f>
        <v>0</v>
      </c>
      <c r="AT85" s="154">
        <f t="shared" si="317"/>
        <v>0</v>
      </c>
      <c r="AU85" s="154">
        <f t="shared" si="317"/>
        <v>0</v>
      </c>
      <c r="AV85" s="154">
        <f t="shared" si="317"/>
        <v>0</v>
      </c>
      <c r="AW85" s="154">
        <f t="shared" si="317"/>
        <v>0</v>
      </c>
      <c r="AX85" s="154">
        <f t="shared" si="317"/>
        <v>0</v>
      </c>
      <c r="AY85" s="154">
        <f t="shared" si="317"/>
        <v>0</v>
      </c>
      <c r="AZ85" s="154">
        <f t="shared" si="317"/>
        <v>0</v>
      </c>
      <c r="BA85" s="154">
        <f t="shared" si="317"/>
        <v>0</v>
      </c>
      <c r="BB85" s="154">
        <f t="shared" si="317"/>
        <v>0</v>
      </c>
      <c r="BC85" s="154">
        <f t="shared" si="317"/>
        <v>0</v>
      </c>
      <c r="BD85" s="154">
        <f t="shared" si="317"/>
        <v>0</v>
      </c>
      <c r="BE85" s="154">
        <f t="shared" si="317"/>
        <v>0</v>
      </c>
      <c r="BF85" s="154">
        <f t="shared" si="317"/>
        <v>0</v>
      </c>
      <c r="BG85" s="154">
        <f t="shared" si="317"/>
        <v>0</v>
      </c>
      <c r="BH85" s="154">
        <f t="shared" si="317"/>
        <v>0</v>
      </c>
      <c r="BI85" s="154">
        <f t="shared" si="317"/>
        <v>0</v>
      </c>
      <c r="BJ85" s="154">
        <f t="shared" si="317"/>
        <v>0</v>
      </c>
      <c r="BK85" s="154">
        <f t="shared" si="317"/>
        <v>0</v>
      </c>
      <c r="BL85" s="157"/>
      <c r="BM85" s="158"/>
      <c r="BN85" s="158"/>
      <c r="BO85" s="158"/>
      <c r="BP85" s="158"/>
    </row>
    <row r="86" spans="1:68" ht="15.75" customHeight="1">
      <c r="A86" s="111"/>
      <c r="B86" s="111"/>
      <c r="C86" s="101" t="s">
        <v>318</v>
      </c>
      <c r="D86" s="91" t="s">
        <v>133</v>
      </c>
      <c r="E86" s="92">
        <v>10925.2</v>
      </c>
      <c r="F86" s="166"/>
      <c r="G86" s="94">
        <f t="shared" si="299"/>
        <v>0</v>
      </c>
      <c r="H86" s="94">
        <f t="shared" si="300"/>
        <v>0</v>
      </c>
      <c r="I86" s="142"/>
      <c r="J86" s="96"/>
      <c r="K86" s="96"/>
      <c r="L86" s="95"/>
      <c r="M86" s="97">
        <f t="shared" ref="M86:O86" si="318">Y86+AB86+AE86+AH86+AK86+AN86+AQ86+AT86+AW86+AZ86+BC86+BF86</f>
        <v>0</v>
      </c>
      <c r="N86" s="97">
        <f t="shared" si="318"/>
        <v>0</v>
      </c>
      <c r="O86" s="97">
        <f t="shared" si="318"/>
        <v>0</v>
      </c>
      <c r="P86" s="82">
        <f t="shared" si="260"/>
        <v>0</v>
      </c>
      <c r="Q86" s="82">
        <f t="shared" ref="Q86:R86" si="319">IF(BJ86=0,SUM(Z86+AC86+AF86+AI86+AL86+AO86+AR86+AU86+AX86+BA86+BD86+BG86),BJ86)</f>
        <v>0</v>
      </c>
      <c r="R86" s="82">
        <f t="shared" si="319"/>
        <v>0</v>
      </c>
      <c r="S86" s="97">
        <f t="shared" ref="S86:T86" si="320">I86-M86</f>
        <v>0</v>
      </c>
      <c r="T86" s="97">
        <f t="shared" si="320"/>
        <v>0</v>
      </c>
      <c r="U86" s="97">
        <f t="shared" ref="U86:U89" si="321">L86-O86</f>
        <v>0</v>
      </c>
      <c r="V86" s="98" t="e">
        <f t="shared" ref="V86:W86" si="322">M86/I86</f>
        <v>#DIV/0!</v>
      </c>
      <c r="W86" s="98" t="e">
        <f t="shared" si="322"/>
        <v>#DIV/0!</v>
      </c>
      <c r="X86" s="98" t="e">
        <f t="shared" si="102"/>
        <v>#DIV/0!</v>
      </c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9"/>
      <c r="BM86" s="100"/>
      <c r="BN86" s="100"/>
      <c r="BO86" s="100"/>
      <c r="BP86" s="100"/>
    </row>
    <row r="87" spans="1:68" ht="15.75" customHeight="1">
      <c r="A87" s="89"/>
      <c r="B87" s="89"/>
      <c r="C87" s="101" t="s">
        <v>323</v>
      </c>
      <c r="D87" s="91" t="s">
        <v>134</v>
      </c>
      <c r="E87" s="92">
        <v>3000</v>
      </c>
      <c r="F87" s="147"/>
      <c r="G87" s="94">
        <f t="shared" si="299"/>
        <v>0</v>
      </c>
      <c r="H87" s="94">
        <f t="shared" si="300"/>
        <v>0</v>
      </c>
      <c r="I87" s="95"/>
      <c r="J87" s="119"/>
      <c r="K87" s="119"/>
      <c r="L87" s="95"/>
      <c r="M87" s="97">
        <f t="shared" ref="M87:O87" si="323">Y87+AB87+AE87+AH87+AK87+AN87+AQ87+AT87+AW87+AZ87+BC87+BF87</f>
        <v>0</v>
      </c>
      <c r="N87" s="97">
        <f t="shared" si="323"/>
        <v>0</v>
      </c>
      <c r="O87" s="97">
        <f t="shared" si="323"/>
        <v>0</v>
      </c>
      <c r="P87" s="82">
        <f t="shared" si="260"/>
        <v>0</v>
      </c>
      <c r="Q87" s="82">
        <f t="shared" ref="Q87:R87" si="324">IF(BJ87=0,SUM(Z87+AC87+AF87+AI87+AL87+AO87+AR87+AU87+AX87+BA87+BD87+BG87),BJ87)</f>
        <v>0</v>
      </c>
      <c r="R87" s="82">
        <f t="shared" si="324"/>
        <v>0</v>
      </c>
      <c r="S87" s="97">
        <f t="shared" ref="S87:T87" si="325">I87-M87</f>
        <v>0</v>
      </c>
      <c r="T87" s="97">
        <f t="shared" si="325"/>
        <v>0</v>
      </c>
      <c r="U87" s="97">
        <f t="shared" si="321"/>
        <v>0</v>
      </c>
      <c r="V87" s="98" t="e">
        <f t="shared" ref="V87:W87" si="326">M87/I87</f>
        <v>#DIV/0!</v>
      </c>
      <c r="W87" s="98" t="e">
        <f t="shared" si="326"/>
        <v>#DIV/0!</v>
      </c>
      <c r="X87" s="98" t="e">
        <f t="shared" si="102"/>
        <v>#DIV/0!</v>
      </c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103">
        <v>0</v>
      </c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9"/>
      <c r="BM87" s="100"/>
      <c r="BN87" s="100"/>
      <c r="BO87" s="100"/>
      <c r="BP87" s="100"/>
    </row>
    <row r="88" spans="1:68" ht="15.75" customHeight="1">
      <c r="A88" s="89"/>
      <c r="B88" s="136" t="s">
        <v>324</v>
      </c>
      <c r="C88" s="101" t="s">
        <v>325</v>
      </c>
      <c r="D88" s="144" t="s">
        <v>135</v>
      </c>
      <c r="E88" s="92">
        <v>10000</v>
      </c>
      <c r="F88" s="147"/>
      <c r="G88" s="94">
        <f t="shared" si="299"/>
        <v>0</v>
      </c>
      <c r="H88" s="94">
        <f t="shared" si="300"/>
        <v>0</v>
      </c>
      <c r="I88" s="96"/>
      <c r="J88" s="117">
        <v>73937.67</v>
      </c>
      <c r="K88" s="117"/>
      <c r="L88" s="95"/>
      <c r="M88" s="97">
        <f t="shared" ref="M88:O88" si="327">Y88+AB88+AE88+AH88+AK88+AN88+AQ88+AT88+AW88+AZ88+BC88+BF88</f>
        <v>0</v>
      </c>
      <c r="N88" s="97">
        <f t="shared" si="327"/>
        <v>18743.400000000001</v>
      </c>
      <c r="O88" s="97">
        <f t="shared" si="327"/>
        <v>0</v>
      </c>
      <c r="P88" s="82">
        <f t="shared" si="260"/>
        <v>0</v>
      </c>
      <c r="Q88" s="82">
        <f t="shared" ref="Q88:R88" si="328">IF(BJ88=0,SUM(Z88+AC88+AF88+AI88+AL88+AO88+AR88+AU88+AX88+BA88+BD88+BG88),BJ88)</f>
        <v>18743.400000000001</v>
      </c>
      <c r="R88" s="82">
        <f t="shared" si="328"/>
        <v>0</v>
      </c>
      <c r="S88" s="97">
        <f t="shared" ref="S88:S89" si="329">I88-M88</f>
        <v>0</v>
      </c>
      <c r="T88" s="97">
        <f>J88-K88-N88</f>
        <v>55194.27</v>
      </c>
      <c r="U88" s="97">
        <f t="shared" si="321"/>
        <v>0</v>
      </c>
      <c r="V88" s="98" t="e">
        <f t="shared" ref="V88:W88" si="330">M88/I88</f>
        <v>#DIV/0!</v>
      </c>
      <c r="W88" s="98">
        <f t="shared" si="330"/>
        <v>0.25350271383991413</v>
      </c>
      <c r="X88" s="98" t="e">
        <f t="shared" si="102"/>
        <v>#DIV/0!</v>
      </c>
      <c r="Y88" s="96"/>
      <c r="Z88" s="96">
        <f>363.4+2000+900+1008</f>
        <v>4271.3999999999996</v>
      </c>
      <c r="AA88" s="96"/>
      <c r="AB88" s="96"/>
      <c r="AC88" s="103">
        <f>490+210+2000+3930</f>
        <v>6630</v>
      </c>
      <c r="AD88" s="96"/>
      <c r="AE88" s="96"/>
      <c r="AF88" s="103">
        <f>500+2592</f>
        <v>3092</v>
      </c>
      <c r="AG88" s="96"/>
      <c r="AH88" s="96"/>
      <c r="AI88" s="103">
        <v>1940</v>
      </c>
      <c r="AJ88" s="96"/>
      <c r="AK88" s="96"/>
      <c r="AL88" s="96"/>
      <c r="AM88" s="96"/>
      <c r="AN88" s="103">
        <v>0</v>
      </c>
      <c r="AO88" s="103"/>
      <c r="AP88" s="96"/>
      <c r="AQ88" s="103">
        <v>0</v>
      </c>
      <c r="AR88" s="103">
        <f>2000+810</f>
        <v>2810</v>
      </c>
      <c r="AS88" s="96"/>
      <c r="AT88" s="96"/>
      <c r="AU88" s="96"/>
      <c r="AV88" s="96"/>
      <c r="AW88" s="103">
        <v>0</v>
      </c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9"/>
      <c r="BM88" s="100"/>
      <c r="BN88" s="100"/>
      <c r="BO88" s="100"/>
      <c r="BP88" s="100"/>
    </row>
    <row r="89" spans="1:68" ht="15.75" customHeight="1">
      <c r="A89" s="136"/>
      <c r="B89" s="136"/>
      <c r="C89" s="101" t="s">
        <v>218</v>
      </c>
      <c r="D89" s="91" t="s">
        <v>326</v>
      </c>
      <c r="E89" s="92">
        <v>8404</v>
      </c>
      <c r="F89" s="147"/>
      <c r="G89" s="94">
        <f t="shared" si="299"/>
        <v>0</v>
      </c>
      <c r="H89" s="94">
        <f t="shared" si="300"/>
        <v>0</v>
      </c>
      <c r="I89" s="126"/>
      <c r="J89" s="126"/>
      <c r="K89" s="117"/>
      <c r="L89" s="95"/>
      <c r="M89" s="196">
        <f t="shared" ref="M89:N89" si="331">Y89+AE89+AH89+AK89+AN89+AQ89+AT89+AW89+AZ89+BC89+BF89</f>
        <v>0</v>
      </c>
      <c r="N89" s="97">
        <f t="shared" si="331"/>
        <v>0</v>
      </c>
      <c r="O89" s="97">
        <f>AA89+AD89+AG89+AJ89+AM89+AP89+AS89+AV89+AY89+BB89+BE89+BH89</f>
        <v>0</v>
      </c>
      <c r="P89" s="82">
        <f t="shared" ref="P89:Q89" si="332">IF(BI89=0,SUM(Y89+AE89+AH89+AK89+AN89+AQ89+AT89+AW89+AZ89+BC89+BF89),BI89)</f>
        <v>0</v>
      </c>
      <c r="Q89" s="82">
        <f t="shared" si="332"/>
        <v>0</v>
      </c>
      <c r="R89" s="82">
        <f>IF(BK89=0,SUM(AA89+AD89+AG89+AJ89+AM89+AP89+AS89+AV89+AY89+BB89+BE89+BH89),BK89)</f>
        <v>0</v>
      </c>
      <c r="S89" s="97">
        <f t="shared" si="329"/>
        <v>0</v>
      </c>
      <c r="T89" s="97">
        <f>J89-N89</f>
        <v>0</v>
      </c>
      <c r="U89" s="97">
        <f t="shared" si="321"/>
        <v>0</v>
      </c>
      <c r="V89" s="98" t="e">
        <f t="shared" ref="V89:W89" si="333">M89/I40</f>
        <v>#DIV/0!</v>
      </c>
      <c r="W89" s="98">
        <f t="shared" si="333"/>
        <v>0</v>
      </c>
      <c r="X89" s="98" t="e">
        <f t="shared" si="102"/>
        <v>#DIV/0!</v>
      </c>
      <c r="Y89" s="96"/>
      <c r="Z89" s="96"/>
      <c r="AA89" s="96"/>
      <c r="AB89" s="126"/>
      <c r="AC89" s="126"/>
      <c r="AD89" s="96"/>
      <c r="AE89" s="96"/>
      <c r="AF89" s="96"/>
      <c r="AG89" s="96"/>
      <c r="AH89" s="96"/>
      <c r="AI89" s="103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9"/>
      <c r="BM89" s="100"/>
      <c r="BN89" s="100"/>
      <c r="BO89" s="100"/>
      <c r="BP89" s="100"/>
    </row>
    <row r="90" spans="1:68" ht="15.75" customHeight="1">
      <c r="A90" s="151"/>
      <c r="B90" s="151"/>
      <c r="C90" s="191"/>
      <c r="D90" s="153" t="s">
        <v>327</v>
      </c>
      <c r="E90" s="154">
        <f t="shared" ref="E90:F90" si="334">SUM(E91:E96)</f>
        <v>69491.34</v>
      </c>
      <c r="F90" s="154">
        <f t="shared" si="334"/>
        <v>21041.95</v>
      </c>
      <c r="G90" s="192">
        <f t="shared" si="299"/>
        <v>0.12152593402285811</v>
      </c>
      <c r="H90" s="192">
        <f t="shared" si="300"/>
        <v>3.2406915739428825E-2</v>
      </c>
      <c r="I90" s="154">
        <f t="shared" ref="I90:O90" si="335">SUM(I92:I96)</f>
        <v>8445</v>
      </c>
      <c r="J90" s="154">
        <f t="shared" si="335"/>
        <v>0</v>
      </c>
      <c r="K90" s="154">
        <f t="shared" si="335"/>
        <v>0</v>
      </c>
      <c r="L90" s="154">
        <f t="shared" si="335"/>
        <v>0</v>
      </c>
      <c r="M90" s="154">
        <f t="shared" si="335"/>
        <v>2252</v>
      </c>
      <c r="N90" s="154">
        <f t="shared" si="335"/>
        <v>0</v>
      </c>
      <c r="O90" s="154">
        <f t="shared" si="335"/>
        <v>0</v>
      </c>
      <c r="P90" s="81">
        <f t="shared" ref="P90:R90" si="336">IF(BI90=0,SUM(Y90+AB90+AE90+AH90+AK90+AN90+AQ90+AT90+AW90+AZ90+BC90+BF90),BI90)</f>
        <v>2815</v>
      </c>
      <c r="Q90" s="81">
        <f t="shared" si="336"/>
        <v>0</v>
      </c>
      <c r="R90" s="81">
        <f t="shared" si="336"/>
        <v>0</v>
      </c>
      <c r="S90" s="154">
        <f t="shared" ref="S90:U90" si="337">SUM(S92:S96)</f>
        <v>6193</v>
      </c>
      <c r="T90" s="154">
        <f t="shared" si="337"/>
        <v>0</v>
      </c>
      <c r="U90" s="154">
        <f t="shared" si="337"/>
        <v>0</v>
      </c>
      <c r="V90" s="193">
        <f t="shared" ref="V90:W90" si="338">M90/I90</f>
        <v>0.26666666666666666</v>
      </c>
      <c r="W90" s="193" t="e">
        <f t="shared" si="338"/>
        <v>#DIV/0!</v>
      </c>
      <c r="X90" s="193" t="e">
        <f t="shared" si="102"/>
        <v>#DIV/0!</v>
      </c>
      <c r="Y90" s="154">
        <f t="shared" ref="Y90:BK90" si="339">SUM(Y92:Y96)</f>
        <v>0</v>
      </c>
      <c r="Z90" s="154">
        <f t="shared" si="339"/>
        <v>0</v>
      </c>
      <c r="AA90" s="154">
        <f t="shared" si="339"/>
        <v>0</v>
      </c>
      <c r="AB90" s="154">
        <f t="shared" si="339"/>
        <v>0</v>
      </c>
      <c r="AC90" s="154">
        <f t="shared" si="339"/>
        <v>0</v>
      </c>
      <c r="AD90" s="154">
        <f t="shared" si="339"/>
        <v>0</v>
      </c>
      <c r="AE90" s="154">
        <f t="shared" si="339"/>
        <v>0</v>
      </c>
      <c r="AF90" s="154">
        <f t="shared" si="339"/>
        <v>0</v>
      </c>
      <c r="AG90" s="154">
        <f t="shared" si="339"/>
        <v>0</v>
      </c>
      <c r="AH90" s="154">
        <f t="shared" si="339"/>
        <v>0</v>
      </c>
      <c r="AI90" s="154">
        <f t="shared" si="339"/>
        <v>0</v>
      </c>
      <c r="AJ90" s="154">
        <f t="shared" si="339"/>
        <v>0</v>
      </c>
      <c r="AK90" s="154">
        <f t="shared" si="339"/>
        <v>0</v>
      </c>
      <c r="AL90" s="154">
        <f t="shared" si="339"/>
        <v>0</v>
      </c>
      <c r="AM90" s="154">
        <f t="shared" si="339"/>
        <v>0</v>
      </c>
      <c r="AN90" s="154">
        <f t="shared" si="339"/>
        <v>2815</v>
      </c>
      <c r="AO90" s="154">
        <f t="shared" si="339"/>
        <v>0</v>
      </c>
      <c r="AP90" s="154">
        <f t="shared" si="339"/>
        <v>0</v>
      </c>
      <c r="AQ90" s="154">
        <f t="shared" si="339"/>
        <v>0</v>
      </c>
      <c r="AR90" s="154">
        <f t="shared" si="339"/>
        <v>0</v>
      </c>
      <c r="AS90" s="154">
        <f t="shared" si="339"/>
        <v>0</v>
      </c>
      <c r="AT90" s="154">
        <f t="shared" si="339"/>
        <v>0</v>
      </c>
      <c r="AU90" s="154">
        <f t="shared" si="339"/>
        <v>0</v>
      </c>
      <c r="AV90" s="154">
        <f t="shared" si="339"/>
        <v>0</v>
      </c>
      <c r="AW90" s="154">
        <f t="shared" si="339"/>
        <v>0</v>
      </c>
      <c r="AX90" s="154">
        <f t="shared" si="339"/>
        <v>0</v>
      </c>
      <c r="AY90" s="154">
        <f t="shared" si="339"/>
        <v>0</v>
      </c>
      <c r="AZ90" s="154">
        <f t="shared" si="339"/>
        <v>0</v>
      </c>
      <c r="BA90" s="154">
        <f t="shared" si="339"/>
        <v>0</v>
      </c>
      <c r="BB90" s="154">
        <f t="shared" si="339"/>
        <v>0</v>
      </c>
      <c r="BC90" s="154">
        <f t="shared" si="339"/>
        <v>0</v>
      </c>
      <c r="BD90" s="154">
        <f t="shared" si="339"/>
        <v>0</v>
      </c>
      <c r="BE90" s="154">
        <f t="shared" si="339"/>
        <v>0</v>
      </c>
      <c r="BF90" s="154">
        <f t="shared" si="339"/>
        <v>0</v>
      </c>
      <c r="BG90" s="154">
        <f t="shared" si="339"/>
        <v>0</v>
      </c>
      <c r="BH90" s="154">
        <f t="shared" si="339"/>
        <v>0</v>
      </c>
      <c r="BI90" s="154">
        <f t="shared" si="339"/>
        <v>0</v>
      </c>
      <c r="BJ90" s="154">
        <f t="shared" si="339"/>
        <v>0</v>
      </c>
      <c r="BK90" s="154">
        <f t="shared" si="339"/>
        <v>0</v>
      </c>
      <c r="BL90" s="157"/>
      <c r="BM90" s="158"/>
      <c r="BN90" s="158"/>
      <c r="BO90" s="158"/>
      <c r="BP90" s="158"/>
    </row>
    <row r="91" spans="1:68" ht="15.75" customHeight="1">
      <c r="A91" s="168"/>
      <c r="B91" s="168"/>
      <c r="C91" s="169"/>
      <c r="D91" s="170" t="s">
        <v>328</v>
      </c>
      <c r="E91" s="171">
        <v>59491.34</v>
      </c>
      <c r="F91" s="172"/>
      <c r="G91" s="94"/>
      <c r="H91" s="94"/>
      <c r="I91" s="174"/>
      <c r="J91" s="174"/>
      <c r="K91" s="174"/>
      <c r="L91" s="174"/>
      <c r="M91" s="175"/>
      <c r="N91" s="175"/>
      <c r="O91" s="175"/>
      <c r="P91" s="82"/>
      <c r="Q91" s="82"/>
      <c r="R91" s="82"/>
      <c r="S91" s="175"/>
      <c r="T91" s="175"/>
      <c r="U91" s="175"/>
      <c r="V91" s="176"/>
      <c r="W91" s="176"/>
      <c r="X91" s="176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8"/>
      <c r="AO91" s="178"/>
      <c r="AP91" s="178"/>
      <c r="AQ91" s="178"/>
      <c r="AR91" s="178"/>
      <c r="AS91" s="178"/>
      <c r="AT91" s="178"/>
      <c r="AU91" s="178"/>
      <c r="AV91" s="178"/>
      <c r="AW91" s="178"/>
      <c r="AX91" s="178"/>
      <c r="AY91" s="178"/>
      <c r="AZ91" s="178"/>
      <c r="BA91" s="178"/>
      <c r="BB91" s="178"/>
      <c r="BC91" s="178"/>
      <c r="BD91" s="178"/>
      <c r="BE91" s="178"/>
      <c r="BF91" s="178"/>
      <c r="BG91" s="178"/>
      <c r="BH91" s="178"/>
      <c r="BI91" s="178"/>
      <c r="BJ91" s="178"/>
      <c r="BK91" s="178"/>
      <c r="BL91" s="180"/>
      <c r="BM91" s="181"/>
      <c r="BN91" s="181"/>
      <c r="BO91" s="181"/>
      <c r="BP91" s="181"/>
    </row>
    <row r="92" spans="1:68" ht="15.75" customHeight="1">
      <c r="A92" s="375" t="s">
        <v>765</v>
      </c>
      <c r="B92" s="197"/>
      <c r="C92" s="198" t="s">
        <v>165</v>
      </c>
      <c r="D92" s="199" t="s">
        <v>766</v>
      </c>
      <c r="E92" s="200">
        <v>10000</v>
      </c>
      <c r="F92" s="172"/>
      <c r="G92" s="94">
        <f>I92/E92</f>
        <v>0.84450000000000003</v>
      </c>
      <c r="H92" s="94">
        <f>M92/E92</f>
        <v>0.22520000000000001</v>
      </c>
      <c r="I92" s="366">
        <f>563+2252+5630</f>
        <v>8445</v>
      </c>
      <c r="J92" s="174"/>
      <c r="K92" s="174"/>
      <c r="L92" s="174"/>
      <c r="M92" s="175">
        <f t="shared" ref="M92:O92" si="340">Y92+AB92+AE92+AH92+AK92+AN92+AQ92+AT92+AW92+AZ92+BC92+BF92</f>
        <v>2252</v>
      </c>
      <c r="N92" s="175">
        <f t="shared" si="340"/>
        <v>0</v>
      </c>
      <c r="O92" s="175">
        <f t="shared" si="340"/>
        <v>0</v>
      </c>
      <c r="P92" s="82">
        <f t="shared" ref="P92:R92" si="341">IF(BI92=0,SUM(Y92+AB92+AE92+AH92+AK92+AN92+AQ92+AT92+AW92+AZ92+BC92+BF92),BI92)</f>
        <v>2252</v>
      </c>
      <c r="Q92" s="82">
        <f t="shared" si="341"/>
        <v>0</v>
      </c>
      <c r="R92" s="82">
        <f t="shared" si="341"/>
        <v>0</v>
      </c>
      <c r="S92" s="175">
        <f t="shared" ref="S92:T92" si="342">I92-M92</f>
        <v>6193</v>
      </c>
      <c r="T92" s="175">
        <f t="shared" si="342"/>
        <v>0</v>
      </c>
      <c r="U92" s="175">
        <f>L92-O92</f>
        <v>0</v>
      </c>
      <c r="V92" s="176">
        <f t="shared" ref="V92:W92" si="343">M92/I92</f>
        <v>0.26666666666666666</v>
      </c>
      <c r="W92" s="176" t="e">
        <f t="shared" si="343"/>
        <v>#DIV/0!</v>
      </c>
      <c r="X92" s="176" t="e">
        <f>O92/L92</f>
        <v>#DIV/0!</v>
      </c>
      <c r="Y92" s="172"/>
      <c r="Z92" s="172"/>
      <c r="AA92" s="172"/>
      <c r="AB92" s="172"/>
      <c r="AC92" s="172"/>
      <c r="AD92" s="172"/>
      <c r="AE92" s="172"/>
      <c r="AF92" s="171">
        <v>0</v>
      </c>
      <c r="AG92" s="172"/>
      <c r="AH92" s="172"/>
      <c r="AI92" s="171">
        <v>0</v>
      </c>
      <c r="AJ92" s="172"/>
      <c r="AK92" s="172"/>
      <c r="AL92" s="171">
        <v>0</v>
      </c>
      <c r="AM92" s="172"/>
      <c r="AN92" s="178">
        <f>2252</f>
        <v>2252</v>
      </c>
      <c r="AO92" s="201">
        <v>0</v>
      </c>
      <c r="AP92" s="178"/>
      <c r="AQ92" s="178"/>
      <c r="AR92" s="178"/>
      <c r="AS92" s="178"/>
      <c r="AT92" s="178"/>
      <c r="AU92" s="178"/>
      <c r="AV92" s="178"/>
      <c r="AW92" s="178"/>
      <c r="AX92" s="178"/>
      <c r="AY92" s="178"/>
      <c r="AZ92" s="178"/>
      <c r="BA92" s="178"/>
      <c r="BB92" s="178"/>
      <c r="BC92" s="178"/>
      <c r="BD92" s="178"/>
      <c r="BE92" s="178"/>
      <c r="BF92" s="178"/>
      <c r="BG92" s="178"/>
      <c r="BH92" s="178"/>
      <c r="BI92" s="178"/>
      <c r="BJ92" s="178"/>
      <c r="BK92" s="178"/>
      <c r="BL92" s="180"/>
      <c r="BM92" s="181"/>
      <c r="BN92" s="181"/>
      <c r="BO92" s="181"/>
      <c r="BP92" s="181"/>
    </row>
    <row r="93" spans="1:68" ht="15.75" customHeight="1">
      <c r="A93" s="136"/>
      <c r="B93" s="136"/>
      <c r="C93" s="90" t="s">
        <v>165</v>
      </c>
      <c r="D93" s="122" t="s">
        <v>330</v>
      </c>
      <c r="E93" s="147"/>
      <c r="F93" s="147">
        <v>0</v>
      </c>
      <c r="G93" s="94"/>
      <c r="H93" s="94"/>
      <c r="I93" s="202"/>
      <c r="J93" s="203"/>
      <c r="K93" s="203"/>
      <c r="L93" s="145"/>
      <c r="M93" s="97"/>
      <c r="N93" s="97"/>
      <c r="O93" s="97"/>
      <c r="P93" s="82">
        <f t="shared" ref="P93:Q93" si="344">IF(BI93=0,SUM(Y93+AB93+AE93+AH93+AK93+AN93+AQ93+AT93+AW93+AZ93+BC93+BF93),BI93)</f>
        <v>0</v>
      </c>
      <c r="Q93" s="82">
        <f t="shared" si="344"/>
        <v>0</v>
      </c>
      <c r="R93" s="82"/>
      <c r="S93" s="97"/>
      <c r="T93" s="97"/>
      <c r="U93" s="97"/>
      <c r="V93" s="98"/>
      <c r="W93" s="98"/>
      <c r="X93" s="98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103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99"/>
      <c r="BM93" s="100"/>
      <c r="BN93" s="100"/>
      <c r="BO93" s="100"/>
      <c r="BP93" s="100"/>
    </row>
    <row r="94" spans="1:68" ht="15.75" customHeight="1">
      <c r="A94" s="89"/>
      <c r="B94" s="136"/>
      <c r="C94" s="90" t="s">
        <v>240</v>
      </c>
      <c r="D94" s="122" t="s">
        <v>331</v>
      </c>
      <c r="E94" s="147"/>
      <c r="F94" s="195">
        <v>21041.95</v>
      </c>
      <c r="G94" s="94"/>
      <c r="H94" s="94"/>
      <c r="I94" s="368">
        <v>0</v>
      </c>
      <c r="J94" s="203"/>
      <c r="K94" s="203"/>
      <c r="L94" s="204"/>
      <c r="M94" s="97"/>
      <c r="N94" s="97"/>
      <c r="O94" s="97"/>
      <c r="P94" s="82">
        <f t="shared" ref="P94:Q94" si="345">IF(BI94=0,SUM(Y94+AB94+AE94+AH94+AK94+AN94+AQ94+AT94+AW94+AZ94+BC94+BF94),BI94)</f>
        <v>563</v>
      </c>
      <c r="Q94" s="82">
        <f t="shared" si="345"/>
        <v>0</v>
      </c>
      <c r="R94" s="82"/>
      <c r="S94" s="97"/>
      <c r="T94" s="97"/>
      <c r="U94" s="97"/>
      <c r="V94" s="98"/>
      <c r="W94" s="98"/>
      <c r="X94" s="98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103">
        <f>563</f>
        <v>563</v>
      </c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99"/>
      <c r="BM94" s="100"/>
      <c r="BN94" s="100"/>
      <c r="BO94" s="100"/>
      <c r="BP94" s="100"/>
    </row>
    <row r="95" spans="1:68" ht="15.75" customHeight="1">
      <c r="A95" s="89"/>
      <c r="B95" s="89"/>
      <c r="C95" s="90" t="s">
        <v>332</v>
      </c>
      <c r="D95" s="91" t="s">
        <v>333</v>
      </c>
      <c r="E95" s="166"/>
      <c r="F95" s="166"/>
      <c r="G95" s="94" t="e">
        <f t="shared" ref="G95:G117" si="346">I95/E95</f>
        <v>#DIV/0!</v>
      </c>
      <c r="H95" s="94" t="e">
        <f t="shared" ref="H95:H117" si="347">M95/E95</f>
        <v>#DIV/0!</v>
      </c>
      <c r="I95" s="96"/>
      <c r="J95" s="96"/>
      <c r="K95" s="96"/>
      <c r="L95" s="96"/>
      <c r="M95" s="97">
        <f t="shared" ref="M95:O95" si="348">Y95+AB95+AE95+AH95+AK95+AN95+AQ95+AT95+AW95+AZ95+BC95+BF95</f>
        <v>0</v>
      </c>
      <c r="N95" s="97">
        <f t="shared" si="348"/>
        <v>0</v>
      </c>
      <c r="O95" s="97">
        <f t="shared" si="348"/>
        <v>0</v>
      </c>
      <c r="P95" s="82">
        <f t="shared" ref="P95:R95" si="349">IF(BI95=0,SUM(Y95+AB95+AE95+AH95+AK95+AN95+AQ95+AT95+AW95+AZ95+BC95+BF95),BI95)</f>
        <v>0</v>
      </c>
      <c r="Q95" s="82">
        <f t="shared" si="349"/>
        <v>0</v>
      </c>
      <c r="R95" s="82">
        <f t="shared" si="349"/>
        <v>0</v>
      </c>
      <c r="S95" s="97">
        <f t="shared" ref="S95:T95" si="350">I95-M95</f>
        <v>0</v>
      </c>
      <c r="T95" s="97">
        <f t="shared" si="350"/>
        <v>0</v>
      </c>
      <c r="U95" s="97">
        <f t="shared" ref="U95:U96" si="351">L95-O95</f>
        <v>0</v>
      </c>
      <c r="V95" s="98" t="e">
        <f t="shared" ref="V95:W95" si="352">M95/I95</f>
        <v>#DIV/0!</v>
      </c>
      <c r="W95" s="98" t="e">
        <f t="shared" si="352"/>
        <v>#DIV/0!</v>
      </c>
      <c r="X95" s="98" t="e">
        <f t="shared" ref="X95:X103" si="353">O95/L95</f>
        <v>#DIV/0!</v>
      </c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9"/>
      <c r="BM95" s="100"/>
      <c r="BN95" s="100"/>
      <c r="BO95" s="100"/>
      <c r="BP95" s="100"/>
    </row>
    <row r="96" spans="1:68" ht="15.75" customHeight="1">
      <c r="A96" s="89"/>
      <c r="B96" s="89"/>
      <c r="C96" s="90" t="s">
        <v>161</v>
      </c>
      <c r="D96" s="91" t="s">
        <v>317</v>
      </c>
      <c r="E96" s="166"/>
      <c r="F96" s="166"/>
      <c r="G96" s="94" t="e">
        <f t="shared" si="346"/>
        <v>#DIV/0!</v>
      </c>
      <c r="H96" s="94" t="e">
        <f t="shared" si="347"/>
        <v>#DIV/0!</v>
      </c>
      <c r="I96" s="96"/>
      <c r="J96" s="96"/>
      <c r="K96" s="96"/>
      <c r="L96" s="96"/>
      <c r="M96" s="97">
        <f t="shared" ref="M96:O96" si="354">Y96+AB96+AE96+AH96+AK96+AN96+AQ96+AT96+AW96+AZ96+BC96+BF96</f>
        <v>0</v>
      </c>
      <c r="N96" s="97">
        <f t="shared" si="354"/>
        <v>0</v>
      </c>
      <c r="O96" s="97">
        <f t="shared" si="354"/>
        <v>0</v>
      </c>
      <c r="P96" s="82">
        <f t="shared" ref="P96:R96" si="355">IF(BI96=0,SUM(Y96+AB96+AE96+AH96+AK96+AN96+AQ96+AT96+AW96+AZ96+BC96+BF96),BI96)</f>
        <v>0</v>
      </c>
      <c r="Q96" s="82">
        <f t="shared" si="355"/>
        <v>0</v>
      </c>
      <c r="R96" s="82">
        <f t="shared" si="355"/>
        <v>0</v>
      </c>
      <c r="S96" s="97">
        <f t="shared" ref="S96:T96" si="356">I96-M96</f>
        <v>0</v>
      </c>
      <c r="T96" s="97">
        <f t="shared" si="356"/>
        <v>0</v>
      </c>
      <c r="U96" s="97">
        <f t="shared" si="351"/>
        <v>0</v>
      </c>
      <c r="V96" s="98" t="e">
        <f t="shared" ref="V96:W96" si="357">M96/I96</f>
        <v>#DIV/0!</v>
      </c>
      <c r="W96" s="98" t="e">
        <f t="shared" si="357"/>
        <v>#DIV/0!</v>
      </c>
      <c r="X96" s="98" t="e">
        <f t="shared" si="353"/>
        <v>#DIV/0!</v>
      </c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9"/>
      <c r="BM96" s="100"/>
      <c r="BN96" s="100"/>
      <c r="BO96" s="100"/>
      <c r="BP96" s="100"/>
    </row>
    <row r="97" spans="1:68" ht="15.75" customHeight="1">
      <c r="A97" s="86"/>
      <c r="B97" s="86"/>
      <c r="C97" s="86" t="s">
        <v>334</v>
      </c>
      <c r="D97" s="86"/>
      <c r="E97" s="87">
        <f t="shared" ref="E97:F97" si="358">E98+E115+E120+E146+E151+E155</f>
        <v>273274.02</v>
      </c>
      <c r="F97" s="87">
        <f t="shared" si="358"/>
        <v>1188871.01</v>
      </c>
      <c r="G97" s="107">
        <f t="shared" si="346"/>
        <v>2.9274612346976854</v>
      </c>
      <c r="H97" s="107">
        <f t="shared" si="347"/>
        <v>0.55041573289696544</v>
      </c>
      <c r="I97" s="87">
        <f t="shared" ref="I97:O97" si="359">I98+I115+I120+I146+I151+I155</f>
        <v>799999.1</v>
      </c>
      <c r="J97" s="87">
        <f t="shared" si="359"/>
        <v>751131.49</v>
      </c>
      <c r="K97" s="87">
        <f t="shared" si="359"/>
        <v>14193.02</v>
      </c>
      <c r="L97" s="87">
        <f t="shared" si="359"/>
        <v>4906.54</v>
      </c>
      <c r="M97" s="87">
        <f t="shared" si="359"/>
        <v>150414.32</v>
      </c>
      <c r="N97" s="87">
        <f t="shared" si="359"/>
        <v>515513</v>
      </c>
      <c r="O97" s="87">
        <f t="shared" si="359"/>
        <v>0</v>
      </c>
      <c r="P97" s="87">
        <f t="shared" ref="P97:R97" si="360">IF(BI97=0,SUM(Y97+AB97+AE97+AH97+AK97+AN97+AQ97+AT97+AW97+AZ97+BC97+BF97),BI97)</f>
        <v>150414.32</v>
      </c>
      <c r="Q97" s="87">
        <f t="shared" si="360"/>
        <v>515513.00000000006</v>
      </c>
      <c r="R97" s="87">
        <f t="shared" si="360"/>
        <v>0</v>
      </c>
      <c r="S97" s="87">
        <f t="shared" ref="S97:U97" si="361">S98+S115+S120+S146+S151+S155</f>
        <v>649584.78</v>
      </c>
      <c r="T97" s="87">
        <f t="shared" si="361"/>
        <v>221425.47</v>
      </c>
      <c r="U97" s="87">
        <f t="shared" si="361"/>
        <v>4906.54</v>
      </c>
      <c r="V97" s="88">
        <f t="shared" ref="V97:W97" si="362">M97/I97</f>
        <v>0.18801811152037548</v>
      </c>
      <c r="W97" s="88">
        <f t="shared" si="362"/>
        <v>0.68631525486969003</v>
      </c>
      <c r="X97" s="88">
        <f t="shared" si="353"/>
        <v>0</v>
      </c>
      <c r="Y97" s="87">
        <f t="shared" ref="Y97:BK97" si="363">Y98+Y115+Y120+Y146+Y151+Y155</f>
        <v>0</v>
      </c>
      <c r="Z97" s="87">
        <f t="shared" si="363"/>
        <v>53060</v>
      </c>
      <c r="AA97" s="87">
        <f t="shared" si="363"/>
        <v>0</v>
      </c>
      <c r="AB97" s="87">
        <f t="shared" si="363"/>
        <v>0</v>
      </c>
      <c r="AC97" s="87">
        <f t="shared" si="363"/>
        <v>61206.74</v>
      </c>
      <c r="AD97" s="87">
        <f t="shared" si="363"/>
        <v>0</v>
      </c>
      <c r="AE97" s="87">
        <f t="shared" si="363"/>
        <v>0</v>
      </c>
      <c r="AF97" s="87">
        <f t="shared" si="363"/>
        <v>63661.509999999995</v>
      </c>
      <c r="AG97" s="87">
        <f t="shared" si="363"/>
        <v>0</v>
      </c>
      <c r="AH97" s="87">
        <f t="shared" si="363"/>
        <v>0</v>
      </c>
      <c r="AI97" s="87">
        <f t="shared" si="363"/>
        <v>166468.45000000001</v>
      </c>
      <c r="AJ97" s="87">
        <f t="shared" si="363"/>
        <v>0</v>
      </c>
      <c r="AK97" s="87">
        <f t="shared" si="363"/>
        <v>0</v>
      </c>
      <c r="AL97" s="87">
        <f t="shared" si="363"/>
        <v>54407.4</v>
      </c>
      <c r="AM97" s="87">
        <f t="shared" si="363"/>
        <v>0</v>
      </c>
      <c r="AN97" s="87">
        <f t="shared" si="363"/>
        <v>38792.769999999997</v>
      </c>
      <c r="AO97" s="87">
        <f t="shared" si="363"/>
        <v>100282.97</v>
      </c>
      <c r="AP97" s="87">
        <f t="shared" si="363"/>
        <v>0</v>
      </c>
      <c r="AQ97" s="87">
        <f t="shared" si="363"/>
        <v>111621.55</v>
      </c>
      <c r="AR97" s="87">
        <f t="shared" si="363"/>
        <v>16425.93</v>
      </c>
      <c r="AS97" s="87">
        <f t="shared" si="363"/>
        <v>0</v>
      </c>
      <c r="AT97" s="87">
        <f t="shared" si="363"/>
        <v>0</v>
      </c>
      <c r="AU97" s="87">
        <f t="shared" si="363"/>
        <v>0</v>
      </c>
      <c r="AV97" s="87">
        <f t="shared" si="363"/>
        <v>0</v>
      </c>
      <c r="AW97" s="87">
        <f t="shared" si="363"/>
        <v>0</v>
      </c>
      <c r="AX97" s="87">
        <f t="shared" si="363"/>
        <v>0</v>
      </c>
      <c r="AY97" s="87">
        <f t="shared" si="363"/>
        <v>0</v>
      </c>
      <c r="AZ97" s="87">
        <f t="shared" si="363"/>
        <v>0</v>
      </c>
      <c r="BA97" s="87">
        <f t="shared" si="363"/>
        <v>0</v>
      </c>
      <c r="BB97" s="87">
        <f t="shared" si="363"/>
        <v>0</v>
      </c>
      <c r="BC97" s="87">
        <f t="shared" si="363"/>
        <v>0</v>
      </c>
      <c r="BD97" s="87">
        <f t="shared" si="363"/>
        <v>0</v>
      </c>
      <c r="BE97" s="87">
        <f t="shared" si="363"/>
        <v>0</v>
      </c>
      <c r="BF97" s="87">
        <f t="shared" si="363"/>
        <v>0</v>
      </c>
      <c r="BG97" s="87">
        <f t="shared" si="363"/>
        <v>0</v>
      </c>
      <c r="BH97" s="87">
        <f t="shared" si="363"/>
        <v>0</v>
      </c>
      <c r="BI97" s="87">
        <f t="shared" si="363"/>
        <v>0</v>
      </c>
      <c r="BJ97" s="87">
        <f t="shared" si="363"/>
        <v>0</v>
      </c>
      <c r="BK97" s="87">
        <f t="shared" si="363"/>
        <v>0</v>
      </c>
      <c r="BL97" s="149"/>
      <c r="BM97" s="150"/>
      <c r="BN97" s="150"/>
      <c r="BO97" s="150"/>
      <c r="BP97" s="150"/>
    </row>
    <row r="98" spans="1:68" ht="15.75" customHeight="1">
      <c r="A98" s="151"/>
      <c r="B98" s="151"/>
      <c r="C98" s="152"/>
      <c r="D98" s="153" t="s">
        <v>302</v>
      </c>
      <c r="E98" s="154">
        <f t="shared" ref="E98:F98" si="364">SUM(E99:E114)</f>
        <v>97800</v>
      </c>
      <c r="F98" s="154">
        <f t="shared" si="364"/>
        <v>10000</v>
      </c>
      <c r="G98" s="192">
        <f t="shared" si="346"/>
        <v>0.86464212678936603</v>
      </c>
      <c r="H98" s="192">
        <f t="shared" si="347"/>
        <v>0.14752760736196319</v>
      </c>
      <c r="I98" s="154">
        <f t="shared" ref="I98:O98" si="365">SUM(I99:I114)</f>
        <v>84562</v>
      </c>
      <c r="J98" s="154">
        <f t="shared" si="365"/>
        <v>75763.899999999994</v>
      </c>
      <c r="K98" s="154">
        <f t="shared" si="365"/>
        <v>0</v>
      </c>
      <c r="L98" s="154">
        <f t="shared" si="365"/>
        <v>0</v>
      </c>
      <c r="M98" s="154">
        <f t="shared" si="365"/>
        <v>14428.2</v>
      </c>
      <c r="N98" s="154">
        <f t="shared" si="365"/>
        <v>57411.360000000001</v>
      </c>
      <c r="O98" s="154">
        <f t="shared" si="365"/>
        <v>0</v>
      </c>
      <c r="P98" s="81">
        <f t="shared" ref="P98:R98" si="366">IF(BI98=0,SUM(Y98+AB98+AE98+AH98+AK98+AN98+AQ98+AT98+AW98+AZ98+BC98+BF98),BI98)</f>
        <v>14428.2</v>
      </c>
      <c r="Q98" s="81">
        <f t="shared" si="366"/>
        <v>57411.360000000001</v>
      </c>
      <c r="R98" s="81">
        <f t="shared" si="366"/>
        <v>0</v>
      </c>
      <c r="S98" s="154">
        <f t="shared" ref="S98:U98" si="367">SUM(S99:S114)</f>
        <v>70133.8</v>
      </c>
      <c r="T98" s="154">
        <f t="shared" si="367"/>
        <v>18352.54</v>
      </c>
      <c r="U98" s="154">
        <f t="shared" si="367"/>
        <v>0</v>
      </c>
      <c r="V98" s="193">
        <f t="shared" ref="V98:W98" si="368">M98/I98</f>
        <v>0.17062273834582911</v>
      </c>
      <c r="W98" s="193">
        <f t="shared" si="368"/>
        <v>0.75776669363641525</v>
      </c>
      <c r="X98" s="193" t="e">
        <f t="shared" si="353"/>
        <v>#DIV/0!</v>
      </c>
      <c r="Y98" s="154">
        <f t="shared" ref="Y98:BK98" si="369">SUM(Y99:Y114)</f>
        <v>0</v>
      </c>
      <c r="Z98" s="154">
        <f t="shared" si="369"/>
        <v>52560</v>
      </c>
      <c r="AA98" s="154">
        <f t="shared" si="369"/>
        <v>0</v>
      </c>
      <c r="AB98" s="154">
        <f t="shared" si="369"/>
        <v>0</v>
      </c>
      <c r="AC98" s="154">
        <f t="shared" si="369"/>
        <v>0</v>
      </c>
      <c r="AD98" s="154">
        <f t="shared" si="369"/>
        <v>0</v>
      </c>
      <c r="AE98" s="154">
        <f t="shared" si="369"/>
        <v>0</v>
      </c>
      <c r="AF98" s="154">
        <f t="shared" si="369"/>
        <v>0</v>
      </c>
      <c r="AG98" s="154">
        <f t="shared" si="369"/>
        <v>0</v>
      </c>
      <c r="AH98" s="154">
        <f t="shared" si="369"/>
        <v>0</v>
      </c>
      <c r="AI98" s="154">
        <f t="shared" si="369"/>
        <v>0</v>
      </c>
      <c r="AJ98" s="154">
        <f t="shared" si="369"/>
        <v>0</v>
      </c>
      <c r="AK98" s="154">
        <f t="shared" si="369"/>
        <v>0</v>
      </c>
      <c r="AL98" s="154">
        <f t="shared" si="369"/>
        <v>3207</v>
      </c>
      <c r="AM98" s="154">
        <f t="shared" si="369"/>
        <v>0</v>
      </c>
      <c r="AN98" s="154">
        <f t="shared" si="369"/>
        <v>6922.2</v>
      </c>
      <c r="AO98" s="154">
        <f t="shared" si="369"/>
        <v>0</v>
      </c>
      <c r="AP98" s="154">
        <f t="shared" si="369"/>
        <v>0</v>
      </c>
      <c r="AQ98" s="154">
        <f t="shared" si="369"/>
        <v>7506</v>
      </c>
      <c r="AR98" s="154">
        <f t="shared" si="369"/>
        <v>1644.36</v>
      </c>
      <c r="AS98" s="154">
        <f t="shared" si="369"/>
        <v>0</v>
      </c>
      <c r="AT98" s="154">
        <f t="shared" si="369"/>
        <v>0</v>
      </c>
      <c r="AU98" s="154">
        <f t="shared" si="369"/>
        <v>0</v>
      </c>
      <c r="AV98" s="154">
        <f t="shared" si="369"/>
        <v>0</v>
      </c>
      <c r="AW98" s="154">
        <f t="shared" si="369"/>
        <v>0</v>
      </c>
      <c r="AX98" s="154">
        <f t="shared" si="369"/>
        <v>0</v>
      </c>
      <c r="AY98" s="154">
        <f t="shared" si="369"/>
        <v>0</v>
      </c>
      <c r="AZ98" s="154">
        <f t="shared" si="369"/>
        <v>0</v>
      </c>
      <c r="BA98" s="154">
        <f t="shared" si="369"/>
        <v>0</v>
      </c>
      <c r="BB98" s="154">
        <f t="shared" si="369"/>
        <v>0</v>
      </c>
      <c r="BC98" s="154">
        <f t="shared" si="369"/>
        <v>0</v>
      </c>
      <c r="BD98" s="154">
        <f t="shared" si="369"/>
        <v>0</v>
      </c>
      <c r="BE98" s="154">
        <f t="shared" si="369"/>
        <v>0</v>
      </c>
      <c r="BF98" s="154">
        <f t="shared" si="369"/>
        <v>0</v>
      </c>
      <c r="BG98" s="154">
        <f t="shared" si="369"/>
        <v>0</v>
      </c>
      <c r="BH98" s="154">
        <f t="shared" si="369"/>
        <v>0</v>
      </c>
      <c r="BI98" s="154">
        <f t="shared" si="369"/>
        <v>0</v>
      </c>
      <c r="BJ98" s="154">
        <f t="shared" si="369"/>
        <v>0</v>
      </c>
      <c r="BK98" s="154">
        <f t="shared" si="369"/>
        <v>0</v>
      </c>
      <c r="BL98" s="157"/>
      <c r="BM98" s="158"/>
      <c r="BN98" s="158"/>
      <c r="BO98" s="158"/>
      <c r="BP98" s="158"/>
    </row>
    <row r="99" spans="1:68" ht="15.75" customHeight="1">
      <c r="A99" s="89" t="s">
        <v>516</v>
      </c>
      <c r="B99" s="205"/>
      <c r="C99" s="90" t="s">
        <v>200</v>
      </c>
      <c r="D99" s="91" t="s">
        <v>201</v>
      </c>
      <c r="E99" s="166">
        <v>4500</v>
      </c>
      <c r="F99" s="166"/>
      <c r="G99" s="94">
        <f t="shared" si="346"/>
        <v>1</v>
      </c>
      <c r="H99" s="94">
        <f t="shared" si="347"/>
        <v>0</v>
      </c>
      <c r="I99" s="96">
        <v>4500</v>
      </c>
      <c r="J99" s="96"/>
      <c r="K99" s="96"/>
      <c r="L99" s="96"/>
      <c r="M99" s="97">
        <f t="shared" ref="M99:O99" si="370">Y99+AB99+AE99+AH99+AK99+AN99+AQ99+AT99+AW99+AZ99+BC99+BF99</f>
        <v>0</v>
      </c>
      <c r="N99" s="97">
        <f t="shared" si="370"/>
        <v>0</v>
      </c>
      <c r="O99" s="97">
        <f t="shared" si="370"/>
        <v>0</v>
      </c>
      <c r="P99" s="97">
        <f t="shared" ref="P99:R99" si="371">IF(BI99=0,SUM(Y99+AB99+AE99+AH99+AK99+AN99+AQ99+AT99+AW99+AZ99+BC99+BF99),BI99)</f>
        <v>0</v>
      </c>
      <c r="Q99" s="97">
        <f t="shared" si="371"/>
        <v>0</v>
      </c>
      <c r="R99" s="97">
        <f t="shared" si="371"/>
        <v>0</v>
      </c>
      <c r="S99" s="97">
        <f t="shared" ref="S99:T99" si="372">I99-M99</f>
        <v>4500</v>
      </c>
      <c r="T99" s="97">
        <f t="shared" si="372"/>
        <v>0</v>
      </c>
      <c r="U99" s="97">
        <f t="shared" ref="U99:U114" si="373">L99-O99</f>
        <v>0</v>
      </c>
      <c r="V99" s="98">
        <f t="shared" ref="V99:W99" si="374">M99/I99</f>
        <v>0</v>
      </c>
      <c r="W99" s="98" t="e">
        <f t="shared" si="374"/>
        <v>#DIV/0!</v>
      </c>
      <c r="X99" s="98" t="e">
        <f t="shared" si="353"/>
        <v>#DIV/0!</v>
      </c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9"/>
      <c r="BM99" s="100"/>
      <c r="BN99" s="100"/>
      <c r="BO99" s="100"/>
      <c r="BP99" s="100"/>
    </row>
    <row r="100" spans="1:68" ht="15.75" customHeight="1">
      <c r="A100" s="89" t="s">
        <v>517</v>
      </c>
      <c r="B100" s="205"/>
      <c r="C100" s="90" t="s">
        <v>335</v>
      </c>
      <c r="D100" s="91" t="s">
        <v>336</v>
      </c>
      <c r="E100" s="166">
        <v>2500</v>
      </c>
      <c r="F100" s="166"/>
      <c r="G100" s="94">
        <f t="shared" si="346"/>
        <v>1</v>
      </c>
      <c r="H100" s="94">
        <f t="shared" si="347"/>
        <v>0</v>
      </c>
      <c r="I100" s="96">
        <v>2500</v>
      </c>
      <c r="J100" s="96"/>
      <c r="K100" s="96"/>
      <c r="L100" s="96"/>
      <c r="M100" s="97">
        <f t="shared" ref="M100:O100" si="375">Y100+AB100+AE100+AH100+AK100+AN100+AQ100+AT100+AW100+AZ100+BC100+BF100</f>
        <v>0</v>
      </c>
      <c r="N100" s="97">
        <f t="shared" si="375"/>
        <v>0</v>
      </c>
      <c r="O100" s="97">
        <f t="shared" si="375"/>
        <v>0</v>
      </c>
      <c r="P100" s="97">
        <f t="shared" ref="P100:R100" si="376">IF(BI100=0,SUM(Y100+AB100+AE100+AH100+AK100+AN100+AQ100+AT100+AW100+AZ100+BC100+BF100),BI100)</f>
        <v>0</v>
      </c>
      <c r="Q100" s="97">
        <f t="shared" si="376"/>
        <v>0</v>
      </c>
      <c r="R100" s="97">
        <f t="shared" si="376"/>
        <v>0</v>
      </c>
      <c r="S100" s="97">
        <f t="shared" ref="S100:T100" si="377">I100-M100</f>
        <v>2500</v>
      </c>
      <c r="T100" s="97">
        <f t="shared" si="377"/>
        <v>0</v>
      </c>
      <c r="U100" s="97">
        <f t="shared" si="373"/>
        <v>0</v>
      </c>
      <c r="V100" s="98">
        <f t="shared" ref="V100:W100" si="378">M100/I100</f>
        <v>0</v>
      </c>
      <c r="W100" s="98" t="e">
        <f t="shared" si="378"/>
        <v>#DIV/0!</v>
      </c>
      <c r="X100" s="98" t="e">
        <f t="shared" si="353"/>
        <v>#DIV/0!</v>
      </c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9"/>
      <c r="BM100" s="100"/>
      <c r="BN100" s="100"/>
      <c r="BO100" s="100"/>
      <c r="BP100" s="100"/>
    </row>
    <row r="101" spans="1:68" ht="15.75" customHeight="1">
      <c r="A101" s="89"/>
      <c r="B101" s="206"/>
      <c r="C101" s="90" t="s">
        <v>213</v>
      </c>
      <c r="D101" s="91" t="s">
        <v>74</v>
      </c>
      <c r="E101" s="166"/>
      <c r="F101" s="166"/>
      <c r="G101" s="94" t="e">
        <f t="shared" si="346"/>
        <v>#DIV/0!</v>
      </c>
      <c r="H101" s="94" t="e">
        <f t="shared" si="347"/>
        <v>#DIV/0!</v>
      </c>
      <c r="I101" s="96"/>
      <c r="J101" s="96"/>
      <c r="K101" s="96"/>
      <c r="L101" s="96"/>
      <c r="M101" s="97">
        <f t="shared" ref="M101:O101" si="379">Y101+AB101+AE101+AH101+AK101+AN101+AQ101+AT101+AW101+AZ101+BC101+BF101</f>
        <v>0</v>
      </c>
      <c r="N101" s="97">
        <f t="shared" si="379"/>
        <v>0</v>
      </c>
      <c r="O101" s="97">
        <f t="shared" si="379"/>
        <v>0</v>
      </c>
      <c r="P101" s="97">
        <f t="shared" ref="P101:R101" si="380">IF(BI101=0,SUM(Y101+AB101+AE101+AH101+AK101+AN101+AQ101+AT101+AW101+AZ101+BC101+BF101),BI101)</f>
        <v>0</v>
      </c>
      <c r="Q101" s="97">
        <f t="shared" si="380"/>
        <v>0</v>
      </c>
      <c r="R101" s="97">
        <f t="shared" si="380"/>
        <v>0</v>
      </c>
      <c r="S101" s="97">
        <f t="shared" ref="S101:T101" si="381">I101-M101</f>
        <v>0</v>
      </c>
      <c r="T101" s="97">
        <f t="shared" si="381"/>
        <v>0</v>
      </c>
      <c r="U101" s="97">
        <f t="shared" si="373"/>
        <v>0</v>
      </c>
      <c r="V101" s="98" t="e">
        <f t="shared" ref="V101:W101" si="382">M101/I101</f>
        <v>#DIV/0!</v>
      </c>
      <c r="W101" s="98" t="e">
        <f t="shared" si="382"/>
        <v>#DIV/0!</v>
      </c>
      <c r="X101" s="98" t="e">
        <f t="shared" si="353"/>
        <v>#DIV/0!</v>
      </c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9"/>
      <c r="BM101" s="100"/>
      <c r="BN101" s="100"/>
      <c r="BO101" s="100"/>
      <c r="BP101" s="100"/>
    </row>
    <row r="102" spans="1:68" ht="15.75" customHeight="1">
      <c r="A102" s="89"/>
      <c r="B102" s="206"/>
      <c r="C102" s="90"/>
      <c r="D102" s="207" t="s">
        <v>767</v>
      </c>
      <c r="E102" s="208"/>
      <c r="F102" s="208"/>
      <c r="G102" s="94" t="e">
        <f t="shared" si="346"/>
        <v>#DIV/0!</v>
      </c>
      <c r="H102" s="94" t="e">
        <f t="shared" si="347"/>
        <v>#DIV/0!</v>
      </c>
      <c r="I102" s="202"/>
      <c r="J102" s="204"/>
      <c r="K102" s="204"/>
      <c r="L102" s="202"/>
      <c r="M102" s="97">
        <f t="shared" ref="M102:O102" si="383">Y102+AB102+AE102+AH102+AK102+AN102+AQ102+AT102+AW102+AZ102+BC102+BF102</f>
        <v>0</v>
      </c>
      <c r="N102" s="97">
        <f t="shared" si="383"/>
        <v>0</v>
      </c>
      <c r="O102" s="97">
        <f t="shared" si="383"/>
        <v>0</v>
      </c>
      <c r="P102" s="97">
        <f t="shared" ref="P102:R102" si="384">IF(BI102=0,SUM(Y102+AB102+AE102+AH102+AK102+AN102+AQ102+AT102+AW102+AZ102+BC102+BF102),BI102)</f>
        <v>0</v>
      </c>
      <c r="Q102" s="97">
        <f t="shared" si="384"/>
        <v>0</v>
      </c>
      <c r="R102" s="97">
        <f t="shared" si="384"/>
        <v>0</v>
      </c>
      <c r="S102" s="97">
        <f t="shared" ref="S102:T102" si="385">I102-M102</f>
        <v>0</v>
      </c>
      <c r="T102" s="97">
        <f t="shared" si="385"/>
        <v>0</v>
      </c>
      <c r="U102" s="97">
        <f t="shared" si="373"/>
        <v>0</v>
      </c>
      <c r="V102" s="98" t="e">
        <f t="shared" ref="V102:W102" si="386">M102/I102</f>
        <v>#DIV/0!</v>
      </c>
      <c r="W102" s="98" t="e">
        <f t="shared" si="386"/>
        <v>#DIV/0!</v>
      </c>
      <c r="X102" s="98" t="e">
        <f t="shared" si="353"/>
        <v>#DIV/0!</v>
      </c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9"/>
      <c r="BG102" s="204"/>
      <c r="BH102" s="204"/>
      <c r="BI102" s="209"/>
      <c r="BJ102" s="204"/>
      <c r="BK102" s="204"/>
      <c r="BL102" s="99"/>
      <c r="BM102" s="100"/>
      <c r="BN102" s="100"/>
      <c r="BO102" s="100"/>
      <c r="BP102" s="100"/>
    </row>
    <row r="103" spans="1:68" ht="15.75" customHeight="1">
      <c r="A103" s="89"/>
      <c r="B103" s="206"/>
      <c r="C103" s="90" t="s">
        <v>240</v>
      </c>
      <c r="D103" s="210" t="s">
        <v>768</v>
      </c>
      <c r="E103" s="166"/>
      <c r="F103" s="147"/>
      <c r="G103" s="94" t="e">
        <f t="shared" si="346"/>
        <v>#DIV/0!</v>
      </c>
      <c r="H103" s="94" t="e">
        <f t="shared" si="347"/>
        <v>#DIV/0!</v>
      </c>
      <c r="I103" s="96"/>
      <c r="J103" s="96"/>
      <c r="K103" s="96"/>
      <c r="L103" s="96"/>
      <c r="M103" s="97">
        <f t="shared" ref="M103:O103" si="387">Y103+AB103+AE103+AH103+AK103+AN103+AQ103+AT103+AW103+AZ103+BC103+BF103</f>
        <v>0</v>
      </c>
      <c r="N103" s="97">
        <f t="shared" si="387"/>
        <v>0</v>
      </c>
      <c r="O103" s="97">
        <f t="shared" si="387"/>
        <v>0</v>
      </c>
      <c r="P103" s="97">
        <f t="shared" ref="P103:R103" si="388">IF(BI103=0,SUM(Y103+AB103+AE103+AH103+AK103+AN103+AQ103+AT103+AW103+AZ103+BC103+BF103),BI103)</f>
        <v>0</v>
      </c>
      <c r="Q103" s="97">
        <f t="shared" si="388"/>
        <v>0</v>
      </c>
      <c r="R103" s="97">
        <f t="shared" si="388"/>
        <v>0</v>
      </c>
      <c r="S103" s="97">
        <f t="shared" ref="S103:T103" si="389">I103-M103</f>
        <v>0</v>
      </c>
      <c r="T103" s="97">
        <f t="shared" si="389"/>
        <v>0</v>
      </c>
      <c r="U103" s="97">
        <f t="shared" si="373"/>
        <v>0</v>
      </c>
      <c r="V103" s="98" t="e">
        <f t="shared" ref="V103:W103" si="390">M103/I103</f>
        <v>#DIV/0!</v>
      </c>
      <c r="W103" s="98" t="e">
        <f t="shared" si="390"/>
        <v>#DIV/0!</v>
      </c>
      <c r="X103" s="98" t="e">
        <f t="shared" si="353"/>
        <v>#DIV/0!</v>
      </c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9"/>
      <c r="BM103" s="100"/>
      <c r="BN103" s="100"/>
      <c r="BO103" s="100"/>
      <c r="BP103" s="100"/>
    </row>
    <row r="104" spans="1:68" ht="15.75" customHeight="1">
      <c r="A104" s="89"/>
      <c r="B104" s="206"/>
      <c r="C104" s="90" t="s">
        <v>161</v>
      </c>
      <c r="D104" s="91" t="s">
        <v>339</v>
      </c>
      <c r="E104" s="166">
        <v>800</v>
      </c>
      <c r="F104" s="166"/>
      <c r="G104" s="94">
        <f t="shared" si="346"/>
        <v>0</v>
      </c>
      <c r="H104" s="94">
        <f t="shared" si="347"/>
        <v>0</v>
      </c>
      <c r="I104" s="96"/>
      <c r="J104" s="96"/>
      <c r="K104" s="96"/>
      <c r="L104" s="96"/>
      <c r="M104" s="97">
        <f t="shared" ref="M104:O104" si="391">Y104+AB104+AE104+AH104+AK104+AN104+AQ104+AT104+AW104+AZ104+BC104+BF104</f>
        <v>0</v>
      </c>
      <c r="N104" s="97">
        <f t="shared" si="391"/>
        <v>0</v>
      </c>
      <c r="O104" s="97">
        <f t="shared" si="391"/>
        <v>0</v>
      </c>
      <c r="P104" s="97">
        <f t="shared" ref="P104:R104" si="392">IF(BI104=0,SUM(Y104+AB104+AE104+AH104+AK104+AN104+AQ104+AT104+AW104+AZ104+BC104+BF104),BI104)</f>
        <v>0</v>
      </c>
      <c r="Q104" s="97">
        <f t="shared" si="392"/>
        <v>0</v>
      </c>
      <c r="R104" s="97">
        <f t="shared" si="392"/>
        <v>0</v>
      </c>
      <c r="S104" s="97">
        <f t="shared" ref="S104:T104" si="393">I104-M104</f>
        <v>0</v>
      </c>
      <c r="T104" s="97">
        <f t="shared" si="393"/>
        <v>0</v>
      </c>
      <c r="U104" s="97">
        <f t="shared" si="373"/>
        <v>0</v>
      </c>
      <c r="V104" s="98" t="e">
        <f t="shared" ref="V104:W104" si="394">M104/I104</f>
        <v>#DIV/0!</v>
      </c>
      <c r="W104" s="98" t="e">
        <f t="shared" si="394"/>
        <v>#DIV/0!</v>
      </c>
      <c r="X104" s="98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103">
        <v>0</v>
      </c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9"/>
      <c r="BM104" s="100"/>
      <c r="BN104" s="100"/>
      <c r="BO104" s="100"/>
      <c r="BP104" s="100"/>
    </row>
    <row r="105" spans="1:68" ht="15.75" customHeight="1">
      <c r="A105" s="89"/>
      <c r="B105" s="206"/>
      <c r="C105" s="90" t="s">
        <v>340</v>
      </c>
      <c r="D105" s="91" t="s">
        <v>341</v>
      </c>
      <c r="E105" s="166"/>
      <c r="F105" s="166"/>
      <c r="G105" s="94" t="e">
        <f t="shared" si="346"/>
        <v>#DIV/0!</v>
      </c>
      <c r="H105" s="94" t="e">
        <f t="shared" si="347"/>
        <v>#DIV/0!</v>
      </c>
      <c r="I105" s="96"/>
      <c r="J105" s="96"/>
      <c r="K105" s="96"/>
      <c r="L105" s="96"/>
      <c r="M105" s="97">
        <f t="shared" ref="M105:O105" si="395">Y105+AB105+AE105+AH105+AK105+AN105+AQ105+AT105+AW105+AZ105+BC105+BF105</f>
        <v>0</v>
      </c>
      <c r="N105" s="97">
        <f t="shared" si="395"/>
        <v>0</v>
      </c>
      <c r="O105" s="97">
        <f t="shared" si="395"/>
        <v>0</v>
      </c>
      <c r="P105" s="97">
        <f t="shared" ref="P105:R105" si="396">IF(BI105=0,SUM(Y105+AB105+AE105+AH105+AK105+AN105+AQ105+AT105+AW105+AZ105+BC105+BF105),BI105)</f>
        <v>0</v>
      </c>
      <c r="Q105" s="97">
        <f t="shared" si="396"/>
        <v>0</v>
      </c>
      <c r="R105" s="97">
        <f t="shared" si="396"/>
        <v>0</v>
      </c>
      <c r="S105" s="97">
        <f t="shared" ref="S105:T105" si="397">I105-M105</f>
        <v>0</v>
      </c>
      <c r="T105" s="97">
        <f t="shared" si="397"/>
        <v>0</v>
      </c>
      <c r="U105" s="97">
        <f t="shared" si="373"/>
        <v>0</v>
      </c>
      <c r="V105" s="98" t="e">
        <f t="shared" ref="V105:W105" si="398">M105/I105</f>
        <v>#DIV/0!</v>
      </c>
      <c r="W105" s="98" t="e">
        <f t="shared" si="398"/>
        <v>#DIV/0!</v>
      </c>
      <c r="X105" s="98" t="e">
        <f t="shared" ref="X105:X117" si="399">O105/L105</f>
        <v>#DIV/0!</v>
      </c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9"/>
      <c r="BM105" s="100"/>
      <c r="BN105" s="100"/>
      <c r="BO105" s="100"/>
      <c r="BP105" s="100"/>
    </row>
    <row r="106" spans="1:68" ht="15.75" customHeight="1">
      <c r="A106" s="89"/>
      <c r="B106" s="206"/>
      <c r="C106" s="101" t="s">
        <v>268</v>
      </c>
      <c r="D106" s="91" t="s">
        <v>140</v>
      </c>
      <c r="E106" s="92">
        <v>15000</v>
      </c>
      <c r="F106" s="166"/>
      <c r="G106" s="94">
        <f t="shared" si="346"/>
        <v>0</v>
      </c>
      <c r="H106" s="94">
        <f t="shared" si="347"/>
        <v>0</v>
      </c>
      <c r="I106" s="96"/>
      <c r="J106" s="96"/>
      <c r="K106" s="96"/>
      <c r="L106" s="96"/>
      <c r="M106" s="97">
        <f t="shared" ref="M106:O106" si="400">Y106+AB106+AE106+AH106+AK106+AN106+AQ106+AT106+AW106+AZ106+BC106+BF106</f>
        <v>0</v>
      </c>
      <c r="N106" s="97">
        <f t="shared" si="400"/>
        <v>0</v>
      </c>
      <c r="O106" s="97">
        <f t="shared" si="400"/>
        <v>0</v>
      </c>
      <c r="P106" s="97">
        <f t="shared" ref="P106:R106" si="401">IF(BI106=0,SUM(Y106+AB106+AE106+AH106+AK106+AN106+AQ106+AT106+AW106+AZ106+BC106+BF106),BI106)</f>
        <v>0</v>
      </c>
      <c r="Q106" s="97">
        <f t="shared" si="401"/>
        <v>0</v>
      </c>
      <c r="R106" s="97">
        <f t="shared" si="401"/>
        <v>0</v>
      </c>
      <c r="S106" s="97">
        <f t="shared" ref="S106:T106" si="402">I106-M106</f>
        <v>0</v>
      </c>
      <c r="T106" s="97">
        <f t="shared" si="402"/>
        <v>0</v>
      </c>
      <c r="U106" s="97">
        <f t="shared" si="373"/>
        <v>0</v>
      </c>
      <c r="V106" s="98" t="e">
        <f t="shared" ref="V106:W106" si="403">M106/I106</f>
        <v>#DIV/0!</v>
      </c>
      <c r="W106" s="98" t="e">
        <f t="shared" si="403"/>
        <v>#DIV/0!</v>
      </c>
      <c r="X106" s="98" t="e">
        <f t="shared" si="399"/>
        <v>#DIV/0!</v>
      </c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9"/>
      <c r="BM106" s="100"/>
      <c r="BN106" s="100"/>
      <c r="BO106" s="100"/>
      <c r="BP106" s="100"/>
    </row>
    <row r="107" spans="1:68" ht="15.75" customHeight="1">
      <c r="A107" s="354" t="s">
        <v>614</v>
      </c>
      <c r="B107" s="211"/>
      <c r="C107" s="101" t="s">
        <v>229</v>
      </c>
      <c r="D107" s="210" t="s">
        <v>769</v>
      </c>
      <c r="E107" s="116">
        <v>70000</v>
      </c>
      <c r="F107" s="166"/>
      <c r="G107" s="94">
        <f t="shared" si="346"/>
        <v>1.1080285714285714</v>
      </c>
      <c r="H107" s="94">
        <f t="shared" si="347"/>
        <v>0.20611714285714286</v>
      </c>
      <c r="I107" s="103">
        <f>2502+75060</f>
        <v>77562</v>
      </c>
      <c r="J107" s="96"/>
      <c r="K107" s="96"/>
      <c r="L107" s="96"/>
      <c r="M107" s="97">
        <f t="shared" ref="M107:O107" si="404">Y107+AB107+AE107+AH107+AK107+AN107+AQ107+AT107+AW107+AZ107+BC107+BF107</f>
        <v>14428.2</v>
      </c>
      <c r="N107" s="97">
        <f t="shared" si="404"/>
        <v>0</v>
      </c>
      <c r="O107" s="97">
        <f t="shared" si="404"/>
        <v>0</v>
      </c>
      <c r="P107" s="97">
        <f t="shared" ref="P107:R107" si="405">IF(BI107=0,SUM(Y107+AB107+AE107+AH107+AK107+AN107+AQ107+AT107+AW107+AZ107+BC107+BF107),BI107)</f>
        <v>14428.2</v>
      </c>
      <c r="Q107" s="97">
        <f t="shared" si="405"/>
        <v>0</v>
      </c>
      <c r="R107" s="97">
        <f t="shared" si="405"/>
        <v>0</v>
      </c>
      <c r="S107" s="97">
        <f t="shared" ref="S107:S114" si="406">I107-M107</f>
        <v>63133.8</v>
      </c>
      <c r="T107" s="97">
        <f>J107-N107-K107</f>
        <v>0</v>
      </c>
      <c r="U107" s="97">
        <f t="shared" si="373"/>
        <v>0</v>
      </c>
      <c r="V107" s="98">
        <f t="shared" ref="V107:W107" si="407">M107/I107</f>
        <v>0.1860215053763441</v>
      </c>
      <c r="W107" s="98" t="e">
        <f t="shared" si="407"/>
        <v>#DIV/0!</v>
      </c>
      <c r="X107" s="98" t="e">
        <f t="shared" si="399"/>
        <v>#DIV/0!</v>
      </c>
      <c r="Y107" s="96"/>
      <c r="Z107" s="103">
        <v>0</v>
      </c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103">
        <f>6421.8+500.4</f>
        <v>6922.2</v>
      </c>
      <c r="AO107" s="96"/>
      <c r="AP107" s="96"/>
      <c r="AQ107" s="96">
        <f>7506</f>
        <v>7506</v>
      </c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9"/>
      <c r="BM107" s="100"/>
      <c r="BN107" s="100"/>
      <c r="BO107" s="100"/>
      <c r="BP107" s="100"/>
    </row>
    <row r="108" spans="1:68" ht="15.75" customHeight="1">
      <c r="A108" s="89"/>
      <c r="B108" s="206"/>
      <c r="C108" s="101" t="s">
        <v>318</v>
      </c>
      <c r="D108" s="122" t="s">
        <v>153</v>
      </c>
      <c r="E108" s="92">
        <v>2000</v>
      </c>
      <c r="F108" s="166"/>
      <c r="G108" s="94">
        <f t="shared" si="346"/>
        <v>0</v>
      </c>
      <c r="H108" s="94">
        <f t="shared" si="347"/>
        <v>0</v>
      </c>
      <c r="I108" s="96"/>
      <c r="J108" s="96"/>
      <c r="K108" s="96"/>
      <c r="L108" s="96"/>
      <c r="M108" s="97">
        <f t="shared" ref="M108:O108" si="408">Y108+AB108+AE108+AH108+AK108+AN108+AQ108+AT108+AW108+AZ108+BC108+BF108</f>
        <v>0</v>
      </c>
      <c r="N108" s="97">
        <f t="shared" si="408"/>
        <v>0</v>
      </c>
      <c r="O108" s="97">
        <f t="shared" si="408"/>
        <v>0</v>
      </c>
      <c r="P108" s="97">
        <f t="shared" ref="P108:R108" si="409">IF(BI108=0,SUM(Y108+AB108+AE108+AH108+AK108+AN108+AQ108+AT108+AW108+AZ108+BC108+BF108),BI108)</f>
        <v>0</v>
      </c>
      <c r="Q108" s="97">
        <f t="shared" si="409"/>
        <v>0</v>
      </c>
      <c r="R108" s="97">
        <f t="shared" si="409"/>
        <v>0</v>
      </c>
      <c r="S108" s="97">
        <f t="shared" si="406"/>
        <v>0</v>
      </c>
      <c r="T108" s="97">
        <f>J108-N108</f>
        <v>0</v>
      </c>
      <c r="U108" s="97">
        <f t="shared" si="373"/>
        <v>0</v>
      </c>
      <c r="V108" s="98" t="e">
        <f t="shared" ref="V108:W108" si="410">M108/I108</f>
        <v>#DIV/0!</v>
      </c>
      <c r="W108" s="98" t="e">
        <f t="shared" si="410"/>
        <v>#DIV/0!</v>
      </c>
      <c r="X108" s="98" t="e">
        <f t="shared" si="399"/>
        <v>#DIV/0!</v>
      </c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9"/>
      <c r="BM108" s="100"/>
      <c r="BN108" s="100"/>
      <c r="BO108" s="100"/>
      <c r="BP108" s="100"/>
    </row>
    <row r="109" spans="1:68" ht="15.75" customHeight="1">
      <c r="A109" s="89"/>
      <c r="B109" s="206" t="s">
        <v>343</v>
      </c>
      <c r="C109" s="101" t="s">
        <v>344</v>
      </c>
      <c r="D109" s="122" t="s">
        <v>770</v>
      </c>
      <c r="E109" s="92">
        <v>3000</v>
      </c>
      <c r="F109" s="93">
        <v>10000</v>
      </c>
      <c r="G109" s="94">
        <f t="shared" si="346"/>
        <v>0</v>
      </c>
      <c r="H109" s="94">
        <f t="shared" si="347"/>
        <v>0</v>
      </c>
      <c r="I109" s="96"/>
      <c r="J109" s="96">
        <v>19996.900000000001</v>
      </c>
      <c r="K109" s="96"/>
      <c r="L109" s="96"/>
      <c r="M109" s="97">
        <f t="shared" ref="M109:O109" si="411">Y109+AB109+AE109+AH109+AK109+AN109+AQ109+AT109+AW109+AZ109+BC109+BF109</f>
        <v>0</v>
      </c>
      <c r="N109" s="97">
        <f t="shared" si="411"/>
        <v>1644.36</v>
      </c>
      <c r="O109" s="97">
        <f t="shared" si="411"/>
        <v>0</v>
      </c>
      <c r="P109" s="97">
        <f t="shared" ref="P109:R109" si="412">IF(BI109=0,SUM(Y109+AB109+AE109+AH109+AK109+AN109+AQ109+AT109+AW109+AZ109+BC109+BF109),BI109)</f>
        <v>0</v>
      </c>
      <c r="Q109" s="97">
        <f t="shared" si="412"/>
        <v>1644.36</v>
      </c>
      <c r="R109" s="97">
        <f t="shared" si="412"/>
        <v>0</v>
      </c>
      <c r="S109" s="97">
        <f t="shared" si="406"/>
        <v>0</v>
      </c>
      <c r="T109" s="97">
        <f>J109-K109-N109</f>
        <v>18352.54</v>
      </c>
      <c r="U109" s="97">
        <f t="shared" si="373"/>
        <v>0</v>
      </c>
      <c r="V109" s="98" t="e">
        <f t="shared" ref="V109:W109" si="413">M109/I109</f>
        <v>#DIV/0!</v>
      </c>
      <c r="W109" s="98">
        <f t="shared" si="413"/>
        <v>8.2230745765593652E-2</v>
      </c>
      <c r="X109" s="98" t="e">
        <f t="shared" si="399"/>
        <v>#DIV/0!</v>
      </c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>
        <f>1644.36</f>
        <v>1644.36</v>
      </c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9"/>
      <c r="BM109" s="100"/>
      <c r="BN109" s="100"/>
      <c r="BO109" s="100"/>
      <c r="BP109" s="100"/>
    </row>
    <row r="110" spans="1:68" ht="15.75" customHeight="1">
      <c r="A110" s="89"/>
      <c r="B110" s="206" t="s">
        <v>346</v>
      </c>
      <c r="C110" s="90" t="s">
        <v>347</v>
      </c>
      <c r="D110" s="91" t="s">
        <v>771</v>
      </c>
      <c r="E110" s="92"/>
      <c r="F110" s="93"/>
      <c r="G110" s="94" t="e">
        <f t="shared" si="346"/>
        <v>#DIV/0!</v>
      </c>
      <c r="H110" s="94" t="e">
        <f t="shared" si="347"/>
        <v>#DIV/0!</v>
      </c>
      <c r="I110" s="96"/>
      <c r="J110" s="117">
        <v>52560</v>
      </c>
      <c r="K110" s="117"/>
      <c r="L110" s="96"/>
      <c r="M110" s="97">
        <f t="shared" ref="M110:O110" si="414">Y110+AB110+AE110+AH110+AK110+AN110+AQ110+AT110+AW110+AZ110+BC110+BF110</f>
        <v>0</v>
      </c>
      <c r="N110" s="97">
        <f t="shared" si="414"/>
        <v>52560</v>
      </c>
      <c r="O110" s="97">
        <f t="shared" si="414"/>
        <v>0</v>
      </c>
      <c r="P110" s="97">
        <f t="shared" ref="P110:R110" si="415">IF(BI110=0,SUM(Y110+AB110+AE110+AH110+AK110+AN110+AQ110+AT110+AW110+AZ110+BC110+BF110),BI110)</f>
        <v>0</v>
      </c>
      <c r="Q110" s="97">
        <f t="shared" si="415"/>
        <v>52560</v>
      </c>
      <c r="R110" s="97">
        <f t="shared" si="415"/>
        <v>0</v>
      </c>
      <c r="S110" s="97">
        <f t="shared" si="406"/>
        <v>0</v>
      </c>
      <c r="T110" s="97">
        <f t="shared" ref="T110:T114" si="416">J110-N110</f>
        <v>0</v>
      </c>
      <c r="U110" s="97">
        <f t="shared" si="373"/>
        <v>0</v>
      </c>
      <c r="V110" s="98" t="e">
        <f t="shared" ref="V110:W110" si="417">M110/I110</f>
        <v>#DIV/0!</v>
      </c>
      <c r="W110" s="98">
        <f t="shared" si="417"/>
        <v>1</v>
      </c>
      <c r="X110" s="98" t="e">
        <f t="shared" si="399"/>
        <v>#DIV/0!</v>
      </c>
      <c r="Y110" s="96"/>
      <c r="Z110" s="103">
        <v>52560</v>
      </c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103">
        <v>0</v>
      </c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9"/>
      <c r="BM110" s="100"/>
      <c r="BN110" s="100"/>
      <c r="BO110" s="100"/>
      <c r="BP110" s="100"/>
    </row>
    <row r="111" spans="1:68" ht="16.5" customHeight="1">
      <c r="A111" s="89"/>
      <c r="B111" s="206"/>
      <c r="C111" s="90" t="s">
        <v>349</v>
      </c>
      <c r="D111" s="122" t="s">
        <v>772</v>
      </c>
      <c r="E111" s="166"/>
      <c r="F111" s="147"/>
      <c r="G111" s="94" t="e">
        <f t="shared" si="346"/>
        <v>#DIV/0!</v>
      </c>
      <c r="H111" s="94" t="e">
        <f t="shared" si="347"/>
        <v>#DIV/0!</v>
      </c>
      <c r="I111" s="96"/>
      <c r="J111" s="96"/>
      <c r="K111" s="96"/>
      <c r="L111" s="96"/>
      <c r="M111" s="97">
        <f t="shared" ref="M111:O111" si="418">Y111+AB111+AE111+AH111+AK111+AN111+AQ111+AT111+AW111+AZ111+BC111+BF111</f>
        <v>0</v>
      </c>
      <c r="N111" s="97">
        <f t="shared" si="418"/>
        <v>0</v>
      </c>
      <c r="O111" s="97">
        <f t="shared" si="418"/>
        <v>0</v>
      </c>
      <c r="P111" s="97">
        <f t="shared" ref="P111:R111" si="419">IF(BI111=0,SUM(Y111+AB111+AE111+AH111+AK111+AN111+AQ111+AT111+AW111+AZ111+BC111+BF111),BI111)</f>
        <v>0</v>
      </c>
      <c r="Q111" s="97">
        <f t="shared" si="419"/>
        <v>0</v>
      </c>
      <c r="R111" s="97">
        <f t="shared" si="419"/>
        <v>0</v>
      </c>
      <c r="S111" s="97">
        <f t="shared" si="406"/>
        <v>0</v>
      </c>
      <c r="T111" s="97">
        <f t="shared" si="416"/>
        <v>0</v>
      </c>
      <c r="U111" s="97">
        <f t="shared" si="373"/>
        <v>0</v>
      </c>
      <c r="V111" s="98" t="e">
        <f t="shared" ref="V111:W111" si="420">M111/I111</f>
        <v>#DIV/0!</v>
      </c>
      <c r="W111" s="98" t="e">
        <f t="shared" si="420"/>
        <v>#DIV/0!</v>
      </c>
      <c r="X111" s="98" t="e">
        <f t="shared" si="399"/>
        <v>#DIV/0!</v>
      </c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9"/>
      <c r="BM111" s="100"/>
      <c r="BN111" s="100"/>
      <c r="BO111" s="100"/>
      <c r="BP111" s="100"/>
    </row>
    <row r="112" spans="1:68" ht="17.25" customHeight="1">
      <c r="A112" s="89"/>
      <c r="B112" s="206"/>
      <c r="C112" s="90" t="s">
        <v>318</v>
      </c>
      <c r="D112" s="212" t="s">
        <v>773</v>
      </c>
      <c r="E112" s="166"/>
      <c r="F112" s="213"/>
      <c r="G112" s="94" t="e">
        <f t="shared" si="346"/>
        <v>#DIV/0!</v>
      </c>
      <c r="H112" s="94" t="e">
        <f t="shared" si="347"/>
        <v>#DIV/0!</v>
      </c>
      <c r="I112" s="96"/>
      <c r="J112" s="96"/>
      <c r="K112" s="96"/>
      <c r="L112" s="96"/>
      <c r="M112" s="97">
        <f t="shared" ref="M112:O112" si="421">Y112+AB112+AE112+AH112+AK112+AN112+AQ112+AT112+AW112+AZ112+BC112+BF112</f>
        <v>0</v>
      </c>
      <c r="N112" s="97">
        <f t="shared" si="421"/>
        <v>0</v>
      </c>
      <c r="O112" s="97">
        <f t="shared" si="421"/>
        <v>0</v>
      </c>
      <c r="P112" s="97">
        <f t="shared" ref="P112:R112" si="422">IF(BI112=0,SUM(Y112+AB112+AE112+AH112+AK112+AN112+AQ112+AT112+AW112+AZ112+BC112+BF112),BI112)</f>
        <v>0</v>
      </c>
      <c r="Q112" s="97">
        <f t="shared" si="422"/>
        <v>0</v>
      </c>
      <c r="R112" s="97">
        <f t="shared" si="422"/>
        <v>0</v>
      </c>
      <c r="S112" s="97">
        <f t="shared" si="406"/>
        <v>0</v>
      </c>
      <c r="T112" s="97">
        <f t="shared" si="416"/>
        <v>0</v>
      </c>
      <c r="U112" s="97">
        <f t="shared" si="373"/>
        <v>0</v>
      </c>
      <c r="V112" s="98" t="e">
        <f t="shared" ref="V112:W112" si="423">M112/I112</f>
        <v>#DIV/0!</v>
      </c>
      <c r="W112" s="98" t="e">
        <f t="shared" si="423"/>
        <v>#DIV/0!</v>
      </c>
      <c r="X112" s="98" t="e">
        <f t="shared" si="399"/>
        <v>#DIV/0!</v>
      </c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9"/>
      <c r="BM112" s="100"/>
      <c r="BN112" s="100"/>
      <c r="BO112" s="100"/>
      <c r="BP112" s="100"/>
    </row>
    <row r="113" spans="1:68" ht="15.75" customHeight="1">
      <c r="A113" s="89"/>
      <c r="B113" s="206" t="s">
        <v>352</v>
      </c>
      <c r="C113" s="90" t="s">
        <v>323</v>
      </c>
      <c r="D113" s="91" t="s">
        <v>353</v>
      </c>
      <c r="E113" s="166">
        <v>0</v>
      </c>
      <c r="F113" s="166">
        <v>0</v>
      </c>
      <c r="G113" s="94" t="e">
        <f t="shared" si="346"/>
        <v>#DIV/0!</v>
      </c>
      <c r="H113" s="94" t="e">
        <f t="shared" si="347"/>
        <v>#DIV/0!</v>
      </c>
      <c r="I113" s="96"/>
      <c r="J113" s="96">
        <v>3207</v>
      </c>
      <c r="K113" s="96"/>
      <c r="L113" s="214"/>
      <c r="M113" s="97">
        <f t="shared" ref="M113:O113" si="424">Y113+AB113+AE113+AH113+AK113+AN113+AQ113+AT113+AW113+AZ113+BC113+BF113</f>
        <v>0</v>
      </c>
      <c r="N113" s="97">
        <f t="shared" si="424"/>
        <v>3207</v>
      </c>
      <c r="O113" s="97">
        <f t="shared" si="424"/>
        <v>0</v>
      </c>
      <c r="P113" s="97">
        <f t="shared" ref="P113:R113" si="425">IF(BI113=0,SUM(Y113+AB113+AE113+AH113+AK113+AN113+AQ113+AT113+AW113+AZ113+BC113+BF113),BI113)</f>
        <v>0</v>
      </c>
      <c r="Q113" s="97">
        <f t="shared" si="425"/>
        <v>3207</v>
      </c>
      <c r="R113" s="97">
        <f t="shared" si="425"/>
        <v>0</v>
      </c>
      <c r="S113" s="97">
        <f t="shared" si="406"/>
        <v>0</v>
      </c>
      <c r="T113" s="97">
        <f t="shared" si="416"/>
        <v>0</v>
      </c>
      <c r="U113" s="97">
        <f t="shared" si="373"/>
        <v>0</v>
      </c>
      <c r="V113" s="98" t="e">
        <f t="shared" ref="V113:W113" si="426">M113/I113</f>
        <v>#DIV/0!</v>
      </c>
      <c r="W113" s="98">
        <f t="shared" si="426"/>
        <v>1</v>
      </c>
      <c r="X113" s="98" t="e">
        <f t="shared" si="399"/>
        <v>#DIV/0!</v>
      </c>
      <c r="Y113" s="96"/>
      <c r="Z113" s="96"/>
      <c r="AA113" s="96"/>
      <c r="AB113" s="96"/>
      <c r="AC113" s="96"/>
      <c r="AD113" s="96"/>
      <c r="AE113" s="215"/>
      <c r="AF113" s="96"/>
      <c r="AG113" s="96"/>
      <c r="AH113" s="96"/>
      <c r="AI113" s="96"/>
      <c r="AJ113" s="96"/>
      <c r="AK113" s="96"/>
      <c r="AL113" s="103">
        <v>3207</v>
      </c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9"/>
      <c r="BM113" s="100"/>
      <c r="BN113" s="100"/>
      <c r="BO113" s="100"/>
      <c r="BP113" s="100"/>
    </row>
    <row r="114" spans="1:68" ht="15.75" customHeight="1">
      <c r="A114" s="216"/>
      <c r="B114" s="216"/>
      <c r="C114" s="217" t="s">
        <v>354</v>
      </c>
      <c r="D114" s="144" t="s">
        <v>355</v>
      </c>
      <c r="E114" s="213"/>
      <c r="F114" s="213"/>
      <c r="G114" s="155" t="e">
        <f t="shared" si="346"/>
        <v>#DIV/0!</v>
      </c>
      <c r="H114" s="155" t="e">
        <f t="shared" si="347"/>
        <v>#DIV/0!</v>
      </c>
      <c r="I114" s="218"/>
      <c r="J114" s="219"/>
      <c r="K114" s="219"/>
      <c r="L114" s="219"/>
      <c r="M114" s="82">
        <f t="shared" ref="M114:O114" si="427">Y114+AB114+AE114+AH114+AK114+AN114+AQ114+AT114+AW114+AZ114+BC114+BF114</f>
        <v>0</v>
      </c>
      <c r="N114" s="82">
        <f t="shared" si="427"/>
        <v>0</v>
      </c>
      <c r="O114" s="82">
        <f t="shared" si="427"/>
        <v>0</v>
      </c>
      <c r="P114" s="97">
        <f t="shared" ref="P114:R114" si="428">IF(BI114=0,SUM(Y114+AB114+AE114+AH114+AK114+AN114+AQ114+AT114+AW114+AZ114+BC114+BF114),BI114)</f>
        <v>0</v>
      </c>
      <c r="Q114" s="97">
        <f t="shared" si="428"/>
        <v>0</v>
      </c>
      <c r="R114" s="97">
        <f t="shared" si="428"/>
        <v>0</v>
      </c>
      <c r="S114" s="97">
        <f t="shared" si="406"/>
        <v>0</v>
      </c>
      <c r="T114" s="97">
        <f t="shared" si="416"/>
        <v>0</v>
      </c>
      <c r="U114" s="97">
        <f t="shared" si="373"/>
        <v>0</v>
      </c>
      <c r="V114" s="79" t="e">
        <f t="shared" ref="V114:W114" si="429">M114/I114</f>
        <v>#DIV/0!</v>
      </c>
      <c r="W114" s="79" t="e">
        <f t="shared" si="429"/>
        <v>#DIV/0!</v>
      </c>
      <c r="X114" s="79" t="e">
        <f t="shared" si="399"/>
        <v>#DIV/0!</v>
      </c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  <c r="AL114" s="219"/>
      <c r="AM114" s="219"/>
      <c r="AN114" s="219"/>
      <c r="AO114" s="219"/>
      <c r="AP114" s="219"/>
      <c r="AQ114" s="219"/>
      <c r="AR114" s="219"/>
      <c r="AS114" s="219"/>
      <c r="AT114" s="219"/>
      <c r="AU114" s="219"/>
      <c r="AV114" s="219"/>
      <c r="AW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J114" s="219"/>
      <c r="BK114" s="219"/>
      <c r="BL114" s="220"/>
      <c r="BM114" s="221"/>
      <c r="BN114" s="221"/>
      <c r="BO114" s="221"/>
      <c r="BP114" s="221"/>
    </row>
    <row r="115" spans="1:68" ht="15.75" customHeight="1">
      <c r="A115" s="182"/>
      <c r="B115" s="182"/>
      <c r="C115" s="222"/>
      <c r="D115" s="184" t="s">
        <v>356</v>
      </c>
      <c r="E115" s="186">
        <f t="shared" ref="E115:F115" si="430">SUM(E116:E119)</f>
        <v>23296.54</v>
      </c>
      <c r="F115" s="186">
        <f t="shared" si="430"/>
        <v>0</v>
      </c>
      <c r="G115" s="223">
        <f t="shared" si="346"/>
        <v>1.133215490368956</v>
      </c>
      <c r="H115" s="223">
        <f t="shared" si="347"/>
        <v>0</v>
      </c>
      <c r="I115" s="186">
        <f t="shared" ref="I115:J115" si="431">SUM(I116:I119)</f>
        <v>26400</v>
      </c>
      <c r="J115" s="186">
        <f t="shared" si="431"/>
        <v>0</v>
      </c>
      <c r="K115" s="186"/>
      <c r="L115" s="186">
        <f t="shared" ref="L115:O115" si="432">SUM(L116:L119)</f>
        <v>0</v>
      </c>
      <c r="M115" s="186">
        <f t="shared" si="432"/>
        <v>0</v>
      </c>
      <c r="N115" s="186">
        <f t="shared" si="432"/>
        <v>0</v>
      </c>
      <c r="O115" s="186">
        <f t="shared" si="432"/>
        <v>0</v>
      </c>
      <c r="P115" s="186">
        <f t="shared" ref="P115:R115" si="433">IF(BI115=0,SUM(Y115+AB115+AE115+AH115+AK115+AN115+AQ115+AT115+AW115+AZ115+BC115+BF115),BI115)</f>
        <v>0</v>
      </c>
      <c r="Q115" s="186">
        <f t="shared" si="433"/>
        <v>0</v>
      </c>
      <c r="R115" s="186">
        <f t="shared" si="433"/>
        <v>0</v>
      </c>
      <c r="S115" s="186">
        <f t="shared" ref="S115:U115" si="434">SUM(S116:S119)</f>
        <v>26400</v>
      </c>
      <c r="T115" s="186">
        <f t="shared" si="434"/>
        <v>0</v>
      </c>
      <c r="U115" s="186">
        <f t="shared" si="434"/>
        <v>0</v>
      </c>
      <c r="V115" s="189">
        <f t="shared" ref="V115:W115" si="435">M115/I115</f>
        <v>0</v>
      </c>
      <c r="W115" s="189" t="e">
        <f t="shared" si="435"/>
        <v>#DIV/0!</v>
      </c>
      <c r="X115" s="189" t="e">
        <f t="shared" si="399"/>
        <v>#DIV/0!</v>
      </c>
      <c r="Y115" s="186">
        <f t="shared" ref="Y115:BK115" si="436">SUM(Y116:Y119)</f>
        <v>0</v>
      </c>
      <c r="Z115" s="186">
        <f t="shared" si="436"/>
        <v>0</v>
      </c>
      <c r="AA115" s="186">
        <f t="shared" si="436"/>
        <v>0</v>
      </c>
      <c r="AB115" s="186">
        <f t="shared" si="436"/>
        <v>0</v>
      </c>
      <c r="AC115" s="186">
        <f t="shared" si="436"/>
        <v>0</v>
      </c>
      <c r="AD115" s="186">
        <f t="shared" si="436"/>
        <v>0</v>
      </c>
      <c r="AE115" s="186">
        <f t="shared" si="436"/>
        <v>0</v>
      </c>
      <c r="AF115" s="186">
        <f t="shared" si="436"/>
        <v>0</v>
      </c>
      <c r="AG115" s="186">
        <f t="shared" si="436"/>
        <v>0</v>
      </c>
      <c r="AH115" s="186">
        <f t="shared" si="436"/>
        <v>0</v>
      </c>
      <c r="AI115" s="186">
        <f t="shared" si="436"/>
        <v>0</v>
      </c>
      <c r="AJ115" s="186">
        <f t="shared" si="436"/>
        <v>0</v>
      </c>
      <c r="AK115" s="186">
        <f t="shared" si="436"/>
        <v>0</v>
      </c>
      <c r="AL115" s="186">
        <f t="shared" si="436"/>
        <v>0</v>
      </c>
      <c r="AM115" s="186">
        <f t="shared" si="436"/>
        <v>0</v>
      </c>
      <c r="AN115" s="186">
        <f t="shared" si="436"/>
        <v>0</v>
      </c>
      <c r="AO115" s="186">
        <f t="shared" si="436"/>
        <v>0</v>
      </c>
      <c r="AP115" s="186">
        <f t="shared" si="436"/>
        <v>0</v>
      </c>
      <c r="AQ115" s="186">
        <f t="shared" si="436"/>
        <v>0</v>
      </c>
      <c r="AR115" s="186">
        <f t="shared" si="436"/>
        <v>0</v>
      </c>
      <c r="AS115" s="186">
        <f t="shared" si="436"/>
        <v>0</v>
      </c>
      <c r="AT115" s="186">
        <f t="shared" si="436"/>
        <v>0</v>
      </c>
      <c r="AU115" s="186">
        <f t="shared" si="436"/>
        <v>0</v>
      </c>
      <c r="AV115" s="186">
        <f t="shared" si="436"/>
        <v>0</v>
      </c>
      <c r="AW115" s="186">
        <f t="shared" si="436"/>
        <v>0</v>
      </c>
      <c r="AX115" s="186">
        <f t="shared" si="436"/>
        <v>0</v>
      </c>
      <c r="AY115" s="186">
        <f t="shared" si="436"/>
        <v>0</v>
      </c>
      <c r="AZ115" s="186">
        <f t="shared" si="436"/>
        <v>0</v>
      </c>
      <c r="BA115" s="186">
        <f t="shared" si="436"/>
        <v>0</v>
      </c>
      <c r="BB115" s="186">
        <f t="shared" si="436"/>
        <v>0</v>
      </c>
      <c r="BC115" s="186">
        <f t="shared" si="436"/>
        <v>0</v>
      </c>
      <c r="BD115" s="186">
        <f t="shared" si="436"/>
        <v>0</v>
      </c>
      <c r="BE115" s="186">
        <f t="shared" si="436"/>
        <v>0</v>
      </c>
      <c r="BF115" s="186">
        <f t="shared" si="436"/>
        <v>0</v>
      </c>
      <c r="BG115" s="186">
        <f t="shared" si="436"/>
        <v>0</v>
      </c>
      <c r="BH115" s="186">
        <f t="shared" si="436"/>
        <v>0</v>
      </c>
      <c r="BI115" s="186">
        <f t="shared" si="436"/>
        <v>0</v>
      </c>
      <c r="BJ115" s="186">
        <f t="shared" si="436"/>
        <v>0</v>
      </c>
      <c r="BK115" s="186">
        <f t="shared" si="436"/>
        <v>0</v>
      </c>
      <c r="BL115" s="157"/>
      <c r="BM115" s="158"/>
      <c r="BN115" s="158"/>
      <c r="BO115" s="158"/>
      <c r="BP115" s="158"/>
    </row>
    <row r="116" spans="1:68" ht="15.75" customHeight="1">
      <c r="A116" s="354" t="s">
        <v>667</v>
      </c>
      <c r="B116" s="89"/>
      <c r="C116" s="90" t="s">
        <v>357</v>
      </c>
      <c r="D116" s="91" t="s">
        <v>358</v>
      </c>
      <c r="E116" s="194">
        <v>18000</v>
      </c>
      <c r="F116" s="166"/>
      <c r="G116" s="94">
        <f t="shared" si="346"/>
        <v>1.4666666666666666</v>
      </c>
      <c r="H116" s="94">
        <f t="shared" si="347"/>
        <v>0</v>
      </c>
      <c r="I116" s="367">
        <v>26400</v>
      </c>
      <c r="J116" s="96"/>
      <c r="K116" s="96"/>
      <c r="L116" s="95"/>
      <c r="M116" s="97">
        <f t="shared" ref="M116:O116" si="437">Y116+AB116+AE116+AH116+AK116+AN116+AQ116+AT116+AW116+AZ116+BC116+BF116</f>
        <v>0</v>
      </c>
      <c r="N116" s="97">
        <f t="shared" si="437"/>
        <v>0</v>
      </c>
      <c r="O116" s="97">
        <f t="shared" si="437"/>
        <v>0</v>
      </c>
      <c r="P116" s="97">
        <f t="shared" ref="P116:R116" si="438">IF(BI116=0,SUM(Y116+AB116+AE116+AH116+AK116+AN116+AQ116+AT116+AW116+AZ116+BC116+BF116),BI116)</f>
        <v>0</v>
      </c>
      <c r="Q116" s="97">
        <f t="shared" si="438"/>
        <v>0</v>
      </c>
      <c r="R116" s="97">
        <f t="shared" si="438"/>
        <v>0</v>
      </c>
      <c r="S116" s="97">
        <f t="shared" ref="S116:T116" si="439">I116-M116</f>
        <v>26400</v>
      </c>
      <c r="T116" s="97">
        <f t="shared" si="439"/>
        <v>0</v>
      </c>
      <c r="U116" s="97">
        <f t="shared" ref="U116:U119" si="440">L116-O116</f>
        <v>0</v>
      </c>
      <c r="V116" s="98">
        <f t="shared" ref="V116:W116" si="441">M116/I116</f>
        <v>0</v>
      </c>
      <c r="W116" s="98" t="e">
        <f t="shared" si="441"/>
        <v>#DIV/0!</v>
      </c>
      <c r="X116" s="98" t="e">
        <f t="shared" si="399"/>
        <v>#DIV/0!</v>
      </c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103">
        <v>0</v>
      </c>
      <c r="BG116" s="96"/>
      <c r="BH116" s="96"/>
      <c r="BI116" s="96"/>
      <c r="BJ116" s="96"/>
      <c r="BK116" s="96"/>
      <c r="BL116" s="99"/>
      <c r="BM116" s="100"/>
      <c r="BN116" s="100"/>
      <c r="BO116" s="100"/>
      <c r="BP116" s="100"/>
    </row>
    <row r="117" spans="1:68" ht="15.75" customHeight="1">
      <c r="A117" s="89"/>
      <c r="B117" s="89"/>
      <c r="C117" s="90" t="s">
        <v>359</v>
      </c>
      <c r="D117" s="91" t="s">
        <v>360</v>
      </c>
      <c r="E117" s="194">
        <v>5296.54</v>
      </c>
      <c r="F117" s="166"/>
      <c r="G117" s="94">
        <f t="shared" si="346"/>
        <v>0</v>
      </c>
      <c r="H117" s="94">
        <f t="shared" si="347"/>
        <v>0</v>
      </c>
      <c r="I117" s="96"/>
      <c r="J117" s="96"/>
      <c r="K117" s="96"/>
      <c r="L117" s="95"/>
      <c r="M117" s="97">
        <f t="shared" ref="M117:O117" si="442">Y117+AB117+AE117+AH117+AK117+AN117+AQ117+AT117+AW117+AZ117+BC117+BF117</f>
        <v>0</v>
      </c>
      <c r="N117" s="97">
        <f t="shared" si="442"/>
        <v>0</v>
      </c>
      <c r="O117" s="97">
        <f t="shared" si="442"/>
        <v>0</v>
      </c>
      <c r="P117" s="97">
        <f t="shared" ref="P117:R117" si="443">IF(BI117=0,SUM(Y117+AB117+AE117+AH117+AK117+AN117+AQ117+AT117+AW117+AZ117+BC117+BF117),BI117)</f>
        <v>0</v>
      </c>
      <c r="Q117" s="97">
        <f t="shared" si="443"/>
        <v>0</v>
      </c>
      <c r="R117" s="97">
        <f t="shared" si="443"/>
        <v>0</v>
      </c>
      <c r="S117" s="97">
        <f t="shared" ref="S117:T117" si="444">I117-M117</f>
        <v>0</v>
      </c>
      <c r="T117" s="97">
        <f t="shared" si="444"/>
        <v>0</v>
      </c>
      <c r="U117" s="97">
        <f t="shared" si="440"/>
        <v>0</v>
      </c>
      <c r="V117" s="98" t="e">
        <f t="shared" ref="V117:W117" si="445">M117/I117</f>
        <v>#DIV/0!</v>
      </c>
      <c r="W117" s="98" t="e">
        <f t="shared" si="445"/>
        <v>#DIV/0!</v>
      </c>
      <c r="X117" s="98" t="e">
        <f t="shared" si="399"/>
        <v>#DIV/0!</v>
      </c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9"/>
      <c r="BM117" s="100"/>
      <c r="BN117" s="100"/>
      <c r="BO117" s="100"/>
      <c r="BP117" s="100"/>
    </row>
    <row r="118" spans="1:68" ht="15.75" customHeight="1">
      <c r="A118" s="89"/>
      <c r="B118" s="89"/>
      <c r="C118" s="90"/>
      <c r="D118" s="91" t="s">
        <v>361</v>
      </c>
      <c r="E118" s="166"/>
      <c r="F118" s="166"/>
      <c r="G118" s="94"/>
      <c r="H118" s="94"/>
      <c r="I118" s="96"/>
      <c r="J118" s="96"/>
      <c r="K118" s="96"/>
      <c r="L118" s="95"/>
      <c r="M118" s="97">
        <f t="shared" ref="M118:O118" si="446">Y118+AB118+AE118+AH118+AK118+AN118+AQ118+AT118+AW118+AZ118+BC118+BF118</f>
        <v>0</v>
      </c>
      <c r="N118" s="97">
        <f t="shared" si="446"/>
        <v>0</v>
      </c>
      <c r="O118" s="97">
        <f t="shared" si="446"/>
        <v>0</v>
      </c>
      <c r="P118" s="97">
        <f t="shared" ref="P118:R118" si="447">IF(BI118=0,SUM(Y118+AB118+AE118+AH118+AK118+AN118+AQ118+AT118+AW118+AZ118+BC118+BF118),BI118)</f>
        <v>0</v>
      </c>
      <c r="Q118" s="97">
        <f t="shared" si="447"/>
        <v>0</v>
      </c>
      <c r="R118" s="97">
        <f t="shared" si="447"/>
        <v>0</v>
      </c>
      <c r="S118" s="97">
        <f t="shared" ref="S118:T118" si="448">I118-M118</f>
        <v>0</v>
      </c>
      <c r="T118" s="97">
        <f t="shared" si="448"/>
        <v>0</v>
      </c>
      <c r="U118" s="97">
        <f t="shared" si="440"/>
        <v>0</v>
      </c>
      <c r="V118" s="98" t="e">
        <f t="shared" ref="V118:V128" si="449">M118/I118</f>
        <v>#DIV/0!</v>
      </c>
      <c r="W118" s="98"/>
      <c r="X118" s="98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9"/>
      <c r="BM118" s="100"/>
      <c r="BN118" s="100"/>
      <c r="BO118" s="100"/>
      <c r="BP118" s="100"/>
    </row>
    <row r="119" spans="1:68" ht="15.75" customHeight="1">
      <c r="A119" s="89"/>
      <c r="B119" s="89"/>
      <c r="C119" s="90" t="s">
        <v>318</v>
      </c>
      <c r="D119" s="91" t="s">
        <v>362</v>
      </c>
      <c r="E119" s="166"/>
      <c r="F119" s="166"/>
      <c r="G119" s="94" t="e">
        <f>I119/E119</f>
        <v>#DIV/0!</v>
      </c>
      <c r="H119" s="94" t="e">
        <f t="shared" ref="H119:H128" si="450">M119/E119</f>
        <v>#DIV/0!</v>
      </c>
      <c r="I119" s="96"/>
      <c r="J119" s="96"/>
      <c r="K119" s="96"/>
      <c r="L119" s="95"/>
      <c r="M119" s="97">
        <f t="shared" ref="M119:O119" si="451">Y119+AB119+AE119+AH119+AK119+AN119+AQ119+AT119+AW119+AZ119+BC119+BF119</f>
        <v>0</v>
      </c>
      <c r="N119" s="97">
        <f t="shared" si="451"/>
        <v>0</v>
      </c>
      <c r="O119" s="97">
        <f t="shared" si="451"/>
        <v>0</v>
      </c>
      <c r="P119" s="97">
        <f t="shared" ref="P119:R119" si="452">IF(BI119=0,SUM(Y119+AB119+AE119+AH119+AK119+AN119+AQ119+AT119+AW119+AZ119+BC119+BF119),BI119)</f>
        <v>0</v>
      </c>
      <c r="Q119" s="97">
        <f t="shared" si="452"/>
        <v>0</v>
      </c>
      <c r="R119" s="97">
        <f t="shared" si="452"/>
        <v>0</v>
      </c>
      <c r="S119" s="97">
        <f t="shared" ref="S119:T119" si="453">I119-M119</f>
        <v>0</v>
      </c>
      <c r="T119" s="97">
        <f t="shared" si="453"/>
        <v>0</v>
      </c>
      <c r="U119" s="97">
        <f t="shared" si="440"/>
        <v>0</v>
      </c>
      <c r="V119" s="98" t="e">
        <f t="shared" si="449"/>
        <v>#DIV/0!</v>
      </c>
      <c r="W119" s="98" t="e">
        <f t="shared" ref="W119:W128" si="454">N119/J119</f>
        <v>#DIV/0!</v>
      </c>
      <c r="X119" s="98" t="e">
        <f t="shared" ref="X119:X128" si="455">O119/L119</f>
        <v>#DIV/0!</v>
      </c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9"/>
      <c r="BM119" s="100"/>
      <c r="BN119" s="100"/>
      <c r="BO119" s="100"/>
      <c r="BP119" s="100"/>
    </row>
    <row r="120" spans="1:68" ht="15.75" customHeight="1">
      <c r="A120" s="182"/>
      <c r="B120" s="182"/>
      <c r="C120" s="222"/>
      <c r="D120" s="224" t="s">
        <v>363</v>
      </c>
      <c r="E120" s="186">
        <f t="shared" ref="E120:G120" si="456">E121+E131+E137+E141</f>
        <v>152177.47999999998</v>
      </c>
      <c r="F120" s="186">
        <f t="shared" si="456"/>
        <v>1173964.47</v>
      </c>
      <c r="G120" s="225" t="e">
        <f t="shared" si="456"/>
        <v>#DIV/0!</v>
      </c>
      <c r="H120" s="223">
        <f t="shared" si="450"/>
        <v>0.89360212825182816</v>
      </c>
      <c r="I120" s="186">
        <f t="shared" ref="I120:U120" si="457">I121+I131+I137+I141</f>
        <v>689037.1</v>
      </c>
      <c r="J120" s="186">
        <f t="shared" si="457"/>
        <v>665873.97</v>
      </c>
      <c r="K120" s="186">
        <f t="shared" si="457"/>
        <v>5199.4000000000005</v>
      </c>
      <c r="L120" s="186">
        <f t="shared" si="457"/>
        <v>0</v>
      </c>
      <c r="M120" s="186">
        <f t="shared" si="457"/>
        <v>135986.12</v>
      </c>
      <c r="N120" s="186">
        <f t="shared" si="457"/>
        <v>457601.64</v>
      </c>
      <c r="O120" s="186">
        <f t="shared" si="457"/>
        <v>0</v>
      </c>
      <c r="P120" s="186">
        <f t="shared" si="457"/>
        <v>135986.12</v>
      </c>
      <c r="Q120" s="186">
        <f t="shared" si="457"/>
        <v>457601.64</v>
      </c>
      <c r="R120" s="186">
        <f t="shared" si="457"/>
        <v>0</v>
      </c>
      <c r="S120" s="186">
        <f t="shared" si="457"/>
        <v>553050.98</v>
      </c>
      <c r="T120" s="186">
        <f t="shared" si="457"/>
        <v>203072.93</v>
      </c>
      <c r="U120" s="186">
        <f t="shared" si="457"/>
        <v>0</v>
      </c>
      <c r="V120" s="189">
        <f t="shared" si="449"/>
        <v>0.19735674610264092</v>
      </c>
      <c r="W120" s="189">
        <f t="shared" si="454"/>
        <v>0.6872195950233646</v>
      </c>
      <c r="X120" s="189" t="e">
        <f t="shared" si="455"/>
        <v>#DIV/0!</v>
      </c>
      <c r="Y120" s="186">
        <f t="shared" ref="Y120:BK120" si="458">Y121+Y131+Y137+Y141</f>
        <v>0</v>
      </c>
      <c r="Z120" s="186">
        <f t="shared" si="458"/>
        <v>0</v>
      </c>
      <c r="AA120" s="186">
        <f t="shared" si="458"/>
        <v>0</v>
      </c>
      <c r="AB120" s="186">
        <f t="shared" si="458"/>
        <v>0</v>
      </c>
      <c r="AC120" s="186">
        <f t="shared" si="458"/>
        <v>61206.74</v>
      </c>
      <c r="AD120" s="186">
        <f t="shared" si="458"/>
        <v>0</v>
      </c>
      <c r="AE120" s="186">
        <f t="shared" si="458"/>
        <v>0</v>
      </c>
      <c r="AF120" s="186">
        <f t="shared" si="458"/>
        <v>63661.509999999995</v>
      </c>
      <c r="AG120" s="186">
        <f t="shared" si="458"/>
        <v>0</v>
      </c>
      <c r="AH120" s="186">
        <f t="shared" si="458"/>
        <v>0</v>
      </c>
      <c r="AI120" s="186">
        <f t="shared" si="458"/>
        <v>166468.45000000001</v>
      </c>
      <c r="AJ120" s="186">
        <f t="shared" si="458"/>
        <v>0</v>
      </c>
      <c r="AK120" s="186">
        <f t="shared" si="458"/>
        <v>0</v>
      </c>
      <c r="AL120" s="186">
        <f t="shared" si="458"/>
        <v>51200.4</v>
      </c>
      <c r="AM120" s="186">
        <f t="shared" si="458"/>
        <v>0</v>
      </c>
      <c r="AN120" s="186">
        <f t="shared" si="458"/>
        <v>31870.57</v>
      </c>
      <c r="AO120" s="186">
        <f t="shared" si="458"/>
        <v>100282.97</v>
      </c>
      <c r="AP120" s="186">
        <f t="shared" si="458"/>
        <v>0</v>
      </c>
      <c r="AQ120" s="186">
        <f t="shared" si="458"/>
        <v>104115.55</v>
      </c>
      <c r="AR120" s="186">
        <f t="shared" si="458"/>
        <v>14781.57</v>
      </c>
      <c r="AS120" s="186">
        <f t="shared" si="458"/>
        <v>0</v>
      </c>
      <c r="AT120" s="186">
        <f t="shared" si="458"/>
        <v>0</v>
      </c>
      <c r="AU120" s="186">
        <f t="shared" si="458"/>
        <v>0</v>
      </c>
      <c r="AV120" s="186">
        <f t="shared" si="458"/>
        <v>0</v>
      </c>
      <c r="AW120" s="186">
        <f t="shared" si="458"/>
        <v>0</v>
      </c>
      <c r="AX120" s="186">
        <f t="shared" si="458"/>
        <v>0</v>
      </c>
      <c r="AY120" s="186">
        <f t="shared" si="458"/>
        <v>0</v>
      </c>
      <c r="AZ120" s="186">
        <f t="shared" si="458"/>
        <v>0</v>
      </c>
      <c r="BA120" s="186">
        <f t="shared" si="458"/>
        <v>0</v>
      </c>
      <c r="BB120" s="186">
        <f t="shared" si="458"/>
        <v>0</v>
      </c>
      <c r="BC120" s="186">
        <f t="shared" si="458"/>
        <v>0</v>
      </c>
      <c r="BD120" s="186">
        <f t="shared" si="458"/>
        <v>0</v>
      </c>
      <c r="BE120" s="186">
        <f t="shared" si="458"/>
        <v>0</v>
      </c>
      <c r="BF120" s="186">
        <f t="shared" si="458"/>
        <v>0</v>
      </c>
      <c r="BG120" s="186">
        <f t="shared" si="458"/>
        <v>0</v>
      </c>
      <c r="BH120" s="186">
        <f t="shared" si="458"/>
        <v>0</v>
      </c>
      <c r="BI120" s="186">
        <f t="shared" si="458"/>
        <v>0</v>
      </c>
      <c r="BJ120" s="186">
        <f t="shared" si="458"/>
        <v>0</v>
      </c>
      <c r="BK120" s="186">
        <f t="shared" si="458"/>
        <v>0</v>
      </c>
      <c r="BL120" s="226"/>
      <c r="BM120" s="227"/>
      <c r="BN120" s="227"/>
      <c r="BO120" s="227"/>
      <c r="BP120" s="227"/>
    </row>
    <row r="121" spans="1:68" ht="15.75" customHeight="1">
      <c r="A121" s="228"/>
      <c r="B121" s="228"/>
      <c r="C121" s="229"/>
      <c r="D121" s="230" t="s">
        <v>364</v>
      </c>
      <c r="E121" s="231">
        <f t="shared" ref="E121:F121" si="459">SUM(E122:E130)</f>
        <v>152177.47999999998</v>
      </c>
      <c r="F121" s="231">
        <f t="shared" si="459"/>
        <v>0</v>
      </c>
      <c r="G121" s="187">
        <f t="shared" ref="G121:G128" si="460">I121/E121</f>
        <v>1.3259214175448302</v>
      </c>
      <c r="H121" s="187">
        <f t="shared" si="450"/>
        <v>0</v>
      </c>
      <c r="I121" s="231">
        <f t="shared" ref="I121:O121" si="461">SUM(I122:I130)</f>
        <v>201775.38</v>
      </c>
      <c r="J121" s="231">
        <f t="shared" si="461"/>
        <v>457969.89</v>
      </c>
      <c r="K121" s="231">
        <f t="shared" si="461"/>
        <v>5199.4000000000005</v>
      </c>
      <c r="L121" s="231">
        <f t="shared" si="461"/>
        <v>0</v>
      </c>
      <c r="M121" s="231">
        <f t="shared" si="461"/>
        <v>0</v>
      </c>
      <c r="N121" s="231">
        <f t="shared" si="461"/>
        <v>249697.56</v>
      </c>
      <c r="O121" s="231">
        <f t="shared" si="461"/>
        <v>0</v>
      </c>
      <c r="P121" s="232">
        <f t="shared" ref="P121:R121" si="462">IF(BI121=0,SUM(Y121+AB121+AE121+AH121+AK121+AN121+AQ121+AT121+AW121+AZ121+BC121+BF121),BI121)</f>
        <v>0</v>
      </c>
      <c r="Q121" s="232">
        <f t="shared" si="462"/>
        <v>249697.56</v>
      </c>
      <c r="R121" s="232">
        <f t="shared" si="462"/>
        <v>0</v>
      </c>
      <c r="S121" s="231">
        <f t="shared" ref="S121:U121" si="463">SUM(S122:S130)</f>
        <v>201775.38</v>
      </c>
      <c r="T121" s="231">
        <f t="shared" si="463"/>
        <v>203072.93</v>
      </c>
      <c r="U121" s="231">
        <f t="shared" si="463"/>
        <v>0</v>
      </c>
      <c r="V121" s="188">
        <f t="shared" si="449"/>
        <v>0</v>
      </c>
      <c r="W121" s="188">
        <f t="shared" si="454"/>
        <v>0.54522702354951758</v>
      </c>
      <c r="X121" s="188" t="e">
        <f t="shared" si="455"/>
        <v>#DIV/0!</v>
      </c>
      <c r="Y121" s="231">
        <f t="shared" ref="Y121:BK121" si="464">SUM(Y122:Y130)</f>
        <v>0</v>
      </c>
      <c r="Z121" s="231">
        <f t="shared" si="464"/>
        <v>0</v>
      </c>
      <c r="AA121" s="231">
        <f t="shared" si="464"/>
        <v>0</v>
      </c>
      <c r="AB121" s="231">
        <f t="shared" si="464"/>
        <v>0</v>
      </c>
      <c r="AC121" s="231">
        <f t="shared" si="464"/>
        <v>61206.74</v>
      </c>
      <c r="AD121" s="231">
        <f t="shared" si="464"/>
        <v>0</v>
      </c>
      <c r="AE121" s="231">
        <f t="shared" si="464"/>
        <v>0</v>
      </c>
      <c r="AF121" s="231">
        <f t="shared" si="464"/>
        <v>0</v>
      </c>
      <c r="AG121" s="231">
        <f t="shared" si="464"/>
        <v>0</v>
      </c>
      <c r="AH121" s="231">
        <f t="shared" si="464"/>
        <v>0</v>
      </c>
      <c r="AI121" s="231">
        <f t="shared" si="464"/>
        <v>95054.76</v>
      </c>
      <c r="AJ121" s="231">
        <f t="shared" si="464"/>
        <v>0</v>
      </c>
      <c r="AK121" s="231">
        <f t="shared" si="464"/>
        <v>0</v>
      </c>
      <c r="AL121" s="231">
        <f t="shared" si="464"/>
        <v>21848.15</v>
      </c>
      <c r="AM121" s="231">
        <f t="shared" si="464"/>
        <v>0</v>
      </c>
      <c r="AN121" s="231">
        <f t="shared" si="464"/>
        <v>0</v>
      </c>
      <c r="AO121" s="231">
        <f t="shared" si="464"/>
        <v>56806.34</v>
      </c>
      <c r="AP121" s="231">
        <f t="shared" si="464"/>
        <v>0</v>
      </c>
      <c r="AQ121" s="231">
        <f t="shared" si="464"/>
        <v>0</v>
      </c>
      <c r="AR121" s="231">
        <f t="shared" si="464"/>
        <v>14781.57</v>
      </c>
      <c r="AS121" s="231">
        <f t="shared" si="464"/>
        <v>0</v>
      </c>
      <c r="AT121" s="231">
        <f t="shared" si="464"/>
        <v>0</v>
      </c>
      <c r="AU121" s="231">
        <f t="shared" si="464"/>
        <v>0</v>
      </c>
      <c r="AV121" s="231">
        <f t="shared" si="464"/>
        <v>0</v>
      </c>
      <c r="AW121" s="231">
        <f t="shared" si="464"/>
        <v>0</v>
      </c>
      <c r="AX121" s="231">
        <f t="shared" si="464"/>
        <v>0</v>
      </c>
      <c r="AY121" s="231">
        <f t="shared" si="464"/>
        <v>0</v>
      </c>
      <c r="AZ121" s="231">
        <f t="shared" si="464"/>
        <v>0</v>
      </c>
      <c r="BA121" s="231">
        <f t="shared" si="464"/>
        <v>0</v>
      </c>
      <c r="BB121" s="231">
        <f t="shared" si="464"/>
        <v>0</v>
      </c>
      <c r="BC121" s="231">
        <f t="shared" si="464"/>
        <v>0</v>
      </c>
      <c r="BD121" s="231">
        <f t="shared" si="464"/>
        <v>0</v>
      </c>
      <c r="BE121" s="231">
        <f t="shared" si="464"/>
        <v>0</v>
      </c>
      <c r="BF121" s="231">
        <f t="shared" si="464"/>
        <v>0</v>
      </c>
      <c r="BG121" s="231">
        <f t="shared" si="464"/>
        <v>0</v>
      </c>
      <c r="BH121" s="231">
        <f t="shared" si="464"/>
        <v>0</v>
      </c>
      <c r="BI121" s="231">
        <f t="shared" si="464"/>
        <v>0</v>
      </c>
      <c r="BJ121" s="231">
        <f t="shared" si="464"/>
        <v>0</v>
      </c>
      <c r="BK121" s="231">
        <f t="shared" si="464"/>
        <v>0</v>
      </c>
      <c r="BL121" s="233"/>
      <c r="BM121" s="234"/>
      <c r="BN121" s="234"/>
      <c r="BO121" s="234"/>
      <c r="BP121" s="234"/>
    </row>
    <row r="122" spans="1:68" ht="15.75" customHeight="1">
      <c r="A122" s="360" t="s">
        <v>723</v>
      </c>
      <c r="B122" s="111"/>
      <c r="C122" s="90" t="s">
        <v>365</v>
      </c>
      <c r="D122" s="91" t="s">
        <v>143</v>
      </c>
      <c r="E122" s="194">
        <v>116482.68</v>
      </c>
      <c r="F122" s="166"/>
      <c r="G122" s="94">
        <f t="shared" si="460"/>
        <v>1.7322350412954099</v>
      </c>
      <c r="H122" s="94">
        <f t="shared" si="450"/>
        <v>0</v>
      </c>
      <c r="I122" s="103">
        <v>201775.38</v>
      </c>
      <c r="J122" s="96"/>
      <c r="K122" s="96"/>
      <c r="L122" s="96"/>
      <c r="M122" s="97">
        <f t="shared" ref="M122:O122" si="465">Y122+AB122+AE122+AH122+AK122+AN122+AQ122+AT122+AW122+AZ122+BC122+BF122</f>
        <v>0</v>
      </c>
      <c r="N122" s="97">
        <f t="shared" si="465"/>
        <v>0</v>
      </c>
      <c r="O122" s="97">
        <f t="shared" si="465"/>
        <v>0</v>
      </c>
      <c r="P122" s="97">
        <f t="shared" ref="P122:R122" si="466">IF(BI122=0,SUM(Y122+AB122+AE122+AH122+AK122+AN122+AQ122+AT122+AW122+AZ122+BC122+BF122),BI122)</f>
        <v>0</v>
      </c>
      <c r="Q122" s="97">
        <f t="shared" si="466"/>
        <v>0</v>
      </c>
      <c r="R122" s="97">
        <f t="shared" si="466"/>
        <v>0</v>
      </c>
      <c r="S122" s="97">
        <f t="shared" ref="S122:S130" si="467">I122-M122</f>
        <v>201775.38</v>
      </c>
      <c r="T122" s="97">
        <f t="shared" ref="T122:T125" si="468">J122-N122-N122</f>
        <v>0</v>
      </c>
      <c r="U122" s="97">
        <f t="shared" ref="U122:U130" si="469">L122-O122</f>
        <v>0</v>
      </c>
      <c r="V122" s="94">
        <f t="shared" si="449"/>
        <v>0</v>
      </c>
      <c r="W122" s="94" t="e">
        <f t="shared" si="454"/>
        <v>#DIV/0!</v>
      </c>
      <c r="X122" s="94" t="e">
        <f t="shared" si="455"/>
        <v>#DIV/0!</v>
      </c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119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9"/>
      <c r="BM122" s="100"/>
      <c r="BN122" s="100"/>
      <c r="BO122" s="100"/>
      <c r="BP122" s="100"/>
    </row>
    <row r="123" spans="1:68" ht="15.75" customHeight="1">
      <c r="A123" s="111"/>
      <c r="B123" s="111"/>
      <c r="C123" s="90" t="s">
        <v>318</v>
      </c>
      <c r="D123" s="91" t="s">
        <v>366</v>
      </c>
      <c r="E123" s="166"/>
      <c r="F123" s="166"/>
      <c r="G123" s="94" t="e">
        <f t="shared" si="460"/>
        <v>#DIV/0!</v>
      </c>
      <c r="H123" s="94" t="e">
        <f t="shared" si="450"/>
        <v>#DIV/0!</v>
      </c>
      <c r="I123" s="96"/>
      <c r="J123" s="96"/>
      <c r="K123" s="96"/>
      <c r="L123" s="96"/>
      <c r="M123" s="97">
        <f t="shared" ref="M123:O123" si="470">Y123+AB123+AE123+AH123+AK123+AN123+AQ123+AT123+AW123+AZ123+BC123+BF123</f>
        <v>0</v>
      </c>
      <c r="N123" s="97">
        <f t="shared" si="470"/>
        <v>0</v>
      </c>
      <c r="O123" s="97">
        <f t="shared" si="470"/>
        <v>0</v>
      </c>
      <c r="P123" s="97">
        <f t="shared" ref="P123:R123" si="471">IF(BI123=0,SUM(Y123+AB123+AE123+AH123+AK123+AN123+AQ123+AT123+AW123+AZ123+BC123+BF123),BI123)</f>
        <v>0</v>
      </c>
      <c r="Q123" s="97">
        <f t="shared" si="471"/>
        <v>0</v>
      </c>
      <c r="R123" s="97">
        <f t="shared" si="471"/>
        <v>0</v>
      </c>
      <c r="S123" s="97">
        <f t="shared" si="467"/>
        <v>0</v>
      </c>
      <c r="T123" s="97">
        <f t="shared" si="468"/>
        <v>0</v>
      </c>
      <c r="U123" s="97">
        <f t="shared" si="469"/>
        <v>0</v>
      </c>
      <c r="V123" s="94" t="e">
        <f t="shared" si="449"/>
        <v>#DIV/0!</v>
      </c>
      <c r="W123" s="94" t="e">
        <f t="shared" si="454"/>
        <v>#DIV/0!</v>
      </c>
      <c r="X123" s="94" t="e">
        <f t="shared" si="455"/>
        <v>#DIV/0!</v>
      </c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119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9"/>
      <c r="BM123" s="100"/>
      <c r="BN123" s="100"/>
      <c r="BO123" s="100"/>
      <c r="BP123" s="100"/>
    </row>
    <row r="124" spans="1:68" ht="15.75" customHeight="1">
      <c r="A124" s="111"/>
      <c r="B124" s="111"/>
      <c r="C124" s="90" t="s">
        <v>367</v>
      </c>
      <c r="D124" s="91" t="s">
        <v>368</v>
      </c>
      <c r="E124" s="166"/>
      <c r="F124" s="166"/>
      <c r="G124" s="94" t="e">
        <f t="shared" si="460"/>
        <v>#DIV/0!</v>
      </c>
      <c r="H124" s="94" t="e">
        <f t="shared" si="450"/>
        <v>#DIV/0!</v>
      </c>
      <c r="I124" s="96"/>
      <c r="J124" s="96"/>
      <c r="K124" s="96"/>
      <c r="L124" s="96"/>
      <c r="M124" s="97">
        <f t="shared" ref="M124:O124" si="472">Y124+AB124+AE124+AH124+AK124+AN124+AQ124+AT124+AW124+AZ124+BC124+BF124</f>
        <v>0</v>
      </c>
      <c r="N124" s="97">
        <f t="shared" si="472"/>
        <v>0</v>
      </c>
      <c r="O124" s="97">
        <f t="shared" si="472"/>
        <v>0</v>
      </c>
      <c r="P124" s="97">
        <f t="shared" ref="P124:R124" si="473">IF(BI124=0,SUM(Y124+AB124+AE124+AH124+AK124+AN124+AQ124+AT124+AW124+AZ124+BC124+BF124),BI124)</f>
        <v>0</v>
      </c>
      <c r="Q124" s="97">
        <f t="shared" si="473"/>
        <v>0</v>
      </c>
      <c r="R124" s="97">
        <f t="shared" si="473"/>
        <v>0</v>
      </c>
      <c r="S124" s="97">
        <f t="shared" si="467"/>
        <v>0</v>
      </c>
      <c r="T124" s="97">
        <f t="shared" si="468"/>
        <v>0</v>
      </c>
      <c r="U124" s="97">
        <f t="shared" si="469"/>
        <v>0</v>
      </c>
      <c r="V124" s="94" t="e">
        <f t="shared" si="449"/>
        <v>#DIV/0!</v>
      </c>
      <c r="W124" s="94" t="e">
        <f t="shared" si="454"/>
        <v>#DIV/0!</v>
      </c>
      <c r="X124" s="94" t="e">
        <f t="shared" si="455"/>
        <v>#DIV/0!</v>
      </c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119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9"/>
      <c r="BM124" s="100"/>
      <c r="BN124" s="100"/>
      <c r="BO124" s="100"/>
      <c r="BP124" s="100"/>
    </row>
    <row r="125" spans="1:68" ht="18" customHeight="1">
      <c r="A125" s="111"/>
      <c r="B125" s="111"/>
      <c r="C125" s="90" t="s">
        <v>161</v>
      </c>
      <c r="D125" s="91" t="s">
        <v>369</v>
      </c>
      <c r="E125" s="166"/>
      <c r="F125" s="166"/>
      <c r="G125" s="94" t="e">
        <f t="shared" si="460"/>
        <v>#DIV/0!</v>
      </c>
      <c r="H125" s="94" t="e">
        <f t="shared" si="450"/>
        <v>#DIV/0!</v>
      </c>
      <c r="I125" s="96"/>
      <c r="J125" s="96"/>
      <c r="K125" s="96"/>
      <c r="L125" s="96"/>
      <c r="M125" s="97">
        <f t="shared" ref="M125:O125" si="474">Y125+AB125+AE125+AH125+AK125+AN125+AQ125+AT125+AW125+AZ125+BC125+BF125</f>
        <v>0</v>
      </c>
      <c r="N125" s="97">
        <f t="shared" si="474"/>
        <v>0</v>
      </c>
      <c r="O125" s="97">
        <f t="shared" si="474"/>
        <v>0</v>
      </c>
      <c r="P125" s="97">
        <f t="shared" ref="P125:R125" si="475">IF(BI125=0,SUM(Y125+AB125+AE125+AH125+AK125+AN125+AQ125+AT125+AW125+AZ125+BC125+BF125),BI125)</f>
        <v>0</v>
      </c>
      <c r="Q125" s="97">
        <f t="shared" si="475"/>
        <v>0</v>
      </c>
      <c r="R125" s="97">
        <f t="shared" si="475"/>
        <v>0</v>
      </c>
      <c r="S125" s="97">
        <f t="shared" si="467"/>
        <v>0</v>
      </c>
      <c r="T125" s="97">
        <f t="shared" si="468"/>
        <v>0</v>
      </c>
      <c r="U125" s="97">
        <f t="shared" si="469"/>
        <v>0</v>
      </c>
      <c r="V125" s="94" t="e">
        <f t="shared" si="449"/>
        <v>#DIV/0!</v>
      </c>
      <c r="W125" s="94" t="e">
        <f t="shared" si="454"/>
        <v>#DIV/0!</v>
      </c>
      <c r="X125" s="94" t="e">
        <f t="shared" si="455"/>
        <v>#DIV/0!</v>
      </c>
      <c r="Y125" s="96"/>
      <c r="Z125" s="103">
        <v>0</v>
      </c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119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9"/>
      <c r="BM125" s="100"/>
      <c r="BN125" s="100"/>
      <c r="BO125" s="100"/>
      <c r="BP125" s="100"/>
    </row>
    <row r="126" spans="1:68" ht="15.75" customHeight="1">
      <c r="A126" s="111"/>
      <c r="B126" s="143" t="s">
        <v>370</v>
      </c>
      <c r="C126" s="90" t="s">
        <v>161</v>
      </c>
      <c r="D126" s="91" t="s">
        <v>774</v>
      </c>
      <c r="E126" s="166"/>
      <c r="F126" s="166"/>
      <c r="G126" s="94" t="e">
        <f t="shared" si="460"/>
        <v>#DIV/0!</v>
      </c>
      <c r="H126" s="94" t="e">
        <f t="shared" si="450"/>
        <v>#DIV/0!</v>
      </c>
      <c r="I126" s="96"/>
      <c r="J126" s="235">
        <f t="shared" ref="J126:K126" si="476">2187.61+388.49+200+59.9+14.5+358.9+1990</f>
        <v>5199.4000000000005</v>
      </c>
      <c r="K126" s="135">
        <f t="shared" si="476"/>
        <v>5199.4000000000005</v>
      </c>
      <c r="L126" s="96"/>
      <c r="M126" s="97">
        <f t="shared" ref="M126:O126" si="477">Y126+AB126+AE126+AH126+AK126+AN126+AQ126+AT126+AW126+AZ126+BC126+BF126</f>
        <v>0</v>
      </c>
      <c r="N126" s="97">
        <f t="shared" si="477"/>
        <v>0</v>
      </c>
      <c r="O126" s="97">
        <f t="shared" si="477"/>
        <v>0</v>
      </c>
      <c r="P126" s="97">
        <f t="shared" ref="P126:R126" si="478">IF(BI126=0,SUM(Y126+AB126+AE126+AH126+AK126+AN126+AQ126+AT126+AW126+AZ126+BC126+BF126),BI126)</f>
        <v>0</v>
      </c>
      <c r="Q126" s="97">
        <f t="shared" si="478"/>
        <v>0</v>
      </c>
      <c r="R126" s="97">
        <f t="shared" si="478"/>
        <v>0</v>
      </c>
      <c r="S126" s="97">
        <f t="shared" si="467"/>
        <v>0</v>
      </c>
      <c r="T126" s="97">
        <f>J126-K126-N126</f>
        <v>0</v>
      </c>
      <c r="U126" s="97">
        <f t="shared" si="469"/>
        <v>0</v>
      </c>
      <c r="V126" s="94" t="e">
        <f t="shared" si="449"/>
        <v>#DIV/0!</v>
      </c>
      <c r="W126" s="94">
        <f t="shared" si="454"/>
        <v>0</v>
      </c>
      <c r="X126" s="94" t="e">
        <f t="shared" si="455"/>
        <v>#DIV/0!</v>
      </c>
      <c r="Y126" s="96"/>
      <c r="Z126" s="96"/>
      <c r="AA126" s="96"/>
      <c r="AB126" s="96"/>
      <c r="AC126" s="103">
        <v>0</v>
      </c>
      <c r="AD126" s="96"/>
      <c r="AE126" s="96"/>
      <c r="AF126" s="103">
        <v>0</v>
      </c>
      <c r="AG126" s="96"/>
      <c r="AH126" s="96"/>
      <c r="AI126" s="96"/>
      <c r="AJ126" s="96"/>
      <c r="AK126" s="96"/>
      <c r="AL126" s="103">
        <v>0</v>
      </c>
      <c r="AM126" s="96"/>
      <c r="AN126" s="96"/>
      <c r="AO126" s="96"/>
      <c r="AP126" s="96"/>
      <c r="AQ126" s="96"/>
      <c r="AR126" s="103">
        <v>0</v>
      </c>
      <c r="AS126" s="96"/>
      <c r="AT126" s="119"/>
      <c r="AU126" s="103">
        <v>0</v>
      </c>
      <c r="AV126" s="96"/>
      <c r="AW126" s="96"/>
      <c r="AX126" s="103">
        <v>0</v>
      </c>
      <c r="AY126" s="96"/>
      <c r="AZ126" s="96"/>
      <c r="BA126" s="103">
        <v>0</v>
      </c>
      <c r="BB126" s="96"/>
      <c r="BC126" s="96"/>
      <c r="BD126" s="96"/>
      <c r="BE126" s="96"/>
      <c r="BF126" s="96"/>
      <c r="BG126" s="103"/>
      <c r="BH126" s="96"/>
      <c r="BI126" s="96"/>
      <c r="BJ126" s="96"/>
      <c r="BK126" s="96"/>
      <c r="BL126" s="99"/>
      <c r="BM126" s="100"/>
      <c r="BN126" s="100"/>
      <c r="BO126" s="100"/>
      <c r="BP126" s="100"/>
    </row>
    <row r="127" spans="1:68" ht="15.75" customHeight="1">
      <c r="A127" s="111"/>
      <c r="B127" s="111"/>
      <c r="C127" s="90" t="s">
        <v>372</v>
      </c>
      <c r="D127" s="91" t="s">
        <v>373</v>
      </c>
      <c r="E127" s="194">
        <v>35694.800000000003</v>
      </c>
      <c r="F127" s="166"/>
      <c r="G127" s="94">
        <f t="shared" si="460"/>
        <v>0</v>
      </c>
      <c r="H127" s="94">
        <f t="shared" si="450"/>
        <v>0</v>
      </c>
      <c r="I127" s="96"/>
      <c r="J127" s="96"/>
      <c r="K127" s="96"/>
      <c r="L127" s="96"/>
      <c r="M127" s="97">
        <f t="shared" ref="M127:O127" si="479">Y127+AB127+AE127+AH127+AK127+AN127+AQ127+AT127+AW127+AZ127+BC127+BF127</f>
        <v>0</v>
      </c>
      <c r="N127" s="97">
        <f t="shared" si="479"/>
        <v>0</v>
      </c>
      <c r="O127" s="97">
        <f t="shared" si="479"/>
        <v>0</v>
      </c>
      <c r="P127" s="97">
        <f t="shared" ref="P127:R127" si="480">IF(BI127=0,SUM(Y127+AB127+AE127+AH127+AK127+AN127+AQ127+AT127+AW127+AZ127+BC127+BF127),BI127)</f>
        <v>0</v>
      </c>
      <c r="Q127" s="97">
        <f t="shared" si="480"/>
        <v>0</v>
      </c>
      <c r="R127" s="97">
        <f t="shared" si="480"/>
        <v>0</v>
      </c>
      <c r="S127" s="97">
        <f t="shared" si="467"/>
        <v>0</v>
      </c>
      <c r="T127" s="97">
        <f t="shared" ref="T127:T128" si="481">J127-N127-N127</f>
        <v>0</v>
      </c>
      <c r="U127" s="97">
        <f t="shared" si="469"/>
        <v>0</v>
      </c>
      <c r="V127" s="94" t="e">
        <f t="shared" si="449"/>
        <v>#DIV/0!</v>
      </c>
      <c r="W127" s="94" t="e">
        <f t="shared" si="454"/>
        <v>#DIV/0!</v>
      </c>
      <c r="X127" s="94" t="e">
        <f t="shared" si="455"/>
        <v>#DIV/0!</v>
      </c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119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9"/>
      <c r="BM127" s="100"/>
      <c r="BN127" s="100"/>
      <c r="BO127" s="100"/>
      <c r="BP127" s="100"/>
    </row>
    <row r="128" spans="1:68" ht="15.75" customHeight="1">
      <c r="A128" s="111"/>
      <c r="B128" s="136"/>
      <c r="C128" s="90" t="s">
        <v>374</v>
      </c>
      <c r="D128" s="141" t="s">
        <v>375</v>
      </c>
      <c r="E128" s="166"/>
      <c r="F128" s="166"/>
      <c r="G128" s="94" t="e">
        <f t="shared" si="460"/>
        <v>#DIV/0!</v>
      </c>
      <c r="H128" s="94" t="e">
        <f t="shared" si="450"/>
        <v>#DIV/0!</v>
      </c>
      <c r="I128" s="96"/>
      <c r="J128" s="96"/>
      <c r="K128" s="96"/>
      <c r="L128" s="96"/>
      <c r="M128" s="97">
        <f t="shared" ref="M128:O128" si="482">Y128+AB128+AE128+AH128+AK128+AN128+AQ128+AT128+AW128+AZ128+BC128+BF128</f>
        <v>0</v>
      </c>
      <c r="N128" s="97">
        <f t="shared" si="482"/>
        <v>0</v>
      </c>
      <c r="O128" s="97">
        <f t="shared" si="482"/>
        <v>0</v>
      </c>
      <c r="P128" s="97">
        <f t="shared" ref="P128:R128" si="483">IF(BI128=0,SUM(Y128+AB128+AE128+AH128+AK128+AN128+AQ128+AT128+AW128+AZ128+BC128+BF128),BI128)</f>
        <v>0</v>
      </c>
      <c r="Q128" s="97">
        <f t="shared" si="483"/>
        <v>0</v>
      </c>
      <c r="R128" s="97">
        <f t="shared" si="483"/>
        <v>0</v>
      </c>
      <c r="S128" s="97">
        <f t="shared" si="467"/>
        <v>0</v>
      </c>
      <c r="T128" s="97">
        <f t="shared" si="481"/>
        <v>0</v>
      </c>
      <c r="U128" s="97">
        <f t="shared" si="469"/>
        <v>0</v>
      </c>
      <c r="V128" s="94" t="e">
        <f t="shared" si="449"/>
        <v>#DIV/0!</v>
      </c>
      <c r="W128" s="94" t="e">
        <f t="shared" si="454"/>
        <v>#DIV/0!</v>
      </c>
      <c r="X128" s="94" t="e">
        <f t="shared" si="455"/>
        <v>#DIV/0!</v>
      </c>
      <c r="Y128" s="96"/>
      <c r="Z128" s="96"/>
      <c r="AA128" s="96"/>
      <c r="AB128" s="96"/>
      <c r="AC128" s="96"/>
      <c r="AD128" s="96"/>
      <c r="AE128" s="96"/>
      <c r="AF128" s="103">
        <v>0</v>
      </c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119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9"/>
      <c r="BM128" s="100"/>
      <c r="BN128" s="100"/>
      <c r="BO128" s="100"/>
      <c r="BP128" s="100"/>
    </row>
    <row r="129" spans="1:68" ht="15.75" customHeight="1">
      <c r="A129" s="111"/>
      <c r="B129" s="136" t="s">
        <v>376</v>
      </c>
      <c r="C129" s="90" t="s">
        <v>114</v>
      </c>
      <c r="D129" s="141" t="s">
        <v>775</v>
      </c>
      <c r="E129" s="166"/>
      <c r="F129" s="166"/>
      <c r="G129" s="94"/>
      <c r="H129" s="94"/>
      <c r="I129" s="96"/>
      <c r="J129" s="96">
        <v>452770.49</v>
      </c>
      <c r="K129" s="96"/>
      <c r="L129" s="145"/>
      <c r="M129" s="97">
        <f t="shared" ref="M129:O129" si="484">Y129+AB129+AE129+AH129+AK129+AN129+AQ129+AT129+AW129+AZ129+BC129+BF129</f>
        <v>0</v>
      </c>
      <c r="N129" s="97">
        <f t="shared" si="484"/>
        <v>249697.56</v>
      </c>
      <c r="O129" s="97">
        <f t="shared" si="484"/>
        <v>0</v>
      </c>
      <c r="P129" s="97">
        <f t="shared" ref="P129:R129" si="485">IF(BI129=0,SUM(Y129+AB129+AE129+AH129+AK129+AN129+AQ129+AT129+AW129+AZ129+BC129+BF129),BI129)</f>
        <v>0</v>
      </c>
      <c r="Q129" s="97">
        <f t="shared" si="485"/>
        <v>249697.56</v>
      </c>
      <c r="R129" s="97">
        <f t="shared" si="485"/>
        <v>0</v>
      </c>
      <c r="S129" s="97">
        <f t="shared" si="467"/>
        <v>0</v>
      </c>
      <c r="T129" s="97">
        <f>J129-K129-N129</f>
        <v>203072.93</v>
      </c>
      <c r="U129" s="97">
        <f t="shared" si="469"/>
        <v>0</v>
      </c>
      <c r="V129" s="94"/>
      <c r="W129" s="94"/>
      <c r="X129" s="94"/>
      <c r="Y129" s="96"/>
      <c r="Z129" s="96"/>
      <c r="AA129" s="96"/>
      <c r="AB129" s="96"/>
      <c r="AC129" s="96">
        <f>61206.74</f>
        <v>61206.74</v>
      </c>
      <c r="AD129" s="96"/>
      <c r="AE129" s="96"/>
      <c r="AF129" s="96"/>
      <c r="AG129" s="96"/>
      <c r="AH129" s="96"/>
      <c r="AI129" s="103">
        <f>95054.76</f>
        <v>95054.76</v>
      </c>
      <c r="AJ129" s="96"/>
      <c r="AK129" s="96"/>
      <c r="AL129" s="103">
        <v>21848.15</v>
      </c>
      <c r="AM129" s="96"/>
      <c r="AN129" s="96"/>
      <c r="AO129" s="260">
        <v>56806.34</v>
      </c>
      <c r="AP129" s="96"/>
      <c r="AQ129" s="96"/>
      <c r="AR129" s="96">
        <f>14781.57</f>
        <v>14781.57</v>
      </c>
      <c r="AS129" s="96"/>
      <c r="AT129" s="119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9"/>
      <c r="BM129" s="100"/>
      <c r="BN129" s="100"/>
      <c r="BO129" s="100"/>
      <c r="BP129" s="100"/>
    </row>
    <row r="130" spans="1:68" ht="15.75" customHeight="1">
      <c r="A130" s="111"/>
      <c r="B130" s="111"/>
      <c r="C130" s="90"/>
      <c r="D130" s="236" t="s">
        <v>378</v>
      </c>
      <c r="E130" s="166"/>
      <c r="F130" s="166">
        <v>0</v>
      </c>
      <c r="G130" s="94" t="e">
        <f t="shared" ref="G130:G137" si="486">I130/E130</f>
        <v>#DIV/0!</v>
      </c>
      <c r="H130" s="94" t="e">
        <f t="shared" ref="H130:H137" si="487">M130/E130</f>
        <v>#DIV/0!</v>
      </c>
      <c r="I130" s="96"/>
      <c r="J130" s="96"/>
      <c r="K130" s="96"/>
      <c r="L130" s="237"/>
      <c r="M130" s="97">
        <f t="shared" ref="M130:O130" si="488">Y130+AB130+AE130+AH130+AK130+AN130+AQ130+AT130+AW130+AZ130+BC130+BF130</f>
        <v>0</v>
      </c>
      <c r="N130" s="97">
        <f t="shared" si="488"/>
        <v>0</v>
      </c>
      <c r="O130" s="97">
        <f t="shared" si="488"/>
        <v>0</v>
      </c>
      <c r="P130" s="97">
        <f t="shared" ref="P130:R130" si="489">IF(BI130=0,SUM(Y130+AB130+AE130+AH130+AK130+AN130+AQ130+AT130+AW130+AZ130+BC130+BF130),BI130)</f>
        <v>0</v>
      </c>
      <c r="Q130" s="97">
        <f t="shared" si="489"/>
        <v>0</v>
      </c>
      <c r="R130" s="97">
        <f t="shared" si="489"/>
        <v>0</v>
      </c>
      <c r="S130" s="97">
        <f t="shared" si="467"/>
        <v>0</v>
      </c>
      <c r="T130" s="97">
        <f>J130-N130-N130</f>
        <v>0</v>
      </c>
      <c r="U130" s="97">
        <f t="shared" si="469"/>
        <v>0</v>
      </c>
      <c r="V130" s="94" t="e">
        <f t="shared" ref="V130:W130" si="490">M130/I130</f>
        <v>#DIV/0!</v>
      </c>
      <c r="W130" s="94" t="e">
        <f t="shared" si="490"/>
        <v>#DIV/0!</v>
      </c>
      <c r="X130" s="94" t="e">
        <f>O130/L130</f>
        <v>#DIV/0!</v>
      </c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119"/>
      <c r="AU130" s="96"/>
      <c r="AV130" s="96"/>
      <c r="AW130" s="96"/>
      <c r="AX130" s="96"/>
      <c r="AY130" s="96"/>
      <c r="AZ130" s="96"/>
      <c r="BA130" s="96"/>
      <c r="BB130" s="103">
        <v>0</v>
      </c>
      <c r="BC130" s="96"/>
      <c r="BD130" s="96"/>
      <c r="BE130" s="103">
        <v>0</v>
      </c>
      <c r="BF130" s="96"/>
      <c r="BG130" s="96"/>
      <c r="BH130" s="96"/>
      <c r="BI130" s="96"/>
      <c r="BJ130" s="96"/>
      <c r="BK130" s="96"/>
      <c r="BL130" s="99"/>
      <c r="BM130" s="100"/>
      <c r="BN130" s="100"/>
      <c r="BO130" s="100"/>
      <c r="BP130" s="100"/>
    </row>
    <row r="131" spans="1:68" ht="15.75" customHeight="1">
      <c r="A131" s="228"/>
      <c r="B131" s="228"/>
      <c r="C131" s="229"/>
      <c r="D131" s="230" t="s">
        <v>379</v>
      </c>
      <c r="E131" s="231">
        <f t="shared" ref="E131:F131" si="491">SUM(E132:E136)</f>
        <v>0</v>
      </c>
      <c r="F131" s="231">
        <f t="shared" si="491"/>
        <v>216000</v>
      </c>
      <c r="G131" s="187" t="e">
        <f t="shared" si="486"/>
        <v>#DIV/0!</v>
      </c>
      <c r="H131" s="187" t="e">
        <f t="shared" si="487"/>
        <v>#DIV/0!</v>
      </c>
      <c r="I131" s="231">
        <f t="shared" ref="I131:O131" si="492">SUM(I132:I136)</f>
        <v>204403</v>
      </c>
      <c r="J131" s="231">
        <f t="shared" si="492"/>
        <v>0</v>
      </c>
      <c r="K131" s="231">
        <f t="shared" si="492"/>
        <v>0</v>
      </c>
      <c r="L131" s="231">
        <f t="shared" si="492"/>
        <v>0</v>
      </c>
      <c r="M131" s="231">
        <f t="shared" si="492"/>
        <v>0</v>
      </c>
      <c r="N131" s="238">
        <f t="shared" si="492"/>
        <v>0</v>
      </c>
      <c r="O131" s="238">
        <f t="shared" si="492"/>
        <v>0</v>
      </c>
      <c r="P131" s="238">
        <f t="shared" ref="P131:R131" si="493">IF(BI131=0,SUM(Y131+AB131+AE131+AH131+AK131+AN131+AQ131+AT131+AW131+AZ131+BC131+BF131),BI131)</f>
        <v>0</v>
      </c>
      <c r="Q131" s="238">
        <f t="shared" si="493"/>
        <v>0</v>
      </c>
      <c r="R131" s="238">
        <f t="shared" si="493"/>
        <v>0</v>
      </c>
      <c r="S131" s="238">
        <f t="shared" ref="S131:BK131" si="494">SUM(S132:S136)</f>
        <v>204403</v>
      </c>
      <c r="T131" s="238">
        <f t="shared" si="494"/>
        <v>0</v>
      </c>
      <c r="U131" s="238">
        <f t="shared" si="494"/>
        <v>0</v>
      </c>
      <c r="V131" s="238" t="e">
        <f t="shared" si="494"/>
        <v>#DIV/0!</v>
      </c>
      <c r="W131" s="238" t="e">
        <f t="shared" si="494"/>
        <v>#DIV/0!</v>
      </c>
      <c r="X131" s="238" t="e">
        <f t="shared" si="494"/>
        <v>#DIV/0!</v>
      </c>
      <c r="Y131" s="231">
        <f t="shared" si="494"/>
        <v>0</v>
      </c>
      <c r="Z131" s="231">
        <f t="shared" si="494"/>
        <v>0</v>
      </c>
      <c r="AA131" s="231">
        <f t="shared" si="494"/>
        <v>0</v>
      </c>
      <c r="AB131" s="231">
        <f t="shared" si="494"/>
        <v>0</v>
      </c>
      <c r="AC131" s="231">
        <f t="shared" si="494"/>
        <v>0</v>
      </c>
      <c r="AD131" s="231">
        <f t="shared" si="494"/>
        <v>0</v>
      </c>
      <c r="AE131" s="231">
        <f t="shared" si="494"/>
        <v>0</v>
      </c>
      <c r="AF131" s="231">
        <f t="shared" si="494"/>
        <v>0</v>
      </c>
      <c r="AG131" s="231">
        <f t="shared" si="494"/>
        <v>0</v>
      </c>
      <c r="AH131" s="231">
        <f t="shared" si="494"/>
        <v>0</v>
      </c>
      <c r="AI131" s="231">
        <f t="shared" si="494"/>
        <v>0</v>
      </c>
      <c r="AJ131" s="231">
        <f t="shared" si="494"/>
        <v>0</v>
      </c>
      <c r="AK131" s="231">
        <f t="shared" si="494"/>
        <v>0</v>
      </c>
      <c r="AL131" s="231">
        <f t="shared" si="494"/>
        <v>0</v>
      </c>
      <c r="AM131" s="231">
        <f t="shared" si="494"/>
        <v>0</v>
      </c>
      <c r="AN131" s="231">
        <f t="shared" si="494"/>
        <v>0</v>
      </c>
      <c r="AO131" s="231">
        <f t="shared" si="494"/>
        <v>0</v>
      </c>
      <c r="AP131" s="231">
        <f t="shared" si="494"/>
        <v>0</v>
      </c>
      <c r="AQ131" s="231">
        <f t="shared" si="494"/>
        <v>0</v>
      </c>
      <c r="AR131" s="231">
        <f t="shared" si="494"/>
        <v>0</v>
      </c>
      <c r="AS131" s="231">
        <f t="shared" si="494"/>
        <v>0</v>
      </c>
      <c r="AT131" s="231">
        <f t="shared" si="494"/>
        <v>0</v>
      </c>
      <c r="AU131" s="231">
        <f t="shared" si="494"/>
        <v>0</v>
      </c>
      <c r="AV131" s="231">
        <f t="shared" si="494"/>
        <v>0</v>
      </c>
      <c r="AW131" s="231">
        <f t="shared" si="494"/>
        <v>0</v>
      </c>
      <c r="AX131" s="231">
        <f t="shared" si="494"/>
        <v>0</v>
      </c>
      <c r="AY131" s="231">
        <f t="shared" si="494"/>
        <v>0</v>
      </c>
      <c r="AZ131" s="231">
        <f t="shared" si="494"/>
        <v>0</v>
      </c>
      <c r="BA131" s="231">
        <f t="shared" si="494"/>
        <v>0</v>
      </c>
      <c r="BB131" s="231">
        <f t="shared" si="494"/>
        <v>0</v>
      </c>
      <c r="BC131" s="231">
        <f t="shared" si="494"/>
        <v>0</v>
      </c>
      <c r="BD131" s="231">
        <f t="shared" si="494"/>
        <v>0</v>
      </c>
      <c r="BE131" s="231">
        <f t="shared" si="494"/>
        <v>0</v>
      </c>
      <c r="BF131" s="231">
        <f t="shared" si="494"/>
        <v>0</v>
      </c>
      <c r="BG131" s="231">
        <f t="shared" si="494"/>
        <v>0</v>
      </c>
      <c r="BH131" s="231">
        <f t="shared" si="494"/>
        <v>0</v>
      </c>
      <c r="BI131" s="231">
        <f t="shared" si="494"/>
        <v>0</v>
      </c>
      <c r="BJ131" s="231">
        <f t="shared" si="494"/>
        <v>0</v>
      </c>
      <c r="BK131" s="231">
        <f t="shared" si="494"/>
        <v>0</v>
      </c>
      <c r="BL131" s="233"/>
      <c r="BM131" s="234"/>
      <c r="BN131" s="234"/>
      <c r="BO131" s="234"/>
      <c r="BP131" s="234"/>
    </row>
    <row r="132" spans="1:68" ht="15.75" customHeight="1">
      <c r="A132" s="360" t="s">
        <v>670</v>
      </c>
      <c r="B132" s="111"/>
      <c r="C132" s="90" t="s">
        <v>380</v>
      </c>
      <c r="D132" s="91" t="s">
        <v>381</v>
      </c>
      <c r="E132" s="166"/>
      <c r="F132" s="166">
        <v>216000</v>
      </c>
      <c r="G132" s="94" t="e">
        <f t="shared" si="486"/>
        <v>#DIV/0!</v>
      </c>
      <c r="H132" s="94" t="e">
        <f t="shared" si="487"/>
        <v>#DIV/0!</v>
      </c>
      <c r="I132" s="103">
        <f>12000+192403</f>
        <v>204403</v>
      </c>
      <c r="J132" s="96"/>
      <c r="K132" s="96"/>
      <c r="L132" s="96"/>
      <c r="M132" s="97">
        <f t="shared" ref="M132:O132" si="495">Y132+AB132+AE132+AH132+AK132+AN132+AQ132+AT132+AW132+AZ132+BC132+BF132</f>
        <v>0</v>
      </c>
      <c r="N132" s="97">
        <f t="shared" si="495"/>
        <v>0</v>
      </c>
      <c r="O132" s="97">
        <f t="shared" si="495"/>
        <v>0</v>
      </c>
      <c r="P132" s="97">
        <f t="shared" ref="P132:R132" si="496">IF(BI132=0,SUM(Y132+AB132+AE132+AH132+AK132+AN132+AQ132+AT132+AW132+AZ132+BC132+BF132),BI132)</f>
        <v>0</v>
      </c>
      <c r="Q132" s="97">
        <f t="shared" si="496"/>
        <v>0</v>
      </c>
      <c r="R132" s="97">
        <f t="shared" si="496"/>
        <v>0</v>
      </c>
      <c r="S132" s="97">
        <f t="shared" ref="S132:T132" si="497">I132-M132</f>
        <v>204403</v>
      </c>
      <c r="T132" s="97">
        <f t="shared" si="497"/>
        <v>0</v>
      </c>
      <c r="U132" s="97">
        <f t="shared" ref="U132:U136" si="498">L132-O132</f>
        <v>0</v>
      </c>
      <c r="V132" s="98">
        <f t="shared" ref="V132:W132" si="499">M132/I132</f>
        <v>0</v>
      </c>
      <c r="W132" s="98" t="e">
        <f t="shared" si="499"/>
        <v>#DIV/0!</v>
      </c>
      <c r="X132" s="98" t="e">
        <f t="shared" ref="X132:X136" si="500">O132/L132</f>
        <v>#DIV/0!</v>
      </c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103">
        <v>0</v>
      </c>
      <c r="AK132" s="96"/>
      <c r="AL132" s="96"/>
      <c r="AM132" s="103">
        <v>0</v>
      </c>
      <c r="AN132" s="96"/>
      <c r="AO132" s="96"/>
      <c r="AP132" s="103">
        <v>0</v>
      </c>
      <c r="AQ132" s="96"/>
      <c r="AR132" s="96"/>
      <c r="AS132" s="96"/>
      <c r="AT132" s="119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9"/>
      <c r="BM132" s="100"/>
      <c r="BN132" s="100"/>
      <c r="BO132" s="100"/>
      <c r="BP132" s="100"/>
    </row>
    <row r="133" spans="1:68" ht="15.75" customHeight="1">
      <c r="A133" s="89"/>
      <c r="B133" s="89"/>
      <c r="C133" s="90" t="s">
        <v>380</v>
      </c>
      <c r="D133" s="91" t="s">
        <v>382</v>
      </c>
      <c r="E133" s="166"/>
      <c r="F133" s="166"/>
      <c r="G133" s="94" t="e">
        <f t="shared" si="486"/>
        <v>#DIV/0!</v>
      </c>
      <c r="H133" s="94" t="e">
        <f t="shared" si="487"/>
        <v>#DIV/0!</v>
      </c>
      <c r="I133" s="96"/>
      <c r="J133" s="96"/>
      <c r="K133" s="96"/>
      <c r="L133" s="83"/>
      <c r="M133" s="97">
        <f t="shared" ref="M133:O133" si="501">Y133+AB133+AE133+AH133+AK133+AN133+AQ133+AT133+AW133+AZ133+BC133+BF133</f>
        <v>0</v>
      </c>
      <c r="N133" s="97">
        <f t="shared" si="501"/>
        <v>0</v>
      </c>
      <c r="O133" s="97">
        <f t="shared" si="501"/>
        <v>0</v>
      </c>
      <c r="P133" s="97">
        <f t="shared" ref="P133:R133" si="502">IF(BI133=0,SUM(Y133+AB133+AE133+AH133+AK133+AN133+AQ133+AT133+AW133+AZ133+BC133+BF133),BI133)</f>
        <v>0</v>
      </c>
      <c r="Q133" s="97">
        <f t="shared" si="502"/>
        <v>0</v>
      </c>
      <c r="R133" s="97">
        <f t="shared" si="502"/>
        <v>0</v>
      </c>
      <c r="S133" s="97">
        <f t="shared" ref="S133:T133" si="503">I133-M133</f>
        <v>0</v>
      </c>
      <c r="T133" s="97">
        <f t="shared" si="503"/>
        <v>0</v>
      </c>
      <c r="U133" s="97">
        <f t="shared" si="498"/>
        <v>0</v>
      </c>
      <c r="V133" s="98" t="e">
        <f t="shared" ref="V133:W133" si="504">M133/I133</f>
        <v>#DIV/0!</v>
      </c>
      <c r="W133" s="98" t="e">
        <f t="shared" si="504"/>
        <v>#DIV/0!</v>
      </c>
      <c r="X133" s="98" t="e">
        <f t="shared" si="500"/>
        <v>#DIV/0!</v>
      </c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5"/>
      <c r="AJ133" s="96"/>
      <c r="AK133" s="96"/>
      <c r="AL133" s="95"/>
      <c r="AM133" s="96"/>
      <c r="AN133" s="96"/>
      <c r="AO133" s="95"/>
      <c r="AP133" s="95"/>
      <c r="AQ133" s="96"/>
      <c r="AR133" s="96"/>
      <c r="AS133" s="95"/>
      <c r="AT133" s="96"/>
      <c r="AU133" s="95"/>
      <c r="AV133" s="95"/>
      <c r="AW133" s="96"/>
      <c r="AX133" s="96"/>
      <c r="AY133" s="96"/>
      <c r="AZ133" s="96"/>
      <c r="BA133" s="96"/>
      <c r="BB133" s="96"/>
      <c r="BC133" s="96"/>
      <c r="BD133" s="96"/>
      <c r="BE133" s="96"/>
      <c r="BF133" s="96"/>
      <c r="BG133" s="96"/>
      <c r="BH133" s="96"/>
      <c r="BI133" s="96"/>
      <c r="BJ133" s="96"/>
      <c r="BK133" s="96"/>
      <c r="BL133" s="99"/>
      <c r="BM133" s="100"/>
      <c r="BN133" s="100"/>
      <c r="BO133" s="100"/>
      <c r="BP133" s="100"/>
    </row>
    <row r="134" spans="1:68" ht="15.75" customHeight="1">
      <c r="A134" s="89"/>
      <c r="B134" s="89"/>
      <c r="C134" s="90" t="s">
        <v>380</v>
      </c>
      <c r="D134" s="91" t="s">
        <v>383</v>
      </c>
      <c r="E134" s="166"/>
      <c r="F134" s="166"/>
      <c r="G134" s="94" t="e">
        <f t="shared" si="486"/>
        <v>#DIV/0!</v>
      </c>
      <c r="H134" s="94" t="e">
        <f t="shared" si="487"/>
        <v>#DIV/0!</v>
      </c>
      <c r="I134" s="96"/>
      <c r="J134" s="96"/>
      <c r="K134" s="96"/>
      <c r="L134" s="96"/>
      <c r="M134" s="97">
        <f t="shared" ref="M134:O134" si="505">Y134+AB134+AE134+AH134+AK134+AN134+AQ134+AT134+AW134+AZ134+BC134+BF134</f>
        <v>0</v>
      </c>
      <c r="N134" s="97">
        <f t="shared" si="505"/>
        <v>0</v>
      </c>
      <c r="O134" s="97">
        <f t="shared" si="505"/>
        <v>0</v>
      </c>
      <c r="P134" s="97">
        <f t="shared" ref="P134:R134" si="506">IF(BI134=0,SUM(Y134+AB134+AE134+AH134+AK134+AN134+AQ134+AT134+AW134+AZ134+BC134+BF134),BI134)</f>
        <v>0</v>
      </c>
      <c r="Q134" s="97">
        <f t="shared" si="506"/>
        <v>0</v>
      </c>
      <c r="R134" s="97">
        <f t="shared" si="506"/>
        <v>0</v>
      </c>
      <c r="S134" s="97">
        <f t="shared" ref="S134:T134" si="507">I134-M134</f>
        <v>0</v>
      </c>
      <c r="T134" s="97">
        <f t="shared" si="507"/>
        <v>0</v>
      </c>
      <c r="U134" s="97">
        <f t="shared" si="498"/>
        <v>0</v>
      </c>
      <c r="V134" s="98" t="e">
        <f t="shared" ref="V134:W134" si="508">M134/I134</f>
        <v>#DIV/0!</v>
      </c>
      <c r="W134" s="98" t="e">
        <f t="shared" si="508"/>
        <v>#DIV/0!</v>
      </c>
      <c r="X134" s="98" t="e">
        <f t="shared" si="500"/>
        <v>#DIV/0!</v>
      </c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5"/>
      <c r="AJ134" s="96"/>
      <c r="AK134" s="96"/>
      <c r="AL134" s="95"/>
      <c r="AM134" s="96"/>
      <c r="AN134" s="96"/>
      <c r="AO134" s="95"/>
      <c r="AP134" s="95"/>
      <c r="AQ134" s="96"/>
      <c r="AR134" s="96"/>
      <c r="AS134" s="95"/>
      <c r="AT134" s="96"/>
      <c r="AU134" s="95"/>
      <c r="AV134" s="95"/>
      <c r="AW134" s="96"/>
      <c r="AX134" s="96"/>
      <c r="AY134" s="96"/>
      <c r="AZ134" s="96"/>
      <c r="BA134" s="96"/>
      <c r="BB134" s="96"/>
      <c r="BC134" s="96"/>
      <c r="BD134" s="96"/>
      <c r="BE134" s="96"/>
      <c r="BF134" s="96"/>
      <c r="BG134" s="96"/>
      <c r="BH134" s="96"/>
      <c r="BI134" s="96"/>
      <c r="BJ134" s="96"/>
      <c r="BK134" s="96"/>
      <c r="BL134" s="99"/>
      <c r="BM134" s="100"/>
      <c r="BN134" s="100"/>
      <c r="BO134" s="100"/>
      <c r="BP134" s="100"/>
    </row>
    <row r="135" spans="1:68" ht="15.75" customHeight="1">
      <c r="A135" s="89"/>
      <c r="B135" s="89"/>
      <c r="C135" s="90" t="s">
        <v>380</v>
      </c>
      <c r="D135" s="91" t="s">
        <v>384</v>
      </c>
      <c r="E135" s="166"/>
      <c r="F135" s="166"/>
      <c r="G135" s="94" t="e">
        <f t="shared" si="486"/>
        <v>#DIV/0!</v>
      </c>
      <c r="H135" s="94" t="e">
        <f t="shared" si="487"/>
        <v>#DIV/0!</v>
      </c>
      <c r="I135" s="96"/>
      <c r="J135" s="96"/>
      <c r="K135" s="96"/>
      <c r="L135" s="96"/>
      <c r="M135" s="97">
        <f t="shared" ref="M135:O135" si="509">Y135+AB135+AE135+AH135+AK135+AN135+AQ135+AT135+AW135+AZ135+BC135+BF135</f>
        <v>0</v>
      </c>
      <c r="N135" s="97">
        <f t="shared" si="509"/>
        <v>0</v>
      </c>
      <c r="O135" s="97">
        <f t="shared" si="509"/>
        <v>0</v>
      </c>
      <c r="P135" s="97">
        <f t="shared" ref="P135:R135" si="510">IF(BI135=0,SUM(Y135+AB135+AE135+AH135+AK135+AN135+AQ135+AT135+AW135+AZ135+BC135+BF135),BI135)</f>
        <v>0</v>
      </c>
      <c r="Q135" s="97">
        <f t="shared" si="510"/>
        <v>0</v>
      </c>
      <c r="R135" s="97">
        <f t="shared" si="510"/>
        <v>0</v>
      </c>
      <c r="S135" s="97">
        <f t="shared" ref="S135:T135" si="511">I135-M135</f>
        <v>0</v>
      </c>
      <c r="T135" s="97">
        <f t="shared" si="511"/>
        <v>0</v>
      </c>
      <c r="U135" s="97">
        <f t="shared" si="498"/>
        <v>0</v>
      </c>
      <c r="V135" s="98" t="e">
        <f t="shared" ref="V135:W135" si="512">M135/I135</f>
        <v>#DIV/0!</v>
      </c>
      <c r="W135" s="98" t="e">
        <f t="shared" si="512"/>
        <v>#DIV/0!</v>
      </c>
      <c r="X135" s="98" t="e">
        <f t="shared" si="500"/>
        <v>#DIV/0!</v>
      </c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5"/>
      <c r="AJ135" s="96"/>
      <c r="AK135" s="96"/>
      <c r="AL135" s="95"/>
      <c r="AM135" s="96"/>
      <c r="AN135" s="96"/>
      <c r="AO135" s="95"/>
      <c r="AP135" s="95"/>
      <c r="AQ135" s="96"/>
      <c r="AR135" s="96"/>
      <c r="AS135" s="95"/>
      <c r="AT135" s="96"/>
      <c r="AU135" s="95"/>
      <c r="AV135" s="95"/>
      <c r="AW135" s="96"/>
      <c r="AX135" s="96"/>
      <c r="AY135" s="96"/>
      <c r="AZ135" s="96"/>
      <c r="BA135" s="96"/>
      <c r="BB135" s="96"/>
      <c r="BC135" s="96"/>
      <c r="BD135" s="96"/>
      <c r="BE135" s="96"/>
      <c r="BF135" s="96"/>
      <c r="BG135" s="96"/>
      <c r="BH135" s="96"/>
      <c r="BI135" s="96"/>
      <c r="BJ135" s="96"/>
      <c r="BK135" s="96"/>
      <c r="BL135" s="99"/>
      <c r="BM135" s="100"/>
      <c r="BN135" s="100"/>
      <c r="BO135" s="100"/>
      <c r="BP135" s="100"/>
    </row>
    <row r="136" spans="1:68" ht="15.75" customHeight="1">
      <c r="A136" s="89"/>
      <c r="B136" s="89"/>
      <c r="C136" s="90" t="s">
        <v>385</v>
      </c>
      <c r="D136" s="91" t="s">
        <v>386</v>
      </c>
      <c r="E136" s="166"/>
      <c r="F136" s="166"/>
      <c r="G136" s="94" t="e">
        <f t="shared" si="486"/>
        <v>#DIV/0!</v>
      </c>
      <c r="H136" s="94" t="e">
        <f t="shared" si="487"/>
        <v>#DIV/0!</v>
      </c>
      <c r="I136" s="96"/>
      <c r="J136" s="96"/>
      <c r="K136" s="96"/>
      <c r="L136" s="239"/>
      <c r="M136" s="97">
        <f t="shared" ref="M136:O136" si="513">Y136+AB136+AE136+AH136+AK136+AN136+AQ136+AT136+AW136+AZ136+BC136+BF136</f>
        <v>0</v>
      </c>
      <c r="N136" s="97">
        <f t="shared" si="513"/>
        <v>0</v>
      </c>
      <c r="O136" s="97">
        <f t="shared" si="513"/>
        <v>0</v>
      </c>
      <c r="P136" s="97">
        <f t="shared" ref="P136:R136" si="514">IF(BI136=0,SUM(Y136+AB136+AE136+AH136+AK136+AN136+AQ136+AT136+AW136+AZ136+BC136+BF136),BI136)</f>
        <v>0</v>
      </c>
      <c r="Q136" s="97">
        <f t="shared" si="514"/>
        <v>0</v>
      </c>
      <c r="R136" s="97">
        <f t="shared" si="514"/>
        <v>0</v>
      </c>
      <c r="S136" s="97">
        <f t="shared" ref="S136:T136" si="515">I136-M136</f>
        <v>0</v>
      </c>
      <c r="T136" s="97">
        <f t="shared" si="515"/>
        <v>0</v>
      </c>
      <c r="U136" s="97">
        <f t="shared" si="498"/>
        <v>0</v>
      </c>
      <c r="V136" s="98" t="e">
        <f t="shared" ref="V136:W136" si="516">M136/I136</f>
        <v>#DIV/0!</v>
      </c>
      <c r="W136" s="98" t="e">
        <f t="shared" si="516"/>
        <v>#DIV/0!</v>
      </c>
      <c r="X136" s="98" t="e">
        <f t="shared" si="500"/>
        <v>#DIV/0!</v>
      </c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  <c r="AQ136" s="96"/>
      <c r="AR136" s="96"/>
      <c r="AS136" s="96"/>
      <c r="AT136" s="96"/>
      <c r="AU136" s="96"/>
      <c r="AV136" s="96"/>
      <c r="AW136" s="96"/>
      <c r="AX136" s="96"/>
      <c r="AY136" s="96"/>
      <c r="AZ136" s="96"/>
      <c r="BA136" s="96"/>
      <c r="BB136" s="96"/>
      <c r="BC136" s="96"/>
      <c r="BD136" s="96"/>
      <c r="BE136" s="96"/>
      <c r="BF136" s="96"/>
      <c r="BG136" s="96"/>
      <c r="BH136" s="96"/>
      <c r="BI136" s="96"/>
      <c r="BJ136" s="96"/>
      <c r="BK136" s="96"/>
      <c r="BL136" s="99"/>
      <c r="BM136" s="100"/>
      <c r="BN136" s="100"/>
      <c r="BO136" s="100"/>
      <c r="BP136" s="100"/>
    </row>
    <row r="137" spans="1:68" ht="15.75" customHeight="1">
      <c r="A137" s="240"/>
      <c r="B137" s="240"/>
      <c r="C137" s="229"/>
      <c r="D137" s="241" t="s">
        <v>387</v>
      </c>
      <c r="E137" s="242">
        <f t="shared" ref="E137:F137" si="517">SUM(E138:E140)</f>
        <v>0</v>
      </c>
      <c r="F137" s="242">
        <f t="shared" si="517"/>
        <v>867964.47</v>
      </c>
      <c r="G137" s="187" t="e">
        <f t="shared" si="486"/>
        <v>#DIV/0!</v>
      </c>
      <c r="H137" s="187" t="e">
        <f t="shared" si="487"/>
        <v>#DIV/0!</v>
      </c>
      <c r="I137" s="242">
        <f t="shared" ref="I137:O137" si="518">SUM(I138:I140)</f>
        <v>282858.71999999997</v>
      </c>
      <c r="J137" s="242">
        <f t="shared" si="518"/>
        <v>203666.88</v>
      </c>
      <c r="K137" s="242">
        <f t="shared" si="518"/>
        <v>0</v>
      </c>
      <c r="L137" s="242">
        <f t="shared" si="518"/>
        <v>0</v>
      </c>
      <c r="M137" s="242">
        <f t="shared" si="518"/>
        <v>135986.12</v>
      </c>
      <c r="N137" s="243">
        <f t="shared" si="518"/>
        <v>203666.88</v>
      </c>
      <c r="O137" s="243">
        <f t="shared" si="518"/>
        <v>0</v>
      </c>
      <c r="P137" s="243">
        <f t="shared" ref="P137:R137" si="519">IF(BI137=0,SUM(Y137+AB137+AE137+AH137+AK137+AN137+AQ137+AT137+AW137+AZ137+BC137+BF137),BI137)</f>
        <v>135986.12</v>
      </c>
      <c r="Q137" s="243">
        <f t="shared" si="519"/>
        <v>203666.88</v>
      </c>
      <c r="R137" s="243">
        <f t="shared" si="519"/>
        <v>0</v>
      </c>
      <c r="S137" s="242">
        <f t="shared" ref="S137:BK137" si="520">SUM(S138:S140)</f>
        <v>146872.59999999998</v>
      </c>
      <c r="T137" s="186">
        <f t="shared" si="520"/>
        <v>0</v>
      </c>
      <c r="U137" s="186">
        <f t="shared" si="520"/>
        <v>0</v>
      </c>
      <c r="V137" s="186" t="e">
        <f t="shared" si="520"/>
        <v>#DIV/0!</v>
      </c>
      <c r="W137" s="186" t="e">
        <f t="shared" si="520"/>
        <v>#DIV/0!</v>
      </c>
      <c r="X137" s="186" t="e">
        <f t="shared" si="520"/>
        <v>#DIV/0!</v>
      </c>
      <c r="Y137" s="242">
        <f t="shared" si="520"/>
        <v>0</v>
      </c>
      <c r="Z137" s="242">
        <f t="shared" si="520"/>
        <v>0</v>
      </c>
      <c r="AA137" s="242">
        <f t="shared" si="520"/>
        <v>0</v>
      </c>
      <c r="AB137" s="242">
        <f t="shared" si="520"/>
        <v>0</v>
      </c>
      <c r="AC137" s="242">
        <f t="shared" si="520"/>
        <v>0</v>
      </c>
      <c r="AD137" s="242">
        <f t="shared" si="520"/>
        <v>0</v>
      </c>
      <c r="AE137" s="242">
        <f t="shared" si="520"/>
        <v>0</v>
      </c>
      <c r="AF137" s="242">
        <f t="shared" si="520"/>
        <v>59424.31</v>
      </c>
      <c r="AG137" s="242">
        <f t="shared" si="520"/>
        <v>0</v>
      </c>
      <c r="AH137" s="242">
        <f t="shared" si="520"/>
        <v>0</v>
      </c>
      <c r="AI137" s="242">
        <f t="shared" si="520"/>
        <v>71413.69</v>
      </c>
      <c r="AJ137" s="242">
        <f t="shared" si="520"/>
        <v>0</v>
      </c>
      <c r="AK137" s="242">
        <f t="shared" si="520"/>
        <v>0</v>
      </c>
      <c r="AL137" s="242">
        <f t="shared" si="520"/>
        <v>29352.25</v>
      </c>
      <c r="AM137" s="242">
        <f t="shared" si="520"/>
        <v>0</v>
      </c>
      <c r="AN137" s="242">
        <f t="shared" si="520"/>
        <v>31870.57</v>
      </c>
      <c r="AO137" s="242">
        <f t="shared" si="520"/>
        <v>43476.63</v>
      </c>
      <c r="AP137" s="242">
        <f t="shared" si="520"/>
        <v>0</v>
      </c>
      <c r="AQ137" s="242">
        <f t="shared" si="520"/>
        <v>104115.55</v>
      </c>
      <c r="AR137" s="242">
        <f t="shared" si="520"/>
        <v>0</v>
      </c>
      <c r="AS137" s="242">
        <f t="shared" si="520"/>
        <v>0</v>
      </c>
      <c r="AT137" s="242">
        <f t="shared" si="520"/>
        <v>0</v>
      </c>
      <c r="AU137" s="242">
        <f t="shared" si="520"/>
        <v>0</v>
      </c>
      <c r="AV137" s="242">
        <f t="shared" si="520"/>
        <v>0</v>
      </c>
      <c r="AW137" s="242">
        <f t="shared" si="520"/>
        <v>0</v>
      </c>
      <c r="AX137" s="242">
        <f t="shared" si="520"/>
        <v>0</v>
      </c>
      <c r="AY137" s="242">
        <f t="shared" si="520"/>
        <v>0</v>
      </c>
      <c r="AZ137" s="242">
        <f t="shared" si="520"/>
        <v>0</v>
      </c>
      <c r="BA137" s="242">
        <f t="shared" si="520"/>
        <v>0</v>
      </c>
      <c r="BB137" s="242">
        <f t="shared" si="520"/>
        <v>0</v>
      </c>
      <c r="BC137" s="242">
        <f t="shared" si="520"/>
        <v>0</v>
      </c>
      <c r="BD137" s="242">
        <f t="shared" si="520"/>
        <v>0</v>
      </c>
      <c r="BE137" s="242">
        <f t="shared" si="520"/>
        <v>0</v>
      </c>
      <c r="BF137" s="242">
        <f t="shared" si="520"/>
        <v>0</v>
      </c>
      <c r="BG137" s="242">
        <f t="shared" si="520"/>
        <v>0</v>
      </c>
      <c r="BH137" s="242">
        <f t="shared" si="520"/>
        <v>0</v>
      </c>
      <c r="BI137" s="242">
        <f t="shared" si="520"/>
        <v>0</v>
      </c>
      <c r="BJ137" s="242">
        <f t="shared" si="520"/>
        <v>0</v>
      </c>
      <c r="BK137" s="242">
        <f t="shared" si="520"/>
        <v>0</v>
      </c>
      <c r="BL137" s="233"/>
      <c r="BM137" s="234"/>
      <c r="BN137" s="234"/>
      <c r="BO137" s="234"/>
      <c r="BP137" s="234"/>
    </row>
    <row r="138" spans="1:68" ht="15.75" customHeight="1">
      <c r="A138" s="89"/>
      <c r="B138" s="206" t="s">
        <v>206</v>
      </c>
      <c r="C138" s="101" t="s">
        <v>388</v>
      </c>
      <c r="D138" s="91" t="s">
        <v>138</v>
      </c>
      <c r="E138" s="92">
        <v>0</v>
      </c>
      <c r="F138" s="195"/>
      <c r="G138" s="94" t="e">
        <f t="shared" ref="G138:G139" si="521">I138/#REF!</f>
        <v>#REF!</v>
      </c>
      <c r="H138" s="94" t="e">
        <f t="shared" ref="H138:H139" si="522">M138/#REF!</f>
        <v>#REF!</v>
      </c>
      <c r="I138" s="96"/>
      <c r="J138" s="96">
        <v>193192.78</v>
      </c>
      <c r="K138" s="96"/>
      <c r="L138" s="96"/>
      <c r="M138" s="97">
        <f t="shared" ref="M138:O138" si="523">Y138+AB138+AE138+AH138+AK138+AN138+AQ138+AT138+AW138+AZ138+BC138+BF138</f>
        <v>0</v>
      </c>
      <c r="N138" s="97">
        <f t="shared" si="523"/>
        <v>193192.78</v>
      </c>
      <c r="O138" s="97">
        <f t="shared" si="523"/>
        <v>0</v>
      </c>
      <c r="P138" s="97">
        <f t="shared" ref="P138:R138" si="524">IF(BI138=0,SUM(Y138+AB138+AE138+AH138+AK138+AN138+AQ138+AT138+AW138+AZ138+BC138+BF138),BI138)</f>
        <v>0</v>
      </c>
      <c r="Q138" s="97">
        <f t="shared" si="524"/>
        <v>193192.78</v>
      </c>
      <c r="R138" s="97">
        <f t="shared" si="524"/>
        <v>0</v>
      </c>
      <c r="S138" s="97">
        <f t="shared" ref="S138:T138" si="525">I138-M138</f>
        <v>0</v>
      </c>
      <c r="T138" s="97">
        <f t="shared" si="525"/>
        <v>0</v>
      </c>
      <c r="U138" s="97">
        <f t="shared" ref="U138:U140" si="526">L138-O138</f>
        <v>0</v>
      </c>
      <c r="V138" s="98" t="e">
        <f t="shared" ref="V138:W138" si="527">M138/I138</f>
        <v>#DIV/0!</v>
      </c>
      <c r="W138" s="98">
        <f t="shared" si="527"/>
        <v>1</v>
      </c>
      <c r="X138" s="98" t="e">
        <f t="shared" ref="X138:X140" si="528">O138/L138</f>
        <v>#DIV/0!</v>
      </c>
      <c r="Y138" s="96"/>
      <c r="Z138" s="96"/>
      <c r="AA138" s="96"/>
      <c r="AB138" s="96"/>
      <c r="AC138" s="96"/>
      <c r="AD138" s="96"/>
      <c r="AE138" s="96"/>
      <c r="AF138" s="96">
        <f>59424.31</f>
        <v>59424.31</v>
      </c>
      <c r="AG138" s="96"/>
      <c r="AH138" s="96"/>
      <c r="AI138" s="96">
        <f>31947.84+39465.85</f>
        <v>71413.69</v>
      </c>
      <c r="AJ138" s="96"/>
      <c r="AK138" s="96"/>
      <c r="AL138" s="103">
        <v>29352.25</v>
      </c>
      <c r="AM138" s="96"/>
      <c r="AN138" s="96"/>
      <c r="AO138" s="260">
        <v>33002.53</v>
      </c>
      <c r="AP138" s="96"/>
      <c r="AQ138" s="96"/>
      <c r="AR138" s="96"/>
      <c r="AS138" s="96"/>
      <c r="AT138" s="96"/>
      <c r="AU138" s="96"/>
      <c r="AV138" s="96"/>
      <c r="AW138" s="96"/>
      <c r="AX138" s="96"/>
      <c r="AY138" s="96"/>
      <c r="AZ138" s="96"/>
      <c r="BA138" s="96"/>
      <c r="BB138" s="96"/>
      <c r="BC138" s="96"/>
      <c r="BD138" s="96"/>
      <c r="BE138" s="96"/>
      <c r="BF138" s="96"/>
      <c r="BG138" s="96"/>
      <c r="BH138" s="96"/>
      <c r="BI138" s="96"/>
      <c r="BJ138" s="96"/>
      <c r="BK138" s="96"/>
      <c r="BL138" s="99"/>
      <c r="BM138" s="100"/>
      <c r="BN138" s="100"/>
      <c r="BO138" s="100"/>
      <c r="BP138" s="100"/>
    </row>
    <row r="139" spans="1:68" ht="15.75" customHeight="1">
      <c r="A139" s="89"/>
      <c r="B139" s="206"/>
      <c r="C139" s="101" t="s">
        <v>388</v>
      </c>
      <c r="D139" s="122" t="s">
        <v>139</v>
      </c>
      <c r="E139" s="92"/>
      <c r="F139" s="195">
        <v>400000</v>
      </c>
      <c r="G139" s="94" t="e">
        <f t="shared" si="521"/>
        <v>#REF!</v>
      </c>
      <c r="H139" s="94" t="e">
        <f t="shared" si="522"/>
        <v>#REF!</v>
      </c>
      <c r="I139" s="119"/>
      <c r="J139" s="96"/>
      <c r="K139" s="96"/>
      <c r="L139" s="202"/>
      <c r="M139" s="97">
        <f t="shared" ref="M139:O139" si="529">Y139+AB139+AE139+AH139+AK139+AN139+AQ139+AT139+AW139+AZ139+BC139+BF139</f>
        <v>0</v>
      </c>
      <c r="N139" s="97">
        <f t="shared" si="529"/>
        <v>0</v>
      </c>
      <c r="O139" s="97">
        <f t="shared" si="529"/>
        <v>0</v>
      </c>
      <c r="P139" s="97">
        <f t="shared" ref="P139:R139" si="530">IF(BI139=0,SUM(Y139+AB139+AE139+AH139+AK139+AN139+AQ139+AT139+AW139+AZ139+BC139+BF139),BI139)</f>
        <v>0</v>
      </c>
      <c r="Q139" s="97">
        <f t="shared" si="530"/>
        <v>0</v>
      </c>
      <c r="R139" s="97">
        <f t="shared" si="530"/>
        <v>0</v>
      </c>
      <c r="S139" s="97">
        <f t="shared" ref="S139:T139" si="531">I139-M139</f>
        <v>0</v>
      </c>
      <c r="T139" s="97">
        <f t="shared" si="531"/>
        <v>0</v>
      </c>
      <c r="U139" s="97">
        <f t="shared" si="526"/>
        <v>0</v>
      </c>
      <c r="V139" s="98" t="e">
        <f t="shared" ref="V139:W139" si="532">M139/I139</f>
        <v>#DIV/0!</v>
      </c>
      <c r="W139" s="98" t="e">
        <f t="shared" si="532"/>
        <v>#DIV/0!</v>
      </c>
      <c r="X139" s="98" t="e">
        <f t="shared" si="528"/>
        <v>#DIV/0!</v>
      </c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129"/>
      <c r="AP139" s="96"/>
      <c r="AQ139" s="96"/>
      <c r="AR139" s="96"/>
      <c r="AS139" s="96"/>
      <c r="AT139" s="96"/>
      <c r="AU139" s="96"/>
      <c r="AV139" s="96"/>
      <c r="AW139" s="96"/>
      <c r="AX139" s="96"/>
      <c r="AY139" s="96"/>
      <c r="AZ139" s="96"/>
      <c r="BA139" s="96"/>
      <c r="BB139" s="96"/>
      <c r="BC139" s="96"/>
      <c r="BD139" s="96"/>
      <c r="BE139" s="96"/>
      <c r="BF139" s="96"/>
      <c r="BG139" s="96"/>
      <c r="BH139" s="96"/>
      <c r="BI139" s="96"/>
      <c r="BJ139" s="96"/>
      <c r="BK139" s="96"/>
      <c r="BL139" s="99"/>
      <c r="BM139" s="100"/>
      <c r="BN139" s="100"/>
      <c r="BO139" s="100"/>
      <c r="BP139" s="100"/>
    </row>
    <row r="140" spans="1:68" ht="15.75" customHeight="1">
      <c r="A140" s="354" t="s">
        <v>671</v>
      </c>
      <c r="B140" s="206" t="s">
        <v>389</v>
      </c>
      <c r="C140" s="90"/>
      <c r="D140" s="122" t="s">
        <v>139</v>
      </c>
      <c r="E140" s="166"/>
      <c r="F140" s="166">
        <v>467964.47</v>
      </c>
      <c r="G140" s="94" t="e">
        <f t="shared" ref="G140:G144" si="533">I140/E140</f>
        <v>#DIV/0!</v>
      </c>
      <c r="H140" s="94" t="e">
        <f t="shared" ref="H140:H144" si="534">M140/E140</f>
        <v>#DIV/0!</v>
      </c>
      <c r="I140" s="103">
        <v>282858.71999999997</v>
      </c>
      <c r="J140" s="96">
        <v>10474.1</v>
      </c>
      <c r="K140" s="96"/>
      <c r="L140" s="244"/>
      <c r="M140" s="97">
        <f t="shared" ref="M140:O140" si="535">Y140+AB140+AE140+AH140+AK140+AN140+AQ140+AT140+AW140+AZ140+BC140+BF140</f>
        <v>135986.12</v>
      </c>
      <c r="N140" s="97">
        <f t="shared" si="535"/>
        <v>10474.099999999999</v>
      </c>
      <c r="O140" s="97">
        <f t="shared" si="535"/>
        <v>0</v>
      </c>
      <c r="P140" s="97">
        <f t="shared" ref="P140:R140" si="536">IF(BI140=0,SUM(Y140+AB140+AE140+AH140+AK140+AN140+AQ140+AT140+AW140+AZ140+BC140+BF140),BI140)</f>
        <v>135986.12</v>
      </c>
      <c r="Q140" s="97">
        <f t="shared" si="536"/>
        <v>10474.099999999999</v>
      </c>
      <c r="R140" s="97">
        <f t="shared" si="536"/>
        <v>0</v>
      </c>
      <c r="S140" s="97">
        <f t="shared" ref="S140:T140" si="537">I140-M140</f>
        <v>146872.59999999998</v>
      </c>
      <c r="T140" s="97">
        <f t="shared" si="537"/>
        <v>0</v>
      </c>
      <c r="U140" s="97">
        <f t="shared" si="526"/>
        <v>0</v>
      </c>
      <c r="V140" s="98">
        <f t="shared" ref="V140:W140" si="538">M140/I140</f>
        <v>0.4807563295202637</v>
      </c>
      <c r="W140" s="98">
        <f t="shared" si="538"/>
        <v>0.99999999999999978</v>
      </c>
      <c r="X140" s="98" t="e">
        <f t="shared" si="528"/>
        <v>#DIV/0!</v>
      </c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103">
        <v>31870.57</v>
      </c>
      <c r="AO140" s="260">
        <f>1807.54+8666.56</f>
        <v>10474.099999999999</v>
      </c>
      <c r="AP140" s="96"/>
      <c r="AQ140" s="96">
        <f>36000.8+34348.17+33766.58</f>
        <v>104115.55</v>
      </c>
      <c r="AR140" s="96"/>
      <c r="AS140" s="96"/>
      <c r="AT140" s="96"/>
      <c r="AU140" s="96"/>
      <c r="AV140" s="96"/>
      <c r="AW140" s="96"/>
      <c r="AX140" s="96"/>
      <c r="AY140" s="96"/>
      <c r="AZ140" s="96"/>
      <c r="BA140" s="96"/>
      <c r="BB140" s="96"/>
      <c r="BC140" s="96"/>
      <c r="BD140" s="96"/>
      <c r="BE140" s="96"/>
      <c r="BF140" s="96"/>
      <c r="BG140" s="96"/>
      <c r="BH140" s="96"/>
      <c r="BI140" s="96"/>
      <c r="BJ140" s="96"/>
      <c r="BK140" s="96"/>
      <c r="BL140" s="99"/>
      <c r="BM140" s="100"/>
      <c r="BN140" s="100"/>
      <c r="BO140" s="100"/>
      <c r="BP140" s="100"/>
    </row>
    <row r="141" spans="1:68" ht="15.75" customHeight="1">
      <c r="A141" s="240"/>
      <c r="B141" s="240"/>
      <c r="C141" s="229"/>
      <c r="D141" s="241" t="s">
        <v>390</v>
      </c>
      <c r="E141" s="242">
        <f t="shared" ref="E141:F141" si="539">SUM(E142:E144)</f>
        <v>0</v>
      </c>
      <c r="F141" s="242">
        <f t="shared" si="539"/>
        <v>90000</v>
      </c>
      <c r="G141" s="187" t="e">
        <f t="shared" si="533"/>
        <v>#DIV/0!</v>
      </c>
      <c r="H141" s="187" t="e">
        <f t="shared" si="534"/>
        <v>#DIV/0!</v>
      </c>
      <c r="I141" s="242">
        <f>SUM(I142:I144)</f>
        <v>0</v>
      </c>
      <c r="J141" s="242">
        <f t="shared" ref="J141:K141" si="540">SUM(J142:J145)</f>
        <v>4237.2</v>
      </c>
      <c r="K141" s="242">
        <f t="shared" si="540"/>
        <v>0</v>
      </c>
      <c r="L141" s="242">
        <f t="shared" ref="L141:M141" si="541">SUM(L142:L144)</f>
        <v>0</v>
      </c>
      <c r="M141" s="242">
        <f t="shared" si="541"/>
        <v>0</v>
      </c>
      <c r="N141" s="243">
        <f>SUM(N142:N145)</f>
        <v>4237.2</v>
      </c>
      <c r="O141" s="243">
        <f>SUM(O142:O144)</f>
        <v>0</v>
      </c>
      <c r="P141" s="243">
        <f t="shared" ref="P141:R141" si="542">IF(BI141=0,SUM(Y141+AB141+AE141+AH141+AK141+AN141+AQ141+AT141+AW141+AZ141+BC141+BF141),BI141)</f>
        <v>0</v>
      </c>
      <c r="Q141" s="243">
        <f t="shared" si="542"/>
        <v>4237.2</v>
      </c>
      <c r="R141" s="243">
        <f t="shared" si="542"/>
        <v>0</v>
      </c>
      <c r="S141" s="242">
        <f t="shared" ref="S141:AE141" si="543">SUM(S142:S144)</f>
        <v>0</v>
      </c>
      <c r="T141" s="186">
        <f t="shared" si="543"/>
        <v>0</v>
      </c>
      <c r="U141" s="186">
        <f t="shared" si="543"/>
        <v>0</v>
      </c>
      <c r="V141" s="186" t="e">
        <f t="shared" si="543"/>
        <v>#DIV/0!</v>
      </c>
      <c r="W141" s="186" t="e">
        <f t="shared" si="543"/>
        <v>#DIV/0!</v>
      </c>
      <c r="X141" s="186" t="e">
        <f t="shared" si="543"/>
        <v>#DIV/0!</v>
      </c>
      <c r="Y141" s="242">
        <f t="shared" si="543"/>
        <v>0</v>
      </c>
      <c r="Z141" s="242">
        <f t="shared" si="543"/>
        <v>0</v>
      </c>
      <c r="AA141" s="242">
        <f t="shared" si="543"/>
        <v>0</v>
      </c>
      <c r="AB141" s="242">
        <f t="shared" si="543"/>
        <v>0</v>
      </c>
      <c r="AC141" s="242">
        <f t="shared" si="543"/>
        <v>0</v>
      </c>
      <c r="AD141" s="242">
        <f t="shared" si="543"/>
        <v>0</v>
      </c>
      <c r="AE141" s="242">
        <f t="shared" si="543"/>
        <v>0</v>
      </c>
      <c r="AF141" s="242">
        <f>SUM(AF142:AF145)</f>
        <v>4237.2</v>
      </c>
      <c r="AG141" s="242">
        <f t="shared" ref="AG141:AP141" si="544">SUM(AG142:AG144)</f>
        <v>0</v>
      </c>
      <c r="AH141" s="242">
        <f t="shared" si="544"/>
        <v>0</v>
      </c>
      <c r="AI141" s="242">
        <f t="shared" si="544"/>
        <v>0</v>
      </c>
      <c r="AJ141" s="242">
        <f t="shared" si="544"/>
        <v>0</v>
      </c>
      <c r="AK141" s="242">
        <f t="shared" si="544"/>
        <v>0</v>
      </c>
      <c r="AL141" s="242">
        <f t="shared" si="544"/>
        <v>0</v>
      </c>
      <c r="AM141" s="242">
        <f t="shared" si="544"/>
        <v>0</v>
      </c>
      <c r="AN141" s="242">
        <f t="shared" si="544"/>
        <v>0</v>
      </c>
      <c r="AO141" s="242">
        <f t="shared" si="544"/>
        <v>0</v>
      </c>
      <c r="AP141" s="242">
        <f t="shared" si="544"/>
        <v>0</v>
      </c>
      <c r="AQ141" s="242">
        <f t="shared" ref="AQ141:AR141" si="545">SUM(AQ142:AQ145)</f>
        <v>0</v>
      </c>
      <c r="AR141" s="242">
        <f t="shared" si="545"/>
        <v>0</v>
      </c>
      <c r="AS141" s="242">
        <f t="shared" ref="AS141:BK141" si="546">SUM(AS142:AS144)</f>
        <v>0</v>
      </c>
      <c r="AT141" s="242">
        <f t="shared" si="546"/>
        <v>0</v>
      </c>
      <c r="AU141" s="242">
        <f t="shared" si="546"/>
        <v>0</v>
      </c>
      <c r="AV141" s="242">
        <f t="shared" si="546"/>
        <v>0</v>
      </c>
      <c r="AW141" s="242">
        <f t="shared" si="546"/>
        <v>0</v>
      </c>
      <c r="AX141" s="242">
        <f t="shared" si="546"/>
        <v>0</v>
      </c>
      <c r="AY141" s="242">
        <f t="shared" si="546"/>
        <v>0</v>
      </c>
      <c r="AZ141" s="242">
        <f t="shared" si="546"/>
        <v>0</v>
      </c>
      <c r="BA141" s="242">
        <f t="shared" si="546"/>
        <v>0</v>
      </c>
      <c r="BB141" s="242">
        <f t="shared" si="546"/>
        <v>0</v>
      </c>
      <c r="BC141" s="242">
        <f t="shared" si="546"/>
        <v>0</v>
      </c>
      <c r="BD141" s="242">
        <f t="shared" si="546"/>
        <v>0</v>
      </c>
      <c r="BE141" s="242">
        <f t="shared" si="546"/>
        <v>0</v>
      </c>
      <c r="BF141" s="242">
        <f t="shared" si="546"/>
        <v>0</v>
      </c>
      <c r="BG141" s="242">
        <f t="shared" si="546"/>
        <v>0</v>
      </c>
      <c r="BH141" s="242">
        <f t="shared" si="546"/>
        <v>0</v>
      </c>
      <c r="BI141" s="242">
        <f t="shared" si="546"/>
        <v>0</v>
      </c>
      <c r="BJ141" s="242">
        <f t="shared" si="546"/>
        <v>0</v>
      </c>
      <c r="BK141" s="242">
        <f t="shared" si="546"/>
        <v>0</v>
      </c>
      <c r="BL141" s="233"/>
      <c r="BM141" s="234"/>
      <c r="BN141" s="234"/>
      <c r="BO141" s="234"/>
      <c r="BP141" s="234"/>
    </row>
    <row r="142" spans="1:68" ht="15.75" customHeight="1">
      <c r="A142" s="89"/>
      <c r="B142" s="89"/>
      <c r="C142" s="90" t="s">
        <v>388</v>
      </c>
      <c r="D142" s="122" t="s">
        <v>776</v>
      </c>
      <c r="E142" s="166"/>
      <c r="F142" s="147">
        <v>90000</v>
      </c>
      <c r="G142" s="94" t="e">
        <f t="shared" si="533"/>
        <v>#DIV/0!</v>
      </c>
      <c r="H142" s="94" t="e">
        <f t="shared" si="534"/>
        <v>#DIV/0!</v>
      </c>
      <c r="I142" s="96"/>
      <c r="J142" s="96"/>
      <c r="K142" s="96"/>
      <c r="L142" s="202"/>
      <c r="M142" s="97">
        <f t="shared" ref="M142:O142" si="547">Y142+AB142+AE142+AH142+AK142+AN142+AQ142+AT142+AW142+AZ142+BC142+BF142</f>
        <v>0</v>
      </c>
      <c r="N142" s="97">
        <f t="shared" si="547"/>
        <v>0</v>
      </c>
      <c r="O142" s="97">
        <f t="shared" si="547"/>
        <v>0</v>
      </c>
      <c r="P142" s="97">
        <f t="shared" ref="P142:R142" si="548">IF(BI142=0,SUM(Y142+AB142+AE142+AH142+AK142+AN142+AQ142+AT142+AW142+AZ142+BC142+BF142),BI142)</f>
        <v>0</v>
      </c>
      <c r="Q142" s="97">
        <f t="shared" si="548"/>
        <v>0</v>
      </c>
      <c r="R142" s="97">
        <f t="shared" si="548"/>
        <v>0</v>
      </c>
      <c r="S142" s="97">
        <f t="shared" ref="S142:T142" si="549">I142-M142</f>
        <v>0</v>
      </c>
      <c r="T142" s="97">
        <f t="shared" si="549"/>
        <v>0</v>
      </c>
      <c r="U142" s="97">
        <f t="shared" ref="U142:U144" si="550">L142-O142</f>
        <v>0</v>
      </c>
      <c r="V142" s="98" t="e">
        <f t="shared" ref="V142:W142" si="551">M142/I142</f>
        <v>#DIV/0!</v>
      </c>
      <c r="W142" s="98" t="e">
        <f t="shared" si="551"/>
        <v>#DIV/0!</v>
      </c>
      <c r="X142" s="98" t="e">
        <f t="shared" ref="X142:X144" si="552">O142/L142</f>
        <v>#DIV/0!</v>
      </c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6"/>
      <c r="AO142" s="96"/>
      <c r="AP142" s="96"/>
      <c r="AQ142" s="96"/>
      <c r="AR142" s="96"/>
      <c r="AS142" s="96"/>
      <c r="AT142" s="96"/>
      <c r="AU142" s="96"/>
      <c r="AV142" s="96"/>
      <c r="AW142" s="96"/>
      <c r="AX142" s="96"/>
      <c r="AY142" s="96"/>
      <c r="AZ142" s="96"/>
      <c r="BA142" s="96"/>
      <c r="BB142" s="96"/>
      <c r="BC142" s="96"/>
      <c r="BD142" s="96"/>
      <c r="BE142" s="96"/>
      <c r="BF142" s="96"/>
      <c r="BG142" s="96"/>
      <c r="BH142" s="96"/>
      <c r="BI142" s="96"/>
      <c r="BJ142" s="96"/>
      <c r="BK142" s="96"/>
      <c r="BL142" s="99"/>
      <c r="BM142" s="100"/>
      <c r="BN142" s="100"/>
      <c r="BO142" s="100"/>
      <c r="BP142" s="100"/>
    </row>
    <row r="143" spans="1:68" ht="15.75" customHeight="1">
      <c r="A143" s="89"/>
      <c r="B143" s="89"/>
      <c r="C143" s="90" t="s">
        <v>385</v>
      </c>
      <c r="D143" s="91" t="s">
        <v>392</v>
      </c>
      <c r="E143" s="166"/>
      <c r="F143" s="166"/>
      <c r="G143" s="94" t="e">
        <f t="shared" si="533"/>
        <v>#DIV/0!</v>
      </c>
      <c r="H143" s="94" t="e">
        <f t="shared" si="534"/>
        <v>#DIV/0!</v>
      </c>
      <c r="I143" s="202"/>
      <c r="J143" s="96"/>
      <c r="K143" s="96"/>
      <c r="L143" s="202"/>
      <c r="M143" s="97">
        <f t="shared" ref="M143:O143" si="553">Y143+AB143+AE143+AH143+AK143+AN143+AQ143+AT143+AW143+AZ143+BC143+BF143</f>
        <v>0</v>
      </c>
      <c r="N143" s="97">
        <f t="shared" si="553"/>
        <v>0</v>
      </c>
      <c r="O143" s="97">
        <f t="shared" si="553"/>
        <v>0</v>
      </c>
      <c r="P143" s="97">
        <f t="shared" ref="P143:R143" si="554">IF(BI143=0,SUM(Y143+AB143+AE143+AH143+AK143+AN143+AQ143+AT143+AW143+AZ143+BC143+BF143),BI143)</f>
        <v>0</v>
      </c>
      <c r="Q143" s="97">
        <f t="shared" si="554"/>
        <v>0</v>
      </c>
      <c r="R143" s="97">
        <f t="shared" si="554"/>
        <v>0</v>
      </c>
      <c r="S143" s="97">
        <f t="shared" ref="S143:T143" si="555">I143-M143</f>
        <v>0</v>
      </c>
      <c r="T143" s="97">
        <f t="shared" si="555"/>
        <v>0</v>
      </c>
      <c r="U143" s="97">
        <f t="shared" si="550"/>
        <v>0</v>
      </c>
      <c r="V143" s="98" t="e">
        <f t="shared" ref="V143:W143" si="556">M143/I143</f>
        <v>#DIV/0!</v>
      </c>
      <c r="W143" s="98" t="e">
        <f t="shared" si="556"/>
        <v>#DIV/0!</v>
      </c>
      <c r="X143" s="98" t="e">
        <f t="shared" si="552"/>
        <v>#DIV/0!</v>
      </c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96"/>
      <c r="BE143" s="103">
        <v>0</v>
      </c>
      <c r="BF143" s="96"/>
      <c r="BG143" s="96"/>
      <c r="BH143" s="96"/>
      <c r="BI143" s="96"/>
      <c r="BJ143" s="96"/>
      <c r="BK143" s="96"/>
      <c r="BL143" s="99"/>
      <c r="BM143" s="100"/>
      <c r="BN143" s="100"/>
      <c r="BO143" s="100"/>
      <c r="BP143" s="100"/>
    </row>
    <row r="144" spans="1:68" ht="15.75" customHeight="1">
      <c r="A144" s="89"/>
      <c r="B144" s="89"/>
      <c r="C144" s="90" t="s">
        <v>385</v>
      </c>
      <c r="D144" s="91" t="s">
        <v>393</v>
      </c>
      <c r="E144" s="166"/>
      <c r="F144" s="166"/>
      <c r="G144" s="94" t="e">
        <f t="shared" si="533"/>
        <v>#DIV/0!</v>
      </c>
      <c r="H144" s="94" t="e">
        <f t="shared" si="534"/>
        <v>#DIV/0!</v>
      </c>
      <c r="I144" s="96"/>
      <c r="J144" s="96"/>
      <c r="K144" s="96"/>
      <c r="L144" s="244"/>
      <c r="M144" s="97">
        <f t="shared" ref="M144:O144" si="557">Y144+AB144+AE144+AH144+AK144+AN144+AQ144+AT144+AW144+AZ144+BC144+BF144</f>
        <v>0</v>
      </c>
      <c r="N144" s="97">
        <f t="shared" si="557"/>
        <v>0</v>
      </c>
      <c r="O144" s="97">
        <f t="shared" si="557"/>
        <v>0</v>
      </c>
      <c r="P144" s="97">
        <f t="shared" ref="P144:R144" si="558">IF(BI144=0,SUM(Y144+AB144+AE144+AH144+AK144+AN144+AQ144+AT144+AW144+AZ144+BC144+BF144),BI144)</f>
        <v>0</v>
      </c>
      <c r="Q144" s="97">
        <f t="shared" si="558"/>
        <v>0</v>
      </c>
      <c r="R144" s="97">
        <f t="shared" si="558"/>
        <v>0</v>
      </c>
      <c r="S144" s="97">
        <f t="shared" ref="S144:T144" si="559">I144-M144</f>
        <v>0</v>
      </c>
      <c r="T144" s="97">
        <f t="shared" si="559"/>
        <v>0</v>
      </c>
      <c r="U144" s="97">
        <f t="shared" si="550"/>
        <v>0</v>
      </c>
      <c r="V144" s="98" t="e">
        <f t="shared" ref="V144:W144" si="560">M144/I144</f>
        <v>#DIV/0!</v>
      </c>
      <c r="W144" s="98" t="e">
        <f t="shared" si="560"/>
        <v>#DIV/0!</v>
      </c>
      <c r="X144" s="98" t="e">
        <f t="shared" si="552"/>
        <v>#DIV/0!</v>
      </c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96"/>
      <c r="BE144" s="96"/>
      <c r="BF144" s="96"/>
      <c r="BG144" s="96"/>
      <c r="BH144" s="96"/>
      <c r="BI144" s="96"/>
      <c r="BJ144" s="96"/>
      <c r="BK144" s="96"/>
      <c r="BL144" s="99"/>
      <c r="BM144" s="100"/>
      <c r="BN144" s="100"/>
      <c r="BO144" s="100"/>
      <c r="BP144" s="100"/>
    </row>
    <row r="145" spans="1:68" ht="15.75" customHeight="1">
      <c r="A145" s="89"/>
      <c r="B145" s="206" t="s">
        <v>394</v>
      </c>
      <c r="C145" s="90" t="s">
        <v>395</v>
      </c>
      <c r="D145" s="91" t="s">
        <v>396</v>
      </c>
      <c r="E145" s="166"/>
      <c r="F145" s="166"/>
      <c r="G145" s="94"/>
      <c r="H145" s="94"/>
      <c r="I145" s="96"/>
      <c r="J145" s="96">
        <v>4237.2</v>
      </c>
      <c r="K145" s="96"/>
      <c r="L145" s="244"/>
      <c r="M145" s="97"/>
      <c r="N145" s="97">
        <f t="shared" ref="N145:O145" si="561">Z145+AC145+AF145+AI145+AL145+AO145+AR145+AU145+AX145+BA145+BD145+BG145</f>
        <v>4237.2</v>
      </c>
      <c r="O145" s="97">
        <f t="shared" si="561"/>
        <v>0</v>
      </c>
      <c r="P145" s="97">
        <f t="shared" ref="P145:Q145" si="562">IF(BI145=0,SUM(Y145+AB145+AE145+AH145+AK145+AN145+AQ145+AT145+AW145+AZ145+BC145+BF145),BI145)</f>
        <v>0</v>
      </c>
      <c r="Q145" s="97">
        <f t="shared" si="562"/>
        <v>4237.2</v>
      </c>
      <c r="R145" s="97"/>
      <c r="S145" s="97"/>
      <c r="T145" s="97"/>
      <c r="U145" s="97"/>
      <c r="V145" s="98"/>
      <c r="W145" s="98"/>
      <c r="X145" s="98"/>
      <c r="Y145" s="96"/>
      <c r="Z145" s="96"/>
      <c r="AA145" s="96"/>
      <c r="AB145" s="96"/>
      <c r="AC145" s="96"/>
      <c r="AD145" s="96"/>
      <c r="AE145" s="96"/>
      <c r="AF145" s="103">
        <f>3088+1149.2</f>
        <v>4237.2</v>
      </c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9"/>
      <c r="BM145" s="100"/>
      <c r="BN145" s="100"/>
      <c r="BO145" s="100"/>
      <c r="BP145" s="100"/>
    </row>
    <row r="146" spans="1:68" ht="15.75" customHeight="1">
      <c r="A146" s="182"/>
      <c r="B146" s="182"/>
      <c r="C146" s="222"/>
      <c r="D146" s="224" t="s">
        <v>397</v>
      </c>
      <c r="E146" s="186">
        <f t="shared" ref="E146:F146" si="563">SUM(E147:E150)</f>
        <v>0</v>
      </c>
      <c r="F146" s="186">
        <f t="shared" si="563"/>
        <v>0</v>
      </c>
      <c r="G146" s="223" t="e">
        <f t="shared" ref="G146:G148" si="564">I146/E146</f>
        <v>#DIV/0!</v>
      </c>
      <c r="H146" s="187" t="e">
        <f t="shared" ref="H146:H148" si="565">M146/E146</f>
        <v>#DIV/0!</v>
      </c>
      <c r="I146" s="186">
        <f t="shared" ref="I146:O146" si="566">SUM(I147:I150)</f>
        <v>0</v>
      </c>
      <c r="J146" s="186">
        <f t="shared" si="566"/>
        <v>500</v>
      </c>
      <c r="K146" s="186">
        <f t="shared" si="566"/>
        <v>0</v>
      </c>
      <c r="L146" s="186">
        <f t="shared" si="566"/>
        <v>0</v>
      </c>
      <c r="M146" s="186">
        <f t="shared" si="566"/>
        <v>0</v>
      </c>
      <c r="N146" s="186">
        <f t="shared" si="566"/>
        <v>500</v>
      </c>
      <c r="O146" s="186">
        <f t="shared" si="566"/>
        <v>0</v>
      </c>
      <c r="P146" s="245">
        <f t="shared" ref="P146:R146" si="567">IF(BI146=0,SUM(Y146+AB146+AE146+AH146+AK146+AN146+AQ146+AT146+AW146+AZ146+BC146+BF146),BI146)</f>
        <v>0</v>
      </c>
      <c r="Q146" s="245">
        <f t="shared" si="567"/>
        <v>500</v>
      </c>
      <c r="R146" s="245">
        <f t="shared" si="567"/>
        <v>0</v>
      </c>
      <c r="S146" s="186">
        <f t="shared" ref="S146:U146" si="568">SUM(S147:S150)</f>
        <v>0</v>
      </c>
      <c r="T146" s="186">
        <f t="shared" si="568"/>
        <v>0</v>
      </c>
      <c r="U146" s="186">
        <f t="shared" si="568"/>
        <v>0</v>
      </c>
      <c r="V146" s="189" t="e">
        <f t="shared" ref="V146:W146" si="569">M146/I146</f>
        <v>#DIV/0!</v>
      </c>
      <c r="W146" s="189">
        <f t="shared" si="569"/>
        <v>1</v>
      </c>
      <c r="X146" s="189" t="e">
        <f t="shared" ref="X146:X148" si="570">O146/L146</f>
        <v>#DIV/0!</v>
      </c>
      <c r="Y146" s="186">
        <f t="shared" ref="Y146:BK146" si="571">SUM(Y147:Y150)</f>
        <v>0</v>
      </c>
      <c r="Z146" s="186">
        <f t="shared" si="571"/>
        <v>500</v>
      </c>
      <c r="AA146" s="186">
        <f t="shared" si="571"/>
        <v>0</v>
      </c>
      <c r="AB146" s="186">
        <f t="shared" si="571"/>
        <v>0</v>
      </c>
      <c r="AC146" s="186">
        <f t="shared" si="571"/>
        <v>0</v>
      </c>
      <c r="AD146" s="186">
        <f t="shared" si="571"/>
        <v>0</v>
      </c>
      <c r="AE146" s="186">
        <f t="shared" si="571"/>
        <v>0</v>
      </c>
      <c r="AF146" s="186">
        <f t="shared" si="571"/>
        <v>0</v>
      </c>
      <c r="AG146" s="186">
        <f t="shared" si="571"/>
        <v>0</v>
      </c>
      <c r="AH146" s="186">
        <f t="shared" si="571"/>
        <v>0</v>
      </c>
      <c r="AI146" s="186">
        <f t="shared" si="571"/>
        <v>0</v>
      </c>
      <c r="AJ146" s="186">
        <f t="shared" si="571"/>
        <v>0</v>
      </c>
      <c r="AK146" s="186">
        <f t="shared" si="571"/>
        <v>0</v>
      </c>
      <c r="AL146" s="186">
        <f t="shared" si="571"/>
        <v>0</v>
      </c>
      <c r="AM146" s="186">
        <f t="shared" si="571"/>
        <v>0</v>
      </c>
      <c r="AN146" s="186">
        <f t="shared" si="571"/>
        <v>0</v>
      </c>
      <c r="AO146" s="186">
        <f t="shared" si="571"/>
        <v>0</v>
      </c>
      <c r="AP146" s="186">
        <f t="shared" si="571"/>
        <v>0</v>
      </c>
      <c r="AQ146" s="186">
        <f t="shared" si="571"/>
        <v>0</v>
      </c>
      <c r="AR146" s="186">
        <f t="shared" si="571"/>
        <v>0</v>
      </c>
      <c r="AS146" s="186">
        <f t="shared" si="571"/>
        <v>0</v>
      </c>
      <c r="AT146" s="186">
        <f t="shared" si="571"/>
        <v>0</v>
      </c>
      <c r="AU146" s="186">
        <f t="shared" si="571"/>
        <v>0</v>
      </c>
      <c r="AV146" s="186">
        <f t="shared" si="571"/>
        <v>0</v>
      </c>
      <c r="AW146" s="186">
        <f t="shared" si="571"/>
        <v>0</v>
      </c>
      <c r="AX146" s="186">
        <f t="shared" si="571"/>
        <v>0</v>
      </c>
      <c r="AY146" s="186">
        <f t="shared" si="571"/>
        <v>0</v>
      </c>
      <c r="AZ146" s="186">
        <f t="shared" si="571"/>
        <v>0</v>
      </c>
      <c r="BA146" s="186">
        <f t="shared" si="571"/>
        <v>0</v>
      </c>
      <c r="BB146" s="186">
        <f t="shared" si="571"/>
        <v>0</v>
      </c>
      <c r="BC146" s="186">
        <f t="shared" si="571"/>
        <v>0</v>
      </c>
      <c r="BD146" s="186">
        <f t="shared" si="571"/>
        <v>0</v>
      </c>
      <c r="BE146" s="186">
        <f t="shared" si="571"/>
        <v>0</v>
      </c>
      <c r="BF146" s="186">
        <f t="shared" si="571"/>
        <v>0</v>
      </c>
      <c r="BG146" s="186">
        <f t="shared" si="571"/>
        <v>0</v>
      </c>
      <c r="BH146" s="186">
        <f t="shared" si="571"/>
        <v>0</v>
      </c>
      <c r="BI146" s="186">
        <f t="shared" si="571"/>
        <v>0</v>
      </c>
      <c r="BJ146" s="186">
        <f t="shared" si="571"/>
        <v>0</v>
      </c>
      <c r="BK146" s="186">
        <f t="shared" si="571"/>
        <v>0</v>
      </c>
      <c r="BL146" s="157"/>
      <c r="BM146" s="158"/>
      <c r="BN146" s="158"/>
      <c r="BO146" s="158"/>
      <c r="BP146" s="158"/>
    </row>
    <row r="147" spans="1:68" ht="15.75" customHeight="1">
      <c r="A147" s="89"/>
      <c r="B147" s="89"/>
      <c r="C147" s="90" t="s">
        <v>318</v>
      </c>
      <c r="D147" s="91" t="s">
        <v>366</v>
      </c>
      <c r="E147" s="166"/>
      <c r="F147" s="166"/>
      <c r="G147" s="94" t="e">
        <f t="shared" si="564"/>
        <v>#DIV/0!</v>
      </c>
      <c r="H147" s="94" t="e">
        <f t="shared" si="565"/>
        <v>#DIV/0!</v>
      </c>
      <c r="I147" s="142"/>
      <c r="J147" s="96"/>
      <c r="K147" s="96"/>
      <c r="L147" s="202"/>
      <c r="M147" s="97">
        <f t="shared" ref="M147:O147" si="572">Y147+AB147+AE147+AH147+AK147+AN147+AQ147+AT147+AW147+AZ147+BC147+BF147</f>
        <v>0</v>
      </c>
      <c r="N147" s="97">
        <f t="shared" si="572"/>
        <v>0</v>
      </c>
      <c r="O147" s="97">
        <f t="shared" si="572"/>
        <v>0</v>
      </c>
      <c r="P147" s="97">
        <f t="shared" ref="P147:R147" si="573">IF(BI147=0,SUM(Y147+AB147+AE147+AH147+AK147+AN147+AQ147+AT147+AW147+AZ147+BC147+BF147),BI147)</f>
        <v>0</v>
      </c>
      <c r="Q147" s="97">
        <f t="shared" si="573"/>
        <v>0</v>
      </c>
      <c r="R147" s="97">
        <f t="shared" si="573"/>
        <v>0</v>
      </c>
      <c r="S147" s="97">
        <f t="shared" ref="S147:T147" si="574">I147-M147</f>
        <v>0</v>
      </c>
      <c r="T147" s="97">
        <f t="shared" si="574"/>
        <v>0</v>
      </c>
      <c r="U147" s="97">
        <f t="shared" ref="U147:U148" si="575">L147-O147</f>
        <v>0</v>
      </c>
      <c r="V147" s="98" t="e">
        <f t="shared" ref="V147:W147" si="576">M147/I147</f>
        <v>#DIV/0!</v>
      </c>
      <c r="W147" s="98" t="e">
        <f t="shared" si="576"/>
        <v>#DIV/0!</v>
      </c>
      <c r="X147" s="98" t="e">
        <f t="shared" si="570"/>
        <v>#DIV/0!</v>
      </c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6"/>
      <c r="AO147" s="96"/>
      <c r="AP147" s="96"/>
      <c r="AQ147" s="96"/>
      <c r="AR147" s="96"/>
      <c r="AS147" s="96"/>
      <c r="AT147" s="96"/>
      <c r="AU147" s="96"/>
      <c r="AV147" s="96"/>
      <c r="AW147" s="96"/>
      <c r="AX147" s="96"/>
      <c r="AY147" s="96"/>
      <c r="AZ147" s="96"/>
      <c r="BA147" s="96"/>
      <c r="BB147" s="96"/>
      <c r="BC147" s="96"/>
      <c r="BD147" s="96"/>
      <c r="BE147" s="96"/>
      <c r="BF147" s="96"/>
      <c r="BG147" s="96"/>
      <c r="BH147" s="96"/>
      <c r="BI147" s="96"/>
      <c r="BJ147" s="96"/>
      <c r="BK147" s="96"/>
      <c r="BL147" s="99"/>
      <c r="BM147" s="100"/>
      <c r="BN147" s="100"/>
      <c r="BO147" s="100"/>
      <c r="BP147" s="100"/>
    </row>
    <row r="148" spans="1:68" ht="15.75" customHeight="1">
      <c r="A148" s="89"/>
      <c r="B148" s="89"/>
      <c r="C148" s="90" t="s">
        <v>367</v>
      </c>
      <c r="D148" s="91" t="s">
        <v>398</v>
      </c>
      <c r="E148" s="166"/>
      <c r="F148" s="166"/>
      <c r="G148" s="94" t="e">
        <f t="shared" si="564"/>
        <v>#DIV/0!</v>
      </c>
      <c r="H148" s="94" t="e">
        <f t="shared" si="565"/>
        <v>#DIV/0!</v>
      </c>
      <c r="I148" s="119"/>
      <c r="J148" s="96"/>
      <c r="K148" s="96"/>
      <c r="L148" s="202"/>
      <c r="M148" s="97">
        <f t="shared" ref="M148:O148" si="577">Y148+AB148+AE148+AH148+AK148+AN148+AQ148+AT148+AW148+AZ148+BC148+BF148</f>
        <v>0</v>
      </c>
      <c r="N148" s="97">
        <f t="shared" si="577"/>
        <v>0</v>
      </c>
      <c r="O148" s="97">
        <f t="shared" si="577"/>
        <v>0</v>
      </c>
      <c r="P148" s="97">
        <f t="shared" ref="P148:R148" si="578">IF(BI148=0,SUM(Y148+AB148+AE148+AH148+AK148+AN148+AQ148+AT148+AW148+AZ148+BC148+BF148),BI148)</f>
        <v>0</v>
      </c>
      <c r="Q148" s="97">
        <f t="shared" si="578"/>
        <v>0</v>
      </c>
      <c r="R148" s="97">
        <f t="shared" si="578"/>
        <v>0</v>
      </c>
      <c r="S148" s="97">
        <f t="shared" ref="S148:T148" si="579">I148-M148</f>
        <v>0</v>
      </c>
      <c r="T148" s="97">
        <f t="shared" si="579"/>
        <v>0</v>
      </c>
      <c r="U148" s="97">
        <f t="shared" si="575"/>
        <v>0</v>
      </c>
      <c r="V148" s="98" t="e">
        <f t="shared" ref="V148:W148" si="580">M148/I148</f>
        <v>#DIV/0!</v>
      </c>
      <c r="W148" s="98" t="e">
        <f t="shared" si="580"/>
        <v>#DIV/0!</v>
      </c>
      <c r="X148" s="98" t="e">
        <f t="shared" si="570"/>
        <v>#DIV/0!</v>
      </c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6"/>
      <c r="AO148" s="96"/>
      <c r="AP148" s="96"/>
      <c r="AQ148" s="96"/>
      <c r="AR148" s="96"/>
      <c r="AS148" s="96"/>
      <c r="AT148" s="96"/>
      <c r="AU148" s="96"/>
      <c r="AV148" s="96"/>
      <c r="AW148" s="96"/>
      <c r="AX148" s="96"/>
      <c r="AY148" s="96"/>
      <c r="AZ148" s="96"/>
      <c r="BA148" s="96"/>
      <c r="BB148" s="96"/>
      <c r="BC148" s="96"/>
      <c r="BD148" s="96"/>
      <c r="BE148" s="96"/>
      <c r="BF148" s="96"/>
      <c r="BG148" s="96"/>
      <c r="BH148" s="96"/>
      <c r="BI148" s="96"/>
      <c r="BJ148" s="96"/>
      <c r="BK148" s="96"/>
      <c r="BL148" s="99"/>
      <c r="BM148" s="100"/>
      <c r="BN148" s="100"/>
      <c r="BO148" s="100"/>
      <c r="BP148" s="100"/>
    </row>
    <row r="149" spans="1:68" ht="15.75" customHeight="1">
      <c r="A149" s="89"/>
      <c r="B149" s="206" t="s">
        <v>399</v>
      </c>
      <c r="C149" s="90" t="s">
        <v>323</v>
      </c>
      <c r="D149" s="91" t="s">
        <v>353</v>
      </c>
      <c r="E149" s="166"/>
      <c r="F149" s="166"/>
      <c r="G149" s="94"/>
      <c r="H149" s="94"/>
      <c r="I149" s="119"/>
      <c r="J149" s="96">
        <v>500</v>
      </c>
      <c r="K149" s="96"/>
      <c r="L149" s="202"/>
      <c r="M149" s="97"/>
      <c r="N149" s="97">
        <f t="shared" ref="N149:O149" si="581">Z149+AC149+AF149+AI149+AL149+AO149+AR149+AU149+AX149+BA149+BD149+BG149</f>
        <v>500</v>
      </c>
      <c r="O149" s="97">
        <f t="shared" si="581"/>
        <v>0</v>
      </c>
      <c r="P149" s="97">
        <f t="shared" ref="P149:R149" si="582">IF(BI149=0,SUM(Y149+AB149+AE149+AH149+AK149+AN149+AQ149+AT149+AW149+AZ149+BC149+BF149),BI149)</f>
        <v>0</v>
      </c>
      <c r="Q149" s="97">
        <f t="shared" si="582"/>
        <v>500</v>
      </c>
      <c r="R149" s="97">
        <f t="shared" si="582"/>
        <v>0</v>
      </c>
      <c r="S149" s="97"/>
      <c r="T149" s="97"/>
      <c r="U149" s="97"/>
      <c r="V149" s="98"/>
      <c r="W149" s="98"/>
      <c r="X149" s="98"/>
      <c r="Y149" s="96"/>
      <c r="Z149" s="103">
        <v>500</v>
      </c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6"/>
      <c r="AO149" s="96"/>
      <c r="AP149" s="96"/>
      <c r="AQ149" s="96"/>
      <c r="AR149" s="96"/>
      <c r="AS149" s="96"/>
      <c r="AT149" s="96"/>
      <c r="AU149" s="96"/>
      <c r="AV149" s="96"/>
      <c r="AW149" s="96"/>
      <c r="AX149" s="96"/>
      <c r="AY149" s="96"/>
      <c r="AZ149" s="96"/>
      <c r="BA149" s="96"/>
      <c r="BB149" s="96"/>
      <c r="BC149" s="96"/>
      <c r="BD149" s="96"/>
      <c r="BE149" s="96"/>
      <c r="BF149" s="96"/>
      <c r="BG149" s="96"/>
      <c r="BH149" s="96"/>
      <c r="BI149" s="96"/>
      <c r="BJ149" s="96"/>
      <c r="BK149" s="96"/>
      <c r="BL149" s="99"/>
      <c r="BM149" s="100"/>
      <c r="BN149" s="100"/>
      <c r="BO149" s="100"/>
      <c r="BP149" s="100"/>
    </row>
    <row r="150" spans="1:68" ht="15.75" customHeight="1">
      <c r="A150" s="89"/>
      <c r="B150" s="89"/>
      <c r="C150" s="90" t="s">
        <v>318</v>
      </c>
      <c r="D150" s="91" t="s">
        <v>400</v>
      </c>
      <c r="E150" s="166"/>
      <c r="F150" s="166"/>
      <c r="G150" s="94" t="e">
        <f t="shared" ref="G150:G152" si="583">I150/E150</f>
        <v>#DIV/0!</v>
      </c>
      <c r="H150" s="94" t="e">
        <f t="shared" ref="H150:H152" si="584">M150/E150</f>
        <v>#DIV/0!</v>
      </c>
      <c r="I150" s="96"/>
      <c r="J150" s="96"/>
      <c r="K150" s="96"/>
      <c r="L150" s="96"/>
      <c r="M150" s="97">
        <f t="shared" ref="M150:O150" si="585">Y150+AB150+AE150+AH150+AK150+AN150+AQ150+AT150+AW150+AZ150+BC150+BF150</f>
        <v>0</v>
      </c>
      <c r="N150" s="97">
        <f t="shared" si="585"/>
        <v>0</v>
      </c>
      <c r="O150" s="97">
        <f t="shared" si="585"/>
        <v>0</v>
      </c>
      <c r="P150" s="97">
        <f t="shared" ref="P150:R150" si="586">IF(BI150=0,SUM(Y150+AB150+AE150+AH150+AK150+AN150+AQ150+AT150+AW150+AZ150+BC150+BF150),BI150)</f>
        <v>0</v>
      </c>
      <c r="Q150" s="97">
        <f t="shared" si="586"/>
        <v>0</v>
      </c>
      <c r="R150" s="97">
        <f t="shared" si="586"/>
        <v>0</v>
      </c>
      <c r="S150" s="97">
        <f t="shared" ref="S150:T150" si="587">I150-M150</f>
        <v>0</v>
      </c>
      <c r="T150" s="97">
        <f t="shared" si="587"/>
        <v>0</v>
      </c>
      <c r="U150" s="97">
        <f>L150-O150</f>
        <v>0</v>
      </c>
      <c r="V150" s="98" t="e">
        <f t="shared" ref="V150:W150" si="588">M150/I150</f>
        <v>#DIV/0!</v>
      </c>
      <c r="W150" s="98" t="e">
        <f t="shared" si="588"/>
        <v>#DIV/0!</v>
      </c>
      <c r="X150" s="98" t="e">
        <f t="shared" ref="X150:X157" si="589">O150/L150</f>
        <v>#DIV/0!</v>
      </c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6"/>
      <c r="AO150" s="96"/>
      <c r="AP150" s="96"/>
      <c r="AQ150" s="96"/>
      <c r="AR150" s="96"/>
      <c r="AS150" s="96"/>
      <c r="AT150" s="96"/>
      <c r="AU150" s="96"/>
      <c r="AV150" s="96"/>
      <c r="AW150" s="96"/>
      <c r="AX150" s="96"/>
      <c r="AY150" s="96"/>
      <c r="AZ150" s="96"/>
      <c r="BA150" s="96"/>
      <c r="BB150" s="96"/>
      <c r="BC150" s="96"/>
      <c r="BD150" s="96"/>
      <c r="BE150" s="96"/>
      <c r="BF150" s="96"/>
      <c r="BG150" s="96"/>
      <c r="BH150" s="96"/>
      <c r="BI150" s="96"/>
      <c r="BJ150" s="96"/>
      <c r="BK150" s="96"/>
      <c r="BL150" s="99"/>
      <c r="BM150" s="100"/>
      <c r="BN150" s="100"/>
      <c r="BO150" s="100"/>
      <c r="BP150" s="100"/>
    </row>
    <row r="151" spans="1:68" ht="15.75" customHeight="1">
      <c r="A151" s="246"/>
      <c r="B151" s="246"/>
      <c r="C151" s="247"/>
      <c r="D151" s="248" t="s">
        <v>401</v>
      </c>
      <c r="E151" s="249">
        <f t="shared" ref="E151:F151" si="590">SUM(E152:E154)</f>
        <v>0</v>
      </c>
      <c r="F151" s="249">
        <f t="shared" si="590"/>
        <v>0</v>
      </c>
      <c r="G151" s="223" t="e">
        <f t="shared" si="583"/>
        <v>#DIV/0!</v>
      </c>
      <c r="H151" s="187" t="e">
        <f t="shared" si="584"/>
        <v>#DIV/0!</v>
      </c>
      <c r="I151" s="249">
        <f t="shared" ref="I151:O151" si="591">SUM(I152:I154)</f>
        <v>0</v>
      </c>
      <c r="J151" s="249">
        <f t="shared" si="591"/>
        <v>293.62</v>
      </c>
      <c r="K151" s="249">
        <f t="shared" si="591"/>
        <v>293.62</v>
      </c>
      <c r="L151" s="249">
        <f t="shared" si="591"/>
        <v>0</v>
      </c>
      <c r="M151" s="249">
        <f t="shared" si="591"/>
        <v>0</v>
      </c>
      <c r="N151" s="249">
        <f t="shared" si="591"/>
        <v>0</v>
      </c>
      <c r="O151" s="249">
        <f t="shared" si="591"/>
        <v>0</v>
      </c>
      <c r="P151" s="238">
        <f t="shared" ref="P151:R151" si="592">IF(BI151=0,SUM(Y151+AB151+AE151+AH151+AK151+AN151+AQ151+AT151+AW151+AZ151+BC151+BF151),BI151)</f>
        <v>0</v>
      </c>
      <c r="Q151" s="238">
        <f t="shared" si="592"/>
        <v>0</v>
      </c>
      <c r="R151" s="238">
        <f t="shared" si="592"/>
        <v>0</v>
      </c>
      <c r="S151" s="249">
        <f t="shared" ref="S151:U151" si="593">SUM(S152:S154)</f>
        <v>0</v>
      </c>
      <c r="T151" s="249">
        <f t="shared" si="593"/>
        <v>0</v>
      </c>
      <c r="U151" s="249">
        <f t="shared" si="593"/>
        <v>0</v>
      </c>
      <c r="V151" s="250" t="e">
        <f t="shared" ref="V151:W151" si="594">M151/I151</f>
        <v>#DIV/0!</v>
      </c>
      <c r="W151" s="250">
        <f t="shared" si="594"/>
        <v>0</v>
      </c>
      <c r="X151" s="250" t="e">
        <f t="shared" si="589"/>
        <v>#DIV/0!</v>
      </c>
      <c r="Y151" s="249">
        <f t="shared" ref="Y151:BK151" si="595">SUM(Y152:Y154)</f>
        <v>0</v>
      </c>
      <c r="Z151" s="249">
        <f t="shared" si="595"/>
        <v>0</v>
      </c>
      <c r="AA151" s="249">
        <f t="shared" si="595"/>
        <v>0</v>
      </c>
      <c r="AB151" s="249">
        <f t="shared" si="595"/>
        <v>0</v>
      </c>
      <c r="AC151" s="249">
        <f t="shared" si="595"/>
        <v>0</v>
      </c>
      <c r="AD151" s="249">
        <f t="shared" si="595"/>
        <v>0</v>
      </c>
      <c r="AE151" s="249">
        <f t="shared" si="595"/>
        <v>0</v>
      </c>
      <c r="AF151" s="249">
        <f t="shared" si="595"/>
        <v>0</v>
      </c>
      <c r="AG151" s="249">
        <f t="shared" si="595"/>
        <v>0</v>
      </c>
      <c r="AH151" s="249">
        <f t="shared" si="595"/>
        <v>0</v>
      </c>
      <c r="AI151" s="249">
        <f t="shared" si="595"/>
        <v>0</v>
      </c>
      <c r="AJ151" s="249">
        <f t="shared" si="595"/>
        <v>0</v>
      </c>
      <c r="AK151" s="249">
        <f t="shared" si="595"/>
        <v>0</v>
      </c>
      <c r="AL151" s="249">
        <f t="shared" si="595"/>
        <v>0</v>
      </c>
      <c r="AM151" s="249">
        <f t="shared" si="595"/>
        <v>0</v>
      </c>
      <c r="AN151" s="249">
        <f t="shared" si="595"/>
        <v>0</v>
      </c>
      <c r="AO151" s="249">
        <f t="shared" si="595"/>
        <v>0</v>
      </c>
      <c r="AP151" s="249">
        <f t="shared" si="595"/>
        <v>0</v>
      </c>
      <c r="AQ151" s="249">
        <f t="shared" si="595"/>
        <v>0</v>
      </c>
      <c r="AR151" s="249">
        <f t="shared" si="595"/>
        <v>0</v>
      </c>
      <c r="AS151" s="249">
        <f t="shared" si="595"/>
        <v>0</v>
      </c>
      <c r="AT151" s="249">
        <f t="shared" si="595"/>
        <v>0</v>
      </c>
      <c r="AU151" s="249">
        <f t="shared" si="595"/>
        <v>0</v>
      </c>
      <c r="AV151" s="249">
        <f t="shared" si="595"/>
        <v>0</v>
      </c>
      <c r="AW151" s="249">
        <f t="shared" si="595"/>
        <v>0</v>
      </c>
      <c r="AX151" s="249">
        <f t="shared" si="595"/>
        <v>0</v>
      </c>
      <c r="AY151" s="249">
        <f t="shared" si="595"/>
        <v>0</v>
      </c>
      <c r="AZ151" s="249">
        <f t="shared" si="595"/>
        <v>0</v>
      </c>
      <c r="BA151" s="249">
        <f t="shared" si="595"/>
        <v>0</v>
      </c>
      <c r="BB151" s="249">
        <f t="shared" si="595"/>
        <v>0</v>
      </c>
      <c r="BC151" s="249">
        <f t="shared" si="595"/>
        <v>0</v>
      </c>
      <c r="BD151" s="249">
        <f t="shared" si="595"/>
        <v>0</v>
      </c>
      <c r="BE151" s="249">
        <f t="shared" si="595"/>
        <v>0</v>
      </c>
      <c r="BF151" s="249">
        <f t="shared" si="595"/>
        <v>0</v>
      </c>
      <c r="BG151" s="249">
        <f t="shared" si="595"/>
        <v>0</v>
      </c>
      <c r="BH151" s="249">
        <f t="shared" si="595"/>
        <v>0</v>
      </c>
      <c r="BI151" s="249">
        <f t="shared" si="595"/>
        <v>0</v>
      </c>
      <c r="BJ151" s="249">
        <f t="shared" si="595"/>
        <v>0</v>
      </c>
      <c r="BK151" s="249">
        <f t="shared" si="595"/>
        <v>0</v>
      </c>
      <c r="BL151" s="233"/>
      <c r="BM151" s="234"/>
      <c r="BN151" s="234"/>
      <c r="BO151" s="234"/>
      <c r="BP151" s="234"/>
    </row>
    <row r="152" spans="1:68" ht="15.75" customHeight="1">
      <c r="A152" s="89"/>
      <c r="B152" s="131" t="s">
        <v>402</v>
      </c>
      <c r="C152" s="90" t="s">
        <v>403</v>
      </c>
      <c r="D152" s="91" t="s">
        <v>404</v>
      </c>
      <c r="E152" s="166"/>
      <c r="F152" s="166"/>
      <c r="G152" s="94" t="e">
        <f t="shared" si="583"/>
        <v>#DIV/0!</v>
      </c>
      <c r="H152" s="94" t="e">
        <f t="shared" si="584"/>
        <v>#DIV/0!</v>
      </c>
      <c r="I152" s="142"/>
      <c r="J152" s="131">
        <v>293.62</v>
      </c>
      <c r="K152" s="376">
        <v>293.62</v>
      </c>
      <c r="L152" s="202"/>
      <c r="M152" s="97">
        <f t="shared" ref="M152:O152" si="596">Y152+AB152+AE152+AH152+AK152+AN152+AQ152+AT152+AW152+AZ152+BC152+BF152</f>
        <v>0</v>
      </c>
      <c r="N152" s="97">
        <f t="shared" si="596"/>
        <v>0</v>
      </c>
      <c r="O152" s="97">
        <f t="shared" si="596"/>
        <v>0</v>
      </c>
      <c r="P152" s="97">
        <f t="shared" ref="P152:R152" si="597">IF(BI152=0,SUM(Y152+AB152+AE152+AH152+AK152+AN152+AQ152+AT152+AW152+AZ152+BC152+BF152),BI152)</f>
        <v>0</v>
      </c>
      <c r="Q152" s="97">
        <f t="shared" si="597"/>
        <v>0</v>
      </c>
      <c r="R152" s="97">
        <f t="shared" si="597"/>
        <v>0</v>
      </c>
      <c r="S152" s="97">
        <f t="shared" ref="S152:S154" si="598">I152-M152</f>
        <v>0</v>
      </c>
      <c r="T152" s="97">
        <f>J152-K152-N152</f>
        <v>0</v>
      </c>
      <c r="U152" s="97">
        <f t="shared" ref="U152:U154" si="599">L152-O152</f>
        <v>0</v>
      </c>
      <c r="V152" s="98" t="e">
        <f t="shared" ref="V152:W152" si="600">M152/I152</f>
        <v>#DIV/0!</v>
      </c>
      <c r="W152" s="98">
        <f t="shared" si="600"/>
        <v>0</v>
      </c>
      <c r="X152" s="98" t="e">
        <f t="shared" si="589"/>
        <v>#DIV/0!</v>
      </c>
      <c r="Y152" s="96"/>
      <c r="Z152" s="96"/>
      <c r="AA152" s="96"/>
      <c r="AB152" s="96"/>
      <c r="AC152" s="103">
        <v>0</v>
      </c>
      <c r="AD152" s="96"/>
      <c r="AE152" s="96"/>
      <c r="AF152" s="103">
        <v>0</v>
      </c>
      <c r="AG152" s="96"/>
      <c r="AH152" s="96"/>
      <c r="AI152" s="96"/>
      <c r="AJ152" s="96"/>
      <c r="AK152" s="96"/>
      <c r="AL152" s="103">
        <v>0</v>
      </c>
      <c r="AM152" s="96"/>
      <c r="AN152" s="96"/>
      <c r="AO152" s="96"/>
      <c r="AP152" s="96"/>
      <c r="AQ152" s="96"/>
      <c r="AR152" s="103">
        <v>0</v>
      </c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9"/>
      <c r="BM152" s="100"/>
      <c r="BN152" s="100"/>
      <c r="BO152" s="100"/>
      <c r="BP152" s="100"/>
    </row>
    <row r="153" spans="1:68" ht="15.75" customHeight="1">
      <c r="A153" s="89"/>
      <c r="B153" s="136"/>
      <c r="C153" s="90" t="s">
        <v>161</v>
      </c>
      <c r="D153" s="91" t="s">
        <v>405</v>
      </c>
      <c r="E153" s="166"/>
      <c r="F153" s="166"/>
      <c r="G153" s="94"/>
      <c r="H153" s="94"/>
      <c r="I153" s="142"/>
      <c r="J153" s="204"/>
      <c r="K153" s="204"/>
      <c r="L153" s="202"/>
      <c r="M153" s="97">
        <f t="shared" ref="M153:O153" si="601">Y153+AB153+AE153+AH153+AK153+AN153+AQ153+AT153+AW153+AZ153+BC153+BF153</f>
        <v>0</v>
      </c>
      <c r="N153" s="97">
        <f t="shared" si="601"/>
        <v>0</v>
      </c>
      <c r="O153" s="97">
        <f t="shared" si="601"/>
        <v>0</v>
      </c>
      <c r="P153" s="97">
        <f t="shared" ref="P153:R153" si="602">IF(BI153=0,SUM(Y153+AB153+AE153+AH153+AK153+AN153+AQ153+AT153+AW153+AZ153+BC153+BF153),BI153)</f>
        <v>0</v>
      </c>
      <c r="Q153" s="97">
        <f t="shared" si="602"/>
        <v>0</v>
      </c>
      <c r="R153" s="97">
        <f t="shared" si="602"/>
        <v>0</v>
      </c>
      <c r="S153" s="97">
        <f t="shared" si="598"/>
        <v>0</v>
      </c>
      <c r="T153" s="97">
        <f t="shared" ref="T153:T154" si="603">J153-N153</f>
        <v>0</v>
      </c>
      <c r="U153" s="97">
        <f t="shared" si="599"/>
        <v>0</v>
      </c>
      <c r="V153" s="98" t="e">
        <f t="shared" ref="V153:W153" si="604">M153/I153</f>
        <v>#DIV/0!</v>
      </c>
      <c r="W153" s="98" t="e">
        <f t="shared" si="604"/>
        <v>#DIV/0!</v>
      </c>
      <c r="X153" s="98" t="e">
        <f t="shared" si="589"/>
        <v>#DIV/0!</v>
      </c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6"/>
      <c r="AO153" s="96"/>
      <c r="AP153" s="96"/>
      <c r="AQ153" s="96"/>
      <c r="AR153" s="96"/>
      <c r="AS153" s="96"/>
      <c r="AT153" s="103">
        <v>0</v>
      </c>
      <c r="AU153" s="96"/>
      <c r="AV153" s="96"/>
      <c r="AW153" s="96"/>
      <c r="AX153" s="96"/>
      <c r="AY153" s="96"/>
      <c r="AZ153" s="96"/>
      <c r="BA153" s="96"/>
      <c r="BB153" s="96"/>
      <c r="BC153" s="96"/>
      <c r="BD153" s="96"/>
      <c r="BE153" s="96"/>
      <c r="BF153" s="96"/>
      <c r="BG153" s="96"/>
      <c r="BH153" s="96"/>
      <c r="BI153" s="96"/>
      <c r="BJ153" s="96"/>
      <c r="BK153" s="96"/>
      <c r="BL153" s="99"/>
      <c r="BM153" s="100"/>
      <c r="BN153" s="100"/>
      <c r="BO153" s="100"/>
      <c r="BP153" s="100"/>
    </row>
    <row r="154" spans="1:68" ht="15.75" customHeight="1">
      <c r="A154" s="89"/>
      <c r="B154" s="89"/>
      <c r="C154" s="90" t="s">
        <v>298</v>
      </c>
      <c r="D154" s="91" t="s">
        <v>406</v>
      </c>
      <c r="E154" s="166"/>
      <c r="F154" s="166"/>
      <c r="G154" s="94" t="e">
        <f t="shared" ref="G154:G157" si="605">I154/E154</f>
        <v>#DIV/0!</v>
      </c>
      <c r="H154" s="94" t="e">
        <f t="shared" ref="H154:H157" si="606">M154/E154</f>
        <v>#DIV/0!</v>
      </c>
      <c r="I154" s="96"/>
      <c r="J154" s="96"/>
      <c r="K154" s="96"/>
      <c r="L154" s="96"/>
      <c r="M154" s="97">
        <f t="shared" ref="M154:O154" si="607">Y154+AB154+AE154+AH154+AK154+AN154+AQ154+AT154+AW154+AZ154+BC154+BF154</f>
        <v>0</v>
      </c>
      <c r="N154" s="97">
        <f t="shared" si="607"/>
        <v>0</v>
      </c>
      <c r="O154" s="97">
        <f t="shared" si="607"/>
        <v>0</v>
      </c>
      <c r="P154" s="97">
        <f t="shared" ref="P154:R154" si="608">IF(BI154=0,SUM(Y154+AB154+AE154+AH154+AK154+AN154+AQ154+AT154+AW154+AZ154+BC154+BF154),BI154)</f>
        <v>0</v>
      </c>
      <c r="Q154" s="97">
        <f t="shared" si="608"/>
        <v>0</v>
      </c>
      <c r="R154" s="97">
        <f t="shared" si="608"/>
        <v>0</v>
      </c>
      <c r="S154" s="97">
        <f t="shared" si="598"/>
        <v>0</v>
      </c>
      <c r="T154" s="97">
        <f t="shared" si="603"/>
        <v>0</v>
      </c>
      <c r="U154" s="97">
        <f t="shared" si="599"/>
        <v>0</v>
      </c>
      <c r="V154" s="98" t="e">
        <f t="shared" ref="V154:W154" si="609">M154/I154</f>
        <v>#DIV/0!</v>
      </c>
      <c r="W154" s="98" t="e">
        <f t="shared" si="609"/>
        <v>#DIV/0!</v>
      </c>
      <c r="X154" s="98" t="e">
        <f t="shared" si="589"/>
        <v>#DIV/0!</v>
      </c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6"/>
      <c r="AO154" s="96"/>
      <c r="AP154" s="96"/>
      <c r="AQ154" s="96"/>
      <c r="AR154" s="96"/>
      <c r="AS154" s="96"/>
      <c r="AT154" s="96"/>
      <c r="AU154" s="96"/>
      <c r="AV154" s="96"/>
      <c r="AW154" s="96"/>
      <c r="AX154" s="96"/>
      <c r="AY154" s="96"/>
      <c r="AZ154" s="96"/>
      <c r="BA154" s="96"/>
      <c r="BB154" s="96"/>
      <c r="BC154" s="96"/>
      <c r="BD154" s="96"/>
      <c r="BE154" s="96"/>
      <c r="BF154" s="96"/>
      <c r="BG154" s="96"/>
      <c r="BH154" s="96"/>
      <c r="BI154" s="96"/>
      <c r="BJ154" s="96"/>
      <c r="BK154" s="96"/>
      <c r="BL154" s="99"/>
      <c r="BM154" s="100"/>
      <c r="BN154" s="100"/>
      <c r="BO154" s="100"/>
      <c r="BP154" s="100"/>
    </row>
    <row r="155" spans="1:68" ht="15.75" customHeight="1">
      <c r="A155" s="246"/>
      <c r="B155" s="246"/>
      <c r="C155" s="247"/>
      <c r="D155" s="248" t="s">
        <v>407</v>
      </c>
      <c r="E155" s="249">
        <f t="shared" ref="E155:F155" si="610">SUM(E156:E159)</f>
        <v>0</v>
      </c>
      <c r="F155" s="249">
        <f t="shared" si="610"/>
        <v>4906.54</v>
      </c>
      <c r="G155" s="223" t="e">
        <f t="shared" si="605"/>
        <v>#DIV/0!</v>
      </c>
      <c r="H155" s="187" t="e">
        <f t="shared" si="606"/>
        <v>#DIV/0!</v>
      </c>
      <c r="I155" s="249">
        <f t="shared" ref="I155:O155" si="611">SUM(I156:I159)</f>
        <v>0</v>
      </c>
      <c r="J155" s="249">
        <f t="shared" si="611"/>
        <v>8700</v>
      </c>
      <c r="K155" s="249">
        <f t="shared" si="611"/>
        <v>8700</v>
      </c>
      <c r="L155" s="249">
        <f t="shared" si="611"/>
        <v>4906.54</v>
      </c>
      <c r="M155" s="249">
        <f t="shared" si="611"/>
        <v>0</v>
      </c>
      <c r="N155" s="249">
        <f t="shared" si="611"/>
        <v>0</v>
      </c>
      <c r="O155" s="249">
        <f t="shared" si="611"/>
        <v>0</v>
      </c>
      <c r="P155" s="238">
        <f t="shared" ref="P155:R155" si="612">IF(BI155=0,SUM(Y155+AB155+AE155+AH155+AK155+AN155+AQ155+AT155+AW155+AZ155+BC155+BF155),BI155)</f>
        <v>0</v>
      </c>
      <c r="Q155" s="238">
        <f t="shared" si="612"/>
        <v>0</v>
      </c>
      <c r="R155" s="238">
        <f t="shared" si="612"/>
        <v>0</v>
      </c>
      <c r="S155" s="249">
        <f t="shared" ref="S155:U155" si="613">SUM(S156:S159)</f>
        <v>0</v>
      </c>
      <c r="T155" s="249">
        <f t="shared" si="613"/>
        <v>0</v>
      </c>
      <c r="U155" s="249">
        <f t="shared" si="613"/>
        <v>4906.54</v>
      </c>
      <c r="V155" s="250" t="e">
        <f t="shared" ref="V155:W155" si="614">M155/I155</f>
        <v>#DIV/0!</v>
      </c>
      <c r="W155" s="250">
        <f t="shared" si="614"/>
        <v>0</v>
      </c>
      <c r="X155" s="250">
        <f t="shared" si="589"/>
        <v>0</v>
      </c>
      <c r="Y155" s="249">
        <f t="shared" ref="Y155:BK155" si="615">SUM(Y156:Y159)</f>
        <v>0</v>
      </c>
      <c r="Z155" s="249">
        <f t="shared" si="615"/>
        <v>0</v>
      </c>
      <c r="AA155" s="249">
        <f t="shared" si="615"/>
        <v>0</v>
      </c>
      <c r="AB155" s="249">
        <f t="shared" si="615"/>
        <v>0</v>
      </c>
      <c r="AC155" s="249">
        <f t="shared" si="615"/>
        <v>0</v>
      </c>
      <c r="AD155" s="249">
        <f t="shared" si="615"/>
        <v>0</v>
      </c>
      <c r="AE155" s="249">
        <f t="shared" si="615"/>
        <v>0</v>
      </c>
      <c r="AF155" s="249">
        <f t="shared" si="615"/>
        <v>0</v>
      </c>
      <c r="AG155" s="249">
        <f t="shared" si="615"/>
        <v>0</v>
      </c>
      <c r="AH155" s="249">
        <f t="shared" si="615"/>
        <v>0</v>
      </c>
      <c r="AI155" s="249">
        <f t="shared" si="615"/>
        <v>0</v>
      </c>
      <c r="AJ155" s="249">
        <f t="shared" si="615"/>
        <v>0</v>
      </c>
      <c r="AK155" s="249">
        <f t="shared" si="615"/>
        <v>0</v>
      </c>
      <c r="AL155" s="249">
        <f t="shared" si="615"/>
        <v>0</v>
      </c>
      <c r="AM155" s="249">
        <f t="shared" si="615"/>
        <v>0</v>
      </c>
      <c r="AN155" s="249">
        <f t="shared" si="615"/>
        <v>0</v>
      </c>
      <c r="AO155" s="249">
        <f t="shared" si="615"/>
        <v>0</v>
      </c>
      <c r="AP155" s="249">
        <f t="shared" si="615"/>
        <v>0</v>
      </c>
      <c r="AQ155" s="249">
        <f t="shared" si="615"/>
        <v>0</v>
      </c>
      <c r="AR155" s="249">
        <f t="shared" si="615"/>
        <v>0</v>
      </c>
      <c r="AS155" s="249">
        <f t="shared" si="615"/>
        <v>0</v>
      </c>
      <c r="AT155" s="249">
        <f t="shared" si="615"/>
        <v>0</v>
      </c>
      <c r="AU155" s="249">
        <f t="shared" si="615"/>
        <v>0</v>
      </c>
      <c r="AV155" s="249">
        <f t="shared" si="615"/>
        <v>0</v>
      </c>
      <c r="AW155" s="249">
        <f t="shared" si="615"/>
        <v>0</v>
      </c>
      <c r="AX155" s="249">
        <f t="shared" si="615"/>
        <v>0</v>
      </c>
      <c r="AY155" s="249">
        <f t="shared" si="615"/>
        <v>0</v>
      </c>
      <c r="AZ155" s="249">
        <f t="shared" si="615"/>
        <v>0</v>
      </c>
      <c r="BA155" s="249">
        <f t="shared" si="615"/>
        <v>0</v>
      </c>
      <c r="BB155" s="249">
        <f t="shared" si="615"/>
        <v>0</v>
      </c>
      <c r="BC155" s="249">
        <f t="shared" si="615"/>
        <v>0</v>
      </c>
      <c r="BD155" s="249">
        <f t="shared" si="615"/>
        <v>0</v>
      </c>
      <c r="BE155" s="249">
        <f t="shared" si="615"/>
        <v>0</v>
      </c>
      <c r="BF155" s="249">
        <f t="shared" si="615"/>
        <v>0</v>
      </c>
      <c r="BG155" s="249">
        <f t="shared" si="615"/>
        <v>0</v>
      </c>
      <c r="BH155" s="249">
        <f t="shared" si="615"/>
        <v>0</v>
      </c>
      <c r="BI155" s="249">
        <f t="shared" si="615"/>
        <v>0</v>
      </c>
      <c r="BJ155" s="249">
        <f t="shared" si="615"/>
        <v>0</v>
      </c>
      <c r="BK155" s="249">
        <f t="shared" si="615"/>
        <v>0</v>
      </c>
      <c r="BL155" s="233"/>
      <c r="BM155" s="234"/>
      <c r="BN155" s="234"/>
      <c r="BO155" s="234"/>
      <c r="BP155" s="234"/>
    </row>
    <row r="156" spans="1:68" ht="15.75" customHeight="1">
      <c r="A156" s="89"/>
      <c r="B156" s="89"/>
      <c r="C156" s="90" t="s">
        <v>161</v>
      </c>
      <c r="D156" s="91" t="s">
        <v>408</v>
      </c>
      <c r="E156" s="166"/>
      <c r="F156" s="251"/>
      <c r="G156" s="94" t="e">
        <f t="shared" si="605"/>
        <v>#DIV/0!</v>
      </c>
      <c r="H156" s="94" t="e">
        <f t="shared" si="606"/>
        <v>#DIV/0!</v>
      </c>
      <c r="I156" s="96"/>
      <c r="J156" s="96"/>
      <c r="K156" s="96"/>
      <c r="L156" s="95"/>
      <c r="M156" s="97">
        <f t="shared" ref="M156:O156" si="616">Y156+AB156+AE156+AH156+AK156+AN156+AQ156+AT156+AW156+AZ156+BC156+BF156</f>
        <v>0</v>
      </c>
      <c r="N156" s="97">
        <f t="shared" si="616"/>
        <v>0</v>
      </c>
      <c r="O156" s="97">
        <f t="shared" si="616"/>
        <v>0</v>
      </c>
      <c r="P156" s="97">
        <f t="shared" ref="P156:R156" si="617">IF(BI156=0,SUM(Y156+AB156+AE156+AH156+AK156+AN156+AQ156+AT156+AW156+AZ156+BC156+BF156),BI156)</f>
        <v>0</v>
      </c>
      <c r="Q156" s="97">
        <f t="shared" si="617"/>
        <v>0</v>
      </c>
      <c r="R156" s="97">
        <f t="shared" si="617"/>
        <v>0</v>
      </c>
      <c r="S156" s="97">
        <f t="shared" ref="S156:T156" si="618">I156-M156</f>
        <v>0</v>
      </c>
      <c r="T156" s="97">
        <f t="shared" si="618"/>
        <v>0</v>
      </c>
      <c r="U156" s="97">
        <f t="shared" ref="U156:U159" si="619">L156-O156</f>
        <v>0</v>
      </c>
      <c r="V156" s="98" t="e">
        <f t="shared" ref="V156:W156" si="620">M156/I156</f>
        <v>#DIV/0!</v>
      </c>
      <c r="W156" s="98" t="e">
        <f t="shared" si="620"/>
        <v>#DIV/0!</v>
      </c>
      <c r="X156" s="98" t="e">
        <f t="shared" si="589"/>
        <v>#DIV/0!</v>
      </c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6"/>
      <c r="AO156" s="96"/>
      <c r="AP156" s="96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  <c r="BB156" s="96"/>
      <c r="BC156" s="96"/>
      <c r="BD156" s="96"/>
      <c r="BE156" s="96"/>
      <c r="BF156" s="95"/>
      <c r="BG156" s="96"/>
      <c r="BH156" s="96"/>
      <c r="BI156" s="95"/>
      <c r="BJ156" s="96"/>
      <c r="BK156" s="96"/>
      <c r="BL156" s="99"/>
      <c r="BM156" s="100"/>
      <c r="BN156" s="100"/>
      <c r="BO156" s="100"/>
      <c r="BP156" s="100"/>
    </row>
    <row r="157" spans="1:68" ht="15.75" customHeight="1">
      <c r="A157" s="89"/>
      <c r="B157" s="143" t="s">
        <v>409</v>
      </c>
      <c r="C157" s="90"/>
      <c r="D157" s="91" t="s">
        <v>410</v>
      </c>
      <c r="E157" s="166"/>
      <c r="F157" s="166"/>
      <c r="G157" s="94" t="e">
        <f t="shared" si="605"/>
        <v>#DIV/0!</v>
      </c>
      <c r="H157" s="94" t="e">
        <f t="shared" si="606"/>
        <v>#DIV/0!</v>
      </c>
      <c r="I157" s="96"/>
      <c r="J157" s="167">
        <v>8700</v>
      </c>
      <c r="K157" s="117">
        <f>8700</f>
        <v>8700</v>
      </c>
      <c r="L157" s="95"/>
      <c r="M157" s="97">
        <f t="shared" ref="M157:O157" si="621">Y157+AB157+AE157+AH157+AK157+AN157+AQ157+AT157+AW157+AZ157+BC157+BF157</f>
        <v>0</v>
      </c>
      <c r="N157" s="97">
        <f t="shared" si="621"/>
        <v>0</v>
      </c>
      <c r="O157" s="97">
        <f t="shared" si="621"/>
        <v>0</v>
      </c>
      <c r="P157" s="97">
        <f t="shared" ref="P157:R157" si="622">IF(BI157=0,SUM(Y157+AB157+AE157+AH157+AK157+AN157+AQ157+AT157+AW157+AZ157+BC157+BF157),BI157)</f>
        <v>0</v>
      </c>
      <c r="Q157" s="97">
        <f t="shared" si="622"/>
        <v>0</v>
      </c>
      <c r="R157" s="97">
        <f t="shared" si="622"/>
        <v>0</v>
      </c>
      <c r="S157" s="97">
        <f t="shared" ref="S157:S159" si="623">I157-M157</f>
        <v>0</v>
      </c>
      <c r="T157" s="97">
        <f>J157-K157-N157</f>
        <v>0</v>
      </c>
      <c r="U157" s="97">
        <f t="shared" si="619"/>
        <v>0</v>
      </c>
      <c r="V157" s="98" t="e">
        <f t="shared" ref="V157:W157" si="624">M157/I157</f>
        <v>#DIV/0!</v>
      </c>
      <c r="W157" s="98">
        <f t="shared" si="624"/>
        <v>0</v>
      </c>
      <c r="X157" s="98" t="e">
        <f t="shared" si="589"/>
        <v>#DIV/0!</v>
      </c>
      <c r="Y157" s="252"/>
      <c r="Z157" s="96"/>
      <c r="AA157" s="96"/>
      <c r="AB157" s="96"/>
      <c r="AC157" s="96"/>
      <c r="AD157" s="96"/>
      <c r="AE157" s="96"/>
      <c r="AF157" s="103">
        <v>0</v>
      </c>
      <c r="AG157" s="96"/>
      <c r="AH157" s="96"/>
      <c r="AI157" s="103">
        <v>0</v>
      </c>
      <c r="AJ157" s="96"/>
      <c r="AK157" s="96"/>
      <c r="AL157" s="96"/>
      <c r="AM157" s="96"/>
      <c r="AN157" s="96"/>
      <c r="AO157" s="96"/>
      <c r="AP157" s="96"/>
      <c r="AQ157" s="96"/>
      <c r="AR157" s="96"/>
      <c r="AS157" s="202"/>
      <c r="AT157" s="96"/>
      <c r="AU157" s="96"/>
      <c r="AV157" s="96"/>
      <c r="AW157" s="96"/>
      <c r="AX157" s="96"/>
      <c r="AY157" s="96"/>
      <c r="AZ157" s="96"/>
      <c r="BA157" s="96"/>
      <c r="BB157" s="96"/>
      <c r="BC157" s="96"/>
      <c r="BD157" s="96"/>
      <c r="BE157" s="96"/>
      <c r="BF157" s="96"/>
      <c r="BG157" s="96"/>
      <c r="BH157" s="96"/>
      <c r="BI157" s="96"/>
      <c r="BJ157" s="96"/>
      <c r="BK157" s="96"/>
      <c r="BL157" s="99"/>
      <c r="BM157" s="100"/>
      <c r="BN157" s="100"/>
      <c r="BO157" s="100"/>
      <c r="BP157" s="100"/>
    </row>
    <row r="158" spans="1:68" ht="15.75" customHeight="1">
      <c r="A158" s="21"/>
      <c r="B158" s="136"/>
      <c r="C158" s="90"/>
      <c r="D158" s="91" t="s">
        <v>411</v>
      </c>
      <c r="E158" s="166"/>
      <c r="F158" s="21"/>
      <c r="G158" s="94"/>
      <c r="H158" s="94"/>
      <c r="I158" s="96"/>
      <c r="J158" s="117"/>
      <c r="K158" s="117"/>
      <c r="L158" s="95"/>
      <c r="M158" s="97">
        <f t="shared" ref="M158:O158" si="625">Y158+AB158+AE158+AH158+AK158+AN158+AQ158+AT158+AW158+AZ158+BC158+BF158</f>
        <v>0</v>
      </c>
      <c r="N158" s="97">
        <f t="shared" si="625"/>
        <v>0</v>
      </c>
      <c r="O158" s="97">
        <f t="shared" si="625"/>
        <v>0</v>
      </c>
      <c r="P158" s="97">
        <f t="shared" ref="P158:R158" si="626">IF(BI158=0,SUM(Y158+AB158+AE158+AH158+AK158+AN158+AQ158+AT158+AW158+AZ158+BC158+BF158),BI158)</f>
        <v>0</v>
      </c>
      <c r="Q158" s="97">
        <f t="shared" si="626"/>
        <v>0</v>
      </c>
      <c r="R158" s="97">
        <f t="shared" si="626"/>
        <v>0</v>
      </c>
      <c r="S158" s="97">
        <f t="shared" si="623"/>
        <v>0</v>
      </c>
      <c r="T158" s="97">
        <f t="shared" ref="T158:T159" si="627">J158-N158</f>
        <v>0</v>
      </c>
      <c r="U158" s="97">
        <f t="shared" si="619"/>
        <v>0</v>
      </c>
      <c r="V158" s="98"/>
      <c r="W158" s="98"/>
      <c r="X158" s="98"/>
      <c r="Y158" s="252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6"/>
      <c r="AO158" s="96"/>
      <c r="AP158" s="96"/>
      <c r="AQ158" s="96"/>
      <c r="AR158" s="96"/>
      <c r="AS158" s="202"/>
      <c r="AT158" s="96"/>
      <c r="AU158" s="96"/>
      <c r="AV158" s="96"/>
      <c r="AW158" s="96"/>
      <c r="AX158" s="96"/>
      <c r="AY158" s="96"/>
      <c r="AZ158" s="96"/>
      <c r="BA158" s="96"/>
      <c r="BB158" s="96"/>
      <c r="BC158" s="96"/>
      <c r="BD158" s="96"/>
      <c r="BE158" s="96"/>
      <c r="BF158" s="96"/>
      <c r="BG158" s="96"/>
      <c r="BH158" s="96"/>
      <c r="BI158" s="96"/>
      <c r="BJ158" s="96"/>
      <c r="BK158" s="96"/>
      <c r="BL158" s="99"/>
      <c r="BM158" s="100"/>
      <c r="BN158" s="100"/>
      <c r="BO158" s="100"/>
      <c r="BP158" s="100"/>
    </row>
    <row r="159" spans="1:68" ht="15.75" customHeight="1">
      <c r="A159" s="360" t="s">
        <v>673</v>
      </c>
      <c r="B159" s="89"/>
      <c r="C159" s="90" t="s">
        <v>165</v>
      </c>
      <c r="D159" s="207" t="s">
        <v>412</v>
      </c>
      <c r="E159" s="208"/>
      <c r="F159" s="377">
        <v>4906.54</v>
      </c>
      <c r="G159" s="94" t="e">
        <f t="shared" ref="G159:G179" si="628">I159/E159</f>
        <v>#DIV/0!</v>
      </c>
      <c r="H159" s="94" t="e">
        <f t="shared" ref="H159:H179" si="629">M159/E159</f>
        <v>#DIV/0!</v>
      </c>
      <c r="I159" s="368"/>
      <c r="J159" s="204"/>
      <c r="K159" s="204"/>
      <c r="L159" s="368">
        <v>4906.54</v>
      </c>
      <c r="M159" s="97">
        <f t="shared" ref="M159:N159" si="630">Y159+AB159+AE159+AH159+AK159+AN159+AQ159+AT159+AW159+AZ159+BC159+BF159</f>
        <v>0</v>
      </c>
      <c r="N159" s="97">
        <f t="shared" si="630"/>
        <v>0</v>
      </c>
      <c r="O159" s="97"/>
      <c r="P159" s="97">
        <f t="shared" ref="P159:Q159" si="631">IF(BI159=0,SUM(Y159+AB159+AE159+AH159+AK159+AN159+AQ159+AT159+AW159+AZ159+BC159+BF159),BI159)</f>
        <v>0</v>
      </c>
      <c r="Q159" s="97">
        <f t="shared" si="631"/>
        <v>0</v>
      </c>
      <c r="R159" s="97"/>
      <c r="S159" s="97">
        <f t="shared" si="623"/>
        <v>0</v>
      </c>
      <c r="T159" s="97">
        <f t="shared" si="627"/>
        <v>0</v>
      </c>
      <c r="U159" s="97">
        <f t="shared" si="619"/>
        <v>4906.54</v>
      </c>
      <c r="V159" s="98" t="e">
        <f t="shared" ref="V159:W159" si="632">M159/I159</f>
        <v>#DIV/0!</v>
      </c>
      <c r="W159" s="98" t="e">
        <f t="shared" si="632"/>
        <v>#DIV/0!</v>
      </c>
      <c r="X159" s="98">
        <f t="shared" ref="X159:X170" si="633">O159/L159</f>
        <v>0</v>
      </c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04"/>
      <c r="AT159" s="204"/>
      <c r="AU159" s="204"/>
      <c r="AV159" s="204"/>
      <c r="AW159" s="204"/>
      <c r="AX159" s="204"/>
      <c r="AY159" s="204"/>
      <c r="AZ159" s="204"/>
      <c r="BA159" s="204"/>
      <c r="BB159" s="204" t="s">
        <v>413</v>
      </c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99"/>
      <c r="BM159" s="100"/>
      <c r="BN159" s="100"/>
      <c r="BO159" s="100"/>
      <c r="BP159" s="100"/>
    </row>
    <row r="160" spans="1:68" ht="15.75" customHeight="1">
      <c r="A160" s="86"/>
      <c r="B160" s="86"/>
      <c r="C160" s="86" t="s">
        <v>414</v>
      </c>
      <c r="D160" s="86"/>
      <c r="E160" s="87">
        <f t="shared" ref="E160:F160" si="634">E161+E169+E184</f>
        <v>121389.6</v>
      </c>
      <c r="F160" s="87">
        <f t="shared" si="634"/>
        <v>36000</v>
      </c>
      <c r="G160" s="107">
        <f t="shared" si="628"/>
        <v>0.16611686668380157</v>
      </c>
      <c r="H160" s="107">
        <f t="shared" si="629"/>
        <v>0</v>
      </c>
      <c r="I160" s="87">
        <f t="shared" ref="I160:O160" si="635">I161+I169+I184</f>
        <v>20164.86</v>
      </c>
      <c r="J160" s="87">
        <f t="shared" si="635"/>
        <v>984.93000000000006</v>
      </c>
      <c r="K160" s="87">
        <f t="shared" si="635"/>
        <v>358.04</v>
      </c>
      <c r="L160" s="87">
        <f t="shared" si="635"/>
        <v>0</v>
      </c>
      <c r="M160" s="87">
        <f t="shared" si="635"/>
        <v>0</v>
      </c>
      <c r="N160" s="87">
        <f t="shared" si="635"/>
        <v>626.89</v>
      </c>
      <c r="O160" s="87">
        <f t="shared" si="635"/>
        <v>0</v>
      </c>
      <c r="P160" s="87">
        <f t="shared" ref="P160:R160" si="636">IF(BI160=0,SUM(Y160+AB160+AE160+AH160+AK160+AN160+AQ160+AT160+AW160+AZ160+BC160+BF160),BI160)</f>
        <v>0</v>
      </c>
      <c r="Q160" s="87">
        <f t="shared" si="636"/>
        <v>626.89</v>
      </c>
      <c r="R160" s="87">
        <f t="shared" si="636"/>
        <v>0</v>
      </c>
      <c r="S160" s="87">
        <f t="shared" ref="S160:U160" si="637">S161+S169+S184</f>
        <v>6364.86</v>
      </c>
      <c r="T160" s="87">
        <f t="shared" si="637"/>
        <v>0</v>
      </c>
      <c r="U160" s="87">
        <f t="shared" si="637"/>
        <v>0</v>
      </c>
      <c r="V160" s="88">
        <f t="shared" ref="V160:W160" si="638">M160/I160</f>
        <v>0</v>
      </c>
      <c r="W160" s="88">
        <f t="shared" si="638"/>
        <v>0.6364817804310966</v>
      </c>
      <c r="X160" s="88" t="e">
        <f t="shared" si="633"/>
        <v>#DIV/0!</v>
      </c>
      <c r="Y160" s="87">
        <f t="shared" ref="Y160:BK160" si="639">Y161+Y169+Y184</f>
        <v>0</v>
      </c>
      <c r="Z160" s="87">
        <f t="shared" si="639"/>
        <v>250</v>
      </c>
      <c r="AA160" s="87">
        <f t="shared" si="639"/>
        <v>0</v>
      </c>
      <c r="AB160" s="87">
        <f t="shared" si="639"/>
        <v>0</v>
      </c>
      <c r="AC160" s="87">
        <f t="shared" si="639"/>
        <v>0</v>
      </c>
      <c r="AD160" s="87">
        <f t="shared" si="639"/>
        <v>0</v>
      </c>
      <c r="AE160" s="87">
        <f t="shared" si="639"/>
        <v>0</v>
      </c>
      <c r="AF160" s="87">
        <f t="shared" si="639"/>
        <v>0</v>
      </c>
      <c r="AG160" s="87">
        <f t="shared" si="639"/>
        <v>0</v>
      </c>
      <c r="AH160" s="87">
        <f t="shared" si="639"/>
        <v>0</v>
      </c>
      <c r="AI160" s="87">
        <f t="shared" si="639"/>
        <v>376.89</v>
      </c>
      <c r="AJ160" s="87">
        <f t="shared" si="639"/>
        <v>0</v>
      </c>
      <c r="AK160" s="87">
        <f t="shared" si="639"/>
        <v>0</v>
      </c>
      <c r="AL160" s="87">
        <f t="shared" si="639"/>
        <v>0</v>
      </c>
      <c r="AM160" s="87">
        <f t="shared" si="639"/>
        <v>0</v>
      </c>
      <c r="AN160" s="87">
        <f t="shared" si="639"/>
        <v>0</v>
      </c>
      <c r="AO160" s="87">
        <f t="shared" si="639"/>
        <v>0</v>
      </c>
      <c r="AP160" s="87">
        <f t="shared" si="639"/>
        <v>0</v>
      </c>
      <c r="AQ160" s="87">
        <f t="shared" si="639"/>
        <v>0</v>
      </c>
      <c r="AR160" s="87">
        <f t="shared" si="639"/>
        <v>0</v>
      </c>
      <c r="AS160" s="87">
        <f t="shared" si="639"/>
        <v>0</v>
      </c>
      <c r="AT160" s="87">
        <f t="shared" si="639"/>
        <v>0</v>
      </c>
      <c r="AU160" s="87">
        <f t="shared" si="639"/>
        <v>0</v>
      </c>
      <c r="AV160" s="87">
        <f t="shared" si="639"/>
        <v>0</v>
      </c>
      <c r="AW160" s="87">
        <f t="shared" si="639"/>
        <v>0</v>
      </c>
      <c r="AX160" s="87">
        <f t="shared" si="639"/>
        <v>0</v>
      </c>
      <c r="AY160" s="87">
        <f t="shared" si="639"/>
        <v>0</v>
      </c>
      <c r="AZ160" s="87">
        <f t="shared" si="639"/>
        <v>0</v>
      </c>
      <c r="BA160" s="87">
        <f t="shared" si="639"/>
        <v>0</v>
      </c>
      <c r="BB160" s="87">
        <f t="shared" si="639"/>
        <v>0</v>
      </c>
      <c r="BC160" s="87">
        <f t="shared" si="639"/>
        <v>0</v>
      </c>
      <c r="BD160" s="87">
        <f t="shared" si="639"/>
        <v>0</v>
      </c>
      <c r="BE160" s="87">
        <f t="shared" si="639"/>
        <v>0</v>
      </c>
      <c r="BF160" s="87">
        <f t="shared" si="639"/>
        <v>0</v>
      </c>
      <c r="BG160" s="87">
        <f t="shared" si="639"/>
        <v>0</v>
      </c>
      <c r="BH160" s="87">
        <f t="shared" si="639"/>
        <v>0</v>
      </c>
      <c r="BI160" s="87">
        <f t="shared" si="639"/>
        <v>0</v>
      </c>
      <c r="BJ160" s="87">
        <f t="shared" si="639"/>
        <v>0</v>
      </c>
      <c r="BK160" s="87">
        <f t="shared" si="639"/>
        <v>0</v>
      </c>
      <c r="BL160" s="149"/>
      <c r="BM160" s="150"/>
      <c r="BN160" s="150"/>
      <c r="BO160" s="150"/>
      <c r="BP160" s="150"/>
    </row>
    <row r="161" spans="1:68" ht="15.75" customHeight="1">
      <c r="A161" s="253"/>
      <c r="B161" s="253"/>
      <c r="C161" s="183"/>
      <c r="D161" s="254" t="s">
        <v>415</v>
      </c>
      <c r="E161" s="255">
        <f t="shared" ref="E161:F161" si="640">E162+E166</f>
        <v>36444.800000000003</v>
      </c>
      <c r="F161" s="255">
        <f t="shared" si="640"/>
        <v>0</v>
      </c>
      <c r="G161" s="223">
        <f t="shared" si="628"/>
        <v>4.1158135042584948E-2</v>
      </c>
      <c r="H161" s="223">
        <f t="shared" si="629"/>
        <v>0</v>
      </c>
      <c r="I161" s="255">
        <f t="shared" ref="I161:O161" si="641">I162+I166</f>
        <v>1500</v>
      </c>
      <c r="J161" s="255">
        <f t="shared" si="641"/>
        <v>0</v>
      </c>
      <c r="K161" s="255">
        <f t="shared" si="641"/>
        <v>0</v>
      </c>
      <c r="L161" s="255">
        <f t="shared" si="641"/>
        <v>0</v>
      </c>
      <c r="M161" s="255">
        <f t="shared" si="641"/>
        <v>0</v>
      </c>
      <c r="N161" s="255">
        <f t="shared" si="641"/>
        <v>0</v>
      </c>
      <c r="O161" s="255">
        <f t="shared" si="641"/>
        <v>0</v>
      </c>
      <c r="P161" s="245">
        <f t="shared" ref="P161:R161" si="642">IF(BI161=0,SUM(Y161+AB161+AE161+AH161+AK161+AN161+AQ161+AT161+AW161+AZ161+BC161+BF161),BI161)</f>
        <v>0</v>
      </c>
      <c r="Q161" s="245">
        <f t="shared" si="642"/>
        <v>0</v>
      </c>
      <c r="R161" s="245">
        <f t="shared" si="642"/>
        <v>0</v>
      </c>
      <c r="S161" s="255">
        <f t="shared" ref="S161:U161" si="643">S162+S166</f>
        <v>1500</v>
      </c>
      <c r="T161" s="255">
        <f t="shared" si="643"/>
        <v>0</v>
      </c>
      <c r="U161" s="255">
        <f t="shared" si="643"/>
        <v>0</v>
      </c>
      <c r="V161" s="256">
        <f t="shared" ref="V161:W161" si="644">M161/I161</f>
        <v>0</v>
      </c>
      <c r="W161" s="256" t="e">
        <f t="shared" si="644"/>
        <v>#DIV/0!</v>
      </c>
      <c r="X161" s="256" t="e">
        <f t="shared" si="633"/>
        <v>#DIV/0!</v>
      </c>
      <c r="Y161" s="255">
        <f t="shared" ref="Y161:BK161" si="645">Y162+Y166</f>
        <v>0</v>
      </c>
      <c r="Z161" s="255">
        <f t="shared" si="645"/>
        <v>0</v>
      </c>
      <c r="AA161" s="255">
        <f t="shared" si="645"/>
        <v>0</v>
      </c>
      <c r="AB161" s="255">
        <f t="shared" si="645"/>
        <v>0</v>
      </c>
      <c r="AC161" s="255">
        <f t="shared" si="645"/>
        <v>0</v>
      </c>
      <c r="AD161" s="255">
        <f t="shared" si="645"/>
        <v>0</v>
      </c>
      <c r="AE161" s="255">
        <f t="shared" si="645"/>
        <v>0</v>
      </c>
      <c r="AF161" s="255">
        <f t="shared" si="645"/>
        <v>0</v>
      </c>
      <c r="AG161" s="255">
        <f t="shared" si="645"/>
        <v>0</v>
      </c>
      <c r="AH161" s="255">
        <f t="shared" si="645"/>
        <v>0</v>
      </c>
      <c r="AI161" s="255">
        <f t="shared" si="645"/>
        <v>0</v>
      </c>
      <c r="AJ161" s="255">
        <f t="shared" si="645"/>
        <v>0</v>
      </c>
      <c r="AK161" s="255">
        <f t="shared" si="645"/>
        <v>0</v>
      </c>
      <c r="AL161" s="255">
        <f t="shared" si="645"/>
        <v>0</v>
      </c>
      <c r="AM161" s="255">
        <f t="shared" si="645"/>
        <v>0</v>
      </c>
      <c r="AN161" s="255">
        <f t="shared" si="645"/>
        <v>0</v>
      </c>
      <c r="AO161" s="255">
        <f t="shared" si="645"/>
        <v>0</v>
      </c>
      <c r="AP161" s="255">
        <f t="shared" si="645"/>
        <v>0</v>
      </c>
      <c r="AQ161" s="255">
        <f t="shared" si="645"/>
        <v>0</v>
      </c>
      <c r="AR161" s="255">
        <f t="shared" si="645"/>
        <v>0</v>
      </c>
      <c r="AS161" s="255">
        <f t="shared" si="645"/>
        <v>0</v>
      </c>
      <c r="AT161" s="255">
        <f t="shared" si="645"/>
        <v>0</v>
      </c>
      <c r="AU161" s="255">
        <f t="shared" si="645"/>
        <v>0</v>
      </c>
      <c r="AV161" s="255">
        <f t="shared" si="645"/>
        <v>0</v>
      </c>
      <c r="AW161" s="255">
        <f t="shared" si="645"/>
        <v>0</v>
      </c>
      <c r="AX161" s="255">
        <f t="shared" si="645"/>
        <v>0</v>
      </c>
      <c r="AY161" s="255">
        <f t="shared" si="645"/>
        <v>0</v>
      </c>
      <c r="AZ161" s="255">
        <f t="shared" si="645"/>
        <v>0</v>
      </c>
      <c r="BA161" s="255">
        <f t="shared" si="645"/>
        <v>0</v>
      </c>
      <c r="BB161" s="255">
        <f t="shared" si="645"/>
        <v>0</v>
      </c>
      <c r="BC161" s="255">
        <f t="shared" si="645"/>
        <v>0</v>
      </c>
      <c r="BD161" s="255">
        <f t="shared" si="645"/>
        <v>0</v>
      </c>
      <c r="BE161" s="255">
        <f t="shared" si="645"/>
        <v>0</v>
      </c>
      <c r="BF161" s="255">
        <f t="shared" si="645"/>
        <v>0</v>
      </c>
      <c r="BG161" s="255">
        <f t="shared" si="645"/>
        <v>0</v>
      </c>
      <c r="BH161" s="255">
        <f t="shared" si="645"/>
        <v>0</v>
      </c>
      <c r="BI161" s="255">
        <f t="shared" si="645"/>
        <v>0</v>
      </c>
      <c r="BJ161" s="255">
        <f t="shared" si="645"/>
        <v>0</v>
      </c>
      <c r="BK161" s="255">
        <f t="shared" si="645"/>
        <v>0</v>
      </c>
      <c r="BL161" s="157"/>
      <c r="BM161" s="158"/>
      <c r="BN161" s="158"/>
      <c r="BO161" s="158"/>
      <c r="BP161" s="158"/>
    </row>
    <row r="162" spans="1:68" ht="15.75" customHeight="1">
      <c r="A162" s="240"/>
      <c r="B162" s="240"/>
      <c r="C162" s="229"/>
      <c r="D162" s="257" t="s">
        <v>416</v>
      </c>
      <c r="E162" s="231">
        <f t="shared" ref="E162:F162" si="646">SUM(E163:E165)</f>
        <v>36444.800000000003</v>
      </c>
      <c r="F162" s="231">
        <f t="shared" si="646"/>
        <v>0</v>
      </c>
      <c r="G162" s="187">
        <f t="shared" si="628"/>
        <v>4.1158135042584948E-2</v>
      </c>
      <c r="H162" s="187">
        <f t="shared" si="629"/>
        <v>0</v>
      </c>
      <c r="I162" s="231">
        <f t="shared" ref="I162:O162" si="647">SUM(I163:I165)</f>
        <v>1500</v>
      </c>
      <c r="J162" s="231">
        <f t="shared" si="647"/>
        <v>0</v>
      </c>
      <c r="K162" s="231">
        <f t="shared" si="647"/>
        <v>0</v>
      </c>
      <c r="L162" s="231">
        <f t="shared" si="647"/>
        <v>0</v>
      </c>
      <c r="M162" s="231">
        <f t="shared" si="647"/>
        <v>0</v>
      </c>
      <c r="N162" s="231">
        <f t="shared" si="647"/>
        <v>0</v>
      </c>
      <c r="O162" s="231">
        <f t="shared" si="647"/>
        <v>0</v>
      </c>
      <c r="P162" s="258">
        <f t="shared" ref="P162:R162" si="648">IF(BI162=0,SUM(Y162+AB162+AE162+AH162+AK162+AN162+AQ162+AT162+AW162+AZ162+BC162+BF162),BI162)</f>
        <v>0</v>
      </c>
      <c r="Q162" s="258">
        <f t="shared" si="648"/>
        <v>0</v>
      </c>
      <c r="R162" s="258">
        <f t="shared" si="648"/>
        <v>0</v>
      </c>
      <c r="S162" s="231">
        <f t="shared" ref="S162:U162" si="649">SUM(S163:S165)</f>
        <v>1500</v>
      </c>
      <c r="T162" s="231">
        <f t="shared" si="649"/>
        <v>0</v>
      </c>
      <c r="U162" s="231">
        <f t="shared" si="649"/>
        <v>0</v>
      </c>
      <c r="V162" s="259">
        <f t="shared" ref="V162:W162" si="650">M162/I162</f>
        <v>0</v>
      </c>
      <c r="W162" s="259" t="e">
        <f t="shared" si="650"/>
        <v>#DIV/0!</v>
      </c>
      <c r="X162" s="259" t="e">
        <f t="shared" si="633"/>
        <v>#DIV/0!</v>
      </c>
      <c r="Y162" s="231">
        <f t="shared" ref="Y162:BK162" si="651">SUM(Y163:Y165)</f>
        <v>0</v>
      </c>
      <c r="Z162" s="231">
        <f t="shared" si="651"/>
        <v>0</v>
      </c>
      <c r="AA162" s="231">
        <f t="shared" si="651"/>
        <v>0</v>
      </c>
      <c r="AB162" s="231">
        <f t="shared" si="651"/>
        <v>0</v>
      </c>
      <c r="AC162" s="231">
        <f t="shared" si="651"/>
        <v>0</v>
      </c>
      <c r="AD162" s="231">
        <f t="shared" si="651"/>
        <v>0</v>
      </c>
      <c r="AE162" s="231">
        <f t="shared" si="651"/>
        <v>0</v>
      </c>
      <c r="AF162" s="231">
        <f t="shared" si="651"/>
        <v>0</v>
      </c>
      <c r="AG162" s="231">
        <f t="shared" si="651"/>
        <v>0</v>
      </c>
      <c r="AH162" s="231">
        <f t="shared" si="651"/>
        <v>0</v>
      </c>
      <c r="AI162" s="231">
        <f t="shared" si="651"/>
        <v>0</v>
      </c>
      <c r="AJ162" s="231">
        <f t="shared" si="651"/>
        <v>0</v>
      </c>
      <c r="AK162" s="231">
        <f t="shared" si="651"/>
        <v>0</v>
      </c>
      <c r="AL162" s="231">
        <f t="shared" si="651"/>
        <v>0</v>
      </c>
      <c r="AM162" s="231">
        <f t="shared" si="651"/>
        <v>0</v>
      </c>
      <c r="AN162" s="231">
        <f t="shared" si="651"/>
        <v>0</v>
      </c>
      <c r="AO162" s="231">
        <f t="shared" si="651"/>
        <v>0</v>
      </c>
      <c r="AP162" s="231">
        <f t="shared" si="651"/>
        <v>0</v>
      </c>
      <c r="AQ162" s="231">
        <f t="shared" si="651"/>
        <v>0</v>
      </c>
      <c r="AR162" s="231">
        <f t="shared" si="651"/>
        <v>0</v>
      </c>
      <c r="AS162" s="231">
        <f t="shared" si="651"/>
        <v>0</v>
      </c>
      <c r="AT162" s="231">
        <f t="shared" si="651"/>
        <v>0</v>
      </c>
      <c r="AU162" s="231">
        <f t="shared" si="651"/>
        <v>0</v>
      </c>
      <c r="AV162" s="231">
        <f t="shared" si="651"/>
        <v>0</v>
      </c>
      <c r="AW162" s="231">
        <f t="shared" si="651"/>
        <v>0</v>
      </c>
      <c r="AX162" s="231">
        <f t="shared" si="651"/>
        <v>0</v>
      </c>
      <c r="AY162" s="231">
        <f t="shared" si="651"/>
        <v>0</v>
      </c>
      <c r="AZ162" s="231">
        <f t="shared" si="651"/>
        <v>0</v>
      </c>
      <c r="BA162" s="231">
        <f t="shared" si="651"/>
        <v>0</v>
      </c>
      <c r="BB162" s="231">
        <f t="shared" si="651"/>
        <v>0</v>
      </c>
      <c r="BC162" s="231">
        <f t="shared" si="651"/>
        <v>0</v>
      </c>
      <c r="BD162" s="231">
        <f t="shared" si="651"/>
        <v>0</v>
      </c>
      <c r="BE162" s="231">
        <f t="shared" si="651"/>
        <v>0</v>
      </c>
      <c r="BF162" s="231">
        <f t="shared" si="651"/>
        <v>0</v>
      </c>
      <c r="BG162" s="231">
        <f t="shared" si="651"/>
        <v>0</v>
      </c>
      <c r="BH162" s="231">
        <f t="shared" si="651"/>
        <v>0</v>
      </c>
      <c r="BI162" s="231">
        <f t="shared" si="651"/>
        <v>0</v>
      </c>
      <c r="BJ162" s="231">
        <f t="shared" si="651"/>
        <v>0</v>
      </c>
      <c r="BK162" s="231">
        <f t="shared" si="651"/>
        <v>0</v>
      </c>
      <c r="BL162" s="233"/>
      <c r="BM162" s="234"/>
      <c r="BN162" s="234"/>
      <c r="BO162" s="234"/>
      <c r="BP162" s="234"/>
    </row>
    <row r="163" spans="1:68" ht="16.5" customHeight="1">
      <c r="A163" s="89"/>
      <c r="B163" s="89"/>
      <c r="C163" s="90" t="s">
        <v>357</v>
      </c>
      <c r="D163" s="91" t="s">
        <v>417</v>
      </c>
      <c r="E163" s="194">
        <v>34944.800000000003</v>
      </c>
      <c r="F163" s="166"/>
      <c r="G163" s="94">
        <f t="shared" si="628"/>
        <v>0</v>
      </c>
      <c r="H163" s="94">
        <f t="shared" si="629"/>
        <v>0</v>
      </c>
      <c r="I163" s="142">
        <v>0</v>
      </c>
      <c r="J163" s="96"/>
      <c r="K163" s="96"/>
      <c r="L163" s="96"/>
      <c r="M163" s="97">
        <f t="shared" ref="M163:O163" si="652">Y163+AB163+AE163+AH163+AK163+AN163+AQ163+AT163+AW163+AZ163+BC163+BF163</f>
        <v>0</v>
      </c>
      <c r="N163" s="97">
        <f t="shared" si="652"/>
        <v>0</v>
      </c>
      <c r="O163" s="97">
        <f t="shared" si="652"/>
        <v>0</v>
      </c>
      <c r="P163" s="97">
        <f t="shared" ref="P163:R163" si="653">IF(BI163=0,SUM(Y163+AB163+AE163+AH163+AK163+AN163+AQ163+AT163+AW163+AZ163+BC163+BF163),BI163)</f>
        <v>0</v>
      </c>
      <c r="Q163" s="97">
        <f t="shared" si="653"/>
        <v>0</v>
      </c>
      <c r="R163" s="97">
        <f t="shared" si="653"/>
        <v>0</v>
      </c>
      <c r="S163" s="138">
        <f t="shared" ref="S163:T163" si="654">I163-M163</f>
        <v>0</v>
      </c>
      <c r="T163" s="97">
        <f t="shared" si="654"/>
        <v>0</v>
      </c>
      <c r="U163" s="97">
        <f t="shared" ref="U163:U165" si="655">L163-O163</f>
        <v>0</v>
      </c>
      <c r="V163" s="98" t="e">
        <f t="shared" ref="V163:W163" si="656">M163/I163</f>
        <v>#DIV/0!</v>
      </c>
      <c r="W163" s="98" t="e">
        <f t="shared" si="656"/>
        <v>#DIV/0!</v>
      </c>
      <c r="X163" s="98" t="e">
        <f t="shared" si="633"/>
        <v>#DIV/0!</v>
      </c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6"/>
      <c r="AO163" s="96"/>
      <c r="AP163" s="96"/>
      <c r="AQ163" s="96"/>
      <c r="AR163" s="96"/>
      <c r="AS163" s="96"/>
      <c r="AT163" s="96"/>
      <c r="AU163" s="96"/>
      <c r="AV163" s="96"/>
      <c r="AW163" s="96"/>
      <c r="AX163" s="96"/>
      <c r="AY163" s="96"/>
      <c r="AZ163" s="96"/>
      <c r="BA163" s="96"/>
      <c r="BB163" s="96"/>
      <c r="BC163" s="96"/>
      <c r="BD163" s="96"/>
      <c r="BE163" s="96"/>
      <c r="BF163" s="260">
        <v>0</v>
      </c>
      <c r="BG163" s="96"/>
      <c r="BH163" s="96"/>
      <c r="BI163" s="96"/>
      <c r="BJ163" s="96"/>
      <c r="BK163" s="96"/>
      <c r="BL163" s="99"/>
      <c r="BM163" s="100"/>
      <c r="BN163" s="100"/>
      <c r="BO163" s="100"/>
      <c r="BP163" s="100"/>
    </row>
    <row r="164" spans="1:68" ht="15.75" customHeight="1">
      <c r="A164" s="89" t="s">
        <v>527</v>
      </c>
      <c r="B164" s="111"/>
      <c r="C164" s="90" t="s">
        <v>200</v>
      </c>
      <c r="D164" s="91" t="s">
        <v>201</v>
      </c>
      <c r="E164" s="166">
        <v>1500</v>
      </c>
      <c r="F164" s="166"/>
      <c r="G164" s="94">
        <f t="shared" si="628"/>
        <v>1</v>
      </c>
      <c r="H164" s="94">
        <f t="shared" si="629"/>
        <v>0</v>
      </c>
      <c r="I164" s="95">
        <v>1500</v>
      </c>
      <c r="J164" s="96"/>
      <c r="K164" s="96"/>
      <c r="L164" s="261"/>
      <c r="M164" s="97">
        <f t="shared" ref="M164:O164" si="657">Y164+AB164+AE164+AH164+AK164+AN164+AQ164+AT164+AW164+AZ164+BC164+BF164</f>
        <v>0</v>
      </c>
      <c r="N164" s="97">
        <f t="shared" si="657"/>
        <v>0</v>
      </c>
      <c r="O164" s="97">
        <f t="shared" si="657"/>
        <v>0</v>
      </c>
      <c r="P164" s="97">
        <f t="shared" ref="P164:R164" si="658">IF(BI164=0,SUM(Y164+AB164+AE164+AH164+AK164+AN164+AQ164+AT164+AW164+AZ164+BC164+BF164),BI164)</f>
        <v>0</v>
      </c>
      <c r="Q164" s="97">
        <f t="shared" si="658"/>
        <v>0</v>
      </c>
      <c r="R164" s="97">
        <f t="shared" si="658"/>
        <v>0</v>
      </c>
      <c r="S164" s="97">
        <f t="shared" ref="S164:T164" si="659">I164-M164</f>
        <v>1500</v>
      </c>
      <c r="T164" s="97">
        <f t="shared" si="659"/>
        <v>0</v>
      </c>
      <c r="U164" s="97">
        <f t="shared" si="655"/>
        <v>0</v>
      </c>
      <c r="V164" s="98">
        <f t="shared" ref="V164:W164" si="660">M164/I164</f>
        <v>0</v>
      </c>
      <c r="W164" s="98" t="e">
        <f t="shared" si="660"/>
        <v>#DIV/0!</v>
      </c>
      <c r="X164" s="98" t="e">
        <f t="shared" si="633"/>
        <v>#DIV/0!</v>
      </c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9"/>
      <c r="BM164" s="100"/>
      <c r="BN164" s="100"/>
      <c r="BO164" s="100"/>
      <c r="BP164" s="100"/>
    </row>
    <row r="165" spans="1:68" ht="15.75" customHeight="1">
      <c r="A165" s="89"/>
      <c r="B165" s="89"/>
      <c r="C165" s="90" t="s">
        <v>213</v>
      </c>
      <c r="D165" s="91" t="s">
        <v>74</v>
      </c>
      <c r="E165" s="166"/>
      <c r="F165" s="166"/>
      <c r="G165" s="94" t="e">
        <f t="shared" si="628"/>
        <v>#DIV/0!</v>
      </c>
      <c r="H165" s="94" t="e">
        <f t="shared" si="629"/>
        <v>#DIV/0!</v>
      </c>
      <c r="I165" s="95"/>
      <c r="J165" s="96"/>
      <c r="K165" s="96"/>
      <c r="L165" s="95"/>
      <c r="M165" s="97">
        <f t="shared" ref="M165:O165" si="661">Y165+AB165+AE165+AH165+AK165+AN165+AQ165+AT165+AW165+AZ165+BC165+BF165</f>
        <v>0</v>
      </c>
      <c r="N165" s="97">
        <f t="shared" si="661"/>
        <v>0</v>
      </c>
      <c r="O165" s="97">
        <f t="shared" si="661"/>
        <v>0</v>
      </c>
      <c r="P165" s="97">
        <f t="shared" ref="P165:R165" si="662">IF(BI165=0,SUM(Y165+AB165+AE165+AH165+AK165+AN165+AQ165+AT165+AW165+AZ165+BC165+BF165),BI165)</f>
        <v>0</v>
      </c>
      <c r="Q165" s="97">
        <f t="shared" si="662"/>
        <v>0</v>
      </c>
      <c r="R165" s="97">
        <f t="shared" si="662"/>
        <v>0</v>
      </c>
      <c r="S165" s="97">
        <f t="shared" ref="S165:T165" si="663">I165-M165</f>
        <v>0</v>
      </c>
      <c r="T165" s="97">
        <f t="shared" si="663"/>
        <v>0</v>
      </c>
      <c r="U165" s="97">
        <f t="shared" si="655"/>
        <v>0</v>
      </c>
      <c r="V165" s="98" t="e">
        <f t="shared" ref="V165:W165" si="664">M165/I165</f>
        <v>#DIV/0!</v>
      </c>
      <c r="W165" s="98" t="e">
        <f t="shared" si="664"/>
        <v>#DIV/0!</v>
      </c>
      <c r="X165" s="98" t="e">
        <f t="shared" si="633"/>
        <v>#DIV/0!</v>
      </c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6"/>
      <c r="AO165" s="96"/>
      <c r="AP165" s="96"/>
      <c r="AQ165" s="96"/>
      <c r="AR165" s="96"/>
      <c r="AS165" s="96"/>
      <c r="AT165" s="96"/>
      <c r="AU165" s="96"/>
      <c r="AV165" s="96"/>
      <c r="AW165" s="96"/>
      <c r="AX165" s="96"/>
      <c r="AY165" s="96"/>
      <c r="AZ165" s="96"/>
      <c r="BA165" s="96"/>
      <c r="BB165" s="96"/>
      <c r="BC165" s="96"/>
      <c r="BD165" s="96"/>
      <c r="BE165" s="96"/>
      <c r="BF165" s="96"/>
      <c r="BG165" s="96"/>
      <c r="BH165" s="96"/>
      <c r="BI165" s="96"/>
      <c r="BJ165" s="96"/>
      <c r="BK165" s="96"/>
      <c r="BL165" s="99"/>
      <c r="BM165" s="100"/>
      <c r="BN165" s="100"/>
      <c r="BO165" s="100"/>
      <c r="BP165" s="100"/>
    </row>
    <row r="166" spans="1:68" ht="15.75" customHeight="1">
      <c r="A166" s="240"/>
      <c r="B166" s="240"/>
      <c r="C166" s="229"/>
      <c r="D166" s="230" t="s">
        <v>418</v>
      </c>
      <c r="E166" s="231">
        <f t="shared" ref="E166:F166" si="665">SUM(E167:E168)</f>
        <v>0</v>
      </c>
      <c r="F166" s="231">
        <f t="shared" si="665"/>
        <v>0</v>
      </c>
      <c r="G166" s="188" t="e">
        <f t="shared" si="628"/>
        <v>#DIV/0!</v>
      </c>
      <c r="H166" s="188" t="e">
        <f t="shared" si="629"/>
        <v>#DIV/0!</v>
      </c>
      <c r="I166" s="231">
        <f t="shared" ref="I166:O166" si="666">SUM(I167:I168)</f>
        <v>0</v>
      </c>
      <c r="J166" s="231">
        <f t="shared" si="666"/>
        <v>0</v>
      </c>
      <c r="K166" s="231">
        <f t="shared" si="666"/>
        <v>0</v>
      </c>
      <c r="L166" s="231">
        <f t="shared" si="666"/>
        <v>0</v>
      </c>
      <c r="M166" s="231">
        <f t="shared" si="666"/>
        <v>0</v>
      </c>
      <c r="N166" s="231">
        <f t="shared" si="666"/>
        <v>0</v>
      </c>
      <c r="O166" s="231">
        <f t="shared" si="666"/>
        <v>0</v>
      </c>
      <c r="P166" s="258">
        <f t="shared" ref="P166:R166" si="667">IF(BI166=0,SUM(Y166+AB166+AE166+AH166+AK166+AN166+AQ166+AT166+AW166+AZ166+BC166+BF166),BI166)</f>
        <v>0</v>
      </c>
      <c r="Q166" s="258">
        <f t="shared" si="667"/>
        <v>0</v>
      </c>
      <c r="R166" s="258">
        <f t="shared" si="667"/>
        <v>0</v>
      </c>
      <c r="S166" s="231">
        <f t="shared" ref="S166:U166" si="668">SUM(S167:S168)</f>
        <v>0</v>
      </c>
      <c r="T166" s="231">
        <f t="shared" si="668"/>
        <v>0</v>
      </c>
      <c r="U166" s="231">
        <f t="shared" si="668"/>
        <v>0</v>
      </c>
      <c r="V166" s="259" t="e">
        <f t="shared" ref="V166:W166" si="669">M166/I166</f>
        <v>#DIV/0!</v>
      </c>
      <c r="W166" s="259" t="e">
        <f t="shared" si="669"/>
        <v>#DIV/0!</v>
      </c>
      <c r="X166" s="259" t="e">
        <f t="shared" si="633"/>
        <v>#DIV/0!</v>
      </c>
      <c r="Y166" s="231">
        <f t="shared" ref="Y166:BK166" si="670">SUM(Y167:Y168)</f>
        <v>0</v>
      </c>
      <c r="Z166" s="231">
        <f t="shared" si="670"/>
        <v>0</v>
      </c>
      <c r="AA166" s="231">
        <f t="shared" si="670"/>
        <v>0</v>
      </c>
      <c r="AB166" s="231">
        <f t="shared" si="670"/>
        <v>0</v>
      </c>
      <c r="AC166" s="231">
        <f t="shared" si="670"/>
        <v>0</v>
      </c>
      <c r="AD166" s="231">
        <f t="shared" si="670"/>
        <v>0</v>
      </c>
      <c r="AE166" s="231">
        <f t="shared" si="670"/>
        <v>0</v>
      </c>
      <c r="AF166" s="231">
        <f t="shared" si="670"/>
        <v>0</v>
      </c>
      <c r="AG166" s="231">
        <f t="shared" si="670"/>
        <v>0</v>
      </c>
      <c r="AH166" s="231">
        <f t="shared" si="670"/>
        <v>0</v>
      </c>
      <c r="AI166" s="231">
        <f t="shared" si="670"/>
        <v>0</v>
      </c>
      <c r="AJ166" s="231">
        <f t="shared" si="670"/>
        <v>0</v>
      </c>
      <c r="AK166" s="231">
        <f t="shared" si="670"/>
        <v>0</v>
      </c>
      <c r="AL166" s="231">
        <f t="shared" si="670"/>
        <v>0</v>
      </c>
      <c r="AM166" s="231">
        <f t="shared" si="670"/>
        <v>0</v>
      </c>
      <c r="AN166" s="231">
        <f t="shared" si="670"/>
        <v>0</v>
      </c>
      <c r="AO166" s="231">
        <f t="shared" si="670"/>
        <v>0</v>
      </c>
      <c r="AP166" s="231">
        <f t="shared" si="670"/>
        <v>0</v>
      </c>
      <c r="AQ166" s="231">
        <f t="shared" si="670"/>
        <v>0</v>
      </c>
      <c r="AR166" s="231">
        <f t="shared" si="670"/>
        <v>0</v>
      </c>
      <c r="AS166" s="231">
        <f t="shared" si="670"/>
        <v>0</v>
      </c>
      <c r="AT166" s="231">
        <f t="shared" si="670"/>
        <v>0</v>
      </c>
      <c r="AU166" s="231">
        <f t="shared" si="670"/>
        <v>0</v>
      </c>
      <c r="AV166" s="231">
        <f t="shared" si="670"/>
        <v>0</v>
      </c>
      <c r="AW166" s="231">
        <f t="shared" si="670"/>
        <v>0</v>
      </c>
      <c r="AX166" s="231">
        <f t="shared" si="670"/>
        <v>0</v>
      </c>
      <c r="AY166" s="231">
        <f t="shared" si="670"/>
        <v>0</v>
      </c>
      <c r="AZ166" s="231">
        <f t="shared" si="670"/>
        <v>0</v>
      </c>
      <c r="BA166" s="231">
        <f t="shared" si="670"/>
        <v>0</v>
      </c>
      <c r="BB166" s="231">
        <f t="shared" si="670"/>
        <v>0</v>
      </c>
      <c r="BC166" s="231">
        <f t="shared" si="670"/>
        <v>0</v>
      </c>
      <c r="BD166" s="231">
        <f t="shared" si="670"/>
        <v>0</v>
      </c>
      <c r="BE166" s="231">
        <f t="shared" si="670"/>
        <v>0</v>
      </c>
      <c r="BF166" s="231">
        <f t="shared" si="670"/>
        <v>0</v>
      </c>
      <c r="BG166" s="231">
        <f t="shared" si="670"/>
        <v>0</v>
      </c>
      <c r="BH166" s="231">
        <f t="shared" si="670"/>
        <v>0</v>
      </c>
      <c r="BI166" s="231">
        <f t="shared" si="670"/>
        <v>0</v>
      </c>
      <c r="BJ166" s="231">
        <f t="shared" si="670"/>
        <v>0</v>
      </c>
      <c r="BK166" s="231">
        <f t="shared" si="670"/>
        <v>0</v>
      </c>
      <c r="BL166" s="233"/>
      <c r="BM166" s="234"/>
      <c r="BN166" s="234"/>
      <c r="BO166" s="234"/>
      <c r="BP166" s="234"/>
    </row>
    <row r="167" spans="1:68" ht="15.75" customHeight="1">
      <c r="A167" s="89"/>
      <c r="B167" s="89"/>
      <c r="C167" s="90" t="s">
        <v>357</v>
      </c>
      <c r="D167" s="91" t="s">
        <v>419</v>
      </c>
      <c r="E167" s="166"/>
      <c r="F167" s="166"/>
      <c r="G167" s="94" t="e">
        <f t="shared" si="628"/>
        <v>#DIV/0!</v>
      </c>
      <c r="H167" s="94" t="e">
        <f t="shared" si="629"/>
        <v>#DIV/0!</v>
      </c>
      <c r="I167" s="95"/>
      <c r="J167" s="96"/>
      <c r="K167" s="96"/>
      <c r="L167" s="95"/>
      <c r="M167" s="97">
        <f t="shared" ref="M167:O167" si="671">Y167+AB167+AE167+AH167+AK167+AN167+AQ167+AT167+AW167+AZ167+BC167+BF167</f>
        <v>0</v>
      </c>
      <c r="N167" s="97">
        <f t="shared" si="671"/>
        <v>0</v>
      </c>
      <c r="O167" s="97">
        <f t="shared" si="671"/>
        <v>0</v>
      </c>
      <c r="P167" s="97">
        <f t="shared" ref="P167:R167" si="672">IF(BI167=0,SUM(Y167+AB167+AE167+AH167+AK167+AN167+AQ167+AT167+AW167+AZ167+BC167+BF167),BI167)</f>
        <v>0</v>
      </c>
      <c r="Q167" s="97">
        <f t="shared" si="672"/>
        <v>0</v>
      </c>
      <c r="R167" s="97">
        <f t="shared" si="672"/>
        <v>0</v>
      </c>
      <c r="S167" s="97">
        <f t="shared" ref="S167:T167" si="673">I167-M167</f>
        <v>0</v>
      </c>
      <c r="T167" s="97">
        <f t="shared" si="673"/>
        <v>0</v>
      </c>
      <c r="U167" s="97">
        <f t="shared" ref="U167:U168" si="674">L167-O167</f>
        <v>0</v>
      </c>
      <c r="V167" s="98" t="e">
        <f t="shared" ref="V167:W167" si="675">M167/I167</f>
        <v>#DIV/0!</v>
      </c>
      <c r="W167" s="98" t="e">
        <f t="shared" si="675"/>
        <v>#DIV/0!</v>
      </c>
      <c r="X167" s="98" t="e">
        <f t="shared" si="633"/>
        <v>#DIV/0!</v>
      </c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6"/>
      <c r="AO167" s="96"/>
      <c r="AP167" s="96"/>
      <c r="AQ167" s="96"/>
      <c r="AR167" s="96"/>
      <c r="AS167" s="96"/>
      <c r="AT167" s="96"/>
      <c r="AU167" s="96"/>
      <c r="AV167" s="96"/>
      <c r="AW167" s="96"/>
      <c r="AX167" s="96"/>
      <c r="AY167" s="96"/>
      <c r="AZ167" s="96"/>
      <c r="BA167" s="96"/>
      <c r="BB167" s="96"/>
      <c r="BC167" s="96"/>
      <c r="BD167" s="96"/>
      <c r="BE167" s="96"/>
      <c r="BF167" s="96"/>
      <c r="BG167" s="96"/>
      <c r="BH167" s="96"/>
      <c r="BI167" s="96"/>
      <c r="BJ167" s="96"/>
      <c r="BK167" s="96"/>
      <c r="BL167" s="99"/>
      <c r="BM167" s="100"/>
      <c r="BN167" s="100"/>
      <c r="BO167" s="100"/>
      <c r="BP167" s="100"/>
    </row>
    <row r="168" spans="1:68" ht="15.75" customHeight="1">
      <c r="A168" s="89"/>
      <c r="B168" s="89"/>
      <c r="C168" s="101"/>
      <c r="D168" s="91"/>
      <c r="E168" s="166"/>
      <c r="F168" s="262"/>
      <c r="G168" s="94" t="e">
        <f t="shared" si="628"/>
        <v>#DIV/0!</v>
      </c>
      <c r="H168" s="94" t="e">
        <f t="shared" si="629"/>
        <v>#DIV/0!</v>
      </c>
      <c r="I168" s="95"/>
      <c r="J168" s="96"/>
      <c r="K168" s="96"/>
      <c r="L168" s="95"/>
      <c r="M168" s="97"/>
      <c r="N168" s="97">
        <f t="shared" ref="N168:O168" si="676">Z168+AC168+AF168+AI168+AL168+AO168+AR168+AU168+AX168+BA168+BD168+BG168</f>
        <v>0</v>
      </c>
      <c r="O168" s="97">
        <f t="shared" si="676"/>
        <v>0</v>
      </c>
      <c r="P168" s="97">
        <f t="shared" ref="P168:R168" si="677">IF(BI168=0,SUM(Y168+AB168+AE168+AH168+AK168+AN168+AQ168+AT168+AW168+AZ168+BC168+BF168),BI168)</f>
        <v>0</v>
      </c>
      <c r="Q168" s="97">
        <f t="shared" si="677"/>
        <v>0</v>
      </c>
      <c r="R168" s="97">
        <f t="shared" si="677"/>
        <v>0</v>
      </c>
      <c r="S168" s="97">
        <f t="shared" ref="S168:T168" si="678">I168-M168</f>
        <v>0</v>
      </c>
      <c r="T168" s="97">
        <f t="shared" si="678"/>
        <v>0</v>
      </c>
      <c r="U168" s="97">
        <f t="shared" si="674"/>
        <v>0</v>
      </c>
      <c r="V168" s="98" t="e">
        <f t="shared" ref="V168:W168" si="679">M168/I168</f>
        <v>#DIV/0!</v>
      </c>
      <c r="W168" s="98" t="e">
        <f t="shared" si="679"/>
        <v>#DIV/0!</v>
      </c>
      <c r="X168" s="98" t="e">
        <f t="shared" si="633"/>
        <v>#DIV/0!</v>
      </c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6"/>
      <c r="AO168" s="96"/>
      <c r="AP168" s="96"/>
      <c r="AQ168" s="96"/>
      <c r="AR168" s="96"/>
      <c r="AS168" s="96"/>
      <c r="AT168" s="96"/>
      <c r="AU168" s="96"/>
      <c r="AV168" s="96"/>
      <c r="AW168" s="96"/>
      <c r="AX168" s="96"/>
      <c r="AY168" s="96"/>
      <c r="AZ168" s="96"/>
      <c r="BA168" s="96"/>
      <c r="BB168" s="96"/>
      <c r="BC168" s="96"/>
      <c r="BD168" s="96"/>
      <c r="BE168" s="96"/>
      <c r="BF168" s="96"/>
      <c r="BG168" s="96"/>
      <c r="BH168" s="96"/>
      <c r="BI168" s="96"/>
      <c r="BJ168" s="96"/>
      <c r="BK168" s="96"/>
      <c r="BL168" s="99"/>
      <c r="BM168" s="100"/>
      <c r="BN168" s="100"/>
      <c r="BO168" s="100"/>
      <c r="BP168" s="100"/>
    </row>
    <row r="169" spans="1:68" ht="15.75" customHeight="1">
      <c r="A169" s="253"/>
      <c r="B169" s="253"/>
      <c r="C169" s="183"/>
      <c r="D169" s="254" t="s">
        <v>420</v>
      </c>
      <c r="E169" s="255">
        <f t="shared" ref="E169:F169" si="680">E170+E177</f>
        <v>84944.8</v>
      </c>
      <c r="F169" s="255">
        <f t="shared" si="680"/>
        <v>36000</v>
      </c>
      <c r="G169" s="223">
        <f t="shared" si="628"/>
        <v>0.21972928301673558</v>
      </c>
      <c r="H169" s="223">
        <f t="shared" si="629"/>
        <v>0</v>
      </c>
      <c r="I169" s="255">
        <f t="shared" ref="I169:O169" si="681">I170+I177</f>
        <v>18664.86</v>
      </c>
      <c r="J169" s="255">
        <f t="shared" si="681"/>
        <v>250</v>
      </c>
      <c r="K169" s="255">
        <f t="shared" si="681"/>
        <v>0</v>
      </c>
      <c r="L169" s="255">
        <f t="shared" si="681"/>
        <v>0</v>
      </c>
      <c r="M169" s="255">
        <f t="shared" si="681"/>
        <v>0</v>
      </c>
      <c r="N169" s="255">
        <f t="shared" si="681"/>
        <v>250</v>
      </c>
      <c r="O169" s="255">
        <f t="shared" si="681"/>
        <v>0</v>
      </c>
      <c r="P169" s="255">
        <f t="shared" ref="P169:R169" si="682">IF(BI169=0,SUM(Y169+AB169+AE169+AH169+AK169+AN169+AQ169+AT169+AW169+AZ169+BC169+BF169),BI169)</f>
        <v>0</v>
      </c>
      <c r="Q169" s="255">
        <f t="shared" si="682"/>
        <v>250</v>
      </c>
      <c r="R169" s="255">
        <f t="shared" si="682"/>
        <v>0</v>
      </c>
      <c r="S169" s="255">
        <f t="shared" ref="S169:U169" si="683">S170+S177</f>
        <v>4864.8599999999997</v>
      </c>
      <c r="T169" s="255">
        <f t="shared" si="683"/>
        <v>0</v>
      </c>
      <c r="U169" s="255">
        <f t="shared" si="683"/>
        <v>0</v>
      </c>
      <c r="V169" s="256">
        <f t="shared" ref="V169:W169" si="684">M169/I169</f>
        <v>0</v>
      </c>
      <c r="W169" s="256">
        <f t="shared" si="684"/>
        <v>1</v>
      </c>
      <c r="X169" s="256" t="e">
        <f t="shared" si="633"/>
        <v>#DIV/0!</v>
      </c>
      <c r="Y169" s="255">
        <f t="shared" ref="Y169:BK169" si="685">Y170+Y177</f>
        <v>0</v>
      </c>
      <c r="Z169" s="255">
        <f t="shared" si="685"/>
        <v>250</v>
      </c>
      <c r="AA169" s="255">
        <f t="shared" si="685"/>
        <v>0</v>
      </c>
      <c r="AB169" s="255">
        <f t="shared" si="685"/>
        <v>0</v>
      </c>
      <c r="AC169" s="255">
        <f t="shared" si="685"/>
        <v>0</v>
      </c>
      <c r="AD169" s="255">
        <f t="shared" si="685"/>
        <v>0</v>
      </c>
      <c r="AE169" s="255">
        <f t="shared" si="685"/>
        <v>0</v>
      </c>
      <c r="AF169" s="255">
        <f t="shared" si="685"/>
        <v>0</v>
      </c>
      <c r="AG169" s="255">
        <f t="shared" si="685"/>
        <v>0</v>
      </c>
      <c r="AH169" s="255">
        <f t="shared" si="685"/>
        <v>0</v>
      </c>
      <c r="AI169" s="255">
        <f t="shared" si="685"/>
        <v>0</v>
      </c>
      <c r="AJ169" s="255">
        <f t="shared" si="685"/>
        <v>0</v>
      </c>
      <c r="AK169" s="255">
        <f t="shared" si="685"/>
        <v>0</v>
      </c>
      <c r="AL169" s="255">
        <f t="shared" si="685"/>
        <v>0</v>
      </c>
      <c r="AM169" s="255">
        <f t="shared" si="685"/>
        <v>0</v>
      </c>
      <c r="AN169" s="255">
        <f t="shared" si="685"/>
        <v>0</v>
      </c>
      <c r="AO169" s="255">
        <f t="shared" si="685"/>
        <v>0</v>
      </c>
      <c r="AP169" s="255">
        <f t="shared" si="685"/>
        <v>0</v>
      </c>
      <c r="AQ169" s="255">
        <f t="shared" si="685"/>
        <v>0</v>
      </c>
      <c r="AR169" s="255">
        <f t="shared" si="685"/>
        <v>0</v>
      </c>
      <c r="AS169" s="255">
        <f t="shared" si="685"/>
        <v>0</v>
      </c>
      <c r="AT169" s="255">
        <f t="shared" si="685"/>
        <v>0</v>
      </c>
      <c r="AU169" s="255">
        <f t="shared" si="685"/>
        <v>0</v>
      </c>
      <c r="AV169" s="255">
        <f t="shared" si="685"/>
        <v>0</v>
      </c>
      <c r="AW169" s="255">
        <f t="shared" si="685"/>
        <v>0</v>
      </c>
      <c r="AX169" s="255">
        <f t="shared" si="685"/>
        <v>0</v>
      </c>
      <c r="AY169" s="255">
        <f t="shared" si="685"/>
        <v>0</v>
      </c>
      <c r="AZ169" s="255">
        <f t="shared" si="685"/>
        <v>0</v>
      </c>
      <c r="BA169" s="255">
        <f t="shared" si="685"/>
        <v>0</v>
      </c>
      <c r="BB169" s="255">
        <f t="shared" si="685"/>
        <v>0</v>
      </c>
      <c r="BC169" s="255">
        <f t="shared" si="685"/>
        <v>0</v>
      </c>
      <c r="BD169" s="255">
        <f t="shared" si="685"/>
        <v>0</v>
      </c>
      <c r="BE169" s="255">
        <f t="shared" si="685"/>
        <v>0</v>
      </c>
      <c r="BF169" s="255">
        <f t="shared" si="685"/>
        <v>0</v>
      </c>
      <c r="BG169" s="255">
        <f t="shared" si="685"/>
        <v>0</v>
      </c>
      <c r="BH169" s="255">
        <f t="shared" si="685"/>
        <v>0</v>
      </c>
      <c r="BI169" s="255">
        <f t="shared" si="685"/>
        <v>0</v>
      </c>
      <c r="BJ169" s="255">
        <f t="shared" si="685"/>
        <v>0</v>
      </c>
      <c r="BK169" s="255">
        <f t="shared" si="685"/>
        <v>0</v>
      </c>
      <c r="BL169" s="157"/>
      <c r="BM169" s="158"/>
      <c r="BN169" s="158"/>
      <c r="BO169" s="158"/>
      <c r="BP169" s="158"/>
    </row>
    <row r="170" spans="1:68" ht="15.75" customHeight="1">
      <c r="A170" s="240"/>
      <c r="B170" s="240"/>
      <c r="C170" s="229"/>
      <c r="D170" s="230" t="s">
        <v>421</v>
      </c>
      <c r="E170" s="231">
        <f>SUM(E171:E176)</f>
        <v>84944.8</v>
      </c>
      <c r="F170" s="231">
        <f>SUM(F171:F175)</f>
        <v>0</v>
      </c>
      <c r="G170" s="188">
        <f t="shared" si="628"/>
        <v>0.21972928301673558</v>
      </c>
      <c r="H170" s="188">
        <f t="shared" si="629"/>
        <v>0</v>
      </c>
      <c r="I170" s="231">
        <f t="shared" ref="I170:K170" si="686">SUM(I171:I176)</f>
        <v>18664.86</v>
      </c>
      <c r="J170" s="231">
        <f t="shared" si="686"/>
        <v>250</v>
      </c>
      <c r="K170" s="231">
        <f t="shared" si="686"/>
        <v>0</v>
      </c>
      <c r="L170" s="231">
        <f t="shared" ref="L170:M170" si="687">SUM(L171:L175)</f>
        <v>0</v>
      </c>
      <c r="M170" s="231">
        <f t="shared" si="687"/>
        <v>0</v>
      </c>
      <c r="N170" s="231">
        <f>SUM(N171:N176)</f>
        <v>250</v>
      </c>
      <c r="O170" s="231">
        <f>SUM(O171:O175)</f>
        <v>0</v>
      </c>
      <c r="P170" s="232">
        <f t="shared" ref="P170:R170" si="688">IF(BI170=0,SUM(Y170+AB170+AE170+AH170+AK170+AN170+AQ170+AT170+AW170+AZ170+BC170+BF170),BI170)</f>
        <v>0</v>
      </c>
      <c r="Q170" s="232">
        <f t="shared" si="688"/>
        <v>250</v>
      </c>
      <c r="R170" s="232">
        <f t="shared" si="688"/>
        <v>0</v>
      </c>
      <c r="S170" s="231">
        <f t="shared" ref="S170:T170" si="689">SUM(S171:S176)</f>
        <v>4864.8599999999997</v>
      </c>
      <c r="T170" s="231">
        <f t="shared" si="689"/>
        <v>0</v>
      </c>
      <c r="U170" s="231">
        <f>SUM(U171:U175)</f>
        <v>0</v>
      </c>
      <c r="V170" s="259">
        <f t="shared" ref="V170:W170" si="690">M170/I170</f>
        <v>0</v>
      </c>
      <c r="W170" s="259">
        <f t="shared" si="690"/>
        <v>1</v>
      </c>
      <c r="X170" s="259" t="e">
        <f t="shared" si="633"/>
        <v>#DIV/0!</v>
      </c>
      <c r="Y170" s="231">
        <f>SUM(Y171:Y175)</f>
        <v>0</v>
      </c>
      <c r="Z170" s="231">
        <f>SUM(Z171:Z176)</f>
        <v>250</v>
      </c>
      <c r="AA170" s="231">
        <f t="shared" ref="AA170:AE170" si="691">SUM(AA171:AA175)</f>
        <v>0</v>
      </c>
      <c r="AB170" s="231">
        <f t="shared" si="691"/>
        <v>0</v>
      </c>
      <c r="AC170" s="231">
        <f t="shared" si="691"/>
        <v>0</v>
      </c>
      <c r="AD170" s="231">
        <f t="shared" si="691"/>
        <v>0</v>
      </c>
      <c r="AE170" s="231">
        <f t="shared" si="691"/>
        <v>0</v>
      </c>
      <c r="AF170" s="231">
        <f>SUM(AF171:AF176)</f>
        <v>0</v>
      </c>
      <c r="AG170" s="231">
        <f t="shared" ref="AG170:BK170" si="692">SUM(AG171:AG175)</f>
        <v>0</v>
      </c>
      <c r="AH170" s="231">
        <f t="shared" si="692"/>
        <v>0</v>
      </c>
      <c r="AI170" s="231">
        <f t="shared" si="692"/>
        <v>0</v>
      </c>
      <c r="AJ170" s="231">
        <f t="shared" si="692"/>
        <v>0</v>
      </c>
      <c r="AK170" s="231">
        <f t="shared" si="692"/>
        <v>0</v>
      </c>
      <c r="AL170" s="231">
        <f t="shared" si="692"/>
        <v>0</v>
      </c>
      <c r="AM170" s="231">
        <f t="shared" si="692"/>
        <v>0</v>
      </c>
      <c r="AN170" s="231">
        <f t="shared" si="692"/>
        <v>0</v>
      </c>
      <c r="AO170" s="231">
        <f t="shared" si="692"/>
        <v>0</v>
      </c>
      <c r="AP170" s="231">
        <f t="shared" si="692"/>
        <v>0</v>
      </c>
      <c r="AQ170" s="231">
        <f t="shared" si="692"/>
        <v>0</v>
      </c>
      <c r="AR170" s="231">
        <f t="shared" si="692"/>
        <v>0</v>
      </c>
      <c r="AS170" s="231">
        <f t="shared" si="692"/>
        <v>0</v>
      </c>
      <c r="AT170" s="231">
        <f t="shared" si="692"/>
        <v>0</v>
      </c>
      <c r="AU170" s="231">
        <f t="shared" si="692"/>
        <v>0</v>
      </c>
      <c r="AV170" s="231">
        <f t="shared" si="692"/>
        <v>0</v>
      </c>
      <c r="AW170" s="231">
        <f t="shared" si="692"/>
        <v>0</v>
      </c>
      <c r="AX170" s="231">
        <f t="shared" si="692"/>
        <v>0</v>
      </c>
      <c r="AY170" s="231">
        <f t="shared" si="692"/>
        <v>0</v>
      </c>
      <c r="AZ170" s="231">
        <f t="shared" si="692"/>
        <v>0</v>
      </c>
      <c r="BA170" s="231">
        <f t="shared" si="692"/>
        <v>0</v>
      </c>
      <c r="BB170" s="231">
        <f t="shared" si="692"/>
        <v>0</v>
      </c>
      <c r="BC170" s="231">
        <f t="shared" si="692"/>
        <v>0</v>
      </c>
      <c r="BD170" s="231">
        <f t="shared" si="692"/>
        <v>0</v>
      </c>
      <c r="BE170" s="231">
        <f t="shared" si="692"/>
        <v>0</v>
      </c>
      <c r="BF170" s="231">
        <f t="shared" si="692"/>
        <v>0</v>
      </c>
      <c r="BG170" s="231">
        <f t="shared" si="692"/>
        <v>0</v>
      </c>
      <c r="BH170" s="231">
        <f t="shared" si="692"/>
        <v>0</v>
      </c>
      <c r="BI170" s="231">
        <f t="shared" si="692"/>
        <v>0</v>
      </c>
      <c r="BJ170" s="231">
        <f t="shared" si="692"/>
        <v>0</v>
      </c>
      <c r="BK170" s="231">
        <f t="shared" si="692"/>
        <v>0</v>
      </c>
      <c r="BL170" s="233"/>
      <c r="BM170" s="234"/>
      <c r="BN170" s="234"/>
      <c r="BO170" s="234"/>
      <c r="BP170" s="234"/>
    </row>
    <row r="171" spans="1:68" ht="15.75" customHeight="1">
      <c r="A171" s="89"/>
      <c r="B171" s="89"/>
      <c r="C171" s="101" t="s">
        <v>359</v>
      </c>
      <c r="D171" s="91" t="s">
        <v>422</v>
      </c>
      <c r="E171" s="166">
        <v>14944.8</v>
      </c>
      <c r="F171" s="166"/>
      <c r="G171" s="94">
        <f t="shared" si="628"/>
        <v>0</v>
      </c>
      <c r="H171" s="94">
        <f t="shared" si="629"/>
        <v>0</v>
      </c>
      <c r="I171" s="95"/>
      <c r="J171" s="95"/>
      <c r="K171" s="95"/>
      <c r="L171" s="263"/>
      <c r="M171" s="97"/>
      <c r="N171" s="97">
        <f t="shared" ref="N171:N172" si="693">Z171+AC171+AF171+AI171+AL171+AO171+AR171+AU171+AX171+BA171+BD171+BG171</f>
        <v>0</v>
      </c>
      <c r="O171" s="97"/>
      <c r="P171" s="82"/>
      <c r="Q171" s="82"/>
      <c r="R171" s="82"/>
      <c r="S171" s="97"/>
      <c r="T171" s="97"/>
      <c r="U171" s="97"/>
      <c r="V171" s="98"/>
      <c r="W171" s="98"/>
      <c r="X171" s="98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6"/>
      <c r="AO171" s="96"/>
      <c r="AP171" s="96"/>
      <c r="AQ171" s="96"/>
      <c r="AR171" s="96"/>
      <c r="AS171" s="96"/>
      <c r="AT171" s="96"/>
      <c r="AU171" s="96"/>
      <c r="AV171" s="96"/>
      <c r="AW171" s="96"/>
      <c r="AX171" s="96"/>
      <c r="AY171" s="96"/>
      <c r="AZ171" s="96"/>
      <c r="BA171" s="96"/>
      <c r="BB171" s="96"/>
      <c r="BC171" s="96"/>
      <c r="BD171" s="96"/>
      <c r="BE171" s="96"/>
      <c r="BF171" s="96"/>
      <c r="BG171" s="96"/>
      <c r="BH171" s="96"/>
      <c r="BI171" s="96"/>
      <c r="BJ171" s="96"/>
      <c r="BK171" s="96"/>
      <c r="BL171" s="99"/>
      <c r="BM171" s="100"/>
      <c r="BN171" s="100"/>
      <c r="BO171" s="100"/>
      <c r="BP171" s="100"/>
    </row>
    <row r="172" spans="1:68" ht="15.75" customHeight="1">
      <c r="A172" s="354" t="s">
        <v>727</v>
      </c>
      <c r="B172" s="89"/>
      <c r="C172" s="90" t="s">
        <v>357</v>
      </c>
      <c r="D172" s="91" t="s">
        <v>423</v>
      </c>
      <c r="E172" s="166">
        <v>20000</v>
      </c>
      <c r="F172" s="166"/>
      <c r="G172" s="94">
        <f t="shared" si="628"/>
        <v>0.69</v>
      </c>
      <c r="H172" s="94">
        <f t="shared" si="629"/>
        <v>0</v>
      </c>
      <c r="I172" s="355">
        <f>12600+1200</f>
        <v>13800</v>
      </c>
      <c r="J172" s="95"/>
      <c r="K172" s="355"/>
      <c r="L172" s="263"/>
      <c r="M172" s="97"/>
      <c r="N172" s="97">
        <f t="shared" si="693"/>
        <v>0</v>
      </c>
      <c r="O172" s="97"/>
      <c r="P172" s="82"/>
      <c r="Q172" s="82"/>
      <c r="R172" s="82"/>
      <c r="S172" s="97"/>
      <c r="T172" s="97"/>
      <c r="U172" s="97"/>
      <c r="V172" s="98"/>
      <c r="W172" s="98"/>
      <c r="X172" s="98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6"/>
      <c r="AO172" s="96"/>
      <c r="AP172" s="96"/>
      <c r="AQ172" s="96"/>
      <c r="AR172" s="96"/>
      <c r="AS172" s="96"/>
      <c r="AT172" s="96"/>
      <c r="AU172" s="96"/>
      <c r="AV172" s="96"/>
      <c r="AW172" s="96"/>
      <c r="AX172" s="96"/>
      <c r="AY172" s="96"/>
      <c r="AZ172" s="9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9"/>
      <c r="BM172" s="100"/>
      <c r="BN172" s="100"/>
      <c r="BO172" s="100"/>
      <c r="BP172" s="100"/>
    </row>
    <row r="173" spans="1:68" ht="15.75" customHeight="1">
      <c r="A173" s="89"/>
      <c r="B173" s="89"/>
      <c r="C173" s="90" t="s">
        <v>200</v>
      </c>
      <c r="D173" s="91" t="s">
        <v>201</v>
      </c>
      <c r="E173" s="166">
        <v>0</v>
      </c>
      <c r="F173" s="166"/>
      <c r="G173" s="94" t="e">
        <f t="shared" si="628"/>
        <v>#DIV/0!</v>
      </c>
      <c r="H173" s="94" t="e">
        <f t="shared" si="629"/>
        <v>#DIV/0!</v>
      </c>
      <c r="I173" s="95"/>
      <c r="J173" s="95"/>
      <c r="K173" s="95"/>
      <c r="L173" s="202"/>
      <c r="M173" s="97">
        <f t="shared" ref="M173:O173" si="694">Y173+AB173+AE173+AH173+AK173+AN173+AQ173+AT173+AW173+AZ173+BC173+BF173</f>
        <v>0</v>
      </c>
      <c r="N173" s="97">
        <f t="shared" si="694"/>
        <v>0</v>
      </c>
      <c r="O173" s="97">
        <f t="shared" si="694"/>
        <v>0</v>
      </c>
      <c r="P173" s="97">
        <f t="shared" ref="P173:R173" si="695">IF(BI173=0,SUM(Y173+AB173+AE173+AH173+AK173+AN173+AQ173+AT173+AW173+AZ173+BC173+BF173),BI173)</f>
        <v>0</v>
      </c>
      <c r="Q173" s="97">
        <f t="shared" si="695"/>
        <v>0</v>
      </c>
      <c r="R173" s="97">
        <f t="shared" si="695"/>
        <v>0</v>
      </c>
      <c r="S173" s="97">
        <f t="shared" ref="S173:T173" si="696">I173-M173</f>
        <v>0</v>
      </c>
      <c r="T173" s="97">
        <f t="shared" si="696"/>
        <v>0</v>
      </c>
      <c r="U173" s="97">
        <f t="shared" ref="U173:U176" si="697">L173-O173</f>
        <v>0</v>
      </c>
      <c r="V173" s="98" t="e">
        <f t="shared" ref="V173:W173" si="698">M173/I173</f>
        <v>#DIV/0!</v>
      </c>
      <c r="W173" s="98" t="e">
        <f t="shared" si="698"/>
        <v>#DIV/0!</v>
      </c>
      <c r="X173" s="98" t="e">
        <f t="shared" ref="X173:X188" si="699">O173/L173</f>
        <v>#DIV/0!</v>
      </c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103">
        <v>0</v>
      </c>
      <c r="AL173" s="96"/>
      <c r="AM173" s="96"/>
      <c r="AN173" s="96"/>
      <c r="AO173" s="96"/>
      <c r="AP173" s="96"/>
      <c r="AQ173" s="96"/>
      <c r="AR173" s="96"/>
      <c r="AS173" s="96"/>
      <c r="AT173" s="96"/>
      <c r="AU173" s="96"/>
      <c r="AV173" s="96"/>
      <c r="AW173" s="96"/>
      <c r="AX173" s="96"/>
      <c r="AY173" s="96"/>
      <c r="AZ173" s="96"/>
      <c r="BA173" s="96"/>
      <c r="BB173" s="96"/>
      <c r="BC173" s="96"/>
      <c r="BD173" s="96"/>
      <c r="BE173" s="96"/>
      <c r="BF173" s="96"/>
      <c r="BG173" s="96"/>
      <c r="BH173" s="96"/>
      <c r="BI173" s="96"/>
      <c r="BJ173" s="96"/>
      <c r="BK173" s="96"/>
      <c r="BL173" s="99"/>
      <c r="BM173" s="100"/>
      <c r="BN173" s="100"/>
      <c r="BO173" s="100"/>
      <c r="BP173" s="100"/>
    </row>
    <row r="174" spans="1:68" ht="15.75" customHeight="1">
      <c r="A174" s="89"/>
      <c r="B174" s="89"/>
      <c r="C174" s="101" t="s">
        <v>424</v>
      </c>
      <c r="D174" s="91" t="s">
        <v>425</v>
      </c>
      <c r="E174" s="166">
        <v>44000</v>
      </c>
      <c r="F174" s="166"/>
      <c r="G174" s="94">
        <f t="shared" si="628"/>
        <v>0</v>
      </c>
      <c r="H174" s="94">
        <f t="shared" si="629"/>
        <v>0</v>
      </c>
      <c r="I174" s="139">
        <v>0</v>
      </c>
      <c r="J174" s="95"/>
      <c r="K174" s="95"/>
      <c r="L174" s="202"/>
      <c r="M174" s="97">
        <f t="shared" ref="M174:O174" si="700">Y174+AB174+AE174+AH174+AK174+AN174+AQ174+AT174+AW174+AZ174+BC174+BF174</f>
        <v>0</v>
      </c>
      <c r="N174" s="97">
        <f t="shared" si="700"/>
        <v>0</v>
      </c>
      <c r="O174" s="97">
        <f t="shared" si="700"/>
        <v>0</v>
      </c>
      <c r="P174" s="97">
        <f t="shared" ref="P174:R174" si="701">IF(BI174=0,SUM(Y174+AB174+AE174+AH174+AK174+AN174+AQ174+AT174+AW174+AZ174+BC174+BF174),BI174)</f>
        <v>0</v>
      </c>
      <c r="Q174" s="97">
        <f t="shared" si="701"/>
        <v>0</v>
      </c>
      <c r="R174" s="97">
        <f t="shared" si="701"/>
        <v>0</v>
      </c>
      <c r="S174" s="138">
        <f t="shared" ref="S174:T174" si="702">I174-M174</f>
        <v>0</v>
      </c>
      <c r="T174" s="97">
        <f t="shared" si="702"/>
        <v>0</v>
      </c>
      <c r="U174" s="97">
        <f t="shared" si="697"/>
        <v>0</v>
      </c>
      <c r="V174" s="98" t="e">
        <f t="shared" ref="V174:W174" si="703">M174/I174</f>
        <v>#DIV/0!</v>
      </c>
      <c r="W174" s="98" t="e">
        <f t="shared" si="703"/>
        <v>#DIV/0!</v>
      </c>
      <c r="X174" s="98" t="e">
        <f t="shared" si="699"/>
        <v>#DIV/0!</v>
      </c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264">
        <v>0</v>
      </c>
      <c r="AL174" s="96"/>
      <c r="AM174" s="96"/>
      <c r="AN174" s="96"/>
      <c r="AO174" s="96"/>
      <c r="AP174" s="96"/>
      <c r="AQ174" s="96"/>
      <c r="AR174" s="96"/>
      <c r="AS174" s="96"/>
      <c r="AT174" s="96"/>
      <c r="AU174" s="96"/>
      <c r="AV174" s="96"/>
      <c r="AW174" s="96"/>
      <c r="AX174" s="96"/>
      <c r="AY174" s="96"/>
      <c r="AZ174" s="96"/>
      <c r="BA174" s="96"/>
      <c r="BB174" s="96"/>
      <c r="BC174" s="96"/>
      <c r="BD174" s="96"/>
      <c r="BE174" s="96"/>
      <c r="BF174" s="129"/>
      <c r="BG174" s="96"/>
      <c r="BH174" s="96"/>
      <c r="BI174" s="96"/>
      <c r="BJ174" s="96"/>
      <c r="BK174" s="96"/>
      <c r="BL174" s="99"/>
      <c r="BM174" s="100"/>
      <c r="BN174" s="100"/>
      <c r="BO174" s="100"/>
      <c r="BP174" s="100"/>
    </row>
    <row r="175" spans="1:68" ht="15.75" customHeight="1">
      <c r="A175" s="354" t="s">
        <v>777</v>
      </c>
      <c r="B175" s="89"/>
      <c r="C175" s="101" t="s">
        <v>359</v>
      </c>
      <c r="D175" s="91" t="s">
        <v>160</v>
      </c>
      <c r="E175" s="92">
        <v>6000</v>
      </c>
      <c r="F175" s="166"/>
      <c r="G175" s="94">
        <f t="shared" si="628"/>
        <v>0.81080999999999992</v>
      </c>
      <c r="H175" s="94">
        <f t="shared" si="629"/>
        <v>0</v>
      </c>
      <c r="I175" s="355">
        <v>4864.8599999999997</v>
      </c>
      <c r="J175" s="95"/>
      <c r="K175" s="95"/>
      <c r="L175" s="202"/>
      <c r="M175" s="97">
        <f t="shared" ref="M175:O175" si="704">Y175+AB175+AE175+AH175+AK175+AN175+AQ175+AT175+AW175+AZ175+BC175+BF175</f>
        <v>0</v>
      </c>
      <c r="N175" s="97">
        <f t="shared" si="704"/>
        <v>0</v>
      </c>
      <c r="O175" s="97">
        <f t="shared" si="704"/>
        <v>0</v>
      </c>
      <c r="P175" s="97">
        <f t="shared" ref="P175:R175" si="705">IF(BI175=0,SUM(Y175+AB175+AE175+AH175+AK175+AN175+AQ175+AT175+AW175+AZ175+BC175+BF175),BI175)</f>
        <v>0</v>
      </c>
      <c r="Q175" s="97">
        <f t="shared" si="705"/>
        <v>0</v>
      </c>
      <c r="R175" s="97">
        <f t="shared" si="705"/>
        <v>0</v>
      </c>
      <c r="S175" s="97">
        <f t="shared" ref="S175:T175" si="706">I175-M175</f>
        <v>4864.8599999999997</v>
      </c>
      <c r="T175" s="97">
        <f t="shared" si="706"/>
        <v>0</v>
      </c>
      <c r="U175" s="97">
        <f t="shared" si="697"/>
        <v>0</v>
      </c>
      <c r="V175" s="98">
        <f t="shared" ref="V175:W175" si="707">M175/I175</f>
        <v>0</v>
      </c>
      <c r="W175" s="98" t="e">
        <f t="shared" si="707"/>
        <v>#DIV/0!</v>
      </c>
      <c r="X175" s="98" t="e">
        <f t="shared" si="699"/>
        <v>#DIV/0!</v>
      </c>
      <c r="Y175" s="96"/>
      <c r="Z175" s="96"/>
      <c r="AA175" s="96"/>
      <c r="AB175" s="103">
        <v>0</v>
      </c>
      <c r="AC175" s="96"/>
      <c r="AD175" s="96"/>
      <c r="AE175" s="96"/>
      <c r="AF175" s="96"/>
      <c r="AG175" s="96"/>
      <c r="AH175" s="103">
        <v>0</v>
      </c>
      <c r="AI175" s="96"/>
      <c r="AJ175" s="96"/>
      <c r="AK175" s="103">
        <v>0</v>
      </c>
      <c r="AL175" s="96"/>
      <c r="AM175" s="96"/>
      <c r="AN175" s="103">
        <v>0</v>
      </c>
      <c r="AO175" s="96"/>
      <c r="AP175" s="96"/>
      <c r="AQ175" s="96"/>
      <c r="AR175" s="96"/>
      <c r="AS175" s="96"/>
      <c r="AT175" s="96"/>
      <c r="AU175" s="96"/>
      <c r="AV175" s="96"/>
      <c r="AW175" s="96"/>
      <c r="AX175" s="96"/>
      <c r="AY175" s="96"/>
      <c r="AZ175" s="96"/>
      <c r="BA175" s="96"/>
      <c r="BB175" s="96"/>
      <c r="BC175" s="96"/>
      <c r="BD175" s="96"/>
      <c r="BE175" s="96"/>
      <c r="BF175" s="96"/>
      <c r="BG175" s="96"/>
      <c r="BH175" s="96"/>
      <c r="BI175" s="96"/>
      <c r="BJ175" s="96"/>
      <c r="BK175" s="96"/>
      <c r="BL175" s="99"/>
      <c r="BM175" s="100"/>
      <c r="BN175" s="100"/>
      <c r="BO175" s="100"/>
      <c r="BP175" s="100"/>
    </row>
    <row r="176" spans="1:68" ht="15.75" customHeight="1">
      <c r="A176" s="89"/>
      <c r="B176" s="206" t="s">
        <v>426</v>
      </c>
      <c r="C176" s="101" t="s">
        <v>323</v>
      </c>
      <c r="D176" s="91" t="s">
        <v>353</v>
      </c>
      <c r="E176" s="92"/>
      <c r="F176" s="166"/>
      <c r="G176" s="94" t="e">
        <f t="shared" si="628"/>
        <v>#DIV/0!</v>
      </c>
      <c r="H176" s="94" t="e">
        <f t="shared" si="629"/>
        <v>#DIV/0!</v>
      </c>
      <c r="I176" s="95"/>
      <c r="J176" s="146">
        <v>250</v>
      </c>
      <c r="K176" s="146"/>
      <c r="L176" s="202"/>
      <c r="M176" s="97">
        <f t="shared" ref="M176:O176" si="708">Y176+AB176+AE176+AH176+AK176+AN176+AQ176+AT176+AW176+AZ176+BC176+BF176</f>
        <v>0</v>
      </c>
      <c r="N176" s="97">
        <f t="shared" si="708"/>
        <v>250</v>
      </c>
      <c r="O176" s="97">
        <f t="shared" si="708"/>
        <v>0</v>
      </c>
      <c r="P176" s="97">
        <f t="shared" ref="P176:R176" si="709">IF(BI176=0,SUM(Y176+AB176+AE176+AH176+AK176+AN176+AQ176+AT176+AW176+AZ176+BC176+BF176),BI176)</f>
        <v>0</v>
      </c>
      <c r="Q176" s="97">
        <f t="shared" si="709"/>
        <v>250</v>
      </c>
      <c r="R176" s="97">
        <f t="shared" si="709"/>
        <v>0</v>
      </c>
      <c r="S176" s="97">
        <f>I176-M176</f>
        <v>0</v>
      </c>
      <c r="T176" s="97">
        <f>J176-N176-K176</f>
        <v>0</v>
      </c>
      <c r="U176" s="97">
        <f t="shared" si="697"/>
        <v>0</v>
      </c>
      <c r="V176" s="98" t="e">
        <f t="shared" ref="V176:W176" si="710">M176/I176</f>
        <v>#DIV/0!</v>
      </c>
      <c r="W176" s="98">
        <f t="shared" si="710"/>
        <v>1</v>
      </c>
      <c r="X176" s="98" t="e">
        <f t="shared" si="699"/>
        <v>#DIV/0!</v>
      </c>
      <c r="Y176" s="96"/>
      <c r="Z176" s="103">
        <v>250</v>
      </c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6"/>
      <c r="AO176" s="96"/>
      <c r="AP176" s="96"/>
      <c r="AQ176" s="96"/>
      <c r="AR176" s="96"/>
      <c r="AS176" s="96"/>
      <c r="AT176" s="96"/>
      <c r="AU176" s="96"/>
      <c r="AV176" s="96"/>
      <c r="AW176" s="96"/>
      <c r="AX176" s="96"/>
      <c r="AY176" s="96"/>
      <c r="AZ176" s="96"/>
      <c r="BA176" s="96"/>
      <c r="BB176" s="96"/>
      <c r="BC176" s="96"/>
      <c r="BD176" s="96"/>
      <c r="BE176" s="96"/>
      <c r="BF176" s="96"/>
      <c r="BG176" s="96"/>
      <c r="BH176" s="96"/>
      <c r="BI176" s="96"/>
      <c r="BJ176" s="96"/>
      <c r="BK176" s="96"/>
      <c r="BL176" s="99"/>
      <c r="BM176" s="100"/>
      <c r="BN176" s="100"/>
      <c r="BO176" s="100"/>
      <c r="BP176" s="100"/>
    </row>
    <row r="177" spans="1:68" ht="15.75" customHeight="1">
      <c r="A177" s="240"/>
      <c r="B177" s="240"/>
      <c r="C177" s="229"/>
      <c r="D177" s="230" t="s">
        <v>427</v>
      </c>
      <c r="E177" s="231">
        <f t="shared" ref="E177:F177" si="711">SUM(E178:E183)</f>
        <v>0</v>
      </c>
      <c r="F177" s="231">
        <f t="shared" si="711"/>
        <v>36000</v>
      </c>
      <c r="G177" s="188" t="e">
        <f t="shared" si="628"/>
        <v>#DIV/0!</v>
      </c>
      <c r="H177" s="188" t="e">
        <f t="shared" si="629"/>
        <v>#DIV/0!</v>
      </c>
      <c r="I177" s="231">
        <f t="shared" ref="I177:O177" si="712">SUM(I178:I183)</f>
        <v>0</v>
      </c>
      <c r="J177" s="231">
        <f t="shared" si="712"/>
        <v>0</v>
      </c>
      <c r="K177" s="231">
        <f t="shared" si="712"/>
        <v>0</v>
      </c>
      <c r="L177" s="231">
        <f t="shared" si="712"/>
        <v>0</v>
      </c>
      <c r="M177" s="231">
        <f t="shared" si="712"/>
        <v>0</v>
      </c>
      <c r="N177" s="231">
        <f t="shared" si="712"/>
        <v>0</v>
      </c>
      <c r="O177" s="231">
        <f t="shared" si="712"/>
        <v>0</v>
      </c>
      <c r="P177" s="258">
        <f t="shared" ref="P177:R177" si="713">IF(BI177=0,SUM(Y177+AB177+AE177+AH177+AK177+AN177+AQ177+AT177+AW177+AZ177+BC177+BF177),BI177)</f>
        <v>0</v>
      </c>
      <c r="Q177" s="258">
        <f t="shared" si="713"/>
        <v>0</v>
      </c>
      <c r="R177" s="258">
        <f t="shared" si="713"/>
        <v>0</v>
      </c>
      <c r="S177" s="231">
        <f t="shared" ref="S177:U177" si="714">SUM(S178:S183)</f>
        <v>0</v>
      </c>
      <c r="T177" s="231">
        <f t="shared" si="714"/>
        <v>0</v>
      </c>
      <c r="U177" s="231">
        <f t="shared" si="714"/>
        <v>0</v>
      </c>
      <c r="V177" s="259" t="e">
        <f t="shared" ref="V177:W177" si="715">M177/I177</f>
        <v>#DIV/0!</v>
      </c>
      <c r="W177" s="259" t="e">
        <f t="shared" si="715"/>
        <v>#DIV/0!</v>
      </c>
      <c r="X177" s="259" t="e">
        <f t="shared" si="699"/>
        <v>#DIV/0!</v>
      </c>
      <c r="Y177" s="231">
        <f t="shared" ref="Y177:BK177" si="716">SUM(Y178:Y183)</f>
        <v>0</v>
      </c>
      <c r="Z177" s="231">
        <f t="shared" si="716"/>
        <v>0</v>
      </c>
      <c r="AA177" s="231">
        <f t="shared" si="716"/>
        <v>0</v>
      </c>
      <c r="AB177" s="231">
        <f t="shared" si="716"/>
        <v>0</v>
      </c>
      <c r="AC177" s="231">
        <f t="shared" si="716"/>
        <v>0</v>
      </c>
      <c r="AD177" s="231">
        <f t="shared" si="716"/>
        <v>0</v>
      </c>
      <c r="AE177" s="231">
        <f t="shared" si="716"/>
        <v>0</v>
      </c>
      <c r="AF177" s="231">
        <f t="shared" si="716"/>
        <v>0</v>
      </c>
      <c r="AG177" s="231">
        <f t="shared" si="716"/>
        <v>0</v>
      </c>
      <c r="AH177" s="231">
        <f t="shared" si="716"/>
        <v>0</v>
      </c>
      <c r="AI177" s="231">
        <f t="shared" si="716"/>
        <v>0</v>
      </c>
      <c r="AJ177" s="231">
        <f t="shared" si="716"/>
        <v>0</v>
      </c>
      <c r="AK177" s="231">
        <f t="shared" si="716"/>
        <v>0</v>
      </c>
      <c r="AL177" s="231">
        <f t="shared" si="716"/>
        <v>0</v>
      </c>
      <c r="AM177" s="231">
        <f t="shared" si="716"/>
        <v>0</v>
      </c>
      <c r="AN177" s="231">
        <f t="shared" si="716"/>
        <v>0</v>
      </c>
      <c r="AO177" s="231">
        <f t="shared" si="716"/>
        <v>0</v>
      </c>
      <c r="AP177" s="231">
        <f t="shared" si="716"/>
        <v>0</v>
      </c>
      <c r="AQ177" s="231">
        <f t="shared" si="716"/>
        <v>0</v>
      </c>
      <c r="AR177" s="231">
        <f t="shared" si="716"/>
        <v>0</v>
      </c>
      <c r="AS177" s="231">
        <f t="shared" si="716"/>
        <v>0</v>
      </c>
      <c r="AT177" s="231">
        <f t="shared" si="716"/>
        <v>0</v>
      </c>
      <c r="AU177" s="231">
        <f t="shared" si="716"/>
        <v>0</v>
      </c>
      <c r="AV177" s="231">
        <f t="shared" si="716"/>
        <v>0</v>
      </c>
      <c r="AW177" s="231">
        <f t="shared" si="716"/>
        <v>0</v>
      </c>
      <c r="AX177" s="231">
        <f t="shared" si="716"/>
        <v>0</v>
      </c>
      <c r="AY177" s="231">
        <f t="shared" si="716"/>
        <v>0</v>
      </c>
      <c r="AZ177" s="231">
        <f t="shared" si="716"/>
        <v>0</v>
      </c>
      <c r="BA177" s="231">
        <f t="shared" si="716"/>
        <v>0</v>
      </c>
      <c r="BB177" s="231">
        <f t="shared" si="716"/>
        <v>0</v>
      </c>
      <c r="BC177" s="231">
        <f t="shared" si="716"/>
        <v>0</v>
      </c>
      <c r="BD177" s="231">
        <f t="shared" si="716"/>
        <v>0</v>
      </c>
      <c r="BE177" s="231">
        <f t="shared" si="716"/>
        <v>0</v>
      </c>
      <c r="BF177" s="231">
        <f t="shared" si="716"/>
        <v>0</v>
      </c>
      <c r="BG177" s="231">
        <f t="shared" si="716"/>
        <v>0</v>
      </c>
      <c r="BH177" s="231">
        <f t="shared" si="716"/>
        <v>0</v>
      </c>
      <c r="BI177" s="231">
        <f t="shared" si="716"/>
        <v>0</v>
      </c>
      <c r="BJ177" s="231">
        <f t="shared" si="716"/>
        <v>0</v>
      </c>
      <c r="BK177" s="231">
        <f t="shared" si="716"/>
        <v>0</v>
      </c>
      <c r="BL177" s="233"/>
      <c r="BM177" s="234"/>
      <c r="BN177" s="234"/>
      <c r="BO177" s="234"/>
      <c r="BP177" s="234"/>
    </row>
    <row r="178" spans="1:68" ht="15.75" customHeight="1">
      <c r="A178" s="89"/>
      <c r="B178" s="136"/>
      <c r="C178" s="90" t="s">
        <v>165</v>
      </c>
      <c r="D178" s="144" t="s">
        <v>428</v>
      </c>
      <c r="E178" s="166"/>
      <c r="F178" s="166"/>
      <c r="G178" s="94" t="e">
        <f t="shared" si="628"/>
        <v>#DIV/0!</v>
      </c>
      <c r="H178" s="94" t="e">
        <f t="shared" si="629"/>
        <v>#DIV/0!</v>
      </c>
      <c r="I178" s="95"/>
      <c r="J178" s="146">
        <v>0</v>
      </c>
      <c r="K178" s="146"/>
      <c r="L178" s="202"/>
      <c r="M178" s="97">
        <f t="shared" ref="M178:O178" si="717">Y178+AB178+AE178+AH178+AK178+AN178+AQ178+AT178+AW178+AZ178+BC178+BF178</f>
        <v>0</v>
      </c>
      <c r="N178" s="97">
        <f t="shared" si="717"/>
        <v>0</v>
      </c>
      <c r="O178" s="97">
        <f t="shared" si="717"/>
        <v>0</v>
      </c>
      <c r="P178" s="97">
        <f t="shared" ref="P178:R178" si="718">IF(BI178=0,SUM(Y178+AB178+AE178+AH178+AK178+AN178+AQ178+AT178+AW178+AZ178+BC178+BF178),BI178)</f>
        <v>0</v>
      </c>
      <c r="Q178" s="97">
        <f t="shared" si="718"/>
        <v>0</v>
      </c>
      <c r="R178" s="97">
        <f t="shared" si="718"/>
        <v>0</v>
      </c>
      <c r="S178" s="97">
        <f t="shared" ref="S178:T178" si="719">I178-M178</f>
        <v>0</v>
      </c>
      <c r="T178" s="97">
        <f t="shared" si="719"/>
        <v>0</v>
      </c>
      <c r="U178" s="97">
        <f t="shared" ref="U178:U183" si="720">L178-O178</f>
        <v>0</v>
      </c>
      <c r="V178" s="98" t="e">
        <f t="shared" ref="V178:W178" si="721">M178/I178</f>
        <v>#DIV/0!</v>
      </c>
      <c r="W178" s="98" t="e">
        <f t="shared" si="721"/>
        <v>#DIV/0!</v>
      </c>
      <c r="X178" s="98" t="e">
        <f t="shared" si="699"/>
        <v>#DIV/0!</v>
      </c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103">
        <v>0</v>
      </c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9"/>
      <c r="BM178" s="100"/>
      <c r="BN178" s="100"/>
      <c r="BO178" s="100"/>
      <c r="BP178" s="100"/>
    </row>
    <row r="179" spans="1:68" ht="15.75" customHeight="1">
      <c r="A179" s="89"/>
      <c r="B179" s="89"/>
      <c r="C179" s="90" t="s">
        <v>165</v>
      </c>
      <c r="D179" s="144" t="s">
        <v>429</v>
      </c>
      <c r="E179" s="166"/>
      <c r="F179" s="166"/>
      <c r="G179" s="94" t="e">
        <f t="shared" si="628"/>
        <v>#DIV/0!</v>
      </c>
      <c r="H179" s="94" t="e">
        <f t="shared" si="629"/>
        <v>#DIV/0!</v>
      </c>
      <c r="I179" s="95"/>
      <c r="J179" s="95"/>
      <c r="K179" s="95"/>
      <c r="L179" s="202"/>
      <c r="M179" s="97">
        <f t="shared" ref="M179:O179" si="722">Y179+AB179+AE179+AH179+AK179+AN179+AQ179+AT179+AW179+AZ179+BC179+BF179</f>
        <v>0</v>
      </c>
      <c r="N179" s="97">
        <f t="shared" si="722"/>
        <v>0</v>
      </c>
      <c r="O179" s="97">
        <f t="shared" si="722"/>
        <v>0</v>
      </c>
      <c r="P179" s="97">
        <f t="shared" ref="P179:Q179" si="723">IF(BI179=0,SUM(Y179+AB179+AE179+AH179+AK179+AN179+AQ179+AT179+AW179+AZ179+BC179+BF179),BI179)</f>
        <v>0</v>
      </c>
      <c r="Q179" s="97">
        <f t="shared" si="723"/>
        <v>0</v>
      </c>
      <c r="R179" s="378">
        <v>0</v>
      </c>
      <c r="S179" s="97">
        <f t="shared" ref="S179:T179" si="724">I179-M179</f>
        <v>0</v>
      </c>
      <c r="T179" s="97">
        <f t="shared" si="724"/>
        <v>0</v>
      </c>
      <c r="U179" s="97">
        <f t="shared" si="720"/>
        <v>0</v>
      </c>
      <c r="V179" s="98" t="e">
        <f t="shared" ref="V179:W179" si="725">M179/I179</f>
        <v>#DIV/0!</v>
      </c>
      <c r="W179" s="98" t="e">
        <f t="shared" si="725"/>
        <v>#DIV/0!</v>
      </c>
      <c r="X179" s="98" t="e">
        <f t="shared" si="699"/>
        <v>#DIV/0!</v>
      </c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9"/>
      <c r="BM179" s="100"/>
      <c r="BN179" s="100"/>
      <c r="BO179" s="100"/>
      <c r="BP179" s="100"/>
    </row>
    <row r="180" spans="1:68" ht="15.75" customHeight="1">
      <c r="A180" s="89"/>
      <c r="B180" s="89"/>
      <c r="C180" s="101" t="s">
        <v>275</v>
      </c>
      <c r="D180" s="265" t="s">
        <v>430</v>
      </c>
      <c r="E180" s="166"/>
      <c r="F180" s="195">
        <v>1000</v>
      </c>
      <c r="G180" s="94"/>
      <c r="H180" s="94"/>
      <c r="I180" s="95"/>
      <c r="J180" s="95"/>
      <c r="K180" s="95"/>
      <c r="L180" s="202"/>
      <c r="M180" s="97">
        <f t="shared" ref="M180:O180" si="726">Y180+AB180+AE180+AH180+AK180+AN180+AQ180+AT180+AW180+AZ180+BC180+BF180</f>
        <v>0</v>
      </c>
      <c r="N180" s="97">
        <f t="shared" si="726"/>
        <v>0</v>
      </c>
      <c r="O180" s="97">
        <f t="shared" si="726"/>
        <v>0</v>
      </c>
      <c r="P180" s="97">
        <f t="shared" ref="P180:R180" si="727">IF(BI180=0,SUM(Y180+AB180+AE180+AH180+AK180+AN180+AQ180+AT180+AW180+AZ180+BC180+BF180),BI180)</f>
        <v>0</v>
      </c>
      <c r="Q180" s="97">
        <f t="shared" si="727"/>
        <v>0</v>
      </c>
      <c r="R180" s="97">
        <f t="shared" si="727"/>
        <v>0</v>
      </c>
      <c r="S180" s="97">
        <f t="shared" ref="S180:T180" si="728">I180-M180</f>
        <v>0</v>
      </c>
      <c r="T180" s="97">
        <f t="shared" si="728"/>
        <v>0</v>
      </c>
      <c r="U180" s="97">
        <f t="shared" si="720"/>
        <v>0</v>
      </c>
      <c r="V180" s="98" t="e">
        <f t="shared" ref="V180:W180" si="729">M180/I180</f>
        <v>#DIV/0!</v>
      </c>
      <c r="W180" s="98" t="e">
        <f t="shared" si="729"/>
        <v>#DIV/0!</v>
      </c>
      <c r="X180" s="98" t="e">
        <f t="shared" si="699"/>
        <v>#DIV/0!</v>
      </c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6"/>
      <c r="AO180" s="96"/>
      <c r="AP180" s="96"/>
      <c r="AQ180" s="96"/>
      <c r="AR180" s="96"/>
      <c r="AS180" s="96"/>
      <c r="AT180" s="96"/>
      <c r="AU180" s="96"/>
      <c r="AV180" s="96"/>
      <c r="AW180" s="96"/>
      <c r="AX180" s="96"/>
      <c r="AY180" s="96"/>
      <c r="AZ180" s="96"/>
      <c r="BA180" s="96"/>
      <c r="BB180" s="96"/>
      <c r="BC180" s="96"/>
      <c r="BD180" s="96"/>
      <c r="BE180" s="96"/>
      <c r="BF180" s="96"/>
      <c r="BG180" s="96"/>
      <c r="BH180" s="96"/>
      <c r="BI180" s="96"/>
      <c r="BJ180" s="96"/>
      <c r="BK180" s="96"/>
      <c r="BL180" s="99"/>
      <c r="BM180" s="100"/>
      <c r="BN180" s="100"/>
      <c r="BO180" s="100"/>
      <c r="BP180" s="100"/>
    </row>
    <row r="181" spans="1:68" ht="15.75" customHeight="1">
      <c r="A181" s="89"/>
      <c r="B181" s="89"/>
      <c r="C181" s="101" t="s">
        <v>431</v>
      </c>
      <c r="D181" s="265" t="s">
        <v>430</v>
      </c>
      <c r="E181" s="166"/>
      <c r="F181" s="195">
        <v>18000</v>
      </c>
      <c r="G181" s="94"/>
      <c r="H181" s="94"/>
      <c r="I181" s="95"/>
      <c r="J181" s="95"/>
      <c r="K181" s="95"/>
      <c r="L181" s="202"/>
      <c r="M181" s="97">
        <f t="shared" ref="M181:O181" si="730">Y181+AB181+AE181+AH181+AK181+AN181+AQ181+AT181+AW181+AZ181+BC181+BF181</f>
        <v>0</v>
      </c>
      <c r="N181" s="97">
        <f t="shared" si="730"/>
        <v>0</v>
      </c>
      <c r="O181" s="97">
        <f t="shared" si="730"/>
        <v>0</v>
      </c>
      <c r="P181" s="97">
        <f t="shared" ref="P181:R181" si="731">IF(BI181=0,SUM(Y181+AB181+AE181+AH181+AK181+AN181+AQ181+AT181+AW181+AZ181+BC181+BF181),BI181)</f>
        <v>0</v>
      </c>
      <c r="Q181" s="97">
        <f t="shared" si="731"/>
        <v>0</v>
      </c>
      <c r="R181" s="97">
        <f t="shared" si="731"/>
        <v>0</v>
      </c>
      <c r="S181" s="97">
        <f t="shared" ref="S181:T181" si="732">I181-M181</f>
        <v>0</v>
      </c>
      <c r="T181" s="97">
        <f t="shared" si="732"/>
        <v>0</v>
      </c>
      <c r="U181" s="97">
        <f t="shared" si="720"/>
        <v>0</v>
      </c>
      <c r="V181" s="98" t="e">
        <f t="shared" ref="V181:W181" si="733">M181/I181</f>
        <v>#DIV/0!</v>
      </c>
      <c r="W181" s="98" t="e">
        <f t="shared" si="733"/>
        <v>#DIV/0!</v>
      </c>
      <c r="X181" s="98" t="e">
        <f t="shared" si="699"/>
        <v>#DIV/0!</v>
      </c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6"/>
      <c r="AO181" s="96"/>
      <c r="AP181" s="96"/>
      <c r="AQ181" s="96"/>
      <c r="AR181" s="96"/>
      <c r="AS181" s="96"/>
      <c r="AT181" s="96"/>
      <c r="AU181" s="96"/>
      <c r="AV181" s="96"/>
      <c r="AW181" s="96"/>
      <c r="AX181" s="96"/>
      <c r="AY181" s="96"/>
      <c r="AZ181" s="96"/>
      <c r="BA181" s="96"/>
      <c r="BB181" s="96"/>
      <c r="BC181" s="96"/>
      <c r="BD181" s="96"/>
      <c r="BE181" s="96"/>
      <c r="BF181" s="96"/>
      <c r="BG181" s="96"/>
      <c r="BH181" s="96"/>
      <c r="BI181" s="96"/>
      <c r="BJ181" s="96"/>
      <c r="BK181" s="96"/>
      <c r="BL181" s="99"/>
      <c r="BM181" s="100"/>
      <c r="BN181" s="100"/>
      <c r="BO181" s="100"/>
      <c r="BP181" s="100"/>
    </row>
    <row r="182" spans="1:68" ht="15.75" customHeight="1">
      <c r="A182" s="89"/>
      <c r="B182" s="89"/>
      <c r="C182" s="101" t="s">
        <v>255</v>
      </c>
      <c r="D182" s="265" t="s">
        <v>430</v>
      </c>
      <c r="E182" s="166"/>
      <c r="F182" s="195">
        <v>17000</v>
      </c>
      <c r="G182" s="94"/>
      <c r="H182" s="94"/>
      <c r="I182" s="95"/>
      <c r="J182" s="95"/>
      <c r="K182" s="95"/>
      <c r="L182" s="202"/>
      <c r="M182" s="97">
        <f t="shared" ref="M182:O182" si="734">Y182+AB182+AE182+AH182+AK182+AN182+AQ182+AT182+AW182+AZ182+BC182+BF182</f>
        <v>0</v>
      </c>
      <c r="N182" s="97">
        <f t="shared" si="734"/>
        <v>0</v>
      </c>
      <c r="O182" s="97">
        <f t="shared" si="734"/>
        <v>0</v>
      </c>
      <c r="P182" s="97">
        <f t="shared" ref="P182:R182" si="735">IF(BI182=0,SUM(Y182+AB182+AE182+AH182+AK182+AN182+AQ182+AT182+AW182+AZ182+BC182+BF182),BI182)</f>
        <v>0</v>
      </c>
      <c r="Q182" s="97">
        <f t="shared" si="735"/>
        <v>0</v>
      </c>
      <c r="R182" s="97">
        <f t="shared" si="735"/>
        <v>0</v>
      </c>
      <c r="S182" s="97">
        <f t="shared" ref="S182:T182" si="736">I182-M182</f>
        <v>0</v>
      </c>
      <c r="T182" s="97">
        <f t="shared" si="736"/>
        <v>0</v>
      </c>
      <c r="U182" s="97">
        <f t="shared" si="720"/>
        <v>0</v>
      </c>
      <c r="V182" s="98" t="e">
        <f t="shared" ref="V182:W182" si="737">M182/I182</f>
        <v>#DIV/0!</v>
      </c>
      <c r="W182" s="98" t="e">
        <f t="shared" si="737"/>
        <v>#DIV/0!</v>
      </c>
      <c r="X182" s="98" t="e">
        <f t="shared" si="699"/>
        <v>#DIV/0!</v>
      </c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6"/>
      <c r="AO182" s="96"/>
      <c r="AP182" s="96"/>
      <c r="AQ182" s="96"/>
      <c r="AR182" s="96"/>
      <c r="AS182" s="96"/>
      <c r="AT182" s="96"/>
      <c r="AU182" s="96"/>
      <c r="AV182" s="96"/>
      <c r="AW182" s="96"/>
      <c r="AX182" s="96"/>
      <c r="AY182" s="96"/>
      <c r="AZ182" s="96"/>
      <c r="BA182" s="96"/>
      <c r="BB182" s="96"/>
      <c r="BC182" s="96"/>
      <c r="BD182" s="96"/>
      <c r="BE182" s="96"/>
      <c r="BF182" s="96"/>
      <c r="BG182" s="96"/>
      <c r="BH182" s="96"/>
      <c r="BI182" s="96"/>
      <c r="BJ182" s="96"/>
      <c r="BK182" s="96"/>
      <c r="BL182" s="99"/>
      <c r="BM182" s="100"/>
      <c r="BN182" s="100"/>
      <c r="BO182" s="100"/>
      <c r="BP182" s="100"/>
    </row>
    <row r="183" spans="1:68" ht="15.75" customHeight="1">
      <c r="A183" s="89"/>
      <c r="B183" s="89"/>
      <c r="C183" s="90" t="s">
        <v>298</v>
      </c>
      <c r="D183" s="91" t="s">
        <v>432</v>
      </c>
      <c r="E183" s="166"/>
      <c r="F183" s="166"/>
      <c r="G183" s="94" t="e">
        <f t="shared" ref="G183:G185" si="738">I183/E183</f>
        <v>#DIV/0!</v>
      </c>
      <c r="H183" s="94" t="e">
        <f t="shared" ref="H183:H185" si="739">M183/E183</f>
        <v>#DIV/0!</v>
      </c>
      <c r="I183" s="95"/>
      <c r="J183" s="95"/>
      <c r="K183" s="95"/>
      <c r="L183" s="266"/>
      <c r="M183" s="97">
        <f t="shared" ref="M183:O183" si="740">Y183+AB183+AE183+AH183+AK183+AN183+AQ183+AT183+AW183+AZ183+BC183+BF183</f>
        <v>0</v>
      </c>
      <c r="N183" s="97">
        <f t="shared" si="740"/>
        <v>0</v>
      </c>
      <c r="O183" s="97">
        <f t="shared" si="740"/>
        <v>0</v>
      </c>
      <c r="P183" s="97">
        <f t="shared" ref="P183:R183" si="741">IF(BI183=0,SUM(Y183+AB183+AE183+AH183+AK183+AN183+AQ183+AT183+AW183+AZ183+BC183+BF183),BI183)</f>
        <v>0</v>
      </c>
      <c r="Q183" s="97">
        <f t="shared" si="741"/>
        <v>0</v>
      </c>
      <c r="R183" s="97">
        <f t="shared" si="741"/>
        <v>0</v>
      </c>
      <c r="S183" s="97">
        <f t="shared" ref="S183:T183" si="742">I183-M183</f>
        <v>0</v>
      </c>
      <c r="T183" s="97">
        <f t="shared" si="742"/>
        <v>0</v>
      </c>
      <c r="U183" s="97">
        <f t="shared" si="720"/>
        <v>0</v>
      </c>
      <c r="V183" s="98" t="e">
        <f t="shared" ref="V183:W183" si="743">M183/I183</f>
        <v>#DIV/0!</v>
      </c>
      <c r="W183" s="98" t="e">
        <f t="shared" si="743"/>
        <v>#DIV/0!</v>
      </c>
      <c r="X183" s="98" t="e">
        <f t="shared" si="699"/>
        <v>#DIV/0!</v>
      </c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6"/>
      <c r="AO183" s="96"/>
      <c r="AP183" s="96"/>
      <c r="AQ183" s="96"/>
      <c r="AR183" s="96"/>
      <c r="AS183" s="96"/>
      <c r="AT183" s="96"/>
      <c r="AU183" s="96"/>
      <c r="AV183" s="96"/>
      <c r="AW183" s="96"/>
      <c r="AX183" s="96"/>
      <c r="AY183" s="96"/>
      <c r="AZ183" s="96"/>
      <c r="BA183" s="96"/>
      <c r="BB183" s="103">
        <v>0</v>
      </c>
      <c r="BC183" s="96"/>
      <c r="BD183" s="96"/>
      <c r="BE183" s="96"/>
      <c r="BF183" s="96"/>
      <c r="BG183" s="96"/>
      <c r="BH183" s="96"/>
      <c r="BI183" s="96"/>
      <c r="BJ183" s="96"/>
      <c r="BK183" s="96"/>
      <c r="BL183" s="99"/>
      <c r="BM183" s="100"/>
      <c r="BN183" s="100"/>
      <c r="BO183" s="100"/>
      <c r="BP183" s="100"/>
    </row>
    <row r="184" spans="1:68" ht="15.75" customHeight="1">
      <c r="A184" s="267"/>
      <c r="B184" s="267"/>
      <c r="C184" s="268"/>
      <c r="D184" s="269" t="s">
        <v>433</v>
      </c>
      <c r="E184" s="270">
        <f t="shared" ref="E184:F184" si="744">SUM(E185:E188)</f>
        <v>0</v>
      </c>
      <c r="F184" s="270">
        <f t="shared" si="744"/>
        <v>0</v>
      </c>
      <c r="G184" s="223" t="e">
        <f t="shared" si="738"/>
        <v>#DIV/0!</v>
      </c>
      <c r="H184" s="223" t="e">
        <f t="shared" si="739"/>
        <v>#DIV/0!</v>
      </c>
      <c r="I184" s="270">
        <f t="shared" ref="I184:O184" si="745">SUM(I185:I188)</f>
        <v>0</v>
      </c>
      <c r="J184" s="270">
        <f t="shared" si="745"/>
        <v>734.93000000000006</v>
      </c>
      <c r="K184" s="270">
        <f t="shared" si="745"/>
        <v>358.04</v>
      </c>
      <c r="L184" s="270">
        <f t="shared" si="745"/>
        <v>0</v>
      </c>
      <c r="M184" s="270">
        <f t="shared" si="745"/>
        <v>0</v>
      </c>
      <c r="N184" s="270">
        <f t="shared" si="745"/>
        <v>376.89</v>
      </c>
      <c r="O184" s="270">
        <f t="shared" si="745"/>
        <v>0</v>
      </c>
      <c r="P184" s="238">
        <f t="shared" ref="P184:R184" si="746">IF(BI184=0,SUM(Y184+AB184+AE184+AH184+AK184+AN184+AQ184+AT184+AW184+AZ184+BC184+BF184),BI184)</f>
        <v>0</v>
      </c>
      <c r="Q184" s="238">
        <f t="shared" si="746"/>
        <v>376.89</v>
      </c>
      <c r="R184" s="238">
        <f t="shared" si="746"/>
        <v>0</v>
      </c>
      <c r="S184" s="270">
        <f t="shared" ref="S184:U184" si="747">SUM(S185:S188)</f>
        <v>0</v>
      </c>
      <c r="T184" s="270">
        <f t="shared" si="747"/>
        <v>0</v>
      </c>
      <c r="U184" s="270">
        <f t="shared" si="747"/>
        <v>0</v>
      </c>
      <c r="V184" s="271" t="e">
        <f t="shared" ref="V184:W184" si="748">M184/I184</f>
        <v>#DIV/0!</v>
      </c>
      <c r="W184" s="271">
        <f t="shared" si="748"/>
        <v>0.51282435061842613</v>
      </c>
      <c r="X184" s="271" t="e">
        <f t="shared" si="699"/>
        <v>#DIV/0!</v>
      </c>
      <c r="Y184" s="270">
        <f t="shared" ref="Y184:BK184" si="749">SUM(Y185:Y188)</f>
        <v>0</v>
      </c>
      <c r="Z184" s="270">
        <f t="shared" si="749"/>
        <v>0</v>
      </c>
      <c r="AA184" s="270">
        <f t="shared" si="749"/>
        <v>0</v>
      </c>
      <c r="AB184" s="270">
        <f t="shared" si="749"/>
        <v>0</v>
      </c>
      <c r="AC184" s="270">
        <f t="shared" si="749"/>
        <v>0</v>
      </c>
      <c r="AD184" s="270">
        <f t="shared" si="749"/>
        <v>0</v>
      </c>
      <c r="AE184" s="270">
        <f t="shared" si="749"/>
        <v>0</v>
      </c>
      <c r="AF184" s="270">
        <f t="shared" si="749"/>
        <v>0</v>
      </c>
      <c r="AG184" s="270">
        <f t="shared" si="749"/>
        <v>0</v>
      </c>
      <c r="AH184" s="270">
        <f t="shared" si="749"/>
        <v>0</v>
      </c>
      <c r="AI184" s="270">
        <f t="shared" si="749"/>
        <v>376.89</v>
      </c>
      <c r="AJ184" s="270">
        <f t="shared" si="749"/>
        <v>0</v>
      </c>
      <c r="AK184" s="270">
        <f t="shared" si="749"/>
        <v>0</v>
      </c>
      <c r="AL184" s="270">
        <f t="shared" si="749"/>
        <v>0</v>
      </c>
      <c r="AM184" s="270">
        <f t="shared" si="749"/>
        <v>0</v>
      </c>
      <c r="AN184" s="270">
        <f t="shared" si="749"/>
        <v>0</v>
      </c>
      <c r="AO184" s="270">
        <f t="shared" si="749"/>
        <v>0</v>
      </c>
      <c r="AP184" s="270">
        <f t="shared" si="749"/>
        <v>0</v>
      </c>
      <c r="AQ184" s="270">
        <f t="shared" si="749"/>
        <v>0</v>
      </c>
      <c r="AR184" s="270">
        <f t="shared" si="749"/>
        <v>0</v>
      </c>
      <c r="AS184" s="270">
        <f t="shared" si="749"/>
        <v>0</v>
      </c>
      <c r="AT184" s="270">
        <f t="shared" si="749"/>
        <v>0</v>
      </c>
      <c r="AU184" s="270">
        <f t="shared" si="749"/>
        <v>0</v>
      </c>
      <c r="AV184" s="270">
        <f t="shared" si="749"/>
        <v>0</v>
      </c>
      <c r="AW184" s="270">
        <f t="shared" si="749"/>
        <v>0</v>
      </c>
      <c r="AX184" s="270">
        <f t="shared" si="749"/>
        <v>0</v>
      </c>
      <c r="AY184" s="270">
        <f t="shared" si="749"/>
        <v>0</v>
      </c>
      <c r="AZ184" s="270">
        <f t="shared" si="749"/>
        <v>0</v>
      </c>
      <c r="BA184" s="270">
        <f t="shared" si="749"/>
        <v>0</v>
      </c>
      <c r="BB184" s="270">
        <f t="shared" si="749"/>
        <v>0</v>
      </c>
      <c r="BC184" s="270">
        <f t="shared" si="749"/>
        <v>0</v>
      </c>
      <c r="BD184" s="270">
        <f t="shared" si="749"/>
        <v>0</v>
      </c>
      <c r="BE184" s="270">
        <f t="shared" si="749"/>
        <v>0</v>
      </c>
      <c r="BF184" s="270">
        <f t="shared" si="749"/>
        <v>0</v>
      </c>
      <c r="BG184" s="270">
        <f t="shared" si="749"/>
        <v>0</v>
      </c>
      <c r="BH184" s="270">
        <f t="shared" si="749"/>
        <v>0</v>
      </c>
      <c r="BI184" s="270">
        <f t="shared" si="749"/>
        <v>0</v>
      </c>
      <c r="BJ184" s="270">
        <f t="shared" si="749"/>
        <v>0</v>
      </c>
      <c r="BK184" s="270">
        <f t="shared" si="749"/>
        <v>0</v>
      </c>
      <c r="BL184" s="233"/>
      <c r="BM184" s="234"/>
      <c r="BN184" s="234"/>
      <c r="BO184" s="234"/>
      <c r="BP184" s="234"/>
    </row>
    <row r="185" spans="1:68" ht="15.75" customHeight="1">
      <c r="A185" s="89"/>
      <c r="B185" s="136" t="s">
        <v>434</v>
      </c>
      <c r="C185" s="101" t="s">
        <v>435</v>
      </c>
      <c r="D185" s="91" t="s">
        <v>436</v>
      </c>
      <c r="E185" s="166"/>
      <c r="F185" s="166"/>
      <c r="G185" s="94" t="e">
        <f t="shared" si="738"/>
        <v>#DIV/0!</v>
      </c>
      <c r="H185" s="94" t="e">
        <f t="shared" si="739"/>
        <v>#DIV/0!</v>
      </c>
      <c r="I185" s="95"/>
      <c r="J185" s="146">
        <v>376.89</v>
      </c>
      <c r="K185" s="146"/>
      <c r="L185" s="272"/>
      <c r="M185" s="97">
        <f t="shared" ref="M185:O185" si="750">Y185+AB185+AE185+AH185+AK185+AN185+AQ185+AT185+AW185+AZ185+BC185+BF185</f>
        <v>0</v>
      </c>
      <c r="N185" s="97">
        <f t="shared" si="750"/>
        <v>376.89</v>
      </c>
      <c r="O185" s="97">
        <f t="shared" si="750"/>
        <v>0</v>
      </c>
      <c r="P185" s="97">
        <f t="shared" ref="P185:R185" si="751">IF(BI185=0,SUM(Y185+AB185+AE185+AH185+AK185+AN185+AQ185+AT185+AW185+AZ185+BC185+BF185),BI185)</f>
        <v>0</v>
      </c>
      <c r="Q185" s="97">
        <f t="shared" si="751"/>
        <v>376.89</v>
      </c>
      <c r="R185" s="97">
        <f t="shared" si="751"/>
        <v>0</v>
      </c>
      <c r="S185" s="97">
        <f t="shared" ref="S185:T185" si="752">I185-M185</f>
        <v>0</v>
      </c>
      <c r="T185" s="97">
        <f t="shared" si="752"/>
        <v>0</v>
      </c>
      <c r="U185" s="97">
        <f t="shared" ref="U185:U188" si="753">L185-O185</f>
        <v>0</v>
      </c>
      <c r="V185" s="98" t="e">
        <f t="shared" ref="V185:W185" si="754">M185/I185</f>
        <v>#DIV/0!</v>
      </c>
      <c r="W185" s="98">
        <f t="shared" si="754"/>
        <v>1</v>
      </c>
      <c r="X185" s="98" t="e">
        <f t="shared" si="699"/>
        <v>#DIV/0!</v>
      </c>
      <c r="Y185" s="96"/>
      <c r="Z185" s="96"/>
      <c r="AA185" s="96"/>
      <c r="AB185" s="96"/>
      <c r="AC185" s="103">
        <v>0</v>
      </c>
      <c r="AD185" s="96"/>
      <c r="AE185" s="96"/>
      <c r="AF185" s="96"/>
      <c r="AG185" s="96"/>
      <c r="AH185" s="96"/>
      <c r="AI185" s="103">
        <v>376.89</v>
      </c>
      <c r="AJ185" s="96"/>
      <c r="AK185" s="96"/>
      <c r="AL185" s="96"/>
      <c r="AM185" s="96"/>
      <c r="AN185" s="96"/>
      <c r="AO185" s="96"/>
      <c r="AP185" s="96"/>
      <c r="AQ185" s="96"/>
      <c r="AR185" s="96"/>
      <c r="AS185" s="96"/>
      <c r="AT185" s="96"/>
      <c r="AU185" s="96"/>
      <c r="AV185" s="96"/>
      <c r="AW185" s="96"/>
      <c r="AX185" s="96"/>
      <c r="AY185" s="96"/>
      <c r="AZ185" s="96"/>
      <c r="BA185" s="96"/>
      <c r="BB185" s="96"/>
      <c r="BC185" s="96"/>
      <c r="BD185" s="96"/>
      <c r="BE185" s="96"/>
      <c r="BF185" s="96"/>
      <c r="BG185" s="96"/>
      <c r="BH185" s="96"/>
      <c r="BI185" s="96"/>
      <c r="BJ185" s="96"/>
      <c r="BK185" s="96"/>
      <c r="BL185" s="99"/>
      <c r="BM185" s="100"/>
      <c r="BN185" s="100"/>
      <c r="BO185" s="100"/>
      <c r="BP185" s="100"/>
    </row>
    <row r="186" spans="1:68" ht="15.75" customHeight="1">
      <c r="A186" s="89"/>
      <c r="B186" s="273" t="s">
        <v>437</v>
      </c>
      <c r="C186" s="274" t="s">
        <v>438</v>
      </c>
      <c r="D186" s="236" t="s">
        <v>439</v>
      </c>
      <c r="E186" s="166"/>
      <c r="F186" s="166"/>
      <c r="G186" s="94"/>
      <c r="H186" s="94"/>
      <c r="I186" s="95"/>
      <c r="J186" s="275">
        <v>358.04</v>
      </c>
      <c r="K186" s="355">
        <v>358.04</v>
      </c>
      <c r="L186" s="272"/>
      <c r="M186" s="97">
        <f t="shared" ref="M186:O186" si="755">Y186+AB186+AE186+AH186+AK186+AN186+AQ186+AT186+AW186+AZ186+BC186+BF186</f>
        <v>0</v>
      </c>
      <c r="N186" s="97">
        <f t="shared" si="755"/>
        <v>0</v>
      </c>
      <c r="O186" s="97">
        <f t="shared" si="755"/>
        <v>0</v>
      </c>
      <c r="P186" s="97">
        <f t="shared" ref="P186:R186" si="756">IF(BI186=0,SUM(Y186+AB186+AE186+AH186+AK186+AN186+AQ186+AT186+AW186+AZ186+BC186+BF186),BI186)</f>
        <v>0</v>
      </c>
      <c r="Q186" s="97">
        <f t="shared" si="756"/>
        <v>0</v>
      </c>
      <c r="R186" s="97">
        <f t="shared" si="756"/>
        <v>0</v>
      </c>
      <c r="S186" s="97">
        <f t="shared" ref="S186:S188" si="757">I186-M186</f>
        <v>0</v>
      </c>
      <c r="T186" s="97">
        <f>J186-K186-N186</f>
        <v>0</v>
      </c>
      <c r="U186" s="97">
        <f t="shared" si="753"/>
        <v>0</v>
      </c>
      <c r="V186" s="98" t="e">
        <f t="shared" ref="V186:W186" si="758">M186/I186</f>
        <v>#DIV/0!</v>
      </c>
      <c r="W186" s="98">
        <f t="shared" si="758"/>
        <v>0</v>
      </c>
      <c r="X186" s="98" t="e">
        <f t="shared" si="699"/>
        <v>#DIV/0!</v>
      </c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6"/>
      <c r="AO186" s="96"/>
      <c r="AP186" s="96"/>
      <c r="AQ186" s="96"/>
      <c r="AR186" s="96"/>
      <c r="AS186" s="96"/>
      <c r="AT186" s="96"/>
      <c r="AU186" s="96"/>
      <c r="AV186" s="96"/>
      <c r="AW186" s="96"/>
      <c r="AX186" s="96"/>
      <c r="AY186" s="96"/>
      <c r="AZ186" s="96"/>
      <c r="BA186" s="96"/>
      <c r="BB186" s="96"/>
      <c r="BC186" s="96"/>
      <c r="BD186" s="96"/>
      <c r="BE186" s="96"/>
      <c r="BF186" s="96"/>
      <c r="BG186" s="96"/>
      <c r="BH186" s="96"/>
      <c r="BI186" s="96"/>
      <c r="BJ186" s="96"/>
      <c r="BK186" s="96"/>
      <c r="BL186" s="99"/>
      <c r="BM186" s="100"/>
      <c r="BN186" s="100"/>
      <c r="BO186" s="100"/>
      <c r="BP186" s="100"/>
    </row>
    <row r="187" spans="1:68" ht="15.75" customHeight="1">
      <c r="A187" s="89"/>
      <c r="B187" s="89"/>
      <c r="C187" s="90" t="s">
        <v>318</v>
      </c>
      <c r="D187" s="91" t="s">
        <v>440</v>
      </c>
      <c r="E187" s="166"/>
      <c r="F187" s="166"/>
      <c r="G187" s="94" t="e">
        <f t="shared" ref="G187:G188" si="759">I187/E187</f>
        <v>#DIV/0!</v>
      </c>
      <c r="H187" s="94" t="e">
        <f t="shared" ref="H187:H188" si="760">M187/E187</f>
        <v>#DIV/0!</v>
      </c>
      <c r="I187" s="95"/>
      <c r="J187" s="95"/>
      <c r="K187" s="95"/>
      <c r="L187" s="272"/>
      <c r="M187" s="97">
        <f t="shared" ref="M187:O187" si="761">Y187+AB187+AE187+AH187+AK187+AN187+AQ187+AT187+AW187+AZ187+BC187+BF187</f>
        <v>0</v>
      </c>
      <c r="N187" s="97">
        <f t="shared" si="761"/>
        <v>0</v>
      </c>
      <c r="O187" s="97">
        <f t="shared" si="761"/>
        <v>0</v>
      </c>
      <c r="P187" s="97">
        <f t="shared" ref="P187:R187" si="762">IF(BI187=0,SUM(Y187+AB187+AE187+AH187+AK187+AN187+AQ187+AT187+AW187+AZ187+BC187+BF187),BI187)</f>
        <v>0</v>
      </c>
      <c r="Q187" s="97">
        <f t="shared" si="762"/>
        <v>0</v>
      </c>
      <c r="R187" s="97">
        <f t="shared" si="762"/>
        <v>0</v>
      </c>
      <c r="S187" s="97">
        <f t="shared" si="757"/>
        <v>0</v>
      </c>
      <c r="T187" s="97">
        <f t="shared" ref="T187:T188" si="763">J187-N187</f>
        <v>0</v>
      </c>
      <c r="U187" s="97">
        <f t="shared" si="753"/>
        <v>0</v>
      </c>
      <c r="V187" s="98" t="e">
        <f t="shared" ref="V187:W187" si="764">M187/I187</f>
        <v>#DIV/0!</v>
      </c>
      <c r="W187" s="98" t="e">
        <f t="shared" si="764"/>
        <v>#DIV/0!</v>
      </c>
      <c r="X187" s="98" t="e">
        <f t="shared" si="699"/>
        <v>#DIV/0!</v>
      </c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6"/>
      <c r="AO187" s="96"/>
      <c r="AP187" s="96"/>
      <c r="AQ187" s="96"/>
      <c r="AR187" s="96"/>
      <c r="AS187" s="96"/>
      <c r="AT187" s="96"/>
      <c r="AU187" s="96"/>
      <c r="AV187" s="96"/>
      <c r="AW187" s="96"/>
      <c r="AX187" s="96"/>
      <c r="AY187" s="96"/>
      <c r="AZ187" s="96"/>
      <c r="BA187" s="96"/>
      <c r="BB187" s="96"/>
      <c r="BC187" s="96"/>
      <c r="BD187" s="96"/>
      <c r="BE187" s="96"/>
      <c r="BF187" s="96"/>
      <c r="BG187" s="96"/>
      <c r="BH187" s="96"/>
      <c r="BI187" s="96"/>
      <c r="BJ187" s="96"/>
      <c r="BK187" s="96"/>
      <c r="BL187" s="99"/>
      <c r="BM187" s="100"/>
      <c r="BN187" s="100"/>
      <c r="BO187" s="100"/>
      <c r="BP187" s="100"/>
    </row>
    <row r="188" spans="1:68" ht="15.75" customHeight="1">
      <c r="A188" s="89"/>
      <c r="B188" s="89"/>
      <c r="C188" s="90" t="s">
        <v>357</v>
      </c>
      <c r="D188" s="91" t="s">
        <v>441</v>
      </c>
      <c r="E188" s="166"/>
      <c r="F188" s="166"/>
      <c r="G188" s="94" t="e">
        <f t="shared" si="759"/>
        <v>#DIV/0!</v>
      </c>
      <c r="H188" s="94" t="e">
        <f t="shared" si="760"/>
        <v>#DIV/0!</v>
      </c>
      <c r="I188" s="95"/>
      <c r="J188" s="95"/>
      <c r="K188" s="95"/>
      <c r="L188" s="276"/>
      <c r="M188" s="97">
        <f t="shared" ref="M188:O188" si="765">Y188+AB188+AE188+AH188+AK188+AN188+AQ188+AT188+AW188+AZ188+BC188+BF188</f>
        <v>0</v>
      </c>
      <c r="N188" s="97">
        <f t="shared" si="765"/>
        <v>0</v>
      </c>
      <c r="O188" s="97">
        <f t="shared" si="765"/>
        <v>0</v>
      </c>
      <c r="P188" s="97">
        <f t="shared" ref="P188:R188" si="766">IF(BI188=0,SUM(Y188+AB188+AE188+AH188+AK188+AN188+AQ188+AT188+AW188+AZ188+BC188+BF188),BI188)</f>
        <v>0</v>
      </c>
      <c r="Q188" s="97">
        <f t="shared" si="766"/>
        <v>0</v>
      </c>
      <c r="R188" s="97">
        <f t="shared" si="766"/>
        <v>0</v>
      </c>
      <c r="S188" s="97">
        <f t="shared" si="757"/>
        <v>0</v>
      </c>
      <c r="T188" s="97">
        <f t="shared" si="763"/>
        <v>0</v>
      </c>
      <c r="U188" s="97">
        <f t="shared" si="753"/>
        <v>0</v>
      </c>
      <c r="V188" s="98" t="e">
        <f t="shared" ref="V188:W188" si="767">M188/I188</f>
        <v>#DIV/0!</v>
      </c>
      <c r="W188" s="98" t="e">
        <f t="shared" si="767"/>
        <v>#DIV/0!</v>
      </c>
      <c r="X188" s="98" t="e">
        <f t="shared" si="699"/>
        <v>#DIV/0!</v>
      </c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6"/>
      <c r="AO188" s="96"/>
      <c r="AP188" s="96"/>
      <c r="AQ188" s="96"/>
      <c r="AR188" s="96"/>
      <c r="AS188" s="96"/>
      <c r="AT188" s="96"/>
      <c r="AU188" s="96"/>
      <c r="AV188" s="96"/>
      <c r="AW188" s="96"/>
      <c r="AX188" s="96"/>
      <c r="AY188" s="96"/>
      <c r="AZ188" s="96"/>
      <c r="BA188" s="96"/>
      <c r="BB188" s="96"/>
      <c r="BC188" s="96"/>
      <c r="BD188" s="96"/>
      <c r="BE188" s="96"/>
      <c r="BF188" s="96"/>
      <c r="BG188" s="96"/>
      <c r="BH188" s="96"/>
      <c r="BI188" s="96"/>
      <c r="BJ188" s="96"/>
      <c r="BK188" s="96"/>
      <c r="BL188" s="99"/>
      <c r="BM188" s="100"/>
      <c r="BN188" s="100"/>
      <c r="BO188" s="100"/>
      <c r="BP188" s="100"/>
    </row>
    <row r="189" spans="1:68" ht="15.75" customHeight="1">
      <c r="A189" s="277"/>
      <c r="B189" s="277"/>
      <c r="C189" s="278"/>
      <c r="D189" s="279"/>
      <c r="E189" s="279"/>
      <c r="F189" s="279"/>
      <c r="G189" s="280"/>
      <c r="H189" s="280"/>
      <c r="I189" s="280"/>
      <c r="J189" s="280"/>
      <c r="K189" s="280"/>
      <c r="L189" s="280"/>
      <c r="M189" s="280"/>
      <c r="N189" s="280"/>
      <c r="O189" s="280"/>
      <c r="P189" s="281"/>
      <c r="Q189" s="281"/>
      <c r="R189" s="281"/>
      <c r="S189" s="280"/>
      <c r="T189" s="280"/>
      <c r="U189" s="280"/>
      <c r="V189" s="280"/>
      <c r="W189" s="282"/>
      <c r="X189" s="280"/>
      <c r="Y189" s="280"/>
      <c r="Z189" s="280"/>
      <c r="AA189" s="280"/>
      <c r="AB189" s="280"/>
      <c r="AC189" s="280"/>
      <c r="AD189" s="280"/>
      <c r="AE189" s="280"/>
      <c r="AF189" s="280"/>
      <c r="AG189" s="280"/>
      <c r="AH189" s="280"/>
      <c r="AI189" s="280"/>
      <c r="AJ189" s="280"/>
      <c r="AK189" s="280"/>
      <c r="AL189" s="280"/>
      <c r="AM189" s="280"/>
      <c r="AN189" s="280"/>
      <c r="AO189" s="280"/>
      <c r="AP189" s="280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0"/>
      <c r="BA189" s="280"/>
      <c r="BB189" s="280"/>
      <c r="BC189" s="280"/>
      <c r="BD189" s="280"/>
      <c r="BE189" s="280"/>
      <c r="BF189" s="280"/>
      <c r="BG189" s="280"/>
      <c r="BH189" s="280"/>
      <c r="BI189" s="280"/>
      <c r="BJ189" s="280"/>
      <c r="BK189" s="280"/>
      <c r="BL189" s="21"/>
      <c r="BM189" s="21"/>
      <c r="BN189" s="21"/>
      <c r="BO189" s="21"/>
      <c r="BP189" s="21"/>
    </row>
    <row r="190" spans="1:68" ht="15.75" customHeight="1">
      <c r="A190" s="277"/>
      <c r="B190" s="277"/>
      <c r="C190" s="278"/>
      <c r="D190" s="283" t="s">
        <v>442</v>
      </c>
      <c r="E190" s="284" t="s">
        <v>62</v>
      </c>
      <c r="F190" s="284" t="s">
        <v>63</v>
      </c>
      <c r="G190" s="571" t="s">
        <v>443</v>
      </c>
      <c r="H190" s="561"/>
      <c r="I190" s="285" t="s">
        <v>62</v>
      </c>
      <c r="J190" s="285" t="s">
        <v>147</v>
      </c>
      <c r="K190" s="285"/>
      <c r="L190" s="285" t="s">
        <v>63</v>
      </c>
      <c r="M190" s="285" t="s">
        <v>62</v>
      </c>
      <c r="N190" s="285" t="s">
        <v>147</v>
      </c>
      <c r="O190" s="285" t="s">
        <v>63</v>
      </c>
      <c r="P190" s="285" t="s">
        <v>62</v>
      </c>
      <c r="Q190" s="285" t="s">
        <v>147</v>
      </c>
      <c r="R190" s="285" t="s">
        <v>63</v>
      </c>
      <c r="S190" s="286"/>
      <c r="T190" s="286"/>
      <c r="U190" s="286"/>
      <c r="V190" s="286"/>
      <c r="W190" s="287"/>
      <c r="X190" s="286"/>
      <c r="Y190" s="571" t="s">
        <v>444</v>
      </c>
      <c r="Z190" s="560"/>
      <c r="AA190" s="560"/>
      <c r="AB190" s="560"/>
      <c r="AC190" s="560"/>
      <c r="AD190" s="561"/>
      <c r="AE190" s="559" t="s">
        <v>445</v>
      </c>
      <c r="AF190" s="560"/>
      <c r="AG190" s="560"/>
      <c r="AH190" s="560"/>
      <c r="AI190" s="560"/>
      <c r="AJ190" s="561"/>
      <c r="AK190" s="574" t="s">
        <v>446</v>
      </c>
      <c r="AL190" s="560"/>
      <c r="AM190" s="560"/>
      <c r="AN190" s="560"/>
      <c r="AO190" s="560"/>
      <c r="AP190" s="561"/>
      <c r="AQ190" s="559" t="s">
        <v>447</v>
      </c>
      <c r="AR190" s="560"/>
      <c r="AS190" s="560"/>
      <c r="AT190" s="560"/>
      <c r="AU190" s="560"/>
      <c r="AV190" s="561"/>
      <c r="AW190" s="573" t="s">
        <v>448</v>
      </c>
      <c r="AX190" s="560"/>
      <c r="AY190" s="560"/>
      <c r="AZ190" s="560"/>
      <c r="BA190" s="560"/>
      <c r="BB190" s="561"/>
      <c r="BC190" s="280"/>
      <c r="BD190" s="280"/>
      <c r="BE190" s="280"/>
      <c r="BF190" s="280"/>
      <c r="BG190" s="280"/>
      <c r="BH190" s="280"/>
      <c r="BI190" s="280"/>
      <c r="BJ190" s="280"/>
      <c r="BK190" s="280"/>
    </row>
    <row r="191" spans="1:68" ht="15.75" customHeight="1">
      <c r="A191" s="288"/>
      <c r="B191" s="288"/>
      <c r="C191" s="289"/>
      <c r="D191" s="290" t="s">
        <v>449</v>
      </c>
      <c r="E191" s="291">
        <f t="shared" ref="E191:F191" si="768">E4+E12+E68+E97+E160</f>
        <v>2379653.64</v>
      </c>
      <c r="F191" s="291">
        <f t="shared" si="768"/>
        <v>4679094.3600000003</v>
      </c>
      <c r="G191" s="292" t="s">
        <v>62</v>
      </c>
      <c r="H191" s="292" t="s">
        <v>63</v>
      </c>
      <c r="I191" s="293"/>
      <c r="J191" s="290"/>
      <c r="K191" s="290"/>
      <c r="L191" s="293"/>
      <c r="M191" s="293"/>
      <c r="N191" s="293"/>
      <c r="O191" s="293"/>
      <c r="P191" s="293"/>
      <c r="Q191" s="293"/>
      <c r="R191" s="293"/>
      <c r="S191" s="286"/>
      <c r="T191" s="286"/>
      <c r="U191" s="286"/>
      <c r="V191" s="286"/>
      <c r="W191" s="287"/>
      <c r="X191" s="286"/>
      <c r="Y191" s="294" t="s">
        <v>174</v>
      </c>
      <c r="Z191" s="295" t="s">
        <v>175</v>
      </c>
      <c r="AA191" s="295" t="s">
        <v>176</v>
      </c>
      <c r="AB191" s="296" t="s">
        <v>177</v>
      </c>
      <c r="AC191" s="294" t="s">
        <v>178</v>
      </c>
      <c r="AD191" s="294" t="s">
        <v>179</v>
      </c>
      <c r="AE191" s="294" t="s">
        <v>174</v>
      </c>
      <c r="AF191" s="295" t="s">
        <v>175</v>
      </c>
      <c r="AG191" s="295" t="s">
        <v>176</v>
      </c>
      <c r="AH191" s="296" t="s">
        <v>177</v>
      </c>
      <c r="AI191" s="294" t="s">
        <v>178</v>
      </c>
      <c r="AJ191" s="294" t="s">
        <v>179</v>
      </c>
      <c r="AK191" s="294" t="s">
        <v>174</v>
      </c>
      <c r="AL191" s="295" t="s">
        <v>175</v>
      </c>
      <c r="AM191" s="295" t="s">
        <v>176</v>
      </c>
      <c r="AN191" s="296" t="s">
        <v>177</v>
      </c>
      <c r="AO191" s="294" t="s">
        <v>178</v>
      </c>
      <c r="AP191" s="294" t="s">
        <v>179</v>
      </c>
      <c r="AQ191" s="294" t="s">
        <v>174</v>
      </c>
      <c r="AR191" s="295" t="s">
        <v>175</v>
      </c>
      <c r="AS191" s="295" t="s">
        <v>176</v>
      </c>
      <c r="AT191" s="296" t="s">
        <v>177</v>
      </c>
      <c r="AU191" s="294" t="s">
        <v>178</v>
      </c>
      <c r="AV191" s="294" t="s">
        <v>179</v>
      </c>
      <c r="AW191" s="294" t="s">
        <v>174</v>
      </c>
      <c r="AX191" s="295" t="s">
        <v>175</v>
      </c>
      <c r="AY191" s="295" t="s">
        <v>176</v>
      </c>
      <c r="AZ191" s="296" t="s">
        <v>177</v>
      </c>
      <c r="BA191" s="294" t="s">
        <v>178</v>
      </c>
      <c r="BB191" s="294" t="s">
        <v>179</v>
      </c>
      <c r="BC191" s="280"/>
      <c r="BD191" s="280"/>
      <c r="BE191" s="280"/>
      <c r="BF191" s="280"/>
      <c r="BG191" s="280"/>
      <c r="BH191" s="280"/>
      <c r="BI191" s="280"/>
      <c r="BJ191" s="280"/>
      <c r="BK191" s="280"/>
    </row>
    <row r="192" spans="1:68" ht="15.75" customHeight="1">
      <c r="A192" s="297"/>
      <c r="B192" s="297"/>
      <c r="C192" s="298"/>
      <c r="D192" s="290" t="s">
        <v>450</v>
      </c>
      <c r="E192" s="299">
        <f>SUM(Y192:AD192)+SUM(Y194:AD194)</f>
        <v>2063420</v>
      </c>
      <c r="F192" s="299">
        <f>SUM(AE192:BB192)+SUM(AE194:BB194)</f>
        <v>1041445.03</v>
      </c>
      <c r="G192" s="300">
        <f t="shared" ref="G192:H192" si="769">E192/E191</f>
        <v>0.86710938319578301</v>
      </c>
      <c r="H192" s="300">
        <f t="shared" si="769"/>
        <v>0.22257406025041135</v>
      </c>
      <c r="I192" s="293"/>
      <c r="J192" s="293"/>
      <c r="K192" s="293"/>
      <c r="L192" s="293"/>
      <c r="M192" s="293"/>
      <c r="N192" s="293"/>
      <c r="O192" s="293"/>
      <c r="P192" s="293"/>
      <c r="Q192" s="293"/>
      <c r="R192" s="293"/>
      <c r="S192" s="286"/>
      <c r="T192" s="286"/>
      <c r="U192" s="286"/>
      <c r="V192" s="286"/>
      <c r="W192" s="287"/>
      <c r="X192" s="286"/>
      <c r="Y192" s="301"/>
      <c r="Z192" s="351">
        <f>594913-198304</f>
        <v>396609</v>
      </c>
      <c r="AA192" s="302"/>
      <c r="AB192" s="352">
        <v>971522</v>
      </c>
      <c r="AC192" s="352">
        <v>2100</v>
      </c>
      <c r="AD192" s="352">
        <f>70000+623189</f>
        <v>693189</v>
      </c>
      <c r="AE192" s="301"/>
      <c r="AF192" s="351">
        <f>72000+53000</f>
        <v>125000</v>
      </c>
      <c r="AG192" s="302"/>
      <c r="AH192" s="352">
        <f>170859+151403</f>
        <v>322262</v>
      </c>
      <c r="AI192" s="352">
        <v>40000</v>
      </c>
      <c r="AJ192" s="303"/>
      <c r="AK192" s="301"/>
      <c r="AL192" s="302">
        <f>1856+82176</f>
        <v>84032</v>
      </c>
      <c r="AM192" s="302"/>
      <c r="AN192" s="303"/>
      <c r="AO192" s="352"/>
      <c r="AP192" s="303"/>
      <c r="AQ192" s="301"/>
      <c r="AR192" s="302"/>
      <c r="AS192" s="302"/>
      <c r="AT192" s="303"/>
      <c r="AU192" s="303"/>
      <c r="AV192" s="303"/>
      <c r="AW192" s="301"/>
      <c r="AX192" s="302"/>
      <c r="AY192" s="351">
        <v>92981.17</v>
      </c>
      <c r="AZ192" s="352">
        <f>33207.88+10000</f>
        <v>43207.88</v>
      </c>
      <c r="BA192" s="352"/>
      <c r="BB192" s="352">
        <v>2000</v>
      </c>
      <c r="BC192" s="60"/>
      <c r="BD192" s="60"/>
      <c r="BE192" s="60"/>
      <c r="BF192" s="60"/>
      <c r="BG192" s="60"/>
      <c r="BH192" s="60"/>
      <c r="BI192" s="60"/>
      <c r="BJ192" s="60"/>
      <c r="BK192" s="60"/>
    </row>
    <row r="193" spans="1:68" ht="15.75" customHeight="1">
      <c r="A193" s="297"/>
      <c r="B193" s="297"/>
      <c r="C193" s="298"/>
      <c r="D193" s="290" t="s">
        <v>451</v>
      </c>
      <c r="E193" s="291">
        <f>I193</f>
        <v>2526632.2999999998</v>
      </c>
      <c r="F193" s="291">
        <f>L193</f>
        <v>95146.54</v>
      </c>
      <c r="G193" s="300">
        <f t="shared" ref="G193:H193" si="770">E193/E192</f>
        <v>1.2244876467224317</v>
      </c>
      <c r="H193" s="300">
        <f t="shared" si="770"/>
        <v>9.1360117201769148E-2</v>
      </c>
      <c r="I193" s="304">
        <f t="shared" ref="I193:J193" si="771">I4+I12+I68+I97+I160</f>
        <v>2526632.2999999998</v>
      </c>
      <c r="J193" s="304">
        <f t="shared" si="771"/>
        <v>2466010.4700000002</v>
      </c>
      <c r="K193" s="304"/>
      <c r="L193" s="304">
        <f>L4+L12+L68+L97+L160</f>
        <v>95146.54</v>
      </c>
      <c r="M193" s="304"/>
      <c r="N193" s="304"/>
      <c r="O193" s="304"/>
      <c r="P193" s="293"/>
      <c r="Q193" s="293"/>
      <c r="R193" s="293"/>
      <c r="S193" s="286"/>
      <c r="T193" s="286"/>
      <c r="U193" s="286"/>
      <c r="V193" s="286"/>
      <c r="W193" s="287"/>
      <c r="X193" s="286"/>
      <c r="Y193" s="294" t="s">
        <v>180</v>
      </c>
      <c r="Z193" s="305" t="s">
        <v>181</v>
      </c>
      <c r="AA193" s="305" t="s">
        <v>182</v>
      </c>
      <c r="AB193" s="306" t="s">
        <v>183</v>
      </c>
      <c r="AC193" s="307" t="s">
        <v>184</v>
      </c>
      <c r="AD193" s="307" t="s">
        <v>185</v>
      </c>
      <c r="AE193" s="294" t="s">
        <v>180</v>
      </c>
      <c r="AF193" s="305" t="s">
        <v>181</v>
      </c>
      <c r="AG193" s="305" t="s">
        <v>182</v>
      </c>
      <c r="AH193" s="306" t="s">
        <v>183</v>
      </c>
      <c r="AI193" s="307" t="s">
        <v>184</v>
      </c>
      <c r="AJ193" s="307" t="s">
        <v>185</v>
      </c>
      <c r="AK193" s="294" t="s">
        <v>180</v>
      </c>
      <c r="AL193" s="305" t="s">
        <v>181</v>
      </c>
      <c r="AM193" s="305" t="s">
        <v>182</v>
      </c>
      <c r="AN193" s="306" t="s">
        <v>183</v>
      </c>
      <c r="AO193" s="307" t="s">
        <v>184</v>
      </c>
      <c r="AP193" s="307" t="s">
        <v>185</v>
      </c>
      <c r="AQ193" s="294" t="s">
        <v>180</v>
      </c>
      <c r="AR193" s="305" t="s">
        <v>181</v>
      </c>
      <c r="AS193" s="305" t="s">
        <v>182</v>
      </c>
      <c r="AT193" s="306" t="s">
        <v>183</v>
      </c>
      <c r="AU193" s="307" t="s">
        <v>184</v>
      </c>
      <c r="AV193" s="307" t="s">
        <v>185</v>
      </c>
      <c r="AW193" s="294" t="s">
        <v>180</v>
      </c>
      <c r="AX193" s="305" t="s">
        <v>181</v>
      </c>
      <c r="AY193" s="305" t="s">
        <v>182</v>
      </c>
      <c r="AZ193" s="306" t="s">
        <v>183</v>
      </c>
      <c r="BA193" s="307" t="s">
        <v>184</v>
      </c>
      <c r="BB193" s="307" t="s">
        <v>185</v>
      </c>
      <c r="BC193" s="60"/>
      <c r="BD193" s="60"/>
      <c r="BE193" s="60"/>
      <c r="BF193" s="60"/>
      <c r="BG193" s="60"/>
      <c r="BH193" s="60"/>
      <c r="BI193" s="60"/>
      <c r="BJ193" s="60"/>
      <c r="BK193" s="60"/>
    </row>
    <row r="194" spans="1:68" ht="15.75" customHeight="1">
      <c r="A194" s="297"/>
      <c r="B194" s="297"/>
      <c r="C194" s="298"/>
      <c r="D194" s="290" t="s">
        <v>452</v>
      </c>
      <c r="E194" s="291">
        <f>M194</f>
        <v>444162.43000000011</v>
      </c>
      <c r="F194" s="291">
        <f>O194</f>
        <v>0</v>
      </c>
      <c r="G194" s="300">
        <f t="shared" ref="G194:H194" si="772">E194/E192</f>
        <v>0.21525546422928929</v>
      </c>
      <c r="H194" s="300">
        <f t="shared" si="772"/>
        <v>0</v>
      </c>
      <c r="I194" s="308"/>
      <c r="J194" s="308"/>
      <c r="K194" s="308"/>
      <c r="L194" s="308"/>
      <c r="M194" s="299">
        <f t="shared" ref="M194:O194" si="773">M4+M12+M68+M97+M160</f>
        <v>444162.43000000011</v>
      </c>
      <c r="N194" s="299">
        <f t="shared" si="773"/>
        <v>1757665.72</v>
      </c>
      <c r="O194" s="299">
        <f t="shared" si="773"/>
        <v>0</v>
      </c>
      <c r="P194" s="293"/>
      <c r="Q194" s="293"/>
      <c r="R194" s="293"/>
      <c r="S194" s="286"/>
      <c r="T194" s="286"/>
      <c r="U194" s="286"/>
      <c r="V194" s="286"/>
      <c r="W194" s="287"/>
      <c r="X194" s="286"/>
      <c r="Y194" s="301"/>
      <c r="Z194" s="302"/>
      <c r="AA194" s="302"/>
      <c r="AB194" s="303"/>
      <c r="AC194" s="303"/>
      <c r="AD194" s="303"/>
      <c r="AE194" s="301"/>
      <c r="AF194" s="302"/>
      <c r="AG194" s="302"/>
      <c r="AH194" s="303"/>
      <c r="AI194" s="303"/>
      <c r="AJ194" s="303"/>
      <c r="AK194" s="301"/>
      <c r="AL194" s="302"/>
      <c r="AM194" s="302"/>
      <c r="AN194" s="303"/>
      <c r="AO194" s="303"/>
      <c r="AP194" s="303"/>
      <c r="AQ194" s="301"/>
      <c r="AR194" s="302"/>
      <c r="AS194" s="302"/>
      <c r="AT194" s="303"/>
      <c r="AU194" s="303"/>
      <c r="AV194" s="303"/>
      <c r="AW194" s="301">
        <f>90240+19555.38+222166.6</f>
        <v>331961.98</v>
      </c>
      <c r="AX194" s="302"/>
      <c r="AY194" s="302"/>
      <c r="AZ194" s="303"/>
      <c r="BA194" s="303"/>
      <c r="BB194" s="303"/>
      <c r="BC194" s="60"/>
      <c r="BD194" s="60"/>
      <c r="BE194" s="60"/>
      <c r="BF194" s="60"/>
      <c r="BG194" s="60"/>
      <c r="BH194" s="60"/>
      <c r="BI194" s="60"/>
      <c r="BJ194" s="60"/>
      <c r="BK194" s="60"/>
    </row>
    <row r="195" spans="1:68" ht="15.75" customHeight="1">
      <c r="A195" s="297"/>
      <c r="B195" s="297"/>
      <c r="C195" s="309"/>
      <c r="D195" s="290" t="s">
        <v>453</v>
      </c>
      <c r="E195" s="291">
        <f>P195</f>
        <v>449119.37000000005</v>
      </c>
      <c r="F195" s="291">
        <f>R195</f>
        <v>0</v>
      </c>
      <c r="G195" s="300">
        <f t="shared" ref="G195:H195" si="774">E195/E192</f>
        <v>0.21765775750937766</v>
      </c>
      <c r="H195" s="300">
        <f t="shared" si="774"/>
        <v>0</v>
      </c>
      <c r="I195" s="308"/>
      <c r="J195" s="308"/>
      <c r="K195" s="308"/>
      <c r="L195" s="308"/>
      <c r="M195" s="308"/>
      <c r="N195" s="308"/>
      <c r="O195" s="308"/>
      <c r="P195" s="304">
        <f t="shared" ref="P195:R195" si="775">P4+P12+P68+P97+P160</f>
        <v>449119.37000000005</v>
      </c>
      <c r="Q195" s="304">
        <f t="shared" si="775"/>
        <v>1844770.46</v>
      </c>
      <c r="R195" s="304">
        <f t="shared" si="775"/>
        <v>0</v>
      </c>
      <c r="S195" s="286"/>
      <c r="T195" s="286"/>
      <c r="U195" s="286"/>
      <c r="V195" s="286"/>
      <c r="W195" s="287"/>
      <c r="X195" s="286"/>
      <c r="Y195" s="286"/>
      <c r="Z195" s="310"/>
      <c r="AA195" s="310"/>
      <c r="AB195" s="311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AY195" s="60"/>
      <c r="AZ195" s="60"/>
      <c r="BA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</row>
    <row r="196" spans="1:68" ht="15.75" customHeight="1">
      <c r="A196" s="297"/>
      <c r="B196" s="297"/>
      <c r="C196" s="309"/>
      <c r="D196" s="312" t="s">
        <v>454</v>
      </c>
      <c r="E196" s="313">
        <f t="shared" ref="E196:F196" si="776">E191-E192</f>
        <v>316233.64000000013</v>
      </c>
      <c r="F196" s="313">
        <f t="shared" si="776"/>
        <v>3637649.33</v>
      </c>
      <c r="G196" s="314">
        <f t="shared" ref="G196:H196" si="777">E196/E191</f>
        <v>0.13289061680421699</v>
      </c>
      <c r="H196" s="314">
        <f t="shared" si="777"/>
        <v>0.77742593974958862</v>
      </c>
      <c r="I196" s="286"/>
      <c r="J196" s="286"/>
      <c r="K196" s="286"/>
      <c r="L196" s="286"/>
      <c r="M196" s="286"/>
      <c r="N196" s="286"/>
      <c r="O196" s="286"/>
      <c r="P196" s="286"/>
      <c r="Q196" s="286"/>
      <c r="R196" s="286"/>
      <c r="S196" s="286"/>
      <c r="T196" s="286"/>
      <c r="U196" s="286"/>
      <c r="V196" s="286"/>
      <c r="W196" s="287"/>
      <c r="X196" s="286"/>
      <c r="Y196" s="286"/>
      <c r="Z196" s="562"/>
      <c r="AA196" s="546"/>
      <c r="AB196" s="311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AY196" s="60"/>
      <c r="AZ196" s="60"/>
      <c r="BA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</row>
    <row r="197" spans="1:68" ht="15.75" customHeight="1">
      <c r="A197" s="297"/>
      <c r="B197" s="297"/>
      <c r="C197" s="309"/>
      <c r="D197" s="312" t="s">
        <v>455</v>
      </c>
      <c r="E197" s="315">
        <f>E192-I193</f>
        <v>-463212.29999999981</v>
      </c>
      <c r="F197" s="315">
        <f>F192-L193</f>
        <v>946298.49</v>
      </c>
      <c r="G197" s="314">
        <f t="shared" ref="G197:H197" si="778">E197/E192</f>
        <v>-0.2244876467224316</v>
      </c>
      <c r="H197" s="314">
        <f t="shared" si="778"/>
        <v>0.90863988279823082</v>
      </c>
      <c r="I197" s="286"/>
      <c r="J197" s="286"/>
      <c r="K197" s="286"/>
      <c r="L197" s="286"/>
      <c r="M197" s="286"/>
      <c r="N197" s="286"/>
      <c r="O197" s="286"/>
      <c r="P197" s="286"/>
      <c r="Q197" s="286"/>
      <c r="R197" s="286"/>
      <c r="S197" s="286"/>
      <c r="T197" s="286"/>
      <c r="U197" s="286"/>
      <c r="V197" s="286"/>
      <c r="W197" s="287"/>
      <c r="X197" s="286"/>
      <c r="Y197" s="286"/>
      <c r="Z197" s="316"/>
      <c r="AA197" s="310"/>
      <c r="AB197" s="311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</row>
    <row r="198" spans="1:68" ht="15.75" customHeight="1">
      <c r="A198" s="297"/>
      <c r="B198" s="297"/>
      <c r="C198" s="309"/>
      <c r="D198" s="312" t="s">
        <v>456</v>
      </c>
      <c r="E198" s="315">
        <f>I193-M194</f>
        <v>2082469.8699999996</v>
      </c>
      <c r="F198" s="315">
        <f>L193-O194</f>
        <v>95146.54</v>
      </c>
      <c r="G198" s="314">
        <f>E198/I193</f>
        <v>0.82420772899958561</v>
      </c>
      <c r="H198" s="314">
        <f>F198/L193</f>
        <v>1</v>
      </c>
      <c r="I198" s="286"/>
      <c r="J198" s="286"/>
      <c r="K198" s="286"/>
      <c r="L198" s="286"/>
      <c r="M198" s="286"/>
      <c r="N198" s="286"/>
      <c r="O198" s="286"/>
      <c r="P198" s="286"/>
      <c r="Q198" s="286"/>
      <c r="R198" s="286"/>
      <c r="S198" s="286"/>
      <c r="T198" s="286"/>
      <c r="U198" s="286"/>
      <c r="V198" s="286"/>
      <c r="W198" s="287"/>
      <c r="X198" s="286"/>
      <c r="Y198" s="286"/>
      <c r="Z198" s="310"/>
      <c r="AA198" s="310"/>
      <c r="AB198" s="311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AY198" s="60"/>
      <c r="AZ198" s="60"/>
      <c r="BA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</row>
    <row r="199" spans="1:68" ht="15.75" customHeight="1">
      <c r="A199" s="297"/>
      <c r="B199" s="297"/>
      <c r="C199" s="309"/>
      <c r="D199" s="312" t="s">
        <v>457</v>
      </c>
      <c r="E199" s="315">
        <f>M194-P195</f>
        <v>-4956.9399999999441</v>
      </c>
      <c r="F199" s="315">
        <f>O194-R195</f>
        <v>0</v>
      </c>
      <c r="G199" s="314">
        <f>E199/M194</f>
        <v>-1.1160196507390197E-2</v>
      </c>
      <c r="H199" s="314" t="e">
        <f>F199/O194</f>
        <v>#DIV/0!</v>
      </c>
      <c r="I199" s="286"/>
      <c r="J199" s="286"/>
      <c r="K199" s="286"/>
      <c r="L199" s="286"/>
      <c r="M199" s="286"/>
      <c r="N199" s="286"/>
      <c r="O199" s="286"/>
      <c r="P199" s="286"/>
      <c r="Q199" s="286"/>
      <c r="R199" s="286"/>
      <c r="S199" s="286"/>
      <c r="T199" s="286"/>
      <c r="U199" s="286"/>
      <c r="V199" s="286"/>
      <c r="W199" s="287"/>
      <c r="X199" s="286"/>
      <c r="Y199" s="286"/>
      <c r="Z199" s="310"/>
      <c r="AA199" s="310"/>
      <c r="AB199" s="311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</row>
    <row r="200" spans="1:68" ht="15.75" customHeight="1">
      <c r="A200" s="317"/>
      <c r="B200" s="317"/>
      <c r="C200" s="318"/>
      <c r="D200" s="319" t="s">
        <v>459</v>
      </c>
      <c r="E200" s="320">
        <f>J193-N194</f>
        <v>708344.75000000023</v>
      </c>
      <c r="F200" s="321"/>
      <c r="G200" s="322">
        <f>E200/J193</f>
        <v>0.28724320460812974</v>
      </c>
      <c r="H200" s="323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324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59"/>
      <c r="BI200" s="59"/>
      <c r="BJ200" s="59"/>
      <c r="BK200" s="59"/>
    </row>
    <row r="201" spans="1:68" ht="15.75" customHeight="1">
      <c r="A201" s="317"/>
      <c r="B201" s="317"/>
      <c r="C201" s="318"/>
      <c r="D201" s="59"/>
      <c r="E201" s="60"/>
      <c r="F201" s="60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324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59"/>
      <c r="BI201" s="59"/>
      <c r="BJ201" s="59"/>
      <c r="BK201" s="59"/>
    </row>
    <row r="202" spans="1:68" ht="15.75" customHeight="1">
      <c r="A202" s="317"/>
      <c r="B202" s="317"/>
      <c r="C202" s="318"/>
      <c r="D202" s="59"/>
      <c r="E202" s="325"/>
      <c r="F202" s="326"/>
      <c r="G202" s="327"/>
      <c r="H202" s="327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324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59"/>
      <c r="AZ202" s="59"/>
      <c r="BA202" s="59"/>
      <c r="BB202" s="59"/>
      <c r="BC202" s="59"/>
      <c r="BD202" s="59"/>
      <c r="BE202" s="59"/>
      <c r="BF202" s="59"/>
      <c r="BG202" s="59"/>
      <c r="BH202" s="59"/>
      <c r="BI202" s="59"/>
      <c r="BJ202" s="59"/>
      <c r="BK202" s="59"/>
    </row>
    <row r="203" spans="1:68" ht="15.75" customHeight="1">
      <c r="A203" s="310"/>
      <c r="B203" s="310"/>
      <c r="C203" s="328"/>
      <c r="D203" s="57"/>
      <c r="E203" s="325"/>
      <c r="F203" s="326"/>
      <c r="G203" s="327"/>
      <c r="H203" s="327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324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9"/>
      <c r="AS203" s="59"/>
      <c r="AT203" s="59"/>
      <c r="AU203" s="59"/>
      <c r="AV203" s="59"/>
      <c r="AW203" s="59"/>
      <c r="AX203" s="59"/>
      <c r="AY203" s="59"/>
      <c r="AZ203" s="59"/>
      <c r="BA203" s="59"/>
      <c r="BB203" s="59"/>
      <c r="BC203" s="59"/>
      <c r="BD203" s="59"/>
      <c r="BE203" s="59"/>
      <c r="BF203" s="59"/>
      <c r="BG203" s="59"/>
      <c r="BH203" s="59"/>
      <c r="BI203" s="59"/>
      <c r="BJ203" s="59"/>
      <c r="BK203" s="59"/>
    </row>
    <row r="204" spans="1:68" ht="15.75" customHeight="1">
      <c r="A204" s="329"/>
      <c r="B204" s="329"/>
      <c r="C204" s="330"/>
      <c r="D204" s="57"/>
      <c r="E204" s="331"/>
      <c r="F204" s="326"/>
      <c r="G204" s="327"/>
      <c r="H204" s="327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324"/>
      <c r="X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59"/>
      <c r="BA204" s="59"/>
      <c r="BB204" s="59"/>
      <c r="BC204" s="59"/>
      <c r="BD204" s="59"/>
      <c r="BE204" s="59"/>
      <c r="BF204" s="59"/>
      <c r="BG204" s="59"/>
      <c r="BH204" s="59"/>
      <c r="BI204" s="59"/>
      <c r="BJ204" s="59"/>
      <c r="BK204" s="59"/>
    </row>
    <row r="205" spans="1:68" ht="15.75" customHeight="1">
      <c r="A205" s="329"/>
      <c r="B205" s="329"/>
      <c r="C205" s="330"/>
      <c r="D205" s="9"/>
      <c r="E205" s="331"/>
      <c r="F205" s="332"/>
      <c r="G205" s="333"/>
      <c r="H205" s="334"/>
      <c r="I205" s="335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324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59"/>
      <c r="BA205" s="59"/>
      <c r="BB205" s="59"/>
      <c r="BC205" s="59"/>
      <c r="BD205" s="59"/>
      <c r="BE205" s="59"/>
      <c r="BF205" s="59"/>
      <c r="BG205" s="59"/>
      <c r="BH205" s="59"/>
      <c r="BI205" s="59"/>
      <c r="BJ205" s="59"/>
      <c r="BK205" s="59"/>
    </row>
    <row r="206" spans="1:68" ht="15.75" customHeight="1">
      <c r="A206" s="329"/>
      <c r="B206" s="329"/>
      <c r="C206" s="330"/>
      <c r="D206" s="9"/>
      <c r="E206" s="326"/>
      <c r="F206" s="326"/>
      <c r="G206" s="334"/>
      <c r="H206" s="334"/>
      <c r="I206" s="335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324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59"/>
      <c r="BA206" s="59"/>
      <c r="BB206" s="59"/>
      <c r="BC206" s="59"/>
      <c r="BD206" s="59"/>
      <c r="BE206" s="59"/>
      <c r="BF206" s="59"/>
      <c r="BG206" s="59"/>
      <c r="BH206" s="59"/>
      <c r="BI206" s="59"/>
      <c r="BJ206" s="59"/>
      <c r="BK206" s="59"/>
      <c r="BL206" s="21"/>
      <c r="BM206" s="21"/>
      <c r="BN206" s="21"/>
      <c r="BO206" s="21"/>
      <c r="BP206" s="21"/>
    </row>
    <row r="207" spans="1:68" ht="15.75" customHeight="1">
      <c r="A207" s="57"/>
      <c r="B207" s="57"/>
      <c r="C207" s="336"/>
      <c r="D207" s="9"/>
      <c r="E207" s="325"/>
      <c r="F207" s="326"/>
      <c r="G207" s="327"/>
      <c r="H207" s="327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324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59"/>
      <c r="BA207" s="59"/>
      <c r="BB207" s="59"/>
      <c r="BC207" s="59"/>
      <c r="BD207" s="59"/>
      <c r="BE207" s="59"/>
      <c r="BF207" s="59"/>
      <c r="BG207" s="59"/>
      <c r="BH207" s="59"/>
      <c r="BI207" s="59"/>
      <c r="BJ207" s="59"/>
      <c r="BK207" s="59"/>
    </row>
    <row r="208" spans="1:68" ht="15.75" customHeight="1">
      <c r="A208" s="57"/>
      <c r="B208" s="57"/>
      <c r="C208" s="337"/>
      <c r="D208" s="9"/>
      <c r="E208" s="326"/>
      <c r="F208" s="326"/>
      <c r="G208" s="327"/>
      <c r="H208" s="327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324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59"/>
      <c r="BA208" s="59"/>
      <c r="BB208" s="59"/>
      <c r="BC208" s="59"/>
      <c r="BD208" s="59"/>
      <c r="BE208" s="59"/>
      <c r="BF208" s="59"/>
      <c r="BG208" s="59"/>
      <c r="BH208" s="59"/>
      <c r="BI208" s="59"/>
      <c r="BJ208" s="59"/>
      <c r="BK208" s="59"/>
    </row>
    <row r="209" spans="1:63" ht="15.75" customHeight="1">
      <c r="A209" s="59"/>
      <c r="B209" s="59"/>
      <c r="C209" s="318"/>
      <c r="D209" s="59"/>
      <c r="E209" s="338"/>
      <c r="F209" s="332"/>
      <c r="G209" s="339"/>
      <c r="H209" s="33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324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59"/>
      <c r="BA209" s="59"/>
      <c r="BB209" s="59"/>
      <c r="BC209" s="59"/>
      <c r="BD209" s="59"/>
      <c r="BE209" s="59"/>
      <c r="BF209" s="59"/>
      <c r="BG209" s="59"/>
      <c r="BH209" s="59"/>
      <c r="BI209" s="59"/>
      <c r="BJ209" s="59"/>
      <c r="BK209" s="59"/>
    </row>
    <row r="210" spans="1:63" ht="15.75" customHeight="1">
      <c r="A210" s="59"/>
      <c r="B210" s="59"/>
      <c r="C210" s="318"/>
      <c r="D210" s="59"/>
      <c r="E210" s="325"/>
      <c r="F210" s="326"/>
      <c r="G210" s="327"/>
      <c r="H210" s="327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324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59"/>
      <c r="BA210" s="59"/>
      <c r="BB210" s="59"/>
      <c r="BC210" s="59"/>
      <c r="BD210" s="59"/>
      <c r="BE210" s="59"/>
      <c r="BF210" s="59"/>
      <c r="BG210" s="59"/>
      <c r="BH210" s="59"/>
      <c r="BI210" s="59"/>
      <c r="BJ210" s="59"/>
      <c r="BK210" s="59"/>
    </row>
    <row r="211" spans="1:63" ht="15.75" customHeight="1">
      <c r="A211" s="340"/>
      <c r="B211" s="340"/>
      <c r="C211" s="341"/>
      <c r="D211" s="340"/>
      <c r="E211" s="326"/>
      <c r="F211" s="326"/>
      <c r="G211" s="327"/>
      <c r="H211" s="327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324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59"/>
      <c r="BA211" s="59"/>
      <c r="BB211" s="59"/>
      <c r="BC211" s="59"/>
      <c r="BD211" s="59"/>
      <c r="BE211" s="59"/>
      <c r="BF211" s="59"/>
      <c r="BG211" s="59"/>
      <c r="BH211" s="59"/>
      <c r="BI211" s="59"/>
      <c r="BJ211" s="59"/>
      <c r="BK211" s="59"/>
    </row>
    <row r="212" spans="1:63" ht="15.75" customHeight="1">
      <c r="A212" s="340"/>
      <c r="B212" s="340"/>
      <c r="C212" s="341"/>
      <c r="D212" s="340"/>
      <c r="E212" s="326"/>
      <c r="F212" s="326"/>
      <c r="G212" s="327"/>
      <c r="H212" s="327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324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59"/>
      <c r="BA212" s="59"/>
      <c r="BB212" s="59"/>
      <c r="BC212" s="59"/>
      <c r="BD212" s="59"/>
      <c r="BE212" s="59"/>
      <c r="BF212" s="59"/>
      <c r="BG212" s="59"/>
      <c r="BH212" s="59"/>
      <c r="BI212" s="59"/>
      <c r="BJ212" s="59"/>
      <c r="BK212" s="59"/>
    </row>
    <row r="213" spans="1:63" ht="15.75" customHeight="1">
      <c r="A213" s="340"/>
      <c r="B213" s="340"/>
      <c r="C213" s="341"/>
      <c r="D213" s="340"/>
      <c r="E213" s="60"/>
      <c r="F213" s="60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324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9"/>
      <c r="AS213" s="59"/>
      <c r="AT213" s="59"/>
      <c r="AU213" s="59"/>
      <c r="AV213" s="59"/>
      <c r="AW213" s="59"/>
      <c r="AX213" s="59"/>
      <c r="AY213" s="59"/>
      <c r="AZ213" s="59"/>
      <c r="BA213" s="59"/>
      <c r="BB213" s="59"/>
      <c r="BC213" s="59"/>
      <c r="BD213" s="59"/>
      <c r="BE213" s="59"/>
      <c r="BF213" s="59"/>
      <c r="BG213" s="59"/>
      <c r="BH213" s="59"/>
      <c r="BI213" s="59"/>
      <c r="BJ213" s="59"/>
      <c r="BK213" s="59"/>
    </row>
    <row r="214" spans="1:63" ht="15.75" customHeight="1">
      <c r="A214" s="340"/>
      <c r="B214" s="340"/>
      <c r="C214" s="341"/>
      <c r="D214" s="340"/>
      <c r="E214" s="60"/>
      <c r="F214" s="60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324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9"/>
      <c r="AS214" s="59"/>
      <c r="AT214" s="59"/>
      <c r="AU214" s="59"/>
      <c r="AV214" s="59"/>
      <c r="AW214" s="59"/>
      <c r="AX214" s="59"/>
      <c r="AY214" s="59"/>
      <c r="AZ214" s="59"/>
      <c r="BA214" s="59"/>
      <c r="BB214" s="59"/>
      <c r="BC214" s="59"/>
      <c r="BD214" s="59"/>
      <c r="BE214" s="59"/>
      <c r="BF214" s="59"/>
      <c r="BG214" s="59"/>
      <c r="BH214" s="59"/>
      <c r="BI214" s="59"/>
      <c r="BJ214" s="59"/>
      <c r="BK214" s="59"/>
    </row>
    <row r="215" spans="1:63" ht="15.75" customHeight="1">
      <c r="A215" s="340"/>
      <c r="B215" s="340"/>
      <c r="C215" s="341"/>
      <c r="D215" s="340"/>
      <c r="E215" s="60"/>
      <c r="F215" s="60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324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59"/>
      <c r="AZ215" s="59"/>
      <c r="BA215" s="59"/>
      <c r="BB215" s="59"/>
      <c r="BC215" s="59"/>
      <c r="BD215" s="59"/>
      <c r="BE215" s="59"/>
      <c r="BF215" s="59"/>
      <c r="BG215" s="59"/>
      <c r="BH215" s="59"/>
      <c r="BI215" s="59"/>
      <c r="BJ215" s="59"/>
      <c r="BK215" s="59"/>
    </row>
    <row r="216" spans="1:63" ht="15.75" customHeight="1">
      <c r="A216" s="340"/>
      <c r="B216" s="340"/>
      <c r="C216" s="341"/>
      <c r="D216" s="340"/>
      <c r="E216" s="60"/>
      <c r="F216" s="60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324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9"/>
      <c r="AS216" s="59"/>
      <c r="AT216" s="59"/>
      <c r="AU216" s="59"/>
      <c r="AV216" s="59"/>
      <c r="AW216" s="59"/>
      <c r="AX216" s="59"/>
      <c r="AY216" s="59"/>
      <c r="AZ216" s="59"/>
      <c r="BA216" s="59"/>
      <c r="BB216" s="59"/>
      <c r="BC216" s="59"/>
      <c r="BD216" s="59"/>
      <c r="BE216" s="59"/>
      <c r="BF216" s="59"/>
      <c r="BG216" s="59"/>
      <c r="BH216" s="59"/>
      <c r="BI216" s="59"/>
      <c r="BJ216" s="59"/>
      <c r="BK216" s="59"/>
    </row>
    <row r="217" spans="1:63" ht="15.75" customHeight="1">
      <c r="A217" s="342"/>
      <c r="B217" s="342"/>
      <c r="C217" s="343"/>
      <c r="D217" s="342"/>
      <c r="E217" s="21"/>
      <c r="F217" s="21"/>
      <c r="K217" s="21"/>
      <c r="W217" s="344"/>
    </row>
    <row r="218" spans="1:63" ht="15.75" customHeight="1">
      <c r="A218" s="340"/>
      <c r="C218" s="345"/>
      <c r="E218" s="21"/>
      <c r="F218" s="21"/>
      <c r="K218" s="21"/>
      <c r="W218" s="344"/>
    </row>
    <row r="219" spans="1:63" ht="15.75" customHeight="1">
      <c r="A219" s="340"/>
      <c r="C219" s="345"/>
      <c r="E219" s="21"/>
      <c r="F219" s="21"/>
      <c r="K219" s="21"/>
      <c r="W219" s="344"/>
    </row>
    <row r="220" spans="1:63" ht="15.75" customHeight="1">
      <c r="C220" s="345"/>
      <c r="E220" s="21"/>
      <c r="F220" s="21"/>
      <c r="K220" s="21"/>
      <c r="W220" s="344"/>
    </row>
    <row r="221" spans="1:63" ht="15.75" customHeight="1">
      <c r="A221" s="340"/>
      <c r="C221" s="345"/>
      <c r="E221" s="21"/>
      <c r="F221" s="21"/>
      <c r="K221" s="21"/>
      <c r="W221" s="344"/>
    </row>
    <row r="222" spans="1:63" ht="15.75" customHeight="1">
      <c r="C222" s="345"/>
      <c r="E222" s="21"/>
      <c r="F222" s="21"/>
      <c r="K222" s="21"/>
      <c r="W222" s="344"/>
    </row>
    <row r="223" spans="1:63" ht="15.75" customHeight="1">
      <c r="C223" s="345"/>
      <c r="E223" s="21"/>
      <c r="F223" s="21"/>
      <c r="K223" s="21"/>
      <c r="W223" s="344"/>
    </row>
    <row r="224" spans="1:63" ht="15.75" customHeight="1">
      <c r="C224" s="345"/>
      <c r="E224" s="21"/>
      <c r="F224" s="21"/>
      <c r="K224" s="21"/>
      <c r="W224" s="344"/>
    </row>
    <row r="225" spans="3:23" ht="15.75" customHeight="1">
      <c r="C225" s="345"/>
      <c r="E225" s="21"/>
      <c r="F225" s="21"/>
      <c r="K225" s="21"/>
      <c r="W225" s="344"/>
    </row>
    <row r="226" spans="3:23" ht="15.75" customHeight="1">
      <c r="C226" s="345"/>
      <c r="E226" s="21"/>
      <c r="F226" s="21"/>
      <c r="K226" s="21"/>
      <c r="W226" s="344"/>
    </row>
    <row r="227" spans="3:23" ht="15.75" customHeight="1">
      <c r="C227" s="345"/>
      <c r="E227" s="21"/>
      <c r="F227" s="21"/>
      <c r="K227" s="21"/>
      <c r="W227" s="344"/>
    </row>
    <row r="228" spans="3:23" ht="15.75" customHeight="1">
      <c r="C228" s="345"/>
      <c r="E228" s="21"/>
      <c r="F228" s="21"/>
      <c r="K228" s="21"/>
      <c r="W228" s="344"/>
    </row>
    <row r="229" spans="3:23" ht="15.75" customHeight="1">
      <c r="C229" s="345"/>
      <c r="E229" s="21"/>
      <c r="F229" s="21"/>
      <c r="K229" s="21"/>
      <c r="W229" s="344"/>
    </row>
    <row r="230" spans="3:23" ht="15.75" customHeight="1">
      <c r="C230" s="345"/>
      <c r="E230" s="21"/>
      <c r="F230" s="21"/>
      <c r="K230" s="21"/>
      <c r="W230" s="344"/>
    </row>
    <row r="231" spans="3:23" ht="15.75" customHeight="1">
      <c r="C231" s="345"/>
      <c r="E231" s="21"/>
      <c r="F231" s="21"/>
      <c r="K231" s="21"/>
      <c r="W231" s="344"/>
    </row>
    <row r="232" spans="3:23" ht="15.75" customHeight="1">
      <c r="C232" s="345"/>
      <c r="E232" s="21"/>
      <c r="F232" s="21"/>
      <c r="K232" s="21"/>
      <c r="W232" s="344"/>
    </row>
    <row r="233" spans="3:23" ht="15.75" customHeight="1">
      <c r="C233" s="345"/>
      <c r="E233" s="21"/>
      <c r="F233" s="21"/>
      <c r="K233" s="21"/>
      <c r="W233" s="344"/>
    </row>
    <row r="234" spans="3:23" ht="15.75" customHeight="1">
      <c r="C234" s="345"/>
      <c r="E234" s="21"/>
      <c r="F234" s="21"/>
      <c r="K234" s="21"/>
      <c r="W234" s="344"/>
    </row>
    <row r="235" spans="3:23" ht="15.75" customHeight="1">
      <c r="C235" s="345"/>
      <c r="E235" s="21"/>
      <c r="F235" s="21"/>
      <c r="K235" s="21"/>
      <c r="W235" s="344"/>
    </row>
    <row r="236" spans="3:23" ht="15.75" customHeight="1">
      <c r="C236" s="345"/>
      <c r="E236" s="21"/>
      <c r="F236" s="21"/>
      <c r="K236" s="21"/>
      <c r="W236" s="344"/>
    </row>
    <row r="237" spans="3:23" ht="15.75" customHeight="1">
      <c r="C237" s="345"/>
      <c r="E237" s="21"/>
      <c r="F237" s="21"/>
      <c r="K237" s="21"/>
      <c r="W237" s="344"/>
    </row>
    <row r="238" spans="3:23" ht="15.75" customHeight="1">
      <c r="C238" s="345"/>
      <c r="E238" s="21"/>
      <c r="F238" s="21"/>
      <c r="K238" s="21"/>
      <c r="W238" s="344"/>
    </row>
    <row r="239" spans="3:23" ht="15.75" customHeight="1">
      <c r="C239" s="345"/>
      <c r="E239" s="21"/>
      <c r="F239" s="21"/>
      <c r="K239" s="21"/>
      <c r="W239" s="344"/>
    </row>
    <row r="240" spans="3:23" ht="15.75" customHeight="1">
      <c r="C240" s="345"/>
      <c r="E240" s="21"/>
      <c r="F240" s="21"/>
      <c r="K240" s="21"/>
      <c r="W240" s="344"/>
    </row>
    <row r="241" spans="3:23" ht="15.75" customHeight="1">
      <c r="C241" s="345"/>
      <c r="E241" s="21"/>
      <c r="F241" s="21"/>
      <c r="K241" s="21"/>
      <c r="W241" s="344"/>
    </row>
    <row r="242" spans="3:23" ht="15.75" customHeight="1">
      <c r="C242" s="345"/>
      <c r="E242" s="21"/>
      <c r="F242" s="21"/>
      <c r="K242" s="21"/>
      <c r="W242" s="344"/>
    </row>
    <row r="243" spans="3:23" ht="15.75" customHeight="1">
      <c r="C243" s="345"/>
      <c r="E243" s="21"/>
      <c r="F243" s="21"/>
      <c r="K243" s="21"/>
      <c r="W243" s="344"/>
    </row>
    <row r="244" spans="3:23" ht="15.75" customHeight="1">
      <c r="C244" s="345"/>
      <c r="E244" s="21"/>
      <c r="F244" s="21"/>
      <c r="K244" s="21"/>
      <c r="W244" s="344"/>
    </row>
    <row r="245" spans="3:23" ht="15.75" customHeight="1">
      <c r="C245" s="345"/>
      <c r="E245" s="21"/>
      <c r="F245" s="21"/>
      <c r="K245" s="21"/>
      <c r="W245" s="344"/>
    </row>
    <row r="246" spans="3:23" ht="15.75" customHeight="1">
      <c r="C246" s="345"/>
      <c r="E246" s="21"/>
      <c r="F246" s="21"/>
      <c r="K246" s="21"/>
      <c r="W246" s="344"/>
    </row>
    <row r="247" spans="3:23" ht="15.75" customHeight="1">
      <c r="C247" s="345"/>
      <c r="E247" s="21"/>
      <c r="F247" s="21"/>
      <c r="K247" s="21"/>
      <c r="W247" s="344"/>
    </row>
    <row r="248" spans="3:23" ht="15.75" customHeight="1">
      <c r="C248" s="345"/>
      <c r="E248" s="21"/>
      <c r="F248" s="21"/>
      <c r="K248" s="21"/>
      <c r="W248" s="344"/>
    </row>
    <row r="249" spans="3:23" ht="15.75" customHeight="1">
      <c r="C249" s="345"/>
      <c r="E249" s="21"/>
      <c r="F249" s="21"/>
      <c r="K249" s="21"/>
      <c r="W249" s="344"/>
    </row>
    <row r="250" spans="3:23" ht="15.75" customHeight="1">
      <c r="C250" s="345"/>
      <c r="E250" s="21"/>
      <c r="F250" s="21"/>
      <c r="K250" s="21"/>
      <c r="W250" s="344"/>
    </row>
    <row r="251" spans="3:23" ht="15.75" customHeight="1">
      <c r="C251" s="345"/>
      <c r="E251" s="21"/>
      <c r="F251" s="21"/>
      <c r="K251" s="21"/>
      <c r="W251" s="344"/>
    </row>
    <row r="252" spans="3:23" ht="15.75" customHeight="1">
      <c r="C252" s="345"/>
      <c r="E252" s="21"/>
      <c r="F252" s="21"/>
      <c r="K252" s="21"/>
      <c r="W252" s="344"/>
    </row>
    <row r="253" spans="3:23" ht="15.75" customHeight="1">
      <c r="C253" s="345"/>
      <c r="E253" s="21"/>
      <c r="F253" s="21"/>
      <c r="K253" s="21"/>
      <c r="W253" s="344"/>
    </row>
    <row r="254" spans="3:23" ht="15.75" customHeight="1">
      <c r="C254" s="345"/>
      <c r="E254" s="21"/>
      <c r="F254" s="21"/>
      <c r="K254" s="21"/>
      <c r="W254" s="344"/>
    </row>
    <row r="255" spans="3:23" ht="15.75" customHeight="1">
      <c r="C255" s="345"/>
      <c r="E255" s="21"/>
      <c r="F255" s="21"/>
      <c r="K255" s="21"/>
      <c r="W255" s="344"/>
    </row>
    <row r="256" spans="3:23" ht="15.75" customHeight="1">
      <c r="C256" s="345"/>
      <c r="E256" s="21"/>
      <c r="F256" s="21"/>
      <c r="K256" s="21"/>
      <c r="W256" s="344"/>
    </row>
    <row r="257" spans="3:23" ht="15.75" customHeight="1">
      <c r="C257" s="345"/>
      <c r="E257" s="21"/>
      <c r="F257" s="21"/>
      <c r="K257" s="21"/>
      <c r="W257" s="344"/>
    </row>
    <row r="258" spans="3:23" ht="15.75" customHeight="1">
      <c r="C258" s="345"/>
      <c r="E258" s="21"/>
      <c r="F258" s="21"/>
      <c r="K258" s="21"/>
      <c r="W258" s="344"/>
    </row>
    <row r="259" spans="3:23" ht="15.75" customHeight="1">
      <c r="C259" s="345"/>
      <c r="E259" s="21"/>
      <c r="F259" s="21"/>
      <c r="K259" s="21"/>
      <c r="W259" s="344"/>
    </row>
    <row r="260" spans="3:23" ht="15.75" customHeight="1">
      <c r="C260" s="345"/>
      <c r="E260" s="21"/>
      <c r="F260" s="21"/>
      <c r="K260" s="21"/>
      <c r="W260" s="344"/>
    </row>
    <row r="261" spans="3:23" ht="15.75" customHeight="1">
      <c r="C261" s="345"/>
      <c r="E261" s="21"/>
      <c r="F261" s="21"/>
      <c r="K261" s="21"/>
      <c r="W261" s="344"/>
    </row>
    <row r="262" spans="3:23" ht="15.75" customHeight="1">
      <c r="C262" s="345"/>
      <c r="E262" s="21"/>
      <c r="F262" s="21"/>
      <c r="K262" s="21"/>
      <c r="W262" s="344"/>
    </row>
    <row r="263" spans="3:23" ht="15.75" customHeight="1">
      <c r="C263" s="345"/>
      <c r="E263" s="21"/>
      <c r="F263" s="21"/>
      <c r="K263" s="21"/>
      <c r="W263" s="344"/>
    </row>
    <row r="264" spans="3:23" ht="15.75" customHeight="1">
      <c r="C264" s="345"/>
      <c r="E264" s="21"/>
      <c r="F264" s="21"/>
      <c r="K264" s="21"/>
      <c r="W264" s="344"/>
    </row>
    <row r="265" spans="3:23" ht="15.75" customHeight="1">
      <c r="C265" s="345"/>
      <c r="E265" s="21"/>
      <c r="F265" s="21"/>
      <c r="K265" s="21"/>
      <c r="W265" s="344"/>
    </row>
    <row r="266" spans="3:23" ht="15.75" customHeight="1">
      <c r="C266" s="345"/>
      <c r="E266" s="21"/>
      <c r="F266" s="21"/>
      <c r="K266" s="21"/>
      <c r="W266" s="344"/>
    </row>
    <row r="267" spans="3:23" ht="15.75" customHeight="1">
      <c r="C267" s="345"/>
      <c r="E267" s="21"/>
      <c r="F267" s="21"/>
      <c r="K267" s="21"/>
      <c r="W267" s="344"/>
    </row>
    <row r="268" spans="3:23" ht="15.75" customHeight="1">
      <c r="C268" s="345"/>
      <c r="E268" s="21"/>
      <c r="F268" s="21"/>
      <c r="K268" s="21"/>
      <c r="W268" s="344"/>
    </row>
    <row r="269" spans="3:23" ht="15.75" customHeight="1">
      <c r="C269" s="345"/>
      <c r="E269" s="21"/>
      <c r="F269" s="21"/>
      <c r="K269" s="21"/>
      <c r="W269" s="344"/>
    </row>
    <row r="270" spans="3:23" ht="15.75" customHeight="1">
      <c r="C270" s="345"/>
      <c r="E270" s="21"/>
      <c r="F270" s="21"/>
      <c r="K270" s="21"/>
      <c r="W270" s="344"/>
    </row>
    <row r="271" spans="3:23" ht="15.75" customHeight="1">
      <c r="C271" s="345"/>
      <c r="E271" s="21"/>
      <c r="F271" s="21"/>
      <c r="K271" s="21"/>
      <c r="W271" s="344"/>
    </row>
    <row r="272" spans="3:23" ht="15.75" customHeight="1">
      <c r="C272" s="345"/>
      <c r="E272" s="21"/>
      <c r="F272" s="21"/>
      <c r="K272" s="21"/>
      <c r="W272" s="344"/>
    </row>
    <row r="273" spans="3:23" ht="15.75" customHeight="1">
      <c r="C273" s="345"/>
      <c r="E273" s="21"/>
      <c r="F273" s="21"/>
      <c r="K273" s="21"/>
      <c r="W273" s="344"/>
    </row>
    <row r="274" spans="3:23" ht="15.75" customHeight="1">
      <c r="C274" s="345"/>
      <c r="E274" s="21"/>
      <c r="F274" s="21"/>
      <c r="K274" s="21"/>
      <c r="W274" s="344"/>
    </row>
    <row r="275" spans="3:23" ht="15.75" customHeight="1">
      <c r="C275" s="345"/>
      <c r="E275" s="21"/>
      <c r="F275" s="21"/>
      <c r="K275" s="21"/>
      <c r="W275" s="344"/>
    </row>
    <row r="276" spans="3:23" ht="15.75" customHeight="1">
      <c r="C276" s="345"/>
      <c r="E276" s="21"/>
      <c r="F276" s="21"/>
      <c r="K276" s="21"/>
      <c r="W276" s="344"/>
    </row>
    <row r="277" spans="3:23" ht="15.75" customHeight="1">
      <c r="C277" s="345"/>
      <c r="E277" s="21"/>
      <c r="F277" s="21"/>
      <c r="K277" s="21"/>
      <c r="W277" s="344"/>
    </row>
    <row r="278" spans="3:23" ht="15.75" customHeight="1">
      <c r="C278" s="345"/>
      <c r="E278" s="21"/>
      <c r="F278" s="21"/>
      <c r="K278" s="21"/>
      <c r="W278" s="344"/>
    </row>
    <row r="279" spans="3:23" ht="15.75" customHeight="1">
      <c r="C279" s="345"/>
      <c r="E279" s="21"/>
      <c r="F279" s="21"/>
      <c r="K279" s="21"/>
      <c r="W279" s="344"/>
    </row>
    <row r="280" spans="3:23" ht="15.75" customHeight="1">
      <c r="C280" s="345"/>
      <c r="E280" s="21"/>
      <c r="F280" s="21"/>
      <c r="K280" s="21"/>
      <c r="W280" s="344"/>
    </row>
    <row r="281" spans="3:23" ht="15.75" customHeight="1">
      <c r="C281" s="345"/>
      <c r="E281" s="21"/>
      <c r="F281" s="21"/>
      <c r="K281" s="21"/>
      <c r="W281" s="344"/>
    </row>
    <row r="282" spans="3:23" ht="15.75" customHeight="1">
      <c r="C282" s="345"/>
      <c r="E282" s="21"/>
      <c r="F282" s="21"/>
      <c r="K282" s="21"/>
      <c r="W282" s="344"/>
    </row>
    <row r="283" spans="3:23" ht="15.75" customHeight="1">
      <c r="C283" s="345"/>
      <c r="E283" s="21"/>
      <c r="F283" s="21"/>
      <c r="K283" s="21"/>
      <c r="W283" s="344"/>
    </row>
    <row r="284" spans="3:23" ht="15.75" customHeight="1">
      <c r="C284" s="345"/>
      <c r="E284" s="21"/>
      <c r="F284" s="21"/>
      <c r="K284" s="21"/>
      <c r="W284" s="344"/>
    </row>
    <row r="285" spans="3:23" ht="15.75" customHeight="1">
      <c r="C285" s="345"/>
      <c r="E285" s="21"/>
      <c r="F285" s="21"/>
      <c r="K285" s="21"/>
      <c r="W285" s="344"/>
    </row>
    <row r="286" spans="3:23" ht="15.75" customHeight="1">
      <c r="C286" s="345"/>
      <c r="E286" s="21"/>
      <c r="F286" s="21"/>
      <c r="K286" s="21"/>
      <c r="W286" s="344"/>
    </row>
    <row r="287" spans="3:23" ht="15.75" customHeight="1">
      <c r="C287" s="345"/>
      <c r="E287" s="21"/>
      <c r="F287" s="21"/>
      <c r="K287" s="21"/>
      <c r="W287" s="344"/>
    </row>
    <row r="288" spans="3:23" ht="15.75" customHeight="1">
      <c r="C288" s="345"/>
      <c r="E288" s="21"/>
      <c r="F288" s="21"/>
      <c r="K288" s="21"/>
      <c r="W288" s="344"/>
    </row>
    <row r="289" spans="3:23" ht="15.75" customHeight="1">
      <c r="C289" s="345"/>
      <c r="E289" s="21"/>
      <c r="F289" s="21"/>
      <c r="K289" s="21"/>
      <c r="W289" s="344"/>
    </row>
    <row r="290" spans="3:23" ht="15.75" customHeight="1">
      <c r="C290" s="345"/>
      <c r="E290" s="21"/>
      <c r="F290" s="21"/>
      <c r="K290" s="21"/>
      <c r="W290" s="344"/>
    </row>
    <row r="291" spans="3:23" ht="15.75" customHeight="1">
      <c r="C291" s="345"/>
      <c r="E291" s="21"/>
      <c r="F291" s="21"/>
      <c r="K291" s="21"/>
      <c r="W291" s="344"/>
    </row>
    <row r="292" spans="3:23" ht="15.75" customHeight="1">
      <c r="C292" s="345"/>
      <c r="E292" s="21"/>
      <c r="F292" s="21"/>
      <c r="K292" s="21"/>
      <c r="W292" s="344"/>
    </row>
    <row r="293" spans="3:23" ht="15.75" customHeight="1">
      <c r="C293" s="345"/>
      <c r="E293" s="21"/>
      <c r="F293" s="21"/>
      <c r="K293" s="21"/>
      <c r="W293" s="344"/>
    </row>
    <row r="294" spans="3:23" ht="15.75" customHeight="1">
      <c r="C294" s="345"/>
      <c r="E294" s="21"/>
      <c r="F294" s="21"/>
      <c r="K294" s="21"/>
      <c r="W294" s="344"/>
    </row>
    <row r="295" spans="3:23" ht="15.75" customHeight="1">
      <c r="C295" s="345"/>
      <c r="E295" s="21"/>
      <c r="F295" s="21"/>
      <c r="K295" s="21"/>
      <c r="W295" s="344"/>
    </row>
    <row r="296" spans="3:23" ht="15.75" customHeight="1">
      <c r="C296" s="345"/>
      <c r="E296" s="21"/>
      <c r="F296" s="21"/>
      <c r="K296" s="21"/>
      <c r="W296" s="344"/>
    </row>
    <row r="297" spans="3:23" ht="15.75" customHeight="1">
      <c r="C297" s="345"/>
      <c r="E297" s="21"/>
      <c r="F297" s="21"/>
      <c r="K297" s="21"/>
      <c r="W297" s="344"/>
    </row>
    <row r="298" spans="3:23" ht="15.75" customHeight="1">
      <c r="C298" s="345"/>
      <c r="E298" s="21"/>
      <c r="F298" s="21"/>
      <c r="K298" s="21"/>
      <c r="W298" s="344"/>
    </row>
    <row r="299" spans="3:23" ht="15.75" customHeight="1">
      <c r="C299" s="345"/>
      <c r="E299" s="21"/>
      <c r="F299" s="21"/>
      <c r="K299" s="21"/>
      <c r="W299" s="344"/>
    </row>
    <row r="300" spans="3:23" ht="15.75" customHeight="1">
      <c r="C300" s="345"/>
      <c r="E300" s="21"/>
      <c r="F300" s="21"/>
      <c r="K300" s="21"/>
      <c r="W300" s="344"/>
    </row>
    <row r="301" spans="3:23" ht="15.75" customHeight="1">
      <c r="C301" s="345"/>
      <c r="E301" s="21"/>
      <c r="F301" s="21"/>
      <c r="K301" s="21"/>
      <c r="W301" s="344"/>
    </row>
    <row r="302" spans="3:23" ht="15.75" customHeight="1">
      <c r="C302" s="345"/>
      <c r="E302" s="21"/>
      <c r="F302" s="21"/>
      <c r="K302" s="21"/>
      <c r="W302" s="344"/>
    </row>
    <row r="303" spans="3:23" ht="15.75" customHeight="1">
      <c r="C303" s="345"/>
      <c r="E303" s="21"/>
      <c r="F303" s="21"/>
      <c r="K303" s="21"/>
      <c r="W303" s="344"/>
    </row>
    <row r="304" spans="3:23" ht="15.75" customHeight="1">
      <c r="C304" s="345"/>
      <c r="E304" s="21"/>
      <c r="F304" s="21"/>
      <c r="K304" s="21"/>
      <c r="W304" s="344"/>
    </row>
    <row r="305" spans="3:23" ht="15.75" customHeight="1">
      <c r="C305" s="345"/>
      <c r="E305" s="21"/>
      <c r="F305" s="21"/>
      <c r="K305" s="21"/>
      <c r="W305" s="344"/>
    </row>
    <row r="306" spans="3:23" ht="15.75" customHeight="1">
      <c r="C306" s="345"/>
      <c r="E306" s="21"/>
      <c r="F306" s="21"/>
      <c r="K306" s="21"/>
      <c r="W306" s="344"/>
    </row>
    <row r="307" spans="3:23" ht="15.75" customHeight="1">
      <c r="C307" s="345"/>
      <c r="E307" s="21"/>
      <c r="F307" s="21"/>
      <c r="K307" s="21"/>
      <c r="W307" s="344"/>
    </row>
    <row r="308" spans="3:23" ht="15.75" customHeight="1">
      <c r="C308" s="345"/>
      <c r="E308" s="21"/>
      <c r="F308" s="21"/>
      <c r="K308" s="21"/>
      <c r="W308" s="344"/>
    </row>
    <row r="309" spans="3:23" ht="15.75" customHeight="1">
      <c r="C309" s="345"/>
      <c r="E309" s="21"/>
      <c r="F309" s="21"/>
      <c r="K309" s="21"/>
      <c r="W309" s="344"/>
    </row>
    <row r="310" spans="3:23" ht="15.75" customHeight="1">
      <c r="C310" s="345"/>
      <c r="E310" s="21"/>
      <c r="F310" s="21"/>
      <c r="K310" s="21"/>
      <c r="W310" s="344"/>
    </row>
    <row r="311" spans="3:23" ht="15.75" customHeight="1">
      <c r="C311" s="345"/>
      <c r="E311" s="21"/>
      <c r="F311" s="21"/>
      <c r="K311" s="21"/>
      <c r="W311" s="344"/>
    </row>
    <row r="312" spans="3:23" ht="15.75" customHeight="1">
      <c r="C312" s="345"/>
      <c r="E312" s="21"/>
      <c r="F312" s="21"/>
      <c r="K312" s="21"/>
      <c r="W312" s="344"/>
    </row>
    <row r="313" spans="3:23" ht="15.75" customHeight="1">
      <c r="C313" s="345"/>
      <c r="E313" s="21"/>
      <c r="F313" s="21"/>
      <c r="K313" s="21"/>
      <c r="W313" s="344"/>
    </row>
    <row r="314" spans="3:23" ht="15.75" customHeight="1">
      <c r="C314" s="345"/>
      <c r="E314" s="21"/>
      <c r="F314" s="21"/>
      <c r="K314" s="21"/>
      <c r="W314" s="344"/>
    </row>
    <row r="315" spans="3:23" ht="15.75" customHeight="1">
      <c r="C315" s="345"/>
      <c r="E315" s="21"/>
      <c r="F315" s="21"/>
      <c r="K315" s="21"/>
      <c r="W315" s="344"/>
    </row>
    <row r="316" spans="3:23" ht="15.75" customHeight="1">
      <c r="C316" s="345"/>
      <c r="E316" s="21"/>
      <c r="F316" s="21"/>
      <c r="K316" s="21"/>
      <c r="W316" s="344"/>
    </row>
    <row r="317" spans="3:23" ht="15.75" customHeight="1">
      <c r="C317" s="345"/>
      <c r="E317" s="21"/>
      <c r="F317" s="21"/>
      <c r="K317" s="21"/>
      <c r="W317" s="344"/>
    </row>
    <row r="318" spans="3:23" ht="15.75" customHeight="1">
      <c r="C318" s="345"/>
      <c r="E318" s="21"/>
      <c r="F318" s="21"/>
      <c r="K318" s="21"/>
      <c r="W318" s="344"/>
    </row>
    <row r="319" spans="3:23" ht="15.75" customHeight="1">
      <c r="C319" s="345"/>
      <c r="E319" s="21"/>
      <c r="F319" s="21"/>
      <c r="K319" s="21"/>
      <c r="W319" s="344"/>
    </row>
    <row r="320" spans="3:23" ht="15.75" customHeight="1">
      <c r="C320" s="345"/>
      <c r="E320" s="21"/>
      <c r="F320" s="21"/>
      <c r="K320" s="21"/>
      <c r="W320" s="344"/>
    </row>
    <row r="321" spans="3:23" ht="15.75" customHeight="1">
      <c r="C321" s="345"/>
      <c r="E321" s="21"/>
      <c r="F321" s="21"/>
      <c r="K321" s="21"/>
      <c r="W321" s="344"/>
    </row>
    <row r="322" spans="3:23" ht="15.75" customHeight="1">
      <c r="C322" s="345"/>
      <c r="E322" s="21"/>
      <c r="F322" s="21"/>
      <c r="K322" s="21"/>
      <c r="W322" s="344"/>
    </row>
    <row r="323" spans="3:23" ht="15.75" customHeight="1">
      <c r="C323" s="345"/>
      <c r="E323" s="21"/>
      <c r="F323" s="21"/>
      <c r="K323" s="21"/>
      <c r="W323" s="344"/>
    </row>
    <row r="324" spans="3:23" ht="15.75" customHeight="1">
      <c r="C324" s="345"/>
      <c r="E324" s="21"/>
      <c r="F324" s="21"/>
      <c r="K324" s="21"/>
      <c r="W324" s="344"/>
    </row>
    <row r="325" spans="3:23" ht="15.75" customHeight="1">
      <c r="C325" s="345"/>
      <c r="E325" s="21"/>
      <c r="F325" s="21"/>
      <c r="K325" s="21"/>
      <c r="W325" s="344"/>
    </row>
    <row r="326" spans="3:23" ht="15.75" customHeight="1">
      <c r="C326" s="345"/>
      <c r="E326" s="21"/>
      <c r="F326" s="21"/>
      <c r="K326" s="21"/>
      <c r="W326" s="344"/>
    </row>
    <row r="327" spans="3:23" ht="15.75" customHeight="1">
      <c r="C327" s="345"/>
      <c r="E327" s="21"/>
      <c r="F327" s="21"/>
      <c r="K327" s="21"/>
      <c r="W327" s="344"/>
    </row>
    <row r="328" spans="3:23" ht="15.75" customHeight="1">
      <c r="C328" s="345"/>
      <c r="E328" s="21"/>
      <c r="F328" s="21"/>
      <c r="K328" s="21"/>
      <c r="W328" s="344"/>
    </row>
    <row r="329" spans="3:23" ht="15.75" customHeight="1">
      <c r="C329" s="345"/>
      <c r="E329" s="21"/>
      <c r="F329" s="21"/>
      <c r="K329" s="21"/>
      <c r="W329" s="344"/>
    </row>
    <row r="330" spans="3:23" ht="15.75" customHeight="1">
      <c r="C330" s="345"/>
      <c r="E330" s="21"/>
      <c r="F330" s="21"/>
      <c r="K330" s="21"/>
      <c r="W330" s="344"/>
    </row>
    <row r="331" spans="3:23" ht="15.75" customHeight="1">
      <c r="C331" s="345"/>
      <c r="E331" s="21"/>
      <c r="F331" s="21"/>
      <c r="K331" s="21"/>
      <c r="W331" s="344"/>
    </row>
    <row r="332" spans="3:23" ht="15.75" customHeight="1">
      <c r="C332" s="345"/>
      <c r="E332" s="21"/>
      <c r="F332" s="21"/>
      <c r="K332" s="21"/>
      <c r="W332" s="344"/>
    </row>
    <row r="333" spans="3:23" ht="15.75" customHeight="1">
      <c r="C333" s="345"/>
      <c r="E333" s="21"/>
      <c r="F333" s="21"/>
      <c r="K333" s="21"/>
      <c r="W333" s="344"/>
    </row>
    <row r="334" spans="3:23" ht="15.75" customHeight="1">
      <c r="C334" s="345"/>
      <c r="E334" s="21"/>
      <c r="F334" s="21"/>
      <c r="K334" s="21"/>
      <c r="W334" s="344"/>
    </row>
    <row r="335" spans="3:23" ht="15.75" customHeight="1">
      <c r="C335" s="345"/>
      <c r="E335" s="21"/>
      <c r="F335" s="21"/>
      <c r="K335" s="21"/>
      <c r="W335" s="344"/>
    </row>
    <row r="336" spans="3:23" ht="15.75" customHeight="1">
      <c r="C336" s="345"/>
      <c r="E336" s="21"/>
      <c r="F336" s="21"/>
      <c r="K336" s="21"/>
      <c r="W336" s="344"/>
    </row>
    <row r="337" spans="3:23" ht="15.75" customHeight="1">
      <c r="C337" s="345"/>
      <c r="E337" s="21"/>
      <c r="F337" s="21"/>
      <c r="K337" s="21"/>
      <c r="W337" s="344"/>
    </row>
    <row r="338" spans="3:23" ht="15.75" customHeight="1">
      <c r="C338" s="345"/>
      <c r="E338" s="21"/>
      <c r="F338" s="21"/>
      <c r="K338" s="21"/>
      <c r="W338" s="344"/>
    </row>
    <row r="339" spans="3:23" ht="15.75" customHeight="1">
      <c r="C339" s="345"/>
      <c r="E339" s="21"/>
      <c r="F339" s="21"/>
      <c r="K339" s="21"/>
      <c r="W339" s="344"/>
    </row>
    <row r="340" spans="3:23" ht="15.75" customHeight="1">
      <c r="C340" s="345"/>
      <c r="E340" s="21"/>
      <c r="F340" s="21"/>
      <c r="K340" s="21"/>
      <c r="W340" s="344"/>
    </row>
    <row r="341" spans="3:23" ht="15.75" customHeight="1">
      <c r="C341" s="345"/>
      <c r="E341" s="21"/>
      <c r="F341" s="21"/>
      <c r="K341" s="21"/>
      <c r="W341" s="344"/>
    </row>
    <row r="342" spans="3:23" ht="15.75" customHeight="1">
      <c r="C342" s="345"/>
      <c r="E342" s="21"/>
      <c r="F342" s="21"/>
      <c r="K342" s="21"/>
      <c r="W342" s="344"/>
    </row>
    <row r="343" spans="3:23" ht="15.75" customHeight="1">
      <c r="C343" s="345"/>
      <c r="E343" s="21"/>
      <c r="F343" s="21"/>
      <c r="K343" s="21"/>
      <c r="W343" s="344"/>
    </row>
    <row r="344" spans="3:23" ht="15.75" customHeight="1">
      <c r="C344" s="345"/>
      <c r="E344" s="21"/>
      <c r="F344" s="21"/>
      <c r="K344" s="21"/>
      <c r="W344" s="344"/>
    </row>
    <row r="345" spans="3:23" ht="15.75" customHeight="1">
      <c r="C345" s="345"/>
      <c r="E345" s="21"/>
      <c r="F345" s="21"/>
      <c r="K345" s="21"/>
      <c r="W345" s="344"/>
    </row>
    <row r="346" spans="3:23" ht="15.75" customHeight="1">
      <c r="C346" s="345"/>
      <c r="E346" s="21"/>
      <c r="F346" s="21"/>
      <c r="K346" s="21"/>
      <c r="W346" s="344"/>
    </row>
    <row r="347" spans="3:23" ht="15.75" customHeight="1">
      <c r="C347" s="345"/>
      <c r="E347" s="21"/>
      <c r="F347" s="21"/>
      <c r="K347" s="21"/>
      <c r="W347" s="344"/>
    </row>
    <row r="348" spans="3:23" ht="15.75" customHeight="1">
      <c r="C348" s="345"/>
      <c r="E348" s="21"/>
      <c r="F348" s="21"/>
      <c r="K348" s="21"/>
      <c r="W348" s="344"/>
    </row>
    <row r="349" spans="3:23" ht="15.75" customHeight="1">
      <c r="C349" s="345"/>
      <c r="E349" s="21"/>
      <c r="F349" s="21"/>
      <c r="K349" s="21"/>
      <c r="W349" s="344"/>
    </row>
    <row r="350" spans="3:23" ht="15.75" customHeight="1">
      <c r="C350" s="345"/>
      <c r="E350" s="21"/>
      <c r="F350" s="21"/>
      <c r="K350" s="21"/>
      <c r="W350" s="344"/>
    </row>
    <row r="351" spans="3:23" ht="15.75" customHeight="1">
      <c r="C351" s="345"/>
      <c r="E351" s="21"/>
      <c r="F351" s="21"/>
      <c r="K351" s="21"/>
      <c r="W351" s="344"/>
    </row>
    <row r="352" spans="3:23" ht="15.75" customHeight="1">
      <c r="C352" s="345"/>
      <c r="E352" s="21"/>
      <c r="F352" s="21"/>
      <c r="K352" s="21"/>
      <c r="W352" s="344"/>
    </row>
    <row r="353" spans="3:23" ht="15.75" customHeight="1">
      <c r="C353" s="345"/>
      <c r="E353" s="21"/>
      <c r="F353" s="21"/>
      <c r="K353" s="21"/>
      <c r="W353" s="344"/>
    </row>
    <row r="354" spans="3:23" ht="15.75" customHeight="1">
      <c r="C354" s="345"/>
      <c r="E354" s="21"/>
      <c r="F354" s="21"/>
      <c r="K354" s="21"/>
      <c r="W354" s="344"/>
    </row>
    <row r="355" spans="3:23" ht="15.75" customHeight="1">
      <c r="C355" s="345"/>
      <c r="E355" s="21"/>
      <c r="F355" s="21"/>
      <c r="K355" s="21"/>
      <c r="W355" s="344"/>
    </row>
    <row r="356" spans="3:23" ht="15.75" customHeight="1">
      <c r="C356" s="345"/>
      <c r="E356" s="21"/>
      <c r="F356" s="21"/>
      <c r="K356" s="21"/>
      <c r="W356" s="344"/>
    </row>
    <row r="357" spans="3:23" ht="15.75" customHeight="1">
      <c r="C357" s="345"/>
      <c r="E357" s="21"/>
      <c r="F357" s="21"/>
      <c r="K357" s="21"/>
      <c r="W357" s="344"/>
    </row>
    <row r="358" spans="3:23" ht="15.75" customHeight="1">
      <c r="C358" s="345"/>
      <c r="E358" s="21"/>
      <c r="F358" s="21"/>
      <c r="K358" s="21"/>
      <c r="W358" s="344"/>
    </row>
    <row r="359" spans="3:23" ht="15.75" customHeight="1">
      <c r="C359" s="345"/>
      <c r="E359" s="21"/>
      <c r="F359" s="21"/>
      <c r="K359" s="21"/>
      <c r="W359" s="344"/>
    </row>
    <row r="360" spans="3:23" ht="15.75" customHeight="1">
      <c r="C360" s="345"/>
      <c r="E360" s="21"/>
      <c r="F360" s="21"/>
      <c r="K360" s="21"/>
      <c r="W360" s="344"/>
    </row>
    <row r="361" spans="3:23" ht="15.75" customHeight="1">
      <c r="C361" s="345"/>
      <c r="E361" s="21"/>
      <c r="F361" s="21"/>
      <c r="K361" s="21"/>
      <c r="W361" s="344"/>
    </row>
    <row r="362" spans="3:23" ht="15.75" customHeight="1">
      <c r="C362" s="345"/>
      <c r="E362" s="21"/>
      <c r="F362" s="21"/>
      <c r="K362" s="21"/>
      <c r="W362" s="344"/>
    </row>
    <row r="363" spans="3:23" ht="15.75" customHeight="1">
      <c r="C363" s="345"/>
      <c r="E363" s="21"/>
      <c r="F363" s="21"/>
      <c r="K363" s="21"/>
      <c r="W363" s="344"/>
    </row>
    <row r="364" spans="3:23" ht="15.75" customHeight="1">
      <c r="C364" s="345"/>
      <c r="E364" s="21"/>
      <c r="F364" s="21"/>
      <c r="K364" s="21"/>
      <c r="W364" s="344"/>
    </row>
    <row r="365" spans="3:23" ht="15.75" customHeight="1">
      <c r="C365" s="345"/>
      <c r="E365" s="21"/>
      <c r="F365" s="21"/>
      <c r="K365" s="21"/>
      <c r="W365" s="344"/>
    </row>
    <row r="366" spans="3:23" ht="15.75" customHeight="1">
      <c r="C366" s="345"/>
      <c r="E366" s="21"/>
      <c r="F366" s="21"/>
      <c r="K366" s="21"/>
      <c r="W366" s="344"/>
    </row>
    <row r="367" spans="3:23" ht="15.75" customHeight="1">
      <c r="C367" s="345"/>
      <c r="E367" s="21"/>
      <c r="F367" s="21"/>
      <c r="K367" s="21"/>
      <c r="W367" s="344"/>
    </row>
    <row r="368" spans="3:23" ht="15.75" customHeight="1">
      <c r="C368" s="345"/>
      <c r="E368" s="21"/>
      <c r="F368" s="21"/>
      <c r="K368" s="21"/>
      <c r="W368" s="344"/>
    </row>
    <row r="369" spans="3:23" ht="15.75" customHeight="1">
      <c r="C369" s="345"/>
      <c r="E369" s="21"/>
      <c r="F369" s="21"/>
      <c r="K369" s="21"/>
      <c r="W369" s="344"/>
    </row>
    <row r="370" spans="3:23" ht="15.75" customHeight="1">
      <c r="C370" s="345"/>
      <c r="E370" s="21"/>
      <c r="F370" s="21"/>
      <c r="K370" s="21"/>
      <c r="W370" s="344"/>
    </row>
    <row r="371" spans="3:23" ht="15.75" customHeight="1">
      <c r="C371" s="345"/>
      <c r="E371" s="21"/>
      <c r="F371" s="21"/>
      <c r="K371" s="21"/>
      <c r="W371" s="344"/>
    </row>
    <row r="372" spans="3:23" ht="15.75" customHeight="1">
      <c r="C372" s="345"/>
      <c r="E372" s="21"/>
      <c r="F372" s="21"/>
      <c r="K372" s="21"/>
      <c r="W372" s="344"/>
    </row>
    <row r="373" spans="3:23" ht="15.75" customHeight="1">
      <c r="C373" s="345"/>
      <c r="E373" s="21"/>
      <c r="F373" s="21"/>
      <c r="K373" s="21"/>
      <c r="W373" s="344"/>
    </row>
    <row r="374" spans="3:23" ht="15.75" customHeight="1">
      <c r="C374" s="345"/>
      <c r="E374" s="21"/>
      <c r="F374" s="21"/>
      <c r="K374" s="21"/>
      <c r="W374" s="344"/>
    </row>
    <row r="375" spans="3:23" ht="15.75" customHeight="1">
      <c r="C375" s="345"/>
      <c r="E375" s="21"/>
      <c r="F375" s="21"/>
      <c r="K375" s="21"/>
      <c r="W375" s="344"/>
    </row>
    <row r="376" spans="3:23" ht="15.75" customHeight="1">
      <c r="C376" s="345"/>
      <c r="E376" s="21"/>
      <c r="F376" s="21"/>
      <c r="K376" s="21"/>
      <c r="W376" s="344"/>
    </row>
  </sheetData>
  <mergeCells count="27">
    <mergeCell ref="BI1:BK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AZ1:BB1"/>
    <mergeCell ref="BC1:BE1"/>
    <mergeCell ref="BF1:BH1"/>
    <mergeCell ref="AW190:BB190"/>
    <mergeCell ref="Z196:AA196"/>
    <mergeCell ref="C1:D1"/>
    <mergeCell ref="E1:H1"/>
    <mergeCell ref="I1:L1"/>
    <mergeCell ref="M1:O1"/>
    <mergeCell ref="P1:R1"/>
    <mergeCell ref="S1:U1"/>
    <mergeCell ref="V1:X1"/>
    <mergeCell ref="G190:H190"/>
    <mergeCell ref="Y190:AD190"/>
    <mergeCell ref="AE190:AJ190"/>
    <mergeCell ref="AK190:AP190"/>
    <mergeCell ref="AQ190:AV190"/>
  </mergeCells>
  <conditionalFormatting sqref="G3:H4 V3:X4 G6:H90 V6:X90 G93:G119 H93:H188 V93:X130 G121:G188 V132:X136 V142:X188">
    <cfRule type="cellIs" dxfId="74" priority="1" operator="between">
      <formula>"0%"</formula>
      <formula>"25%"</formula>
    </cfRule>
  </conditionalFormatting>
  <conditionalFormatting sqref="G3:H4 V3:X4 G6:H90 V6:X90 G93:G119 H93:H188 V93:X130 G121:G188 V132:X136 V142:X188">
    <cfRule type="cellIs" dxfId="73" priority="2" operator="between">
      <formula>"25.01%"</formula>
      <formula>"50%"</formula>
    </cfRule>
  </conditionalFormatting>
  <conditionalFormatting sqref="G3:H4 V3:X4 G6:H90 V6:X90 G93:G119 H93:H188 V93:X130 G121:G188 V132:X136 V142:X188">
    <cfRule type="cellIs" dxfId="72" priority="3" operator="between">
      <formula>"50.01%"</formula>
      <formula>"75%"</formula>
    </cfRule>
  </conditionalFormatting>
  <conditionalFormatting sqref="G3:H4 V3:X4 G6:H90 V6:X90 G93:G119 H93:H188 V93:X130 G121:G188 V132:X136 V142:X188">
    <cfRule type="cellIs" dxfId="71" priority="4" operator="between">
      <formula>"75.01%"</formula>
      <formula>"99.99%"</formula>
    </cfRule>
  </conditionalFormatting>
  <conditionalFormatting sqref="G3:H4 V3:X4 G6:H90 V6:X90 G93:G119 H93:H188 V93:X130 G121:G188 V132:X136 V142:X188">
    <cfRule type="cellIs" dxfId="70" priority="5" operator="greaterThanOrEqual">
      <formula>"100%"</formula>
    </cfRule>
  </conditionalFormatting>
  <conditionalFormatting sqref="V138:X140">
    <cfRule type="cellIs" dxfId="69" priority="6" operator="between">
      <formula>"0%"</formula>
      <formula>"25%"</formula>
    </cfRule>
  </conditionalFormatting>
  <conditionalFormatting sqref="V138:X140">
    <cfRule type="cellIs" dxfId="68" priority="7" operator="between">
      <formula>"25.01%"</formula>
      <formula>"50%"</formula>
    </cfRule>
  </conditionalFormatting>
  <conditionalFormatting sqref="V138:X140">
    <cfRule type="cellIs" dxfId="67" priority="8" operator="between">
      <formula>"50.01%"</formula>
      <formula>"75%"</formula>
    </cfRule>
  </conditionalFormatting>
  <conditionalFormatting sqref="V138:X140">
    <cfRule type="cellIs" dxfId="66" priority="9" operator="between">
      <formula>"75.01%"</formula>
      <formula>"99.99%"</formula>
    </cfRule>
  </conditionalFormatting>
  <conditionalFormatting sqref="V138:X140">
    <cfRule type="cellIs" dxfId="65" priority="10" operator="greaterThanOrEqual">
      <formula>"100%"</formula>
    </cfRule>
  </conditionalFormatting>
  <conditionalFormatting sqref="G91:H92 V91:X92">
    <cfRule type="cellIs" dxfId="64" priority="11" operator="between">
      <formula>"0%"</formula>
      <formula>"25%"</formula>
    </cfRule>
  </conditionalFormatting>
  <conditionalFormatting sqref="G91:H92 V91:X92">
    <cfRule type="cellIs" dxfId="63" priority="12" operator="between">
      <formula>"25.01%"</formula>
      <formula>"50%"</formula>
    </cfRule>
  </conditionalFormatting>
  <conditionalFormatting sqref="G91:H92 V91:X92">
    <cfRule type="cellIs" dxfId="62" priority="13" operator="between">
      <formula>"50.01%"</formula>
      <formula>"75%"</formula>
    </cfRule>
  </conditionalFormatting>
  <conditionalFormatting sqref="G91:H92 V91:X92">
    <cfRule type="cellIs" dxfId="61" priority="14" operator="between">
      <formula>"75.01%"</formula>
      <formula>"99.99%"</formula>
    </cfRule>
  </conditionalFormatting>
  <conditionalFormatting sqref="G91:H92 V91:X92">
    <cfRule type="cellIs" dxfId="60" priority="15" operator="greaterThanOrEqual">
      <formula>"100%"</formula>
    </cfRule>
  </conditionalFormatting>
  <conditionalFormatting sqref="G5:H5 V5:X5">
    <cfRule type="cellIs" dxfId="59" priority="16" operator="between">
      <formula>"0%"</formula>
      <formula>"25%"</formula>
    </cfRule>
  </conditionalFormatting>
  <conditionalFormatting sqref="G5:H5 V5:X5">
    <cfRule type="cellIs" dxfId="58" priority="17" operator="between">
      <formula>"25.01%"</formula>
      <formula>"50%"</formula>
    </cfRule>
  </conditionalFormatting>
  <conditionalFormatting sqref="G5:H5 V5:X5">
    <cfRule type="cellIs" dxfId="57" priority="18" operator="between">
      <formula>"50.01%"</formula>
      <formula>"75%"</formula>
    </cfRule>
  </conditionalFormatting>
  <conditionalFormatting sqref="G5:H5 V5:X5">
    <cfRule type="cellIs" dxfId="56" priority="19" operator="between">
      <formula>"75.01%"</formula>
      <formula>"99.99%"</formula>
    </cfRule>
  </conditionalFormatting>
  <conditionalFormatting sqref="G5:H5 V5:X5">
    <cfRule type="cellIs" dxfId="55" priority="20" operator="greaterThanOrEqual">
      <formula>"100%"</formula>
    </cfRule>
  </conditionalFormatting>
  <conditionalFormatting sqref="G70:H70 V70:X70">
    <cfRule type="cellIs" dxfId="54" priority="21" operator="between">
      <formula>"0%"</formula>
      <formula>"25%"</formula>
    </cfRule>
  </conditionalFormatting>
  <conditionalFormatting sqref="G70:H70 V70:X70">
    <cfRule type="cellIs" dxfId="53" priority="22" operator="between">
      <formula>"25.01%"</formula>
      <formula>"50%"</formula>
    </cfRule>
  </conditionalFormatting>
  <conditionalFormatting sqref="G70:H70 V70:X70">
    <cfRule type="cellIs" dxfId="52" priority="23" operator="between">
      <formula>"50.01%"</formula>
      <formula>"75%"</formula>
    </cfRule>
  </conditionalFormatting>
  <conditionalFormatting sqref="G70:H70 V70:X70">
    <cfRule type="cellIs" dxfId="51" priority="24" operator="between">
      <formula>"75.01%"</formula>
      <formula>"99.99%"</formula>
    </cfRule>
  </conditionalFormatting>
  <conditionalFormatting sqref="G70:H70 V70:X70">
    <cfRule type="cellIs" dxfId="50" priority="25" operator="greaterThanOrEqual">
      <formula>"100%"</formula>
    </cfRule>
  </conditionalFormatting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Instruções</vt:lpstr>
      <vt:lpstr>PA 2022</vt:lpstr>
      <vt:lpstr>Jan2022</vt:lpstr>
      <vt:lpstr>Fev2022</vt:lpstr>
      <vt:lpstr>Mar2022</vt:lpstr>
      <vt:lpstr>Abr2022</vt:lpstr>
      <vt:lpstr>Maio2022</vt:lpstr>
      <vt:lpstr>Junho2022</vt:lpstr>
      <vt:lpstr>Julho2022</vt:lpstr>
      <vt:lpstr>Agosto2022</vt:lpstr>
      <vt:lpstr>Cópia de Julho2022</vt:lpstr>
      <vt:lpstr>Cópia de Abr2022-ANALISE</vt:lpstr>
      <vt:lpstr>Gráficos </vt:lpstr>
      <vt:lpstr>Gráficos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Kasper</dc:creator>
  <cp:lastModifiedBy>Carol</cp:lastModifiedBy>
  <dcterms:created xsi:type="dcterms:W3CDTF">2020-01-10T15:57:46Z</dcterms:created>
  <dcterms:modified xsi:type="dcterms:W3CDTF">2022-10-03T12:36:08Z</dcterms:modified>
</cp:coreProperties>
</file>